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0465B591-B5FE-6549-9D24-858EF10833F9}" xr6:coauthVersionLast="47" xr6:coauthVersionMax="47" xr10:uidLastSave="{00000000-0000-0000-0000-000000000000}"/>
  <bookViews>
    <workbookView xWindow="700" yWindow="880" windowWidth="28040" windowHeight="15580" xr2:uid="{FF880EED-EA60-9E49-B15D-179496B980D1}"/>
  </bookViews>
  <sheets>
    <sheet name="Foglio1" sheetId="1" r:id="rId1"/>
    <sheet name="Foglio2" sheetId="2" r:id="rId2"/>
  </sheets>
  <definedNames>
    <definedName name="_xlchart.v1.0" hidden="1">Foglio1!$BF$10</definedName>
    <definedName name="_xlchart.v1.1" hidden="1">Foglio1!$BF$11</definedName>
    <definedName name="_xlchart.v1.10" hidden="1">Foglio1!$BF$7</definedName>
    <definedName name="_xlchart.v1.100" hidden="1">Foglio1!$BG$72:$BG$84</definedName>
    <definedName name="_xlchart.v1.101" hidden="1">Foglio1!$BH$71</definedName>
    <definedName name="_xlchart.v1.102" hidden="1">Foglio1!$BH$72:$BH$84</definedName>
    <definedName name="_xlchart.v1.103" hidden="1">Foglio1!$BF$71</definedName>
    <definedName name="_xlchart.v1.104" hidden="1">Foglio1!$BF$72:$BF$84</definedName>
    <definedName name="_xlchart.v1.105" hidden="1">Foglio1!$BG$71</definedName>
    <definedName name="_xlchart.v1.106" hidden="1">Foglio1!$BG$72:$BG$84</definedName>
    <definedName name="_xlchart.v1.107" hidden="1">Foglio1!$BH$71</definedName>
    <definedName name="_xlchart.v1.108" hidden="1">Foglio1!$BH$72:$BH$84</definedName>
    <definedName name="_xlchart.v1.109" hidden="1">Foglio1!$BF$71</definedName>
    <definedName name="_xlchart.v1.11" hidden="1">Foglio1!$BF$8</definedName>
    <definedName name="_xlchart.v1.110" hidden="1">Foglio1!$BF$72:$BF$84</definedName>
    <definedName name="_xlchart.v1.111" hidden="1">Foglio1!$BG$71</definedName>
    <definedName name="_xlchart.v1.112" hidden="1">Foglio1!$BG$72:$BG$84</definedName>
    <definedName name="_xlchart.v1.113" hidden="1">Foglio1!$BH$71</definedName>
    <definedName name="_xlchart.v1.114" hidden="1">Foglio1!$BH$72:$BH$84</definedName>
    <definedName name="_xlchart.v1.115" hidden="1">Foglio1!$BF$72:$BF$84</definedName>
    <definedName name="_xlchart.v1.116" hidden="1">Foglio1!$BG$71</definedName>
    <definedName name="_xlchart.v1.117" hidden="1">Foglio1!$BG$72:$BG$84</definedName>
    <definedName name="_xlchart.v1.118" hidden="1">Foglio1!$BH$71</definedName>
    <definedName name="_xlchart.v1.119" hidden="1">Foglio1!$BH$72:$BH$84</definedName>
    <definedName name="_xlchart.v1.12" hidden="1">Foglio1!$BF$9</definedName>
    <definedName name="_xlchart.v1.126" hidden="1">Foglio1!$BF$71</definedName>
    <definedName name="_xlchart.v1.127" hidden="1">Foglio1!$BF$72:$BF$84</definedName>
    <definedName name="_xlchart.v1.128" hidden="1">Foglio1!$BG$71</definedName>
    <definedName name="_xlchart.v1.129" hidden="1">Foglio1!$BG$72:$BG$84</definedName>
    <definedName name="_xlchart.v1.13" hidden="1">Foglio1!$BG$10:$BZ$10</definedName>
    <definedName name="_xlchart.v1.130" hidden="1">Foglio1!$BH$71</definedName>
    <definedName name="_xlchart.v1.131" hidden="1">Foglio1!$BH$72:$BH$84</definedName>
    <definedName name="_xlchart.v1.14" hidden="1">Foglio1!$BG$11:$BZ$11</definedName>
    <definedName name="_xlchart.v1.15" hidden="1">Foglio1!$BG$12:$BZ$12</definedName>
    <definedName name="_xlchart.v1.16" hidden="1">Foglio1!$BG$13:$BZ$13</definedName>
    <definedName name="_xlchart.v1.17" hidden="1">Foglio1!$BG$14:$BZ$14</definedName>
    <definedName name="_xlchart.v1.18" hidden="1">Foglio1!$BG$15:$BZ$15</definedName>
    <definedName name="_xlchart.v1.19" hidden="1">Foglio1!$BG$2:$BZ$2</definedName>
    <definedName name="_xlchart.v1.2" hidden="1">Foglio1!$BF$12</definedName>
    <definedName name="_xlchart.v1.20" hidden="1">Foglio1!$BG$3:$BZ$3</definedName>
    <definedName name="_xlchart.v1.21" hidden="1">Foglio1!$BG$4:$BZ$4</definedName>
    <definedName name="_xlchart.v1.22" hidden="1">Foglio1!$BG$5:$BZ$5</definedName>
    <definedName name="_xlchart.v1.23" hidden="1">Foglio1!$BG$6:$BZ$6</definedName>
    <definedName name="_xlchart.v1.24" hidden="1">Foglio1!$BG$7:$BZ$7</definedName>
    <definedName name="_xlchart.v1.25" hidden="1">Foglio1!$BG$8:$BZ$8</definedName>
    <definedName name="_xlchart.v1.26" hidden="1">Foglio1!$BG$9:$BZ$9</definedName>
    <definedName name="_xlchart.v1.27" hidden="1">Foglio1!$BF$10</definedName>
    <definedName name="_xlchart.v1.28" hidden="1">Foglio1!$BF$11</definedName>
    <definedName name="_xlchart.v1.29" hidden="1">Foglio1!$BF$12</definedName>
    <definedName name="_xlchart.v1.3" hidden="1">Foglio1!$BF$13</definedName>
    <definedName name="_xlchart.v1.30" hidden="1">Foglio1!$BF$13</definedName>
    <definedName name="_xlchart.v1.31" hidden="1">Foglio1!$BF$14</definedName>
    <definedName name="_xlchart.v1.32" hidden="1">Foglio1!$BF$15</definedName>
    <definedName name="_xlchart.v1.33" hidden="1">Foglio1!$BF$3</definedName>
    <definedName name="_xlchart.v1.34" hidden="1">Foglio1!$BF$4</definedName>
    <definedName name="_xlchart.v1.35" hidden="1">Foglio1!$BF$5</definedName>
    <definedName name="_xlchart.v1.36" hidden="1">Foglio1!$BF$6</definedName>
    <definedName name="_xlchart.v1.37" hidden="1">Foglio1!$BF$7</definedName>
    <definedName name="_xlchart.v1.38" hidden="1">Foglio1!$BF$8</definedName>
    <definedName name="_xlchart.v1.39" hidden="1">Foglio1!$BF$9</definedName>
    <definedName name="_xlchart.v1.4" hidden="1">Foglio1!$BF$14</definedName>
    <definedName name="_xlchart.v1.40" hidden="1">Foglio1!$BG$10:$BZ$10</definedName>
    <definedName name="_xlchart.v1.41" hidden="1">Foglio1!$BG$11:$BZ$11</definedName>
    <definedName name="_xlchart.v1.42" hidden="1">Foglio1!$BG$12:$BZ$12</definedName>
    <definedName name="_xlchart.v1.43" hidden="1">Foglio1!$BG$13:$BZ$13</definedName>
    <definedName name="_xlchart.v1.44" hidden="1">Foglio1!$BG$14:$BZ$14</definedName>
    <definedName name="_xlchart.v1.45" hidden="1">Foglio1!$BG$15:$BZ$15</definedName>
    <definedName name="_xlchart.v1.46" hidden="1">Foglio1!$BG$2:$BZ$2</definedName>
    <definedName name="_xlchart.v1.47" hidden="1">Foglio1!$BG$3:$BZ$3</definedName>
    <definedName name="_xlchart.v1.48" hidden="1">Foglio1!$BG$4:$BZ$4</definedName>
    <definedName name="_xlchart.v1.49" hidden="1">Foglio1!$BG$5:$BZ$5</definedName>
    <definedName name="_xlchart.v1.5" hidden="1">Foglio1!$BF$15</definedName>
    <definedName name="_xlchart.v1.50" hidden="1">Foglio1!$BG$6:$BZ$6</definedName>
    <definedName name="_xlchart.v1.51" hidden="1">Foglio1!$BG$7:$BZ$7</definedName>
    <definedName name="_xlchart.v1.52" hidden="1">Foglio1!$BG$8:$BZ$8</definedName>
    <definedName name="_xlchart.v1.53" hidden="1">Foglio1!$BG$9:$BZ$9</definedName>
    <definedName name="_xlchart.v1.54" hidden="1">Foglio1!$BF$37:$BF$49</definedName>
    <definedName name="_xlchart.v1.55" hidden="1">Foglio1!$BG$36</definedName>
    <definedName name="_xlchart.v1.56" hidden="1">Foglio1!$BG$37:$BG$49</definedName>
    <definedName name="_xlchart.v1.57" hidden="1">Foglio1!$BH$36</definedName>
    <definedName name="_xlchart.v1.58" hidden="1">Foglio1!$BH$37:$BH$49</definedName>
    <definedName name="_xlchart.v1.59" hidden="1">Foglio1!$BI$36</definedName>
    <definedName name="_xlchart.v1.6" hidden="1">Foglio1!$BF$3</definedName>
    <definedName name="_xlchart.v1.60" hidden="1">Foglio1!$BI$37:$BI$49</definedName>
    <definedName name="_xlchart.v1.61" hidden="1">Foglio1!$BJ$36</definedName>
    <definedName name="_xlchart.v1.62" hidden="1">Foglio1!$BJ$37:$BJ$49</definedName>
    <definedName name="_xlchart.v1.63" hidden="1">Foglio1!$BK$36</definedName>
    <definedName name="_xlchart.v1.64" hidden="1">Foglio1!$BK$37:$BK$49</definedName>
    <definedName name="_xlchart.v1.65" hidden="1">Foglio1!$BL$36</definedName>
    <definedName name="_xlchart.v1.66" hidden="1">Foglio1!$BL$37:$BL$49</definedName>
    <definedName name="_xlchart.v1.67" hidden="1">Foglio1!$BM$36</definedName>
    <definedName name="_xlchart.v1.68" hidden="1">Foglio1!$BM$37:$BM$49</definedName>
    <definedName name="_xlchart.v1.69" hidden="1">Foglio1!$BN$36</definedName>
    <definedName name="_xlchart.v1.7" hidden="1">Foglio1!$BF$4</definedName>
    <definedName name="_xlchart.v1.70" hidden="1">Foglio1!$BN$37:$BN$49</definedName>
    <definedName name="_xlchart.v1.71" hidden="1">Foglio1!$BO$36</definedName>
    <definedName name="_xlchart.v1.72" hidden="1">Foglio1!$BO$37:$BO$49</definedName>
    <definedName name="_xlchart.v1.73" hidden="1">Foglio1!$BP$36</definedName>
    <definedName name="_xlchart.v1.74" hidden="1">Foglio1!$BP$37:$BP$49</definedName>
    <definedName name="_xlchart.v1.75" hidden="1">Foglio1!$BQ$36</definedName>
    <definedName name="_xlchart.v1.76" hidden="1">Foglio1!$BQ$37:$BQ$49</definedName>
    <definedName name="_xlchart.v1.77" hidden="1">Foglio1!$BR$36</definedName>
    <definedName name="_xlchart.v1.78" hidden="1">Foglio1!$BR$37:$BR$49</definedName>
    <definedName name="_xlchart.v1.79" hidden="1">Foglio1!$BS$36</definedName>
    <definedName name="_xlchart.v1.8" hidden="1">Foglio1!$BF$5</definedName>
    <definedName name="_xlchart.v1.80" hidden="1">Foglio1!$BS$37:$BS$49</definedName>
    <definedName name="_xlchart.v1.81" hidden="1">Foglio1!$BT$36</definedName>
    <definedName name="_xlchart.v1.82" hidden="1">Foglio1!$BT$37:$BT$49</definedName>
    <definedName name="_xlchart.v1.83" hidden="1">Foglio1!$BU$36</definedName>
    <definedName name="_xlchart.v1.84" hidden="1">Foglio1!$BU$37:$BU$49</definedName>
    <definedName name="_xlchart.v1.85" hidden="1">Foglio1!$BV$36</definedName>
    <definedName name="_xlchart.v1.86" hidden="1">Foglio1!$BV$37:$BV$49</definedName>
    <definedName name="_xlchart.v1.87" hidden="1">Foglio1!$BW$36</definedName>
    <definedName name="_xlchart.v1.88" hidden="1">Foglio1!$BW$37:$BW$49</definedName>
    <definedName name="_xlchart.v1.89" hidden="1">Foglio1!$BX$36</definedName>
    <definedName name="_xlchart.v1.9" hidden="1">Foglio1!$BF$6</definedName>
    <definedName name="_xlchart.v1.90" hidden="1">Foglio1!$BX$37:$BX$49</definedName>
    <definedName name="_xlchart.v1.91" hidden="1">Foglio1!$BY$36</definedName>
    <definedName name="_xlchart.v1.92" hidden="1">Foglio1!$BY$37:$BY$49</definedName>
    <definedName name="_xlchart.v1.93" hidden="1">Foglio1!$BZ$36</definedName>
    <definedName name="_xlchart.v1.94" hidden="1">Foglio1!$BZ$37:$BZ$49</definedName>
    <definedName name="_xlchart.v1.95" hidden="1">Foglio1!$CA$36</definedName>
    <definedName name="_xlchart.v1.96" hidden="1">Foglio1!$CA$37:$CA$49</definedName>
    <definedName name="_xlchart.v1.97" hidden="1">Foglio1!$BF$71</definedName>
    <definedName name="_xlchart.v1.98" hidden="1">Foglio1!$BF$72:$BF$84</definedName>
    <definedName name="_xlchart.v1.99" hidden="1">Foglio1!$BG$71</definedName>
    <definedName name="_xlchart.v2.120" hidden="1">Foglio1!$BF$71</definedName>
    <definedName name="_xlchart.v2.121" hidden="1">Foglio1!$BF$72:$BF$84</definedName>
    <definedName name="_xlchart.v2.122" hidden="1">Foglio1!$BG$71</definedName>
    <definedName name="_xlchart.v2.123" hidden="1">Foglio1!$BG$72:$BG$84</definedName>
    <definedName name="_xlchart.v2.124" hidden="1">Foglio1!$BH$71</definedName>
    <definedName name="_xlchart.v2.125" hidden="1">Foglio1!$BH$72:$BH$84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72" i="1" l="1" a="1"/>
  <c r="BH72" i="1" s="1"/>
  <c r="BB28" i="1" a="1"/>
  <c r="BB28" i="1" s="1"/>
  <c r="BZ4" i="1" a="1"/>
  <c r="BZ4" i="1" s="1"/>
  <c r="BZ5" i="1" a="1"/>
  <c r="BZ5" i="1" s="1"/>
  <c r="BZ6" i="1" a="1"/>
  <c r="BZ6" i="1" s="1"/>
  <c r="BZ7" i="1" a="1"/>
  <c r="BZ7" i="1" s="1"/>
  <c r="BZ8" i="1" a="1"/>
  <c r="BZ8" i="1" s="1"/>
  <c r="BZ9" i="1" a="1"/>
  <c r="BZ9" i="1" s="1"/>
  <c r="BZ10" i="1" a="1"/>
  <c r="BZ10" i="1" s="1"/>
  <c r="BZ11" i="1" a="1"/>
  <c r="BZ11" i="1" s="1"/>
  <c r="BY37" i="1" a="1"/>
  <c r="BY37" i="1" s="1"/>
  <c r="CB38" i="1" a="1"/>
  <c r="CB38" i="1" s="1"/>
  <c r="CB39" i="1" a="1"/>
  <c r="CB39" i="1" s="1"/>
  <c r="CB40" i="1" a="1"/>
  <c r="CB40" i="1" s="1"/>
  <c r="CB41" i="1" a="1"/>
  <c r="CB41" i="1" s="1"/>
  <c r="CB42" i="1" a="1"/>
  <c r="CB42" i="1" s="1"/>
  <c r="CB43" i="1" a="1"/>
  <c r="CB43" i="1" s="1"/>
  <c r="CB44" i="1" a="1"/>
  <c r="CB44" i="1" s="1"/>
  <c r="CB45" i="1" a="1"/>
  <c r="CB45" i="1" s="1"/>
  <c r="CB46" i="1" a="1"/>
  <c r="CB46" i="1" s="1"/>
  <c r="CB47" i="1" a="1"/>
  <c r="CB47" i="1" s="1"/>
  <c r="CB48" i="1" a="1"/>
  <c r="CB48" i="1" s="1"/>
  <c r="CB49" i="1" a="1"/>
  <c r="CB49" i="1" s="1"/>
  <c r="CB37" i="1" a="1"/>
  <c r="CB37" i="1" s="1"/>
  <c r="BG73" i="1" a="1"/>
  <c r="BG73" i="1" s="1"/>
  <c r="BH73" i="1" a="1"/>
  <c r="BH73" i="1" s="1"/>
  <c r="BG74" i="1" a="1"/>
  <c r="BG74" i="1" s="1"/>
  <c r="BH74" i="1" a="1"/>
  <c r="BH74" i="1" s="1"/>
  <c r="BG75" i="1" a="1"/>
  <c r="BG75" i="1" s="1"/>
  <c r="BH75" i="1" a="1"/>
  <c r="BH75" i="1" s="1"/>
  <c r="BG76" i="1" a="1"/>
  <c r="BG76" i="1" s="1"/>
  <c r="BH76" i="1" a="1"/>
  <c r="BH76" i="1" s="1"/>
  <c r="BG77" i="1" a="1"/>
  <c r="BG77" i="1" s="1"/>
  <c r="BH77" i="1" a="1"/>
  <c r="BH77" i="1" s="1"/>
  <c r="BG78" i="1" a="1"/>
  <c r="BG78" i="1" s="1"/>
  <c r="BH78" i="1" a="1"/>
  <c r="BH78" i="1" s="1"/>
  <c r="BG79" i="1" a="1"/>
  <c r="BG79" i="1" s="1"/>
  <c r="BH79" i="1" a="1"/>
  <c r="BH79" i="1" s="1"/>
  <c r="BG80" i="1" a="1"/>
  <c r="BG80" i="1" s="1"/>
  <c r="BH80" i="1" a="1"/>
  <c r="BH80" i="1" s="1"/>
  <c r="BG81" i="1" a="1"/>
  <c r="BG81" i="1" s="1"/>
  <c r="BH81" i="1" a="1"/>
  <c r="BH81" i="1" s="1"/>
  <c r="BG82" i="1" a="1"/>
  <c r="BG82" i="1" s="1"/>
  <c r="BH82" i="1" a="1"/>
  <c r="BH82" i="1" s="1"/>
  <c r="BG83" i="1" a="1"/>
  <c r="BG83" i="1" s="1"/>
  <c r="BH83" i="1" a="1"/>
  <c r="BH83" i="1" s="1"/>
  <c r="BG84" i="1" a="1"/>
  <c r="BG84" i="1" s="1"/>
  <c r="BH84" i="1" a="1"/>
  <c r="BH84" i="1" s="1"/>
  <c r="BG72" i="1" a="1"/>
  <c r="BG72" i="1" s="1"/>
  <c r="BG38" i="1" a="1"/>
  <c r="BG38" i="1" s="1"/>
  <c r="BH38" i="1" a="1"/>
  <c r="BH38" i="1" s="1"/>
  <c r="BI38" i="1" a="1"/>
  <c r="BI38" i="1" s="1"/>
  <c r="BJ38" i="1" a="1"/>
  <c r="BJ38" i="1" s="1"/>
  <c r="BK38" i="1" a="1"/>
  <c r="BK38" i="1" s="1"/>
  <c r="BL38" i="1" a="1"/>
  <c r="BL38" i="1" s="1"/>
  <c r="BM38" i="1" a="1"/>
  <c r="BM38" i="1" s="1"/>
  <c r="BN38" i="1" a="1"/>
  <c r="BN38" i="1" s="1"/>
  <c r="BO38" i="1" a="1"/>
  <c r="BO38" i="1" s="1"/>
  <c r="BP38" i="1" a="1"/>
  <c r="BP38" i="1" s="1"/>
  <c r="BQ38" i="1" a="1"/>
  <c r="BQ38" i="1" s="1"/>
  <c r="BR38" i="1" a="1"/>
  <c r="BR38" i="1" s="1"/>
  <c r="BS38" i="1" a="1"/>
  <c r="BS38" i="1" s="1"/>
  <c r="BT38" i="1" a="1"/>
  <c r="BT38" i="1" s="1"/>
  <c r="BU38" i="1" a="1"/>
  <c r="BU38" i="1" s="1"/>
  <c r="BV38" i="1" a="1"/>
  <c r="BV38" i="1" s="1"/>
  <c r="BW38" i="1" a="1"/>
  <c r="BW38" i="1" s="1"/>
  <c r="BX38" i="1" a="1"/>
  <c r="BX38" i="1" s="1"/>
  <c r="BY38" i="1" a="1"/>
  <c r="BY38" i="1" s="1"/>
  <c r="BZ38" i="1" a="1"/>
  <c r="BZ38" i="1" s="1"/>
  <c r="CA38" i="1" a="1"/>
  <c r="CA38" i="1" s="1"/>
  <c r="BG39" i="1" a="1"/>
  <c r="BG39" i="1" s="1"/>
  <c r="BH39" i="1" a="1"/>
  <c r="BH39" i="1" s="1"/>
  <c r="BI39" i="1" a="1"/>
  <c r="BI39" i="1" s="1"/>
  <c r="BJ39" i="1" a="1"/>
  <c r="BJ39" i="1" s="1"/>
  <c r="BK39" i="1" a="1"/>
  <c r="BK39" i="1" s="1"/>
  <c r="BL39" i="1" a="1"/>
  <c r="BL39" i="1" s="1"/>
  <c r="BM39" i="1" a="1"/>
  <c r="BM39" i="1" s="1"/>
  <c r="BN39" i="1" a="1"/>
  <c r="BN39" i="1" s="1"/>
  <c r="BO39" i="1" a="1"/>
  <c r="BO39" i="1" s="1"/>
  <c r="BP39" i="1" a="1"/>
  <c r="BP39" i="1" s="1"/>
  <c r="BQ39" i="1" a="1"/>
  <c r="BQ39" i="1" s="1"/>
  <c r="BR39" i="1" a="1"/>
  <c r="BR39" i="1" s="1"/>
  <c r="BS39" i="1" a="1"/>
  <c r="BS39" i="1" s="1"/>
  <c r="BT39" i="1" a="1"/>
  <c r="BT39" i="1" s="1"/>
  <c r="BU39" i="1" a="1"/>
  <c r="BU39" i="1" s="1"/>
  <c r="BV39" i="1" a="1"/>
  <c r="BV39" i="1" s="1"/>
  <c r="BW39" i="1" a="1"/>
  <c r="BW39" i="1" s="1"/>
  <c r="BX39" i="1" a="1"/>
  <c r="BX39" i="1" s="1"/>
  <c r="BY39" i="1" a="1"/>
  <c r="BY39" i="1" s="1"/>
  <c r="BZ39" i="1" a="1"/>
  <c r="BZ39" i="1" s="1"/>
  <c r="CA39" i="1" a="1"/>
  <c r="CA39" i="1" s="1"/>
  <c r="BG40" i="1" a="1"/>
  <c r="BG40" i="1" s="1"/>
  <c r="BH40" i="1" a="1"/>
  <c r="BH40" i="1" s="1"/>
  <c r="BI40" i="1" a="1"/>
  <c r="BI40" i="1" s="1"/>
  <c r="BJ40" i="1" a="1"/>
  <c r="BJ40" i="1" s="1"/>
  <c r="BK40" i="1" a="1"/>
  <c r="BK40" i="1" s="1"/>
  <c r="BL40" i="1" a="1"/>
  <c r="BL40" i="1" s="1"/>
  <c r="BM40" i="1" a="1"/>
  <c r="BM40" i="1" s="1"/>
  <c r="BN40" i="1" a="1"/>
  <c r="BN40" i="1" s="1"/>
  <c r="BO40" i="1" a="1"/>
  <c r="BO40" i="1" s="1"/>
  <c r="BP40" i="1" a="1"/>
  <c r="BP40" i="1" s="1"/>
  <c r="BQ40" i="1" a="1"/>
  <c r="BQ40" i="1" s="1"/>
  <c r="BR40" i="1" a="1"/>
  <c r="BR40" i="1" s="1"/>
  <c r="BS40" i="1" a="1"/>
  <c r="BS40" i="1" s="1"/>
  <c r="BT40" i="1" a="1"/>
  <c r="BT40" i="1" s="1"/>
  <c r="BU40" i="1" a="1"/>
  <c r="BU40" i="1" s="1"/>
  <c r="BV40" i="1" a="1"/>
  <c r="BV40" i="1" s="1"/>
  <c r="BW40" i="1" a="1"/>
  <c r="BW40" i="1" s="1"/>
  <c r="BX40" i="1" a="1"/>
  <c r="BX40" i="1" s="1"/>
  <c r="BY40" i="1" a="1"/>
  <c r="BY40" i="1" s="1"/>
  <c r="BZ40" i="1" a="1"/>
  <c r="BZ40" i="1" s="1"/>
  <c r="CA40" i="1" a="1"/>
  <c r="CA40" i="1" s="1"/>
  <c r="BG41" i="1" a="1"/>
  <c r="BG41" i="1" s="1"/>
  <c r="BH41" i="1" a="1"/>
  <c r="BH41" i="1" s="1"/>
  <c r="BI41" i="1" a="1"/>
  <c r="BI41" i="1" s="1"/>
  <c r="BJ41" i="1" a="1"/>
  <c r="BJ41" i="1" s="1"/>
  <c r="BK41" i="1" a="1"/>
  <c r="BK41" i="1" s="1"/>
  <c r="BL41" i="1" a="1"/>
  <c r="BL41" i="1" s="1"/>
  <c r="BM41" i="1" a="1"/>
  <c r="BM41" i="1" s="1"/>
  <c r="BN41" i="1" a="1"/>
  <c r="BN41" i="1" s="1"/>
  <c r="BO41" i="1" a="1"/>
  <c r="BO41" i="1" s="1"/>
  <c r="BP41" i="1" a="1"/>
  <c r="BP41" i="1" s="1"/>
  <c r="BQ41" i="1" a="1"/>
  <c r="BQ41" i="1" s="1"/>
  <c r="BR41" i="1" a="1"/>
  <c r="BR41" i="1" s="1"/>
  <c r="BS41" i="1" a="1"/>
  <c r="BS41" i="1" s="1"/>
  <c r="BT41" i="1" a="1"/>
  <c r="BT41" i="1" s="1"/>
  <c r="BU41" i="1" a="1"/>
  <c r="BU41" i="1" s="1"/>
  <c r="BV41" i="1" a="1"/>
  <c r="BV41" i="1" s="1"/>
  <c r="BW41" i="1" a="1"/>
  <c r="BW41" i="1" s="1"/>
  <c r="BX41" i="1" a="1"/>
  <c r="BX41" i="1" s="1"/>
  <c r="BY41" i="1" a="1"/>
  <c r="BY41" i="1" s="1"/>
  <c r="BZ41" i="1" a="1"/>
  <c r="BZ41" i="1" s="1"/>
  <c r="CA41" i="1" a="1"/>
  <c r="CA41" i="1" s="1"/>
  <c r="BG42" i="1" a="1"/>
  <c r="BG42" i="1" s="1"/>
  <c r="BH42" i="1" a="1"/>
  <c r="BH42" i="1" s="1"/>
  <c r="BI42" i="1" a="1"/>
  <c r="BI42" i="1" s="1"/>
  <c r="BJ42" i="1" a="1"/>
  <c r="BJ42" i="1" s="1"/>
  <c r="BK42" i="1" a="1"/>
  <c r="BK42" i="1" s="1"/>
  <c r="BL42" i="1" a="1"/>
  <c r="BL42" i="1" s="1"/>
  <c r="BM42" i="1" a="1"/>
  <c r="BM42" i="1" s="1"/>
  <c r="BN42" i="1" a="1"/>
  <c r="BN42" i="1" s="1"/>
  <c r="BO42" i="1" a="1"/>
  <c r="BO42" i="1" s="1"/>
  <c r="BP42" i="1" a="1"/>
  <c r="BP42" i="1" s="1"/>
  <c r="BQ42" i="1" a="1"/>
  <c r="BQ42" i="1" s="1"/>
  <c r="BR42" i="1" a="1"/>
  <c r="BR42" i="1" s="1"/>
  <c r="BS42" i="1" a="1"/>
  <c r="BS42" i="1" s="1"/>
  <c r="BT42" i="1" a="1"/>
  <c r="BT42" i="1" s="1"/>
  <c r="BU42" i="1" a="1"/>
  <c r="BU42" i="1" s="1"/>
  <c r="BV42" i="1" a="1"/>
  <c r="BV42" i="1" s="1"/>
  <c r="BW42" i="1" a="1"/>
  <c r="BW42" i="1" s="1"/>
  <c r="BX42" i="1" a="1"/>
  <c r="BX42" i="1" s="1"/>
  <c r="BY42" i="1" a="1"/>
  <c r="BY42" i="1" s="1"/>
  <c r="BZ42" i="1" a="1"/>
  <c r="BZ42" i="1" s="1"/>
  <c r="CA42" i="1" a="1"/>
  <c r="CA42" i="1" s="1"/>
  <c r="BG43" i="1" a="1"/>
  <c r="BG43" i="1" s="1"/>
  <c r="BH43" i="1" a="1"/>
  <c r="BH43" i="1" s="1"/>
  <c r="BI43" i="1" a="1"/>
  <c r="BI43" i="1" s="1"/>
  <c r="BJ43" i="1" a="1"/>
  <c r="BJ43" i="1" s="1"/>
  <c r="BK43" i="1" a="1"/>
  <c r="BK43" i="1" s="1"/>
  <c r="BL43" i="1" a="1"/>
  <c r="BL43" i="1" s="1"/>
  <c r="BM43" i="1" a="1"/>
  <c r="BM43" i="1" s="1"/>
  <c r="BN43" i="1" a="1"/>
  <c r="BN43" i="1" s="1"/>
  <c r="BO43" i="1" a="1"/>
  <c r="BO43" i="1" s="1"/>
  <c r="BP43" i="1" a="1"/>
  <c r="BP43" i="1" s="1"/>
  <c r="BQ43" i="1" a="1"/>
  <c r="BQ43" i="1" s="1"/>
  <c r="BR43" i="1" a="1"/>
  <c r="BR43" i="1" s="1"/>
  <c r="BS43" i="1" a="1"/>
  <c r="BS43" i="1" s="1"/>
  <c r="BT43" i="1" a="1"/>
  <c r="BT43" i="1" s="1"/>
  <c r="BU43" i="1" a="1"/>
  <c r="BU43" i="1" s="1"/>
  <c r="BV43" i="1" a="1"/>
  <c r="BV43" i="1" s="1"/>
  <c r="BW43" i="1" a="1"/>
  <c r="BW43" i="1" s="1"/>
  <c r="BX43" i="1" a="1"/>
  <c r="BX43" i="1" s="1"/>
  <c r="BY43" i="1" a="1"/>
  <c r="BY43" i="1" s="1"/>
  <c r="BZ43" i="1" a="1"/>
  <c r="BZ43" i="1" s="1"/>
  <c r="CA43" i="1" a="1"/>
  <c r="CA43" i="1" s="1"/>
  <c r="BG44" i="1" a="1"/>
  <c r="BG44" i="1" s="1"/>
  <c r="BH44" i="1" a="1"/>
  <c r="BH44" i="1" s="1"/>
  <c r="BI44" i="1" a="1"/>
  <c r="BI44" i="1" s="1"/>
  <c r="BJ44" i="1" a="1"/>
  <c r="BJ44" i="1" s="1"/>
  <c r="BK44" i="1" a="1"/>
  <c r="BK44" i="1" s="1"/>
  <c r="BL44" i="1" a="1"/>
  <c r="BL44" i="1" s="1"/>
  <c r="BM44" i="1" a="1"/>
  <c r="BM44" i="1" s="1"/>
  <c r="BN44" i="1" a="1"/>
  <c r="BN44" i="1" s="1"/>
  <c r="BO44" i="1" a="1"/>
  <c r="BO44" i="1" s="1"/>
  <c r="BP44" i="1" a="1"/>
  <c r="BP44" i="1" s="1"/>
  <c r="BQ44" i="1" a="1"/>
  <c r="BQ44" i="1" s="1"/>
  <c r="BR44" i="1" a="1"/>
  <c r="BR44" i="1" s="1"/>
  <c r="BS44" i="1" a="1"/>
  <c r="BS44" i="1" s="1"/>
  <c r="BT44" i="1" a="1"/>
  <c r="BT44" i="1" s="1"/>
  <c r="BU44" i="1" a="1"/>
  <c r="BU44" i="1" s="1"/>
  <c r="BV44" i="1" a="1"/>
  <c r="BV44" i="1" s="1"/>
  <c r="BW44" i="1" a="1"/>
  <c r="BW44" i="1" s="1"/>
  <c r="BX44" i="1" a="1"/>
  <c r="BX44" i="1" s="1"/>
  <c r="BY44" i="1" a="1"/>
  <c r="BY44" i="1" s="1"/>
  <c r="BZ44" i="1" a="1"/>
  <c r="BZ44" i="1" s="1"/>
  <c r="CA44" i="1" a="1"/>
  <c r="CA44" i="1" s="1"/>
  <c r="BG45" i="1" a="1"/>
  <c r="BG45" i="1" s="1"/>
  <c r="BH45" i="1" a="1"/>
  <c r="BH45" i="1" s="1"/>
  <c r="BI45" i="1" a="1"/>
  <c r="BI45" i="1" s="1"/>
  <c r="BJ45" i="1" a="1"/>
  <c r="BJ45" i="1" s="1"/>
  <c r="BK45" i="1" a="1"/>
  <c r="BK45" i="1" s="1"/>
  <c r="BL45" i="1" a="1"/>
  <c r="BL45" i="1" s="1"/>
  <c r="BM45" i="1" a="1"/>
  <c r="BM45" i="1" s="1"/>
  <c r="BN45" i="1" a="1"/>
  <c r="BN45" i="1" s="1"/>
  <c r="BO45" i="1" a="1"/>
  <c r="BO45" i="1" s="1"/>
  <c r="BP45" i="1" a="1"/>
  <c r="BP45" i="1" s="1"/>
  <c r="BQ45" i="1" a="1"/>
  <c r="BQ45" i="1" s="1"/>
  <c r="BR45" i="1" a="1"/>
  <c r="BR45" i="1" s="1"/>
  <c r="BS45" i="1" a="1"/>
  <c r="BS45" i="1" s="1"/>
  <c r="BT45" i="1" a="1"/>
  <c r="BT45" i="1" s="1"/>
  <c r="BU45" i="1" a="1"/>
  <c r="BU45" i="1" s="1"/>
  <c r="BV45" i="1" a="1"/>
  <c r="BV45" i="1" s="1"/>
  <c r="BW45" i="1" a="1"/>
  <c r="BW45" i="1" s="1"/>
  <c r="BX45" i="1" a="1"/>
  <c r="BX45" i="1" s="1"/>
  <c r="BY45" i="1" a="1"/>
  <c r="BY45" i="1" s="1"/>
  <c r="BZ45" i="1" a="1"/>
  <c r="BZ45" i="1" s="1"/>
  <c r="CA45" i="1" a="1"/>
  <c r="CA45" i="1" s="1"/>
  <c r="BG46" i="1" a="1"/>
  <c r="BG46" i="1" s="1"/>
  <c r="BH46" i="1" a="1"/>
  <c r="BH46" i="1" s="1"/>
  <c r="BI46" i="1" a="1"/>
  <c r="BI46" i="1" s="1"/>
  <c r="BJ46" i="1" a="1"/>
  <c r="BJ46" i="1" s="1"/>
  <c r="BK46" i="1" a="1"/>
  <c r="BK46" i="1" s="1"/>
  <c r="BL46" i="1" a="1"/>
  <c r="BL46" i="1" s="1"/>
  <c r="BM46" i="1" a="1"/>
  <c r="BM46" i="1" s="1"/>
  <c r="BN46" i="1" a="1"/>
  <c r="BN46" i="1" s="1"/>
  <c r="BO46" i="1" a="1"/>
  <c r="BO46" i="1" s="1"/>
  <c r="BP46" i="1" a="1"/>
  <c r="BP46" i="1" s="1"/>
  <c r="BQ46" i="1" a="1"/>
  <c r="BQ46" i="1" s="1"/>
  <c r="BR46" i="1" a="1"/>
  <c r="BR46" i="1" s="1"/>
  <c r="BS46" i="1" a="1"/>
  <c r="BS46" i="1" s="1"/>
  <c r="BT46" i="1" a="1"/>
  <c r="BT46" i="1" s="1"/>
  <c r="BU46" i="1" a="1"/>
  <c r="BU46" i="1" s="1"/>
  <c r="BV46" i="1" a="1"/>
  <c r="BV46" i="1" s="1"/>
  <c r="BW46" i="1" a="1"/>
  <c r="BW46" i="1" s="1"/>
  <c r="BX46" i="1" a="1"/>
  <c r="BX46" i="1" s="1"/>
  <c r="BY46" i="1" a="1"/>
  <c r="BY46" i="1" s="1"/>
  <c r="BZ46" i="1" a="1"/>
  <c r="BZ46" i="1" s="1"/>
  <c r="CA46" i="1" a="1"/>
  <c r="CA46" i="1" s="1"/>
  <c r="BG47" i="1" a="1"/>
  <c r="BG47" i="1" s="1"/>
  <c r="BH47" i="1" a="1"/>
  <c r="BH47" i="1" s="1"/>
  <c r="BI47" i="1" a="1"/>
  <c r="BI47" i="1" s="1"/>
  <c r="BJ47" i="1" a="1"/>
  <c r="BJ47" i="1" s="1"/>
  <c r="BK47" i="1" a="1"/>
  <c r="BK47" i="1" s="1"/>
  <c r="BL47" i="1" a="1"/>
  <c r="BL47" i="1" s="1"/>
  <c r="BM47" i="1" a="1"/>
  <c r="BM47" i="1" s="1"/>
  <c r="BN47" i="1" a="1"/>
  <c r="BN47" i="1" s="1"/>
  <c r="BO47" i="1" a="1"/>
  <c r="BO47" i="1" s="1"/>
  <c r="BP47" i="1" a="1"/>
  <c r="BP47" i="1" s="1"/>
  <c r="BQ47" i="1" a="1"/>
  <c r="BQ47" i="1" s="1"/>
  <c r="BR47" i="1" a="1"/>
  <c r="BR47" i="1" s="1"/>
  <c r="BS47" i="1" a="1"/>
  <c r="BS47" i="1" s="1"/>
  <c r="BT47" i="1" a="1"/>
  <c r="BT47" i="1" s="1"/>
  <c r="BU47" i="1" a="1"/>
  <c r="BU47" i="1" s="1"/>
  <c r="BV47" i="1" a="1"/>
  <c r="BV47" i="1" s="1"/>
  <c r="BW47" i="1" a="1"/>
  <c r="BW47" i="1" s="1"/>
  <c r="BX47" i="1" a="1"/>
  <c r="BX47" i="1" s="1"/>
  <c r="BY47" i="1" a="1"/>
  <c r="BY47" i="1" s="1"/>
  <c r="BZ47" i="1" a="1"/>
  <c r="BZ47" i="1" s="1"/>
  <c r="CA47" i="1" a="1"/>
  <c r="CA47" i="1" s="1"/>
  <c r="BG48" i="1" a="1"/>
  <c r="BG48" i="1" s="1"/>
  <c r="BH48" i="1" a="1"/>
  <c r="BH48" i="1" s="1"/>
  <c r="BI48" i="1" a="1"/>
  <c r="BI48" i="1" s="1"/>
  <c r="BJ48" i="1" a="1"/>
  <c r="BJ48" i="1" s="1"/>
  <c r="BK48" i="1" a="1"/>
  <c r="BK48" i="1" s="1"/>
  <c r="BL48" i="1" a="1"/>
  <c r="BL48" i="1" s="1"/>
  <c r="BM48" i="1" a="1"/>
  <c r="BM48" i="1" s="1"/>
  <c r="BN48" i="1" a="1"/>
  <c r="BN48" i="1" s="1"/>
  <c r="BO48" i="1" a="1"/>
  <c r="BO48" i="1" s="1"/>
  <c r="BP48" i="1" a="1"/>
  <c r="BP48" i="1" s="1"/>
  <c r="BQ48" i="1" a="1"/>
  <c r="BQ48" i="1" s="1"/>
  <c r="BR48" i="1" a="1"/>
  <c r="BR48" i="1" s="1"/>
  <c r="BS48" i="1" a="1"/>
  <c r="BS48" i="1" s="1"/>
  <c r="BT48" i="1" a="1"/>
  <c r="BT48" i="1" s="1"/>
  <c r="BU48" i="1" a="1"/>
  <c r="BU48" i="1" s="1"/>
  <c r="BV48" i="1" a="1"/>
  <c r="BV48" i="1" s="1"/>
  <c r="BW48" i="1" a="1"/>
  <c r="BW48" i="1" s="1"/>
  <c r="BX48" i="1" a="1"/>
  <c r="BX48" i="1" s="1"/>
  <c r="BY48" i="1" a="1"/>
  <c r="BY48" i="1" s="1"/>
  <c r="BZ48" i="1" a="1"/>
  <c r="BZ48" i="1" s="1"/>
  <c r="CA48" i="1" a="1"/>
  <c r="CA48" i="1" s="1"/>
  <c r="BG49" i="1" a="1"/>
  <c r="BG49" i="1" s="1"/>
  <c r="BH49" i="1" a="1"/>
  <c r="BH49" i="1" s="1"/>
  <c r="BI49" i="1" a="1"/>
  <c r="BI49" i="1" s="1"/>
  <c r="BJ49" i="1" a="1"/>
  <c r="BJ49" i="1" s="1"/>
  <c r="BK49" i="1" a="1"/>
  <c r="BK49" i="1" s="1"/>
  <c r="BL49" i="1" a="1"/>
  <c r="BL49" i="1" s="1"/>
  <c r="BM49" i="1" a="1"/>
  <c r="BM49" i="1" s="1"/>
  <c r="BN49" i="1" a="1"/>
  <c r="BN49" i="1" s="1"/>
  <c r="BO49" i="1" a="1"/>
  <c r="BO49" i="1" s="1"/>
  <c r="BP49" i="1" a="1"/>
  <c r="BP49" i="1" s="1"/>
  <c r="BQ49" i="1" a="1"/>
  <c r="BQ49" i="1" s="1"/>
  <c r="BR49" i="1" a="1"/>
  <c r="BR49" i="1" s="1"/>
  <c r="BS49" i="1" a="1"/>
  <c r="BS49" i="1" s="1"/>
  <c r="BT49" i="1" a="1"/>
  <c r="BT49" i="1" s="1"/>
  <c r="BU49" i="1" a="1"/>
  <c r="BU49" i="1" s="1"/>
  <c r="BV49" i="1" a="1"/>
  <c r="BV49" i="1" s="1"/>
  <c r="BW49" i="1" a="1"/>
  <c r="BW49" i="1" s="1"/>
  <c r="BX49" i="1" a="1"/>
  <c r="BX49" i="1" s="1"/>
  <c r="BY49" i="1" a="1"/>
  <c r="BY49" i="1" s="1"/>
  <c r="BZ49" i="1" a="1"/>
  <c r="BZ49" i="1" s="1"/>
  <c r="CA49" i="1" a="1"/>
  <c r="CA49" i="1" s="1"/>
  <c r="BB53" i="1" a="1"/>
  <c r="BB53" i="1" s="1"/>
  <c r="CA37" i="1" a="1"/>
  <c r="CA37" i="1" s="1"/>
  <c r="BZ37" i="1" a="1"/>
  <c r="BZ37" i="1" s="1"/>
  <c r="BX37" i="1" a="1"/>
  <c r="BX37" i="1" s="1"/>
  <c r="BW37" i="1" a="1"/>
  <c r="BW37" i="1" s="1"/>
  <c r="BV37" i="1" a="1"/>
  <c r="BV37" i="1" s="1"/>
  <c r="BU37" i="1" a="1"/>
  <c r="BU37" i="1" s="1"/>
  <c r="BT37" i="1" a="1"/>
  <c r="BT37" i="1" s="1"/>
  <c r="BS37" i="1" a="1"/>
  <c r="BS37" i="1" s="1"/>
  <c r="BR37" i="1" a="1"/>
  <c r="BR37" i="1" s="1"/>
  <c r="BQ37" i="1" a="1"/>
  <c r="BQ37" i="1" s="1"/>
  <c r="BP37" i="1" a="1"/>
  <c r="BP37" i="1" s="1"/>
  <c r="BO37" i="1" a="1"/>
  <c r="BO37" i="1" s="1"/>
  <c r="BN37" i="1" a="1"/>
  <c r="BN37" i="1" s="1"/>
  <c r="BM37" i="1" a="1"/>
  <c r="BM37" i="1" s="1"/>
  <c r="BL37" i="1" a="1"/>
  <c r="BL37" i="1" s="1"/>
  <c r="BK37" i="1" a="1"/>
  <c r="BK37" i="1" s="1"/>
  <c r="BJ37" i="1" a="1"/>
  <c r="BJ37" i="1" s="1"/>
  <c r="BI37" i="1" a="1"/>
  <c r="BI37" i="1" s="1"/>
  <c r="BH37" i="1" a="1"/>
  <c r="BH37" i="1" s="1"/>
  <c r="BG37" i="1" a="1"/>
  <c r="BG37" i="1" s="1"/>
  <c r="BG4" i="1" a="1"/>
  <c r="BG4" i="1" s="1"/>
  <c r="BH4" i="1" a="1"/>
  <c r="BH4" i="1" s="1"/>
  <c r="BI4" i="1" a="1"/>
  <c r="BI4" i="1" s="1"/>
  <c r="BJ4" i="1" a="1"/>
  <c r="BJ4" i="1" s="1"/>
  <c r="BK4" i="1" a="1"/>
  <c r="BK4" i="1" s="1"/>
  <c r="BL4" i="1" a="1"/>
  <c r="BL4" i="1" s="1"/>
  <c r="BM4" i="1" a="1"/>
  <c r="BM4" i="1" s="1"/>
  <c r="BN4" i="1" a="1"/>
  <c r="BN4" i="1" s="1"/>
  <c r="BO4" i="1" a="1"/>
  <c r="BO4" i="1" s="1"/>
  <c r="BP4" i="1" a="1"/>
  <c r="BP4" i="1" s="1"/>
  <c r="BQ4" i="1" a="1"/>
  <c r="BQ4" i="1" s="1"/>
  <c r="BR4" i="1" a="1"/>
  <c r="BR4" i="1" s="1"/>
  <c r="BS4" i="1" a="1"/>
  <c r="BS4" i="1" s="1"/>
  <c r="BT4" i="1" a="1"/>
  <c r="BT4" i="1" s="1"/>
  <c r="BU4" i="1" a="1"/>
  <c r="BU4" i="1" s="1"/>
  <c r="BV4" i="1" a="1"/>
  <c r="BV4" i="1" s="1"/>
  <c r="BW4" i="1" a="1"/>
  <c r="BW4" i="1" s="1"/>
  <c r="BX4" i="1" a="1"/>
  <c r="BX4" i="1" s="1"/>
  <c r="BY4" i="1" a="1"/>
  <c r="BY4" i="1" s="1"/>
  <c r="BG5" i="1" a="1"/>
  <c r="BG5" i="1" s="1"/>
  <c r="BH5" i="1" a="1"/>
  <c r="BH5" i="1" s="1"/>
  <c r="BI5" i="1" a="1"/>
  <c r="BI5" i="1" s="1"/>
  <c r="BJ5" i="1" a="1"/>
  <c r="BJ5" i="1" s="1"/>
  <c r="BK5" i="1" a="1"/>
  <c r="BK5" i="1" s="1"/>
  <c r="BL5" i="1" a="1"/>
  <c r="BL5" i="1" s="1"/>
  <c r="BM5" i="1" a="1"/>
  <c r="BM5" i="1" s="1"/>
  <c r="BN5" i="1" a="1"/>
  <c r="BN5" i="1" s="1"/>
  <c r="BO5" i="1" a="1"/>
  <c r="BO5" i="1" s="1"/>
  <c r="BP5" i="1" a="1"/>
  <c r="BP5" i="1" s="1"/>
  <c r="BQ5" i="1" a="1"/>
  <c r="BQ5" i="1" s="1"/>
  <c r="BR5" i="1" a="1"/>
  <c r="BR5" i="1" s="1"/>
  <c r="BS5" i="1" a="1"/>
  <c r="BS5" i="1" s="1"/>
  <c r="BT5" i="1" a="1"/>
  <c r="BT5" i="1" s="1"/>
  <c r="BU5" i="1" a="1"/>
  <c r="BU5" i="1" s="1"/>
  <c r="BV5" i="1" a="1"/>
  <c r="BV5" i="1" s="1"/>
  <c r="BW5" i="1" a="1"/>
  <c r="BW5" i="1" s="1"/>
  <c r="BX5" i="1" a="1"/>
  <c r="BX5" i="1" s="1"/>
  <c r="BY5" i="1" a="1"/>
  <c r="BY5" i="1" s="1"/>
  <c r="BG6" i="1" a="1"/>
  <c r="BG6" i="1" s="1"/>
  <c r="BH6" i="1" a="1"/>
  <c r="BH6" i="1" s="1"/>
  <c r="BI6" i="1" a="1"/>
  <c r="BI6" i="1" s="1"/>
  <c r="BJ6" i="1" a="1"/>
  <c r="BJ6" i="1" s="1"/>
  <c r="BK6" i="1" a="1"/>
  <c r="BK6" i="1" s="1"/>
  <c r="BL6" i="1" a="1"/>
  <c r="BL6" i="1" s="1"/>
  <c r="BM6" i="1" a="1"/>
  <c r="BM6" i="1" s="1"/>
  <c r="BN6" i="1" a="1"/>
  <c r="BN6" i="1" s="1"/>
  <c r="BO6" i="1" a="1"/>
  <c r="BO6" i="1" s="1"/>
  <c r="BP6" i="1" a="1"/>
  <c r="BP6" i="1" s="1"/>
  <c r="BQ6" i="1" a="1"/>
  <c r="BQ6" i="1" s="1"/>
  <c r="BR6" i="1" a="1"/>
  <c r="BR6" i="1" s="1"/>
  <c r="BS6" i="1" a="1"/>
  <c r="BS6" i="1" s="1"/>
  <c r="BT6" i="1" a="1"/>
  <c r="BT6" i="1" s="1"/>
  <c r="BU6" i="1" a="1"/>
  <c r="BU6" i="1" s="1"/>
  <c r="BV6" i="1" a="1"/>
  <c r="BV6" i="1" s="1"/>
  <c r="BW6" i="1" a="1"/>
  <c r="BW6" i="1" s="1"/>
  <c r="BX6" i="1" a="1"/>
  <c r="BX6" i="1" s="1"/>
  <c r="BY6" i="1" a="1"/>
  <c r="BY6" i="1" s="1"/>
  <c r="BG7" i="1" a="1"/>
  <c r="BG7" i="1" s="1"/>
  <c r="BH7" i="1" a="1"/>
  <c r="BH7" i="1" s="1"/>
  <c r="BI7" i="1" a="1"/>
  <c r="BI7" i="1" s="1"/>
  <c r="BJ7" i="1" a="1"/>
  <c r="BJ7" i="1" s="1"/>
  <c r="BK7" i="1" a="1"/>
  <c r="BK7" i="1" s="1"/>
  <c r="BL7" i="1" a="1"/>
  <c r="BL7" i="1" s="1"/>
  <c r="BM7" i="1" a="1"/>
  <c r="BM7" i="1" s="1"/>
  <c r="BN7" i="1" a="1"/>
  <c r="BN7" i="1" s="1"/>
  <c r="BO7" i="1" a="1"/>
  <c r="BO7" i="1" s="1"/>
  <c r="BP7" i="1" a="1"/>
  <c r="BP7" i="1" s="1"/>
  <c r="BQ7" i="1" a="1"/>
  <c r="BQ7" i="1" s="1"/>
  <c r="BR7" i="1" a="1"/>
  <c r="BR7" i="1" s="1"/>
  <c r="BS7" i="1" a="1"/>
  <c r="BS7" i="1" s="1"/>
  <c r="BT7" i="1" a="1"/>
  <c r="BT7" i="1" s="1"/>
  <c r="BU7" i="1" a="1"/>
  <c r="BU7" i="1" s="1"/>
  <c r="BV7" i="1" a="1"/>
  <c r="BV7" i="1" s="1"/>
  <c r="BW7" i="1" a="1"/>
  <c r="BW7" i="1" s="1"/>
  <c r="BX7" i="1" a="1"/>
  <c r="BX7" i="1" s="1"/>
  <c r="BY7" i="1" a="1"/>
  <c r="BY7" i="1" s="1"/>
  <c r="BG8" i="1" a="1"/>
  <c r="BG8" i="1" s="1"/>
  <c r="BH8" i="1" a="1"/>
  <c r="BH8" i="1" s="1"/>
  <c r="BI8" i="1" a="1"/>
  <c r="BI8" i="1" s="1"/>
  <c r="BJ8" i="1" a="1"/>
  <c r="BJ8" i="1" s="1"/>
  <c r="BK8" i="1" a="1"/>
  <c r="BK8" i="1" s="1"/>
  <c r="BL8" i="1" a="1"/>
  <c r="BL8" i="1" s="1"/>
  <c r="BM8" i="1" a="1"/>
  <c r="BM8" i="1" s="1"/>
  <c r="BN8" i="1" a="1"/>
  <c r="BN8" i="1" s="1"/>
  <c r="BO8" i="1" a="1"/>
  <c r="BO8" i="1" s="1"/>
  <c r="BP8" i="1" a="1"/>
  <c r="BP8" i="1" s="1"/>
  <c r="BQ8" i="1" a="1"/>
  <c r="BQ8" i="1" s="1"/>
  <c r="BR8" i="1" a="1"/>
  <c r="BR8" i="1" s="1"/>
  <c r="BS8" i="1" a="1"/>
  <c r="BS8" i="1" s="1"/>
  <c r="BT8" i="1" a="1"/>
  <c r="BT8" i="1" s="1"/>
  <c r="BU8" i="1" a="1"/>
  <c r="BU8" i="1" s="1"/>
  <c r="BV8" i="1" a="1"/>
  <c r="BV8" i="1" s="1"/>
  <c r="BW8" i="1" a="1"/>
  <c r="BW8" i="1" s="1"/>
  <c r="BX8" i="1" a="1"/>
  <c r="BX8" i="1" s="1"/>
  <c r="BY8" i="1" a="1"/>
  <c r="BY8" i="1" s="1"/>
  <c r="BG9" i="1" a="1"/>
  <c r="BG9" i="1" s="1"/>
  <c r="BH9" i="1" a="1"/>
  <c r="BH9" i="1" s="1"/>
  <c r="BI9" i="1" a="1"/>
  <c r="BI9" i="1" s="1"/>
  <c r="BJ9" i="1" a="1"/>
  <c r="BJ9" i="1" s="1"/>
  <c r="BK9" i="1" a="1"/>
  <c r="BK9" i="1" s="1"/>
  <c r="BL9" i="1" a="1"/>
  <c r="BL9" i="1" s="1"/>
  <c r="BM9" i="1" a="1"/>
  <c r="BM9" i="1" s="1"/>
  <c r="BN9" i="1" a="1"/>
  <c r="BN9" i="1" s="1"/>
  <c r="BO9" i="1" a="1"/>
  <c r="BO9" i="1" s="1"/>
  <c r="BP9" i="1" a="1"/>
  <c r="BP9" i="1" s="1"/>
  <c r="BQ9" i="1" a="1"/>
  <c r="BQ9" i="1" s="1"/>
  <c r="BR9" i="1" a="1"/>
  <c r="BR9" i="1" s="1"/>
  <c r="BS9" i="1" a="1"/>
  <c r="BS9" i="1" s="1"/>
  <c r="BT9" i="1" a="1"/>
  <c r="BT9" i="1" s="1"/>
  <c r="BU9" i="1" a="1"/>
  <c r="BU9" i="1" s="1"/>
  <c r="BV9" i="1" a="1"/>
  <c r="BV9" i="1" s="1"/>
  <c r="BW9" i="1" a="1"/>
  <c r="BW9" i="1" s="1"/>
  <c r="BX9" i="1" a="1"/>
  <c r="BX9" i="1" s="1"/>
  <c r="BY9" i="1" a="1"/>
  <c r="BY9" i="1" s="1"/>
  <c r="BG10" i="1" a="1"/>
  <c r="BG10" i="1" s="1"/>
  <c r="BH10" i="1" a="1"/>
  <c r="BH10" i="1" s="1"/>
  <c r="BI10" i="1" a="1"/>
  <c r="BI10" i="1" s="1"/>
  <c r="BJ10" i="1" a="1"/>
  <c r="BJ10" i="1" s="1"/>
  <c r="BK10" i="1" a="1"/>
  <c r="BK10" i="1" s="1"/>
  <c r="BL10" i="1" a="1"/>
  <c r="BL10" i="1" s="1"/>
  <c r="BM10" i="1" a="1"/>
  <c r="BM10" i="1" s="1"/>
  <c r="BN10" i="1" a="1"/>
  <c r="BN10" i="1" s="1"/>
  <c r="BO10" i="1" a="1"/>
  <c r="BO10" i="1" s="1"/>
  <c r="BP10" i="1" a="1"/>
  <c r="BP10" i="1" s="1"/>
  <c r="BQ10" i="1" a="1"/>
  <c r="BQ10" i="1" s="1"/>
  <c r="BR10" i="1" a="1"/>
  <c r="BR10" i="1" s="1"/>
  <c r="BS10" i="1" a="1"/>
  <c r="BS10" i="1" s="1"/>
  <c r="BT10" i="1" a="1"/>
  <c r="BT10" i="1" s="1"/>
  <c r="BU10" i="1" a="1"/>
  <c r="BU10" i="1" s="1"/>
  <c r="BV10" i="1" a="1"/>
  <c r="BV10" i="1" s="1"/>
  <c r="BW10" i="1" a="1"/>
  <c r="BW10" i="1" s="1"/>
  <c r="BX10" i="1" a="1"/>
  <c r="BX10" i="1" s="1"/>
  <c r="BY10" i="1" a="1"/>
  <c r="BY10" i="1" s="1"/>
  <c r="BG11" i="1" a="1"/>
  <c r="BG11" i="1" s="1"/>
  <c r="BH11" i="1" a="1"/>
  <c r="BH11" i="1" s="1"/>
  <c r="BI11" i="1" a="1"/>
  <c r="BI11" i="1" s="1"/>
  <c r="BJ11" i="1" a="1"/>
  <c r="BJ11" i="1" s="1"/>
  <c r="BK11" i="1" a="1"/>
  <c r="BK11" i="1" s="1"/>
  <c r="BL11" i="1" a="1"/>
  <c r="BL11" i="1" s="1"/>
  <c r="BM11" i="1" a="1"/>
  <c r="BM11" i="1" s="1"/>
  <c r="BN11" i="1" a="1"/>
  <c r="BN11" i="1" s="1"/>
  <c r="BO11" i="1" a="1"/>
  <c r="BO11" i="1" s="1"/>
  <c r="BP11" i="1" a="1"/>
  <c r="BP11" i="1" s="1"/>
  <c r="BQ11" i="1" a="1"/>
  <c r="BQ11" i="1" s="1"/>
  <c r="BR11" i="1" a="1"/>
  <c r="BR11" i="1" s="1"/>
  <c r="BS11" i="1" a="1"/>
  <c r="BS11" i="1" s="1"/>
  <c r="BT11" i="1" a="1"/>
  <c r="BT11" i="1" s="1"/>
  <c r="BU11" i="1" a="1"/>
  <c r="BU11" i="1" s="1"/>
  <c r="BV11" i="1" a="1"/>
  <c r="BV11" i="1" s="1"/>
  <c r="BW11" i="1" a="1"/>
  <c r="BW11" i="1" s="1"/>
  <c r="BX11" i="1" a="1"/>
  <c r="BX11" i="1" s="1"/>
  <c r="BY11" i="1" a="1"/>
  <c r="BY11" i="1" s="1"/>
  <c r="BG12" i="1" a="1"/>
  <c r="BG12" i="1" s="1"/>
  <c r="BH12" i="1" a="1"/>
  <c r="BH12" i="1" s="1"/>
  <c r="BI12" i="1" a="1"/>
  <c r="BI12" i="1" s="1"/>
  <c r="BJ12" i="1" a="1"/>
  <c r="BJ12" i="1" s="1"/>
  <c r="BK12" i="1" a="1"/>
  <c r="BK12" i="1" s="1"/>
  <c r="BL12" i="1" a="1"/>
  <c r="BL12" i="1" s="1"/>
  <c r="BM12" i="1" a="1"/>
  <c r="BM12" i="1" s="1"/>
  <c r="BN12" i="1" a="1"/>
  <c r="BN12" i="1" s="1"/>
  <c r="BO12" i="1" a="1"/>
  <c r="BO12" i="1" s="1"/>
  <c r="BP12" i="1" a="1"/>
  <c r="BP12" i="1" s="1"/>
  <c r="BQ12" i="1" a="1"/>
  <c r="BQ12" i="1" s="1"/>
  <c r="BR12" i="1" a="1"/>
  <c r="BR12" i="1" s="1"/>
  <c r="BS12" i="1" a="1"/>
  <c r="BS12" i="1" s="1"/>
  <c r="BT12" i="1" a="1"/>
  <c r="BT12" i="1" s="1"/>
  <c r="BU12" i="1" a="1"/>
  <c r="BU12" i="1" s="1"/>
  <c r="BV12" i="1" a="1"/>
  <c r="BV12" i="1" s="1"/>
  <c r="BW12" i="1" a="1"/>
  <c r="BW12" i="1" s="1"/>
  <c r="BX12" i="1" a="1"/>
  <c r="BX12" i="1" s="1"/>
  <c r="BY12" i="1" a="1"/>
  <c r="BY12" i="1" s="1"/>
  <c r="BZ12" i="1" a="1"/>
  <c r="BZ12" i="1" s="1"/>
  <c r="BG13" i="1" a="1"/>
  <c r="BG13" i="1" s="1"/>
  <c r="BH13" i="1" a="1"/>
  <c r="BH13" i="1" s="1"/>
  <c r="BI13" i="1" a="1"/>
  <c r="BI13" i="1" s="1"/>
  <c r="BJ13" i="1" a="1"/>
  <c r="BJ13" i="1" s="1"/>
  <c r="BK13" i="1" a="1"/>
  <c r="BK13" i="1" s="1"/>
  <c r="BL13" i="1" a="1"/>
  <c r="BL13" i="1" s="1"/>
  <c r="BM13" i="1" a="1"/>
  <c r="BM13" i="1" s="1"/>
  <c r="BN13" i="1" a="1"/>
  <c r="BN13" i="1" s="1"/>
  <c r="BO13" i="1" a="1"/>
  <c r="BO13" i="1" s="1"/>
  <c r="BP13" i="1" a="1"/>
  <c r="BP13" i="1" s="1"/>
  <c r="BQ13" i="1" a="1"/>
  <c r="BQ13" i="1" s="1"/>
  <c r="BR13" i="1" a="1"/>
  <c r="BR13" i="1" s="1"/>
  <c r="BS13" i="1" a="1"/>
  <c r="BS13" i="1" s="1"/>
  <c r="BT13" i="1" a="1"/>
  <c r="BT13" i="1" s="1"/>
  <c r="BU13" i="1" a="1"/>
  <c r="BU13" i="1" s="1"/>
  <c r="BV13" i="1" a="1"/>
  <c r="BV13" i="1" s="1"/>
  <c r="BW13" i="1" a="1"/>
  <c r="BW13" i="1" s="1"/>
  <c r="BX13" i="1" a="1"/>
  <c r="BX13" i="1" s="1"/>
  <c r="BY13" i="1" a="1"/>
  <c r="BY13" i="1" s="1"/>
  <c r="BZ13" i="1" a="1"/>
  <c r="BZ13" i="1" s="1"/>
  <c r="BG14" i="1" a="1"/>
  <c r="BG14" i="1" s="1"/>
  <c r="BH14" i="1" a="1"/>
  <c r="BH14" i="1" s="1"/>
  <c r="BI14" i="1" a="1"/>
  <c r="BI14" i="1" s="1"/>
  <c r="BJ14" i="1" a="1"/>
  <c r="BJ14" i="1" s="1"/>
  <c r="BK14" i="1" a="1"/>
  <c r="BK14" i="1" s="1"/>
  <c r="BL14" i="1" a="1"/>
  <c r="BL14" i="1" s="1"/>
  <c r="BM14" i="1" a="1"/>
  <c r="BM14" i="1" s="1"/>
  <c r="BN14" i="1" a="1"/>
  <c r="BN14" i="1" s="1"/>
  <c r="BO14" i="1" a="1"/>
  <c r="BO14" i="1" s="1"/>
  <c r="BP14" i="1" a="1"/>
  <c r="BP14" i="1" s="1"/>
  <c r="BQ14" i="1" a="1"/>
  <c r="BQ14" i="1" s="1"/>
  <c r="BR14" i="1" a="1"/>
  <c r="BR14" i="1" s="1"/>
  <c r="BS14" i="1" a="1"/>
  <c r="BS14" i="1" s="1"/>
  <c r="BT14" i="1" a="1"/>
  <c r="BT14" i="1" s="1"/>
  <c r="BU14" i="1" a="1"/>
  <c r="BU14" i="1" s="1"/>
  <c r="BV14" i="1" a="1"/>
  <c r="BV14" i="1" s="1"/>
  <c r="BW14" i="1" a="1"/>
  <c r="BW14" i="1" s="1"/>
  <c r="BX14" i="1" a="1"/>
  <c r="BX14" i="1" s="1"/>
  <c r="BY14" i="1" a="1"/>
  <c r="BY14" i="1" s="1"/>
  <c r="BZ14" i="1" a="1"/>
  <c r="BZ14" i="1" s="1"/>
  <c r="BG15" i="1" a="1"/>
  <c r="BG15" i="1" s="1"/>
  <c r="BH15" i="1" a="1"/>
  <c r="BH15" i="1" s="1"/>
  <c r="BI15" i="1" a="1"/>
  <c r="BI15" i="1" s="1"/>
  <c r="BJ15" i="1" a="1"/>
  <c r="BJ15" i="1" s="1"/>
  <c r="BK15" i="1" a="1"/>
  <c r="BK15" i="1" s="1"/>
  <c r="BL15" i="1" a="1"/>
  <c r="BL15" i="1" s="1"/>
  <c r="BM15" i="1" a="1"/>
  <c r="BM15" i="1" s="1"/>
  <c r="BN15" i="1" a="1"/>
  <c r="BN15" i="1" s="1"/>
  <c r="BO15" i="1" a="1"/>
  <c r="BO15" i="1" s="1"/>
  <c r="BP15" i="1" a="1"/>
  <c r="BP15" i="1" s="1"/>
  <c r="BQ15" i="1" a="1"/>
  <c r="BQ15" i="1" s="1"/>
  <c r="BR15" i="1" a="1"/>
  <c r="BR15" i="1" s="1"/>
  <c r="BS15" i="1" a="1"/>
  <c r="BS15" i="1" s="1"/>
  <c r="BT15" i="1" a="1"/>
  <c r="BT15" i="1" s="1"/>
  <c r="BU15" i="1" a="1"/>
  <c r="BU15" i="1" s="1"/>
  <c r="BV15" i="1" a="1"/>
  <c r="BV15" i="1" s="1"/>
  <c r="BW15" i="1" a="1"/>
  <c r="BW15" i="1" s="1"/>
  <c r="BX15" i="1" a="1"/>
  <c r="BX15" i="1" s="1"/>
  <c r="BY15" i="1" a="1"/>
  <c r="BY15" i="1" s="1"/>
  <c r="BZ15" i="1" a="1"/>
  <c r="BZ15" i="1" s="1"/>
  <c r="BZ3" i="1" a="1"/>
  <c r="BZ3" i="1" s="1"/>
  <c r="BY3" i="1" a="1"/>
  <c r="BY3" i="1" s="1"/>
  <c r="BX3" i="1" a="1"/>
  <c r="BX3" i="1" s="1"/>
  <c r="BW3" i="1" a="1"/>
  <c r="BW3" i="1" s="1"/>
  <c r="BV3" i="1" a="1"/>
  <c r="BV3" i="1" s="1"/>
  <c r="BU3" i="1" a="1"/>
  <c r="BU3" i="1" s="1"/>
  <c r="BT3" i="1" a="1"/>
  <c r="BT3" i="1" s="1"/>
  <c r="BS3" i="1" a="1"/>
  <c r="BS3" i="1" s="1"/>
  <c r="BR3" i="1" a="1"/>
  <c r="BR3" i="1" s="1"/>
  <c r="BQ3" i="1" a="1"/>
  <c r="BQ3" i="1" s="1"/>
  <c r="BP3" i="1" a="1"/>
  <c r="BP3" i="1" s="1"/>
  <c r="BO3" i="1" a="1"/>
  <c r="BO3" i="1" s="1"/>
  <c r="BN3" i="1" a="1"/>
  <c r="BN3" i="1" s="1"/>
  <c r="BM3" i="1" a="1"/>
  <c r="BM3" i="1" s="1"/>
  <c r="BL3" i="1" a="1"/>
  <c r="BL3" i="1" s="1"/>
  <c r="BK3" i="1" a="1"/>
  <c r="BK3" i="1" s="1"/>
  <c r="BJ3" i="1" a="1"/>
  <c r="BJ3" i="1" s="1"/>
  <c r="BI3" i="1" a="1"/>
  <c r="BI3" i="1" s="1"/>
  <c r="BH3" i="1" a="1"/>
  <c r="BH3" i="1" s="1"/>
  <c r="BG3" i="1" a="1"/>
  <c r="BG3" i="1" s="1"/>
  <c r="BB23" i="1" a="1"/>
  <c r="BB23" i="1" s="1"/>
  <c r="BB22" i="1" a="1"/>
  <c r="BB22" i="1" s="1"/>
  <c r="BB52" i="1" a="1"/>
  <c r="BB52" i="1" s="1"/>
  <c r="BB47" i="1" a="1"/>
  <c r="BB47" i="1" s="1"/>
  <c r="BB27" i="1" a="1"/>
  <c r="BB27" i="1" s="1"/>
  <c r="BB29" i="1" a="1"/>
  <c r="BB29" i="1" s="1"/>
  <c r="BB30" i="1" a="1"/>
  <c r="BB30" i="1" s="1"/>
  <c r="BB31" i="1" a="1"/>
  <c r="BB31" i="1" s="1"/>
  <c r="BB32" i="1" a="1"/>
  <c r="BB32" i="1" s="1"/>
  <c r="BB33" i="1" a="1"/>
  <c r="BB33" i="1" s="1"/>
  <c r="BB34" i="1" a="1"/>
  <c r="BB34" i="1" s="1"/>
  <c r="BB35" i="1" a="1"/>
  <c r="BB35" i="1" s="1"/>
  <c r="BB36" i="1" a="1"/>
  <c r="BB36" i="1" s="1"/>
  <c r="BB37" i="1" a="1"/>
  <c r="BB37" i="1" s="1"/>
  <c r="BB38" i="1" a="1"/>
  <c r="BB38" i="1" s="1"/>
  <c r="BB39" i="1" a="1"/>
  <c r="BB39" i="1" s="1"/>
  <c r="BB40" i="1" a="1"/>
  <c r="BB40" i="1" s="1"/>
  <c r="BB41" i="1" a="1"/>
  <c r="BB41" i="1" s="1"/>
  <c r="BB42" i="1" a="1"/>
  <c r="BB42" i="1" s="1"/>
  <c r="BB43" i="1" a="1"/>
  <c r="BB43" i="1" s="1"/>
  <c r="BB44" i="1" a="1"/>
  <c r="BB44" i="1" s="1"/>
  <c r="BB45" i="1" a="1"/>
  <c r="BB45" i="1" s="1"/>
  <c r="BB46" i="1" a="1"/>
  <c r="BB46" i="1" s="1"/>
  <c r="BB26" i="1" a="1"/>
  <c r="BB26" i="1" s="1"/>
  <c r="BB3" i="1" a="1"/>
  <c r="BB3" i="1" s="1"/>
  <c r="BB4" i="1" a="1"/>
  <c r="BB4" i="1" s="1"/>
  <c r="BB5" i="1" a="1"/>
  <c r="BB5" i="1"/>
  <c r="BB6" i="1" a="1"/>
  <c r="BB6" i="1" s="1"/>
  <c r="BB7" i="1" a="1"/>
  <c r="BB7" i="1" s="1"/>
  <c r="BB8" i="1" a="1"/>
  <c r="BB8" i="1" s="1"/>
  <c r="BB9" i="1" a="1"/>
  <c r="BB9" i="1"/>
  <c r="BB10" i="1" a="1"/>
  <c r="BB10" i="1" s="1"/>
  <c r="BB11" i="1" a="1"/>
  <c r="BB11" i="1" s="1"/>
  <c r="BB12" i="1" a="1"/>
  <c r="BB12" i="1" s="1"/>
  <c r="BB13" i="1" a="1"/>
  <c r="BB13" i="1" s="1"/>
  <c r="BB14" i="1" a="1"/>
  <c r="BB14" i="1" s="1"/>
  <c r="BB15" i="1" a="1"/>
  <c r="BB15" i="1" s="1"/>
  <c r="BB16" i="1" a="1"/>
  <c r="BB16" i="1" s="1"/>
  <c r="BB17" i="1" a="1"/>
  <c r="BB17" i="1" s="1"/>
  <c r="BB18" i="1" a="1"/>
  <c r="BB18" i="1" s="1"/>
  <c r="BB19" i="1" a="1"/>
  <c r="BB19" i="1" s="1"/>
  <c r="BB20" i="1" a="1"/>
  <c r="BB20" i="1" s="1"/>
  <c r="BB21" i="1" a="1"/>
  <c r="BB21" i="1" s="1"/>
  <c r="AR2" i="1"/>
  <c r="AQ2" i="1" l="1"/>
  <c r="AT5" i="1"/>
  <c r="AT2" i="1"/>
  <c r="AS4" i="1"/>
  <c r="AS2" i="1"/>
  <c r="AR9" i="1"/>
  <c r="AL3" i="1"/>
  <c r="AM3" i="1"/>
  <c r="AN3" i="1"/>
  <c r="AL4" i="1"/>
  <c r="AM4" i="1"/>
  <c r="AS13" i="1" s="1"/>
  <c r="AN4" i="1"/>
  <c r="AL5" i="1"/>
  <c r="AM5" i="1"/>
  <c r="AS6" i="1" s="1"/>
  <c r="AN5" i="1"/>
  <c r="AL6" i="1"/>
  <c r="AR4" i="1" s="1"/>
  <c r="AM6" i="1"/>
  <c r="AN6" i="1"/>
  <c r="AT4" i="1" s="1"/>
  <c r="AL7" i="1"/>
  <c r="AM7" i="1"/>
  <c r="AN7" i="1"/>
  <c r="AL8" i="1"/>
  <c r="AM8" i="1"/>
  <c r="AS3" i="1" s="1"/>
  <c r="AN8" i="1"/>
  <c r="AL9" i="1"/>
  <c r="AM9" i="1"/>
  <c r="AN9" i="1"/>
  <c r="AL10" i="1"/>
  <c r="AM10" i="1"/>
  <c r="AN10" i="1"/>
  <c r="AL11" i="1"/>
  <c r="AR7" i="1" s="1"/>
  <c r="AM11" i="1"/>
  <c r="AS7" i="1" s="1"/>
  <c r="AN11" i="1"/>
  <c r="AT7" i="1" s="1"/>
  <c r="AL12" i="1"/>
  <c r="AM12" i="1"/>
  <c r="AS12" i="1" s="1"/>
  <c r="AN12" i="1"/>
  <c r="AL13" i="1"/>
  <c r="AM13" i="1"/>
  <c r="AN13" i="1"/>
  <c r="AL14" i="1"/>
  <c r="AM14" i="1"/>
  <c r="AS5" i="1" s="1"/>
  <c r="AN14" i="1"/>
  <c r="AL15" i="1"/>
  <c r="AM15" i="1"/>
  <c r="AN15" i="1"/>
  <c r="AL16" i="1"/>
  <c r="AM16" i="1"/>
  <c r="AS9" i="1" s="1"/>
  <c r="AN16" i="1"/>
  <c r="AT9" i="1" s="1"/>
  <c r="AL17" i="1"/>
  <c r="AM17" i="1"/>
  <c r="AN17" i="1"/>
  <c r="AL18" i="1"/>
  <c r="AM18" i="1"/>
  <c r="AN18" i="1"/>
  <c r="AL19" i="1"/>
  <c r="AR3" i="1" s="1"/>
  <c r="AM19" i="1"/>
  <c r="AN19" i="1"/>
  <c r="AT3" i="1" s="1"/>
  <c r="AL20" i="1"/>
  <c r="AM20" i="1"/>
  <c r="AN20" i="1"/>
  <c r="AL21" i="1"/>
  <c r="AM21" i="1"/>
  <c r="AN21" i="1"/>
  <c r="AL22" i="1"/>
  <c r="AM22" i="1"/>
  <c r="AN22" i="1"/>
  <c r="AL23" i="1"/>
  <c r="AM23" i="1"/>
  <c r="AN23" i="1"/>
  <c r="AL24" i="1"/>
  <c r="AM24" i="1"/>
  <c r="AN24" i="1"/>
  <c r="AL25" i="1"/>
  <c r="AR14" i="1" s="1"/>
  <c r="AM25" i="1"/>
  <c r="AS14" i="1" s="1"/>
  <c r="AN25" i="1"/>
  <c r="AT14" i="1" s="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S11" i="1" s="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S10" i="1" s="1"/>
  <c r="AN65" i="1"/>
  <c r="AT10" i="1" s="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R11" i="1" s="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T13" i="1" s="1"/>
  <c r="AM2" i="1"/>
  <c r="AL2" i="1"/>
  <c r="AR13" i="1" s="1"/>
  <c r="AK4" i="1"/>
  <c r="AK5" i="1"/>
  <c r="AQ6" i="1" s="1"/>
  <c r="AK6" i="1"/>
  <c r="AQ4" i="1" s="1"/>
  <c r="AK7" i="1"/>
  <c r="AK8" i="1"/>
  <c r="AQ3" i="1" s="1"/>
  <c r="AK9" i="1"/>
  <c r="AQ11" i="1" s="1"/>
  <c r="AK10" i="1"/>
  <c r="AQ5" i="1" s="1"/>
  <c r="AK11" i="1"/>
  <c r="AQ7" i="1" s="1"/>
  <c r="AK12" i="1"/>
  <c r="AQ12" i="1" s="1"/>
  <c r="AK13" i="1"/>
  <c r="AK14" i="1"/>
  <c r="AK15" i="1"/>
  <c r="AK16" i="1"/>
  <c r="AK17" i="1"/>
  <c r="AK18" i="1"/>
  <c r="AK19" i="1"/>
  <c r="AK20" i="1"/>
  <c r="AK21" i="1"/>
  <c r="AK22" i="1"/>
  <c r="AK23" i="1"/>
  <c r="AK24" i="1"/>
  <c r="AK25" i="1"/>
  <c r="AQ14" i="1" s="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Q10" i="1" s="1"/>
  <c r="AK66" i="1"/>
  <c r="AK67" i="1"/>
  <c r="AK68" i="1"/>
  <c r="AK69" i="1"/>
  <c r="AK70" i="1"/>
  <c r="AK71" i="1"/>
  <c r="AK72" i="1"/>
  <c r="AK73" i="1"/>
  <c r="AQ9" i="1" s="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AQ13" i="1" s="1"/>
  <c r="AT6" i="1" l="1"/>
  <c r="AR12" i="1"/>
  <c r="AR6" i="1"/>
  <c r="AT12" i="1"/>
  <c r="AR8" i="1"/>
  <c r="AT11" i="1"/>
  <c r="AS8" i="1"/>
  <c r="AT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<sst xmlns="http://schemas.openxmlformats.org/spreadsheetml/2006/main" count="1962" uniqueCount="1388">
  <si>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</si>
  <si>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</si>
  <si>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</si>
  <si>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</si>
  <si>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</si>
  <si>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</si>
  <si>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</si>
  <si>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</si>
  <si>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</si>
  <si>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</si>
  <si>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</si>
  <si>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</si>
  <si>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</si>
  <si>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</si>
  <si>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</si>
  <si>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</si>
  <si>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</si>
  <si>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</si>
  <si>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</si>
  <si>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</si>
  <si>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</si>
  <si>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</si>
  <si>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</si>
  <si>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</si>
  <si>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</si>
  <si>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</si>
  <si>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</si>
  <si>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</si>
  <si>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</si>
  <si>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</si>
  <si>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</si>
  <si>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</si>
  <si>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</si>
  <si>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</si>
  <si>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</si>
  <si>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</si>
  <si>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</si>
  <si>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</si>
  <si>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</si>
  <si>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</si>
  <si>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</si>
  <si>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</si>
  <si>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</si>
  <si>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</si>
  <si>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</si>
  <si>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</si>
  <si>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</si>
  <si>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</si>
  <si>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</si>
  <si>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</si>
  <si>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</si>
  <si>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</si>
  <si>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</si>
  <si>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</si>
  <si>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</si>
  <si>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</si>
  <si>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</si>
  <si>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</si>
  <si>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</si>
  <si>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</si>
  <si>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</si>
  <si>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</si>
  <si>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</si>
  <si>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</si>
  <si>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</si>
  <si>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</si>
  <si>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</si>
  <si>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</si>
  <si>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</si>
  <si>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</si>
  <si>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</si>
  <si>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</si>
  <si>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</si>
  <si>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</si>
  <si>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</si>
  <si>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</si>
  <si>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</si>
  <si>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</si>
  <si>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</si>
  <si>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</si>
  <si>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</si>
  <si>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</si>
  <si>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</si>
  <si>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</si>
  <si>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</si>
  <si>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</si>
  <si>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</si>
  <si>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</si>
  <si>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</si>
  <si>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</si>
  <si>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</si>
  <si>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</si>
  <si>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</si>
  <si>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</si>
  <si>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</si>
  <si>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</si>
  <si>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</si>
  <si>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</si>
  <si>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</si>
  <si>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</si>
  <si>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</si>
  <si>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</si>
  <si>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</si>
  <si>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</si>
  <si>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</si>
  <si>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</si>
  <si>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</si>
  <si>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</si>
  <si>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</si>
  <si>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</si>
  <si>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</si>
  <si>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</si>
  <si>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</si>
  <si>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</si>
  <si>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</si>
  <si>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Heuristic-based (con influenze probabilistiche)</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</si>
  <si>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</si>
  <si>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</si>
  <si>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</si>
  <si>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</si>
  <si>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</si>
  <si>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</si>
  <si>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</si>
  <si>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</si>
  <si>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</si>
  <si>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</si>
  <si>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</si>
  <si>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</si>
  <si>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</si>
  <si>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</si>
  <si>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</si>
  <si>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</si>
  <si>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</si>
  <si>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</si>
  <si>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</si>
  <si>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</si>
  <si>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</si>
  <si>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</si>
  <si>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</si>
  <si>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</si>
  <si>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</si>
  <si>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</si>
  <si>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</si>
  <si>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</si>
  <si>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ML</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</si>
  <si>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</si>
  <si>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</si>
  <si>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</si>
  <si>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</si>
  <si>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</si>
  <si>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</si>
  <si>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</si>
  <si>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</si>
  <si>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</si>
  <si>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</si>
  <si>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</si>
  <si>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</si>
  <si>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</si>
  <si>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</si>
  <si>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</si>
  <si>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</si>
  <si>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</si>
  <si>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</si>
  <si>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</si>
  <si>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</si>
  <si>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</si>
  <si>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</si>
  <si>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</si>
  <si>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</si>
  <si>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</si>
  <si>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</si>
  <si>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</si>
  <si>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Coverage-based (con estensione risk-aware)</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</si>
  <si>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</si>
  <si>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</si>
  <si>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</si>
  <si>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</si>
  <si>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</si>
  <si>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</si>
  <si>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</si>
  <si>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</si>
  <si>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</si>
  <si>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</si>
  <si>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</si>
  <si>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</si>
  <si>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Modification-based,similarity-based</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</si>
  <si>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</si>
  <si>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</si>
  <si>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</si>
  <si>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</si>
  <si>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</si>
  <si>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</si>
  <si>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</si>
  <si>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</si>
  <si>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</si>
  <si>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</si>
  <si>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</si>
  <si>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</si>
  <si>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</si>
  <si>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</si>
  <si>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</si>
  <si>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</si>
  <si>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</si>
  <si>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</si>
  <si>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</si>
  <si>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</si>
  <si>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</si>
  <si>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</si>
  <si>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</si>
  <si>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</si>
  <si>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</si>
  <si>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</si>
  <si>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</si>
  <si>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</si>
  <si>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</si>
  <si>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</si>
  <si>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</si>
  <si>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</si>
  <si>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</si>
  <si>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</si>
  <si>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</si>
  <si>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</si>
  <si>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</si>
  <si>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</si>
  <si>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</si>
  <si>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</si>
  <si>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</si>
  <si>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</si>
  <si>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</si>
  <si>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</si>
  <si>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</si>
  <si>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</si>
  <si>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</si>
  <si>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</si>
  <si>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</si>
  <si>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</si>
  <si>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</si>
  <si>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</si>
  <si>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</si>
  <si>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</si>
  <si>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</si>
  <si>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</si>
  <si>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</si>
  <si>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</si>
  <si>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</si>
  <si>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</si>
  <si>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</si>
  <si>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</si>
  <si>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</si>
  <si>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Similarity/heuristic based</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</si>
  <si>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</si>
  <si>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</si>
  <si>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</si>
  <si>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</si>
  <si>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</si>
  <si>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</si>
  <si>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</si>
  <si>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</si>
  <si>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</si>
  <si>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</si>
  <si>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</si>
  <si>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</si>
  <si>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</si>
  <si>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Human-based (non clustering)</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</si>
  <si>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</si>
  <si>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</si>
  <si>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</si>
  <si>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</si>
  <si>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</si>
  <si>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</si>
  <si>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</si>
  <si>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</si>
  <si>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</si>
  <si>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</si>
  <si>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</si>
  <si>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</si>
  <si>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</si>
  <si>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</si>
  <si>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</si>
  <si>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</si>
  <si>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</si>
  <si>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</si>
  <si>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</si>
  <si>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</si>
  <si>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</si>
  <si>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</si>
  <si>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</si>
  <si>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</si>
  <si>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Rule-Based AI (Fuzzy Logic + AHP)</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</si>
  <si>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</si>
  <si>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</si>
  <si>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</si>
  <si>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</si>
  <si>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</si>
  <si>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</si>
  <si>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</si>
  <si>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</si>
  <si>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</si>
  <si>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</si>
  <si>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</si>
  <si>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</si>
  <si>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</si>
  <si>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</si>
  <si>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</si>
  <si>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</si>
  <si>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</si>
  <si>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</si>
  <si>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</si>
  <si>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</si>
  <si>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</si>
  <si>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</si>
  <si>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</si>
  <si>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</si>
  <si>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</si>
  <si>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</si>
  <si>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</si>
  <si>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</si>
  <si>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</si>
  <si>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</si>
  <si>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</si>
  <si>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</si>
  <si>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</si>
  <si>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</si>
  <si>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</si>
  <si>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</si>
  <si>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</si>
  <si>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</si>
  <si>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</si>
  <si>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</si>
  <si>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</si>
  <si>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</si>
  <si>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</si>
  <si>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</si>
  <si>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</si>
  <si>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</si>
  <si>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</si>
  <si>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</si>
  <si>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</si>
  <si>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</si>
  <si>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</si>
  <si>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</si>
  <si>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</si>
  <si>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</si>
  <si>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</si>
  <si>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</si>
  <si>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</si>
  <si>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</si>
  <si>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</si>
  <si>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</si>
  <si>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</si>
  <si>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</si>
  <si>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</si>
  <si>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</si>
  <si>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</si>
  <si>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</si>
  <si>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</si>
  <si>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</si>
  <si>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</si>
  <si>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</si>
  <si>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</si>
  <si>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</si>
  <si>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</si>
  <si>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</si>
  <si>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</si>
  <si>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</si>
  <si>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</si>
  <si>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</si>
  <si>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</si>
  <si>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</si>
  <si>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</si>
  <si>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</si>
  <si>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</si>
  <si>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</si>
  <si>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</si>
  <si>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</si>
  <si>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</si>
  <si>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</si>
  <si>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</si>
  <si>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</si>
  <si>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</si>
  <si>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</si>
  <si>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</si>
  <si>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</si>
  <si>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</si>
  <si>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</si>
  <si>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</si>
  <si>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</si>
  <si>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</si>
  <si>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</si>
  <si>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</si>
  <si>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</si>
  <si>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</si>
  <si>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</si>
  <si>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</si>
  <si>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</si>
  <si>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</si>
  <si>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</si>
  <si>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</si>
  <si>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</si>
  <si>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</si>
  <si>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</si>
  <si>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</si>
  <si>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</si>
  <si>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</si>
  <si>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</si>
  <si>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</si>
  <si>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</si>
  <si>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</si>
  <si>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</si>
  <si>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</si>
  <si>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</si>
  <si>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</si>
  <si>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</si>
  <si>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</si>
  <si>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</si>
  <si>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</si>
  <si>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</si>
  <si>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</si>
  <si>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</si>
  <si>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</si>
  <si>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</si>
  <si>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</si>
  <si>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</si>
  <si>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</si>
  <si>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</si>
  <si>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</si>
  <si>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</si>
  <si>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</si>
  <si>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</si>
  <si>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</si>
  <si>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</si>
  <si>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</si>
  <si>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</si>
  <si>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</si>
  <si>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</si>
  <si>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</si>
  <si>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</si>
  <si>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</si>
  <si>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</si>
  <si>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</si>
  <si>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</si>
  <si>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</si>
  <si>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</si>
  <si>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</si>
  <si>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</si>
  <si>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</si>
  <si>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</si>
  <si>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</si>
  <si>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</si>
  <si>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</si>
  <si>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</si>
  <si>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</si>
  <si>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</si>
  <si>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</si>
  <si>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</si>
  <si>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</si>
  <si>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</si>
  <si>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</si>
  <si>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</si>
  <si>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</si>
  <si>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</si>
  <si>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</si>
  <si>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(Meta)Heuristic-based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</si>
  <si>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</si>
  <si>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</si>
  <si>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</si>
  <si>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</si>
  <si>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</si>
  <si>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</si>
  <si>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</si>
  <si>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</si>
  <si>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</si>
  <si>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</si>
  <si>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</si>
  <si>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</si>
  <si>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</si>
  <si>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</si>
  <si>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</si>
  <si>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</si>
  <si>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</si>
  <si>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</si>
  <si>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</si>
  <si>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</si>
  <si>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</si>
  <si>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</si>
  <si>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</si>
  <si>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</si>
  <si>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</si>
  <si>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</si>
  <si>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</si>
  <si>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</si>
  <si>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</si>
  <si>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</si>
  <si>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</si>
  <si>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</si>
  <si>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</si>
  <si>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</si>
  <si>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</si>
  <si>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</si>
  <si>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</si>
  <si>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</si>
  <si>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</si>
  <si>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</si>
  <si>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</si>
  <si>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</si>
  <si>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</si>
  <si>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</si>
  <si>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</si>
  <si>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</si>
  <si>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</si>
  <si>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</si>
  <si>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</si>
  <si>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</si>
  <si>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</si>
  <si>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</si>
  <si>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</si>
  <si>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</si>
  <si>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</si>
  <si>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</si>
  <si>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</si>
  <si>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</si>
  <si>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</si>
  <si>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</si>
  <si>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family val="2"/>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</si>
  <si>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</si>
  <si>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</si>
  <si>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</si>
  <si>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</si>
  <si>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</si>
  <si>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</si>
  <si>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</si>
  <si>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</si>
  <si>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</si>
  <si>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</si>
  <si>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</si>
  <si>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</si>
  <si>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</si>
  <si>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</si>
  <si>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</si>
  <si>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</si>
  <si>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</si>
  <si>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</si>
  <si>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</si>
  <si>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</si>
  <si>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</si>
  <si>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</si>
  <si>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</si>
  <si>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</si>
  <si>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</si>
  <si>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</si>
  <si>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</si>
  <si>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</si>
  <si>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</si>
  <si>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</si>
  <si>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</si>
  <si>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</si>
  <si>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</si>
  <si>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</si>
  <si>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</si>
  <si>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</si>
  <si>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</si>
  <si>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</si>
  <si>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</si>
  <si>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</si>
  <si>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</si>
  <si>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</si>
  <si>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</si>
  <si>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</si>
  <si>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</si>
  <si>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</si>
  <si>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</si>
  <si>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</si>
  <si>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</si>
  <si>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</si>
  <si>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</si>
  <si>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</si>
  <si>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</si>
  <si>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</si>
  <si>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</si>
  <si>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</si>
  <si>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</si>
  <si>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</si>
  <si>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</si>
  <si>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</si>
  <si>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</si>
  <si>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</si>
  <si>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</si>
  <si>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</si>
  <si>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</si>
  <si>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</si>
  <si>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</si>
  <si>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</si>
  <si>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</si>
  <si>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</si>
  <si>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</si>
  <si>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</si>
  <si>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</si>
  <si>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</si>
  <si>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</si>
  <si>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</si>
  <si>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</si>
  <si>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</si>
  <si>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</si>
  <si>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</si>
  <si>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</si>
  <si>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</si>
  <si>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</si>
  <si>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</si>
  <si>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</si>
  <si>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</si>
  <si>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</si>
  <si>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</si>
  <si>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</si>
  <si>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</si>
  <si>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</si>
  <si>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</si>
  <si>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</si>
  <si>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</si>
  <si>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</si>
  <si>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</si>
  <si>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</si>
  <si>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</si>
  <si>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</si>
  <si>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</si>
  <si>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</si>
  <si>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</si>
  <si>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</si>
  <si>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</si>
  <si>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</si>
  <si>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</si>
  <si>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</si>
  <si>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</si>
  <si>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</si>
  <si>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</si>
  <si>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</si>
  <si>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</si>
  <si>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</si>
  <si>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</si>
  <si>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</si>
  <si>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</si>
  <si>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</si>
  <si>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</si>
  <si>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</si>
  <si>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</si>
  <si>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</si>
  <si>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</si>
  <si>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</si>
  <si>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</si>
  <si>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</si>
  <si>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</si>
  <si>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</si>
  <si>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</si>
  <si>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</si>
  <si>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</si>
  <si>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</si>
  <si>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</si>
  <si>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</si>
  <si>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</si>
  <si>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</si>
  <si>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</si>
  <si>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</si>
  <si>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</si>
  <si>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</si>
  <si>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</si>
  <si>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</si>
  <si>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</si>
  <si>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</si>
  <si>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</si>
  <si>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</si>
  <si>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</si>
  <si>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</si>
  <si>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</si>
  <si>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</si>
  <si>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</si>
  <si>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</si>
  <si>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</si>
  <si>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</si>
  <si>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</si>
  <si>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</si>
  <si>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</si>
  <si>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</si>
  <si>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</si>
  <si>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</si>
  <si>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</si>
  <si>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</si>
  <si>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</si>
  <si>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</si>
  <si>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</si>
  <si>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</si>
  <si>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</si>
  <si>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</si>
  <si>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</si>
  <si>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</si>
  <si>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</si>
  <si>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</si>
  <si>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</si>
  <si>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</si>
  <si>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</si>
  <si>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</si>
  <si>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</si>
  <si>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</si>
  <si>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</si>
  <si>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</si>
  <si>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</si>
  <si>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</si>
  <si>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</si>
  <si>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</si>
  <si>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</si>
  <si>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</si>
  <si>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</si>
  <si>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</si>
  <si>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</si>
  <si>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</si>
  <si>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</si>
  <si>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</si>
  <si>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</si>
  <si>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</si>
  <si>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</si>
  <si>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</si>
  <si>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</si>
  <si>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</si>
  <si>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</si>
  <si>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</si>
  <si>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</si>
  <si>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</si>
  <si>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</si>
  <si>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</si>
  <si>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</si>
  <si>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</si>
  <si>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</si>
  <si>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</si>
  <si>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</si>
  <si>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</si>
  <si>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</si>
  <si>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</si>
  <si>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</si>
  <si>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</si>
  <si>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</si>
  <si>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</si>
  <si>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</si>
  <si>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</si>
  <si>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</si>
  <si>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</si>
  <si>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</si>
  <si>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</si>
  <si>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</si>
  <si>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</si>
  <si>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</si>
  <si>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</si>
  <si>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</si>
  <si>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</si>
  <si>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</si>
  <si>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</si>
  <si>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</si>
  <si>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</si>
  <si>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</si>
  <si>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</si>
  <si>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</si>
  <si>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</si>
  <si>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</si>
  <si>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</si>
  <si>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</si>
  <si>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</si>
  <si>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</si>
  <si>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</si>
  <si>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</si>
  <si>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</si>
  <si>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</si>
  <si>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</si>
  <si>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</si>
  <si>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</si>
  <si>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</si>
  <si>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</si>
  <si>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Search-based algorithms</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</si>
  <si>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</si>
  <si>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</si>
  <si>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</si>
  <si>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</si>
  <si>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</si>
  <si>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</si>
  <si>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</si>
  <si>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</si>
  <si>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</si>
  <si>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</si>
  <si>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</si>
  <si>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Test cases are selected based on their failing rate</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</si>
  <si>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</si>
  <si>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</si>
  <si>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</si>
  <si>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</si>
  <si>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</si>
  <si>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</si>
  <si>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</si>
  <si>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</si>
  <si>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</si>
  <si>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</si>
  <si>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</si>
  <si>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</si>
  <si>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</si>
  <si>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</si>
  <si>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</si>
  <si>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</si>
  <si>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</si>
  <si>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</si>
  <si>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</si>
  <si>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</si>
  <si>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</si>
  <si>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</si>
  <si>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Greedy algorithms, Search-based algorithms</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</si>
  <si>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</si>
  <si>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</si>
  <si>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</si>
  <si>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</si>
  <si>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</si>
  <si>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</si>
  <si>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</si>
  <si>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</si>
  <si>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</si>
  <si>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</si>
  <si>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</si>
  <si>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</si>
  <si>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</si>
  <si>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</si>
  <si>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</si>
  <si>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</si>
  <si>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</si>
  <si>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</si>
  <si>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</si>
  <si>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</si>
  <si>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</si>
  <si>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</si>
  <si>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</si>
  <si>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</si>
  <si>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</si>
  <si>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</si>
  <si>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</si>
  <si>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</si>
  <si>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</si>
  <si>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</si>
  <si>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</si>
  <si>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</si>
  <si>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</si>
  <si>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</si>
  <si>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</si>
  <si>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</si>
  <si>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</si>
  <si>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</si>
  <si>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</si>
  <si>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</si>
  <si>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</si>
  <si>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</si>
  <si>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</si>
  <si>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</si>
  <si>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</si>
  <si>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</si>
  <si>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</si>
  <si>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</si>
  <si>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</si>
  <si>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</si>
  <si>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</si>
  <si>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</si>
  <si>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</si>
  <si>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</si>
  <si>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</si>
  <si>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</si>
  <si>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</si>
  <si>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</si>
  <si>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</si>
  <si>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</si>
  <si>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</si>
  <si>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</si>
  <si>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</si>
  <si>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</si>
  <si>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</si>
  <si>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</si>
  <si>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</si>
  <si>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</si>
  <si>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</si>
  <si>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</si>
  <si>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</si>
  <si>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</si>
  <si>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</si>
  <si>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</si>
  <si>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</si>
  <si>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</si>
  <si>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</si>
  <si>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</si>
  <si>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</si>
  <si>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</si>
  <si>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Search-based algorithms, Greedy algorithms, Random algorithms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</si>
  <si>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</si>
  <si>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</si>
  <si>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</si>
  <si>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</si>
  <si>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</si>
  <si>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</si>
  <si>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</si>
  <si>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</si>
  <si>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</si>
  <si>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</si>
  <si>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</si>
  <si>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</si>
  <si>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</si>
  <si>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</si>
  <si>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</si>
  <si>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</si>
  <si>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</si>
  <si>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</si>
  <si>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</si>
  <si>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</si>
  <si>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</si>
  <si>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</si>
  <si>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</si>
  <si>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</si>
  <si>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</si>
  <si>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</si>
  <si>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</si>
  <si>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</si>
  <si>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</si>
  <si>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</si>
  <si>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</si>
  <si>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</si>
  <si>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</si>
  <si>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</si>
  <si>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</si>
  <si>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</si>
  <si>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</si>
  <si>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</si>
  <si>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</si>
  <si>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</si>
  <si>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</si>
  <si>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</si>
  <si>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</si>
  <si>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</si>
  <si>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</si>
  <si>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</si>
  <si>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</si>
  <si>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</si>
  <si>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</si>
  <si>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</si>
  <si>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</si>
  <si>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</si>
  <si>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</si>
  <si>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</si>
  <si>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</si>
  <si>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</si>
  <si>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</si>
  <si>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</si>
  <si>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</si>
  <si>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</si>
  <si>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</si>
  <si>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</si>
  <si>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</si>
  <si>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</si>
  <si>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Search-based algorithms, Greedy algorithms</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</si>
  <si>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</si>
  <si>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</si>
  <si>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</si>
  <si>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</si>
  <si>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</si>
  <si>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</si>
  <si>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</si>
  <si>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</si>
  <si>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</si>
  <si>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</si>
  <si>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</si>
  <si>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</si>
  <si>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</si>
  <si>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</si>
  <si>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Search-based algorithms, Greedy algorithms, Similarity-based algorithms</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</si>
  <si>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</si>
  <si>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</si>
  <si>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</si>
  <si>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</si>
  <si>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</si>
  <si>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</si>
  <si>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</si>
  <si>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</si>
  <si>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</si>
  <si>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</si>
  <si>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</si>
  <si>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</si>
  <si>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</si>
  <si>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</si>
  <si>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</si>
  <si>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</si>
  <si>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</si>
  <si>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</si>
  <si>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</si>
  <si>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</si>
  <si>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Single-objective greedy, hybrid, and multi-objective optimization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</si>
  <si>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</si>
  <si>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</si>
  <si>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</si>
  <si>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</si>
  <si>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</si>
  <si>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</si>
  <si>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</si>
  <si>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Greedy and random algorithms, constraint solver</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</si>
  <si>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</si>
  <si>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</si>
  <si>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</si>
  <si>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</si>
  <si>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</si>
  <si>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</si>
  <si>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</si>
  <si>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</si>
  <si>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</si>
  <si>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</si>
  <si>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</si>
  <si>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</si>
  <si>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</si>
  <si>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</si>
  <si>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</si>
  <si>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</si>
  <si>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</si>
  <si>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</si>
  <si>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</si>
  <si>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</si>
  <si>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</si>
  <si>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Greedy and random algorithms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</si>
  <si>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</si>
  <si>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</si>
  <si>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</si>
  <si>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</si>
  <si>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</si>
  <si>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</si>
  <si>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</si>
  <si>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</si>
  <si>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</si>
  <si>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</si>
  <si>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</si>
  <si>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</si>
  <si>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</si>
  <si>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</si>
  <si>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</si>
  <si>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</si>
  <si>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</si>
  <si>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Clustering methods</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</si>
  <si>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</si>
  <si>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</si>
  <si>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</si>
  <si>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</si>
  <si>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</si>
  <si>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</si>
  <si>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White-box and black box methods, including greedy algorithms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</si>
  <si>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</si>
  <si>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</si>
  <si>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</si>
  <si>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</si>
  <si>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</si>
  <si>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</si>
  <si>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</si>
  <si>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</si>
  <si>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</si>
  <si>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</si>
  <si>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</si>
  <si>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</si>
  <si>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</si>
  <si>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</si>
  <si>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</si>
  <si>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Greedy and search-based algorithms</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</si>
  <si>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</si>
  <si>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</si>
  <si>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</si>
  <si>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</si>
  <si>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</si>
  <si>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</si>
  <si>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</si>
  <si>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</si>
  <si>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</si>
  <si>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</si>
  <si>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</si>
  <si>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</si>
  <si>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</si>
  <si>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</si>
  <si>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</si>
  <si>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</si>
  <si>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</si>
  <si>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</si>
  <si>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</si>
  <si>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</si>
  <si>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</si>
  <si>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</si>
  <si>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</si>
  <si>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</si>
  <si>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Selection and Prioritization</t>
  </si>
  <si>
    <t>Change-based; Design-based (UML)</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</si>
  <si>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</si>
  <si>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</si>
  <si>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</si>
  <si>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</si>
  <si>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</si>
  <si>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</si>
  <si>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</si>
  <si>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</si>
  <si>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</si>
  <si>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</si>
  <si>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</si>
  <si>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</si>
  <si>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</si>
  <si>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</si>
  <si>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</si>
  <si>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Others (hybrid, combined multiple approaches)</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</si>
  <si>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</si>
  <si>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</si>
  <si>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</si>
  <si>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</si>
  <si>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</si>
  <si>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</si>
  <si>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</si>
  <si>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</si>
  <si>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</si>
  <si>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</si>
  <si>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</si>
  <si>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</si>
  <si>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</si>
  <si>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</si>
  <si>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</si>
  <si>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</si>
  <si>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</si>
  <si>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</si>
  <si>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</si>
  <si>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</si>
  <si>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</si>
  <si>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</si>
  <si>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</si>
  <si>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</si>
  <si>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</si>
  <si>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</si>
  <si>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</si>
  <si>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</si>
  <si>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</si>
  <si>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</si>
  <si>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</si>
  <si>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</si>
  <si>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</si>
  <si>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</si>
  <si>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</si>
  <si>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</si>
  <si>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</si>
  <si>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</si>
  <si>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</si>
  <si>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</si>
  <si>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</si>
  <si>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</si>
  <si>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</si>
  <si>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</si>
  <si>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</si>
  <si>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</si>
  <si>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</si>
  <si>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</si>
  <si>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</si>
  <si>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</si>
  <si>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</si>
  <si>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</si>
  <si>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</si>
  <si>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</si>
  <si>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</si>
  <si>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</si>
  <si>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</si>
  <si>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Others: Risk-based; Coverage-based</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</si>
  <si>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</si>
  <si>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</si>
  <si>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</si>
  <si>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</si>
  <si>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</si>
  <si>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</si>
  <si>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</si>
  <si>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seeded faults, coverage</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</si>
  <si>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</si>
  <si>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</si>
  <si>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</si>
  <si>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</si>
  <si>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Coverage-based; change-based</t>
  </si>
  <si>
    <t>Search-based algorithms (GA)</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</si>
  <si>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</si>
  <si>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</si>
  <si>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</si>
  <si>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</si>
  <si>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</si>
  <si>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</si>
  <si>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</si>
  <si>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</si>
  <si>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</si>
  <si>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Search-based; ML-based</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</si>
  <si>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</si>
  <si>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</si>
  <si>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</si>
  <si>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</si>
  <si>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</si>
  <si>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</si>
  <si>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</si>
  <si>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</si>
  <si>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</si>
  <si>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Design-based; Model-based; Coverage-based;</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</si>
  <si>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</si>
  <si>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</si>
  <si>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</si>
  <si>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</si>
  <si>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</si>
  <si>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</si>
  <si>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Design-based; Model-based; Other</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</si>
  <si>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</si>
  <si>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</si>
  <si>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</si>
  <si>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</si>
  <si>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</si>
  <si>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</si>
  <si>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</si>
  <si>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</si>
  <si>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</si>
  <si>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</si>
  <si>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</si>
  <si>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</si>
  <si>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</si>
  <si>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</si>
  <si>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</si>
  <si>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</si>
  <si>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</si>
  <si>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</si>
  <si>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</si>
  <si>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</si>
  <si>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</si>
  <si>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</si>
  <si>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</si>
  <si>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</si>
  <si>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Probability-based; Code-based; Other (leverages assertions in code?)</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</si>
  <si>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</si>
  <si>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</si>
  <si>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</si>
  <si>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</si>
  <si>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</si>
  <si>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</si>
  <si>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</si>
  <si>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</si>
  <si>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</si>
  <si>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</si>
  <si>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</si>
  <si>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</si>
  <si>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</si>
  <si>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</si>
  <si>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</si>
  <si>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</si>
  <si>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</si>
  <si>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</si>
  <si>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</si>
  <si>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</si>
  <si>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History-based; Similarity-based;</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</si>
  <si>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</si>
  <si>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</si>
  <si>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</si>
  <si>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</si>
  <si>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</si>
  <si>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</si>
  <si>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History-based (log analysis?)</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</si>
  <si>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</si>
  <si>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</si>
  <si>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</si>
  <si>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</si>
  <si>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</si>
  <si>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</si>
  <si>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</si>
  <si>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</si>
  <si>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</si>
  <si>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Other; NLP-based</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</si>
  <si>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</si>
  <si>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</si>
  <si>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</si>
  <si>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</si>
  <si>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</si>
  <si>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</si>
  <si>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</si>
  <si>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</si>
  <si>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</si>
  <si>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</si>
  <si>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</si>
  <si>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</si>
  <si>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</si>
  <si>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</si>
  <si>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</si>
  <si>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</si>
  <si>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</si>
  <si>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</si>
  <si>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</si>
  <si>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</si>
  <si>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</si>
  <si>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</si>
  <si>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</si>
  <si>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</si>
  <si>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</si>
  <si>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</si>
  <si>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</si>
  <si>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</si>
  <si>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</si>
  <si>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</si>
  <si>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</si>
  <si>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</si>
  <si>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</si>
  <si>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</si>
  <si>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</si>
  <si>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</si>
  <si>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</si>
  <si>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</si>
  <si>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</si>
  <si>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</si>
  <si>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</si>
  <si>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</si>
  <si>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</si>
  <si>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</si>
  <si>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Cost-aware; Similarity; Other</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</si>
  <si>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</si>
  <si>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</si>
  <si>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</si>
  <si>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</si>
  <si>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</si>
  <si>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</si>
  <si>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Design-based; Criticality</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</si>
  <si>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</si>
  <si>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</si>
  <si>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</si>
  <si>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</si>
  <si>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Similarity-based; Call-graph-based; Coverage-based</t>
  </si>
  <si>
    <t>Multiple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</si>
  <si>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</si>
  <si>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</si>
  <si>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</si>
  <si>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</si>
  <si>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</si>
  <si>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</si>
  <si>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</si>
  <si>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</si>
  <si>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</si>
  <si>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</si>
  <si>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</si>
  <si>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</si>
  <si>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</si>
  <si>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</si>
  <si>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</si>
  <si>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similaruty,history</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</si>
  <si>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</si>
  <si>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</si>
  <si>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</si>
  <si>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</si>
  <si>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</si>
  <si>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</si>
  <si>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</si>
  <si>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</si>
  <si>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</si>
  <si>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</si>
  <si>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</si>
  <si>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</si>
  <si>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</si>
  <si>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</si>
  <si>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</si>
  <si>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</si>
  <si>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</si>
  <si>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</si>
  <si>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</si>
  <si>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</si>
  <si>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</si>
  <si>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</si>
  <si>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</si>
  <si>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</si>
  <si>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</si>
  <si>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</si>
  <si>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</si>
  <si>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</si>
  <si>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</si>
  <si>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</si>
  <si>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</si>
  <si>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</si>
  <si>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</si>
  <si>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</si>
  <si>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</si>
  <si>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</si>
  <si>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</si>
  <si>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</si>
  <si>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</si>
  <si>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</si>
  <si>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</si>
  <si>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</si>
  <si>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</si>
  <si>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requirement</t>
  </si>
  <si>
    <t>risk</t>
  </si>
  <si>
    <t>other</t>
  </si>
  <si>
    <t>dati selection</t>
  </si>
  <si>
    <t>hystory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</si>
</sst>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i/>
      <sz val="11"/>
      <color rgb="FF000000"/>
      <name val="Calibri"/>
      <family val="2"/>
    </font>
    <font>
      <sz val="10"/>
      <color rgb="FF000000"/>
      <name val="Arial Unicode MS"/>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theme="1"/>
      <name val="Menlo"/>
      <family val="2"/>
    </font>
  </fonts>
  <fills count="6">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36">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8"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9" fillId="0" borderId="0" xfId="2" applyAlignment="1" applyProtection="1">
      <alignment vertical="center" wrapText="1"/>
    </xf>
    <xf numFmtId="0" fontId="9" fillId="0" borderId="0" xfId="2" applyAlignment="1" applyProtection="1">
      <alignment vertical="center"/>
    </xf>
    <xf numFmtId="0" fontId="0" fillId="0" borderId="0" xfId="0" applyAlignment="1">
      <alignment horizontal="center" vertical="center" wrapText="1"/>
    </xf>
    <xf numFmtId="0" fontId="1" fillId="2" borderId="0" xfId="1" applyAlignment="1">
      <alignment wrapText="1"/>
    </xf>
    <xf numFmtId="0" fontId="2" fillId="0" borderId="0" xfId="0" applyFont="1" applyFill="1" applyBorder="1" applyAlignment="1">
      <alignment horizontal="center" vertical="top" wrapText="1"/>
    </xf>
    <xf numFmtId="0" fontId="10" fillId="0" borderId="0" xfId="0" applyFont="1"/>
    <xf numFmtId="0" fontId="11" fillId="0" borderId="0" xfId="0" applyFont="1"/>
    <xf numFmtId="0" fontId="12" fillId="0" borderId="0" xfId="0" applyFont="1"/>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4616391029329608E-2"/>
          <c:y val="2.221003660478299E-2"/>
          <c:w val="0.94206640109849205"/>
          <c:h val="0.85935275717298687"/>
        </c:manualLayout>
      </c:layout>
      <c:barChart>
        <c:barDir val="col"/>
        <c:grouping val="stacked"/>
        <c:varyColors val="0"/>
        <c:ser>
          <c:idx val="1"/>
          <c:order val="0"/>
          <c:tx>
            <c:strRef>
              <c:f>Foglio1!$AR$1</c:f>
              <c:strCache>
                <c:ptCount val="1"/>
                <c:pt idx="0">
                  <c:v>Minimization</c:v>
                </c:pt>
              </c:strCache>
            </c:strRef>
          </c:tx>
          <c:spPr>
            <a:solidFill>
              <a:schemeClr val="accent2"/>
            </a:solidFill>
            <a:ln>
              <a:noFill/>
            </a:ln>
            <a:effectLst/>
          </c:spPr>
          <c:invertIfNegative val="0"/>
          <c:dLbls>
            <c:spPr>
              <a:noFill/>
              <a:ln>
                <a:noFill/>
              </a:ln>
              <a:effectLst/>
            </c:spPr>
            <c:txPr>
              <a:bodyPr rot="0" spcFirstLastPara="1" vertOverflow="ellipsis" vert="horz" wrap="square" lIns="4572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1-CEC0-224E-A7F9-11AB5FD41BC0}"/>
            </c:ext>
          </c:extLst>
        </c:ser>
        <c:ser>
          <c:idx val="0"/>
          <c:order val="1"/>
          <c:tx>
            <c:strRef>
              <c:f>Foglio1!$AS$1</c:f>
              <c:strCache>
                <c:ptCount val="1"/>
                <c:pt idx="0">
                  <c:v>Selection</c:v>
                </c:pt>
              </c:strCache>
            </c:strRef>
          </c:tx>
          <c:spPr>
            <a:solidFill>
              <a:schemeClr val="accent1"/>
            </a:solidFill>
            <a:ln>
              <a:noFill/>
            </a:ln>
            <a:effectLst/>
          </c:spPr>
          <c:invertIfNegative val="0"/>
          <c:dLbls>
            <c:spPr>
              <a:noFill/>
              <a:ln>
                <a:noFill/>
              </a:ln>
              <a:effectLst/>
            </c:spPr>
            <c:txPr>
              <a:bodyPr rot="0" spcFirstLastPara="1" vertOverflow="ellipsis" vert="horz" wrap="square" lIns="457200" tIns="0" rIns="38100" bIns="4572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5</c:v>
                </c:pt>
                <c:pt idx="6">
                  <c:v>2</c:v>
                </c:pt>
                <c:pt idx="7">
                  <c:v>2</c:v>
                </c:pt>
                <c:pt idx="8">
                  <c:v>1</c:v>
                </c:pt>
                <c:pt idx="9">
                  <c:v>2</c:v>
                </c:pt>
                <c:pt idx="10">
                  <c:v>2</c:v>
                </c:pt>
                <c:pt idx="11">
                  <c:v>1</c:v>
                </c:pt>
                <c:pt idx="12">
                  <c:v>1</c:v>
                </c:pt>
              </c:numCache>
            </c:numRef>
          </c:val>
          <c:extLst>
            <c:ext xmlns:c16="http://schemas.microsoft.com/office/drawing/2014/chart" uri="{C3380CC4-5D6E-409C-BE32-E72D297353CC}">
              <c16:uniqueId val="{0000000B-CEC0-224E-A7F9-11AB5FD41BC0}"/>
            </c:ext>
          </c:extLst>
        </c:ser>
        <c:ser>
          <c:idx val="2"/>
          <c:order val="2"/>
          <c:tx>
            <c:strRef>
              <c:f>Foglio1!$AQ$1</c:f>
              <c:strCache>
                <c:ptCount val="1"/>
                <c:pt idx="0">
                  <c:v>Totale_PS</c:v>
                </c:pt>
              </c:strCache>
            </c:strRef>
          </c:tx>
          <c:spPr>
            <a:solidFill>
              <a:schemeClr val="accent3"/>
            </a:solidFill>
            <a:ln>
              <a:noFill/>
            </a:ln>
            <a:effectLst/>
          </c:spPr>
          <c:invertIfNegative val="0"/>
          <c:dLbls>
            <c:spPr>
              <a:noFill/>
              <a:ln>
                <a:noFill/>
              </a:ln>
              <a:effectLst/>
            </c:spPr>
            <c:txPr>
              <a:bodyPr rot="0" spcFirstLastPara="1" vertOverflow="ellipsis" vert="horz" wrap="square" lIns="4572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16</c:v>
                </c:pt>
                <c:pt idx="10">
                  <c:v>7</c:v>
                </c:pt>
                <c:pt idx="11">
                  <c:v>5</c:v>
                </c:pt>
                <c:pt idx="12">
                  <c:v>0</c:v>
                </c:pt>
              </c:numCache>
            </c:numRef>
          </c:val>
          <c:extLst>
            <c:ext xmlns:c16="http://schemas.microsoft.com/office/drawing/2014/chart" uri="{C3380CC4-5D6E-409C-BE32-E72D297353CC}">
              <c16:uniqueId val="{0000000C-CEC0-224E-A7F9-11AB5FD41BC0}"/>
            </c:ext>
          </c:extLst>
        </c:ser>
        <c:dLbls>
          <c:showLegendKey val="0"/>
          <c:showVal val="0"/>
          <c:showCatName val="0"/>
          <c:showSerName val="0"/>
          <c:showPercent val="0"/>
          <c:showBubbleSize val="0"/>
        </c:dLbls>
        <c:gapWidth val="150"/>
        <c:overlap val="100"/>
        <c:axId val="22266752"/>
        <c:axId val="22276160"/>
      </c:barChart>
      <c:catAx>
        <c:axId val="2226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2276160"/>
        <c:crosses val="autoZero"/>
        <c:auto val="1"/>
        <c:lblAlgn val="ctr"/>
        <c:lblOffset val="100"/>
        <c:noMultiLvlLbl val="0"/>
      </c:catAx>
      <c:valAx>
        <c:axId val="2227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226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Foglio1!$BG$36</c:f>
              <c:strCache>
                <c:ptCount val="1"/>
                <c:pt idx="0">
                  <c:v>integer</c:v>
                </c:pt>
              </c:strCache>
            </c:strRef>
          </c:tx>
          <c:spPr>
            <a:solidFill>
              <a:schemeClr val="accent1"/>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Foglio1!$BG$37:$BG$49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Foglio1!$BH$36</c:f>
              <c:strCache>
                <c:ptCount val="1"/>
                <c:pt idx="0">
                  <c:v>data-flow</c:v>
                </c:pt>
              </c:strCache>
            </c:strRef>
          </c:tx>
          <c:spPr>
            <a:solidFill>
              <a:schemeClr val="accent2"/>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Foglio1!$BH$37:$BH$49</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Foglio1!$BI$36</c:f>
              <c:strCache>
                <c:ptCount val="1"/>
                <c:pt idx="0">
                  <c:v>symbolic</c:v>
                </c:pt>
              </c:strCache>
            </c:strRef>
          </c:tx>
          <c:spPr>
            <a:solidFill>
              <a:schemeClr val="accent3"/>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Foglio1!$BI$37:$BI$49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Foglio1!$BJ$36</c:f>
              <c:strCache>
                <c:ptCount val="1"/>
                <c:pt idx="0">
                  <c:v>dynamic</c:v>
                </c:pt>
              </c:strCache>
            </c:strRef>
          </c:tx>
          <c:spPr>
            <a:solidFill>
              <a:schemeClr val="accent4"/>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Foglio1!$BJ$37:$BJ$49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Foglio1!$BK$36</c:f>
              <c:strCache>
                <c:ptCount val="1"/>
                <c:pt idx="0">
                  <c:v>graph</c:v>
                </c:pt>
              </c:strCache>
            </c:strRef>
          </c:tx>
          <c:spPr>
            <a:solidFill>
              <a:schemeClr val="accent5"/>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Foglio1!$BK$37:$BK$49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F1FE-404E-BBB4-D59D25BA88A5}"/>
            </c:ext>
          </c:extLst>
        </c:ser>
        <c:ser>
          <c:idx val="5"/>
          <c:order val="5"/>
          <c:tx>
            <c:strRef>
              <c:f>Foglio1!$BL$36</c:f>
              <c:strCache>
                <c:ptCount val="1"/>
                <c:pt idx="0">
                  <c:v>textual</c:v>
                </c:pt>
              </c:strCache>
            </c:strRef>
          </c:tx>
          <c:spPr>
            <a:solidFill>
              <a:schemeClr val="accent6"/>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Foglio1!$BL$37:$BL$49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Foglio1!$BM$36</c:f>
              <c:strCache>
                <c:ptCount val="1"/>
                <c:pt idx="0">
                  <c:v>sdg</c:v>
                </c:pt>
              </c:strCache>
            </c:strRef>
          </c:tx>
          <c:spPr>
            <a:solidFill>
              <a:schemeClr val="accent1">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Foglio1!$BM$37:$BM$49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Foglio1!$BN$36</c:f>
              <c:strCache>
                <c:ptCount val="1"/>
                <c:pt idx="0">
                  <c:v>path</c:v>
                </c:pt>
              </c:strCache>
            </c:strRef>
          </c:tx>
          <c:spPr>
            <a:solidFill>
              <a:schemeClr val="accent2">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Foglio1!$BN$37:$BN$49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Foglio1!$BO$36</c:f>
              <c:strCache>
                <c:ptCount val="1"/>
                <c:pt idx="0">
                  <c:v>mod</c:v>
                </c:pt>
              </c:strCache>
            </c:strRef>
          </c:tx>
          <c:spPr>
            <a:solidFill>
              <a:schemeClr val="accent3">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Foglio1!$BO$37:$BO$49</c:f>
              <c:numCache>
                <c:formatCode>General</c:formatCode>
                <c:ptCount val="13"/>
                <c:pt idx="0">
                  <c:v>1</c:v>
                </c:pt>
                <c:pt idx="1">
                  <c:v>0</c:v>
                </c:pt>
                <c:pt idx="2">
                  <c:v>0</c:v>
                </c:pt>
                <c:pt idx="3">
                  <c:v>1</c:v>
                </c:pt>
                <c:pt idx="4">
                  <c:v>1</c:v>
                </c:pt>
                <c:pt idx="5">
                  <c:v>0</c:v>
                </c:pt>
                <c:pt idx="6">
                  <c:v>0</c:v>
                </c:pt>
                <c:pt idx="7">
                  <c:v>0</c:v>
                </c:pt>
                <c:pt idx="8">
                  <c:v>0</c:v>
                </c:pt>
                <c:pt idx="9">
                  <c:v>1</c:v>
                </c:pt>
                <c:pt idx="10">
                  <c:v>0</c:v>
                </c:pt>
                <c:pt idx="11">
                  <c:v>0</c:v>
                </c:pt>
                <c:pt idx="12">
                  <c:v>1</c:v>
                </c:pt>
              </c:numCache>
            </c:numRef>
          </c:val>
          <c:extLst>
            <c:ext xmlns:c16="http://schemas.microsoft.com/office/drawing/2014/chart" uri="{C3380CC4-5D6E-409C-BE32-E72D297353CC}">
              <c16:uniqueId val="{00000008-F1FE-404E-BBB4-D59D25BA88A5}"/>
            </c:ext>
          </c:extLst>
        </c:ser>
        <c:ser>
          <c:idx val="9"/>
          <c:order val="9"/>
          <c:tx>
            <c:strRef>
              <c:f>Foglio1!$BP$36</c:f>
              <c:strCache>
                <c:ptCount val="1"/>
                <c:pt idx="0">
                  <c:v>firewall</c:v>
                </c:pt>
              </c:strCache>
            </c:strRef>
          </c:tx>
          <c:spPr>
            <a:solidFill>
              <a:schemeClr val="accent4">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Foglio1!$BP$37:$BP$49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Foglio1!$BQ$36</c:f>
              <c:strCache>
                <c:ptCount val="1"/>
                <c:pt idx="0">
                  <c:v>cluster</c:v>
                </c:pt>
              </c:strCache>
            </c:strRef>
          </c:tx>
          <c:spPr>
            <a:solidFill>
              <a:schemeClr val="accent5">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Foglio1!$BQ$37:$BQ$49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Foglio1!$BR$36</c:f>
              <c:strCache>
                <c:ptCount val="1"/>
                <c:pt idx="0">
                  <c:v>design</c:v>
                </c:pt>
              </c:strCache>
            </c:strRef>
          </c:tx>
          <c:spPr>
            <a:solidFill>
              <a:schemeClr val="accent6">
                <a:lumMod val="6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Foglio1!$BR$37:$BR$49</c:f>
              <c:numCache>
                <c:formatCode>General</c:formatCode>
                <c:ptCount val="13"/>
                <c:pt idx="0">
                  <c:v>0</c:v>
                </c:pt>
                <c:pt idx="1">
                  <c:v>0</c:v>
                </c:pt>
                <c:pt idx="2">
                  <c:v>0</c:v>
                </c:pt>
                <c:pt idx="3">
                  <c:v>1</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Foglio1!$BS$36</c:f>
              <c:strCache>
                <c:ptCount val="1"/>
                <c:pt idx="0">
                  <c:v>hybrid</c:v>
                </c:pt>
              </c:strCache>
            </c:strRef>
          </c:tx>
          <c:spPr>
            <a:solidFill>
              <a:schemeClr val="accent1">
                <a:lumMod val="80000"/>
                <a:lumOff val="2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Foglio1!$BS$37:$BS$49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3"/>
          <c:order val="13"/>
          <c:tx>
            <c:strRef>
              <c:f>Foglio1!$BT$36</c:f>
              <c:strCache>
                <c:ptCount val="1"/>
                <c:pt idx="0">
                  <c:v>selection</c:v>
                </c:pt>
              </c:strCache>
            </c:strRef>
          </c:tx>
          <c:spPr>
            <a:solidFill>
              <a:schemeClr val="accent2">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Foglio1!$BT$37:$BT$49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D-F1FE-404E-BBB4-D59D25BA88A5}"/>
            </c:ext>
          </c:extLst>
        </c:ser>
        <c:ser>
          <c:idx val="14"/>
          <c:order val="14"/>
          <c:tx>
            <c:strRef>
              <c:f>Foglio1!$BU$36</c:f>
              <c:strCache>
                <c:ptCount val="1"/>
                <c:pt idx="0">
                  <c:v>detection</c:v>
                </c:pt>
              </c:strCache>
            </c:strRef>
          </c:tx>
          <c:spPr>
            <a:solidFill>
              <a:schemeClr val="accent3">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Foglio1!$BU$37:$BU$49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E-F1FE-404E-BBB4-D59D25BA88A5}"/>
            </c:ext>
          </c:extLst>
        </c:ser>
        <c:ser>
          <c:idx val="15"/>
          <c:order val="15"/>
          <c:tx>
            <c:strRef>
              <c:f>Foglio1!$BV$36</c:f>
              <c:strCache>
                <c:ptCount val="1"/>
                <c:pt idx="0">
                  <c:v>coverage</c:v>
                </c:pt>
              </c:strCache>
            </c:strRef>
          </c:tx>
          <c:spPr>
            <a:solidFill>
              <a:schemeClr val="accent4">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Foglio1!$BV$37:$BV$49</c:f>
              <c:numCache>
                <c:formatCode>General</c:formatCode>
                <c:ptCount val="13"/>
                <c:pt idx="0">
                  <c:v>0</c:v>
                </c:pt>
                <c:pt idx="1">
                  <c:v>1</c:v>
                </c:pt>
                <c:pt idx="2">
                  <c:v>0</c:v>
                </c:pt>
                <c:pt idx="3">
                  <c:v>1</c:v>
                </c:pt>
                <c:pt idx="4">
                  <c:v>0</c:v>
                </c:pt>
                <c:pt idx="5">
                  <c:v>1</c:v>
                </c:pt>
                <c:pt idx="6">
                  <c:v>0</c:v>
                </c:pt>
                <c:pt idx="7">
                  <c:v>0</c:v>
                </c:pt>
                <c:pt idx="8">
                  <c:v>1</c:v>
                </c:pt>
                <c:pt idx="9">
                  <c:v>0</c:v>
                </c:pt>
                <c:pt idx="10">
                  <c:v>1</c:v>
                </c:pt>
                <c:pt idx="11">
                  <c:v>0</c:v>
                </c:pt>
                <c:pt idx="12">
                  <c:v>0</c:v>
                </c:pt>
              </c:numCache>
            </c:numRef>
          </c:val>
          <c:extLst>
            <c:ext xmlns:c16="http://schemas.microsoft.com/office/drawing/2014/chart" uri="{C3380CC4-5D6E-409C-BE32-E72D297353CC}">
              <c16:uniqueId val="{0000000F-F1FE-404E-BBB4-D59D25BA88A5}"/>
            </c:ext>
          </c:extLst>
        </c:ser>
        <c:ser>
          <c:idx val="16"/>
          <c:order val="16"/>
          <c:tx>
            <c:strRef>
              <c:f>Foglio1!$BW$36</c:f>
              <c:strCache>
                <c:ptCount val="1"/>
                <c:pt idx="0">
                  <c:v>change</c:v>
                </c:pt>
              </c:strCache>
            </c:strRef>
          </c:tx>
          <c:spPr>
            <a:solidFill>
              <a:schemeClr val="accent5">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Foglio1!$BW$37:$BW$49</c:f>
              <c:numCache>
                <c:formatCode>General</c:formatCode>
                <c:ptCount val="13"/>
                <c:pt idx="0">
                  <c:v>0</c:v>
                </c:pt>
                <c:pt idx="1">
                  <c:v>0</c:v>
                </c:pt>
                <c:pt idx="2">
                  <c:v>0</c:v>
                </c:pt>
                <c:pt idx="3">
                  <c:v>0</c:v>
                </c:pt>
                <c:pt idx="4">
                  <c:v>0</c:v>
                </c:pt>
                <c:pt idx="5">
                  <c:v>1</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0-F1FE-404E-BBB4-D59D25BA88A5}"/>
            </c:ext>
          </c:extLst>
        </c:ser>
        <c:ser>
          <c:idx val="17"/>
          <c:order val="17"/>
          <c:tx>
            <c:strRef>
              <c:f>Foglio1!$BX$36</c:f>
              <c:strCache>
                <c:ptCount val="1"/>
                <c:pt idx="0">
                  <c:v>model</c:v>
                </c:pt>
              </c:strCache>
            </c:strRef>
          </c:tx>
          <c:spPr>
            <a:solidFill>
              <a:schemeClr val="accent6">
                <a:lumMod val="80000"/>
                <a:lumOff val="2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Foglio1!$BX$37:$BX$49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11-F1FE-404E-BBB4-D59D25BA88A5}"/>
            </c:ext>
          </c:extLst>
        </c:ser>
        <c:ser>
          <c:idx val="18"/>
          <c:order val="18"/>
          <c:tx>
            <c:strRef>
              <c:f>Foglio1!$BY$36</c:f>
              <c:strCache>
                <c:ptCount val="1"/>
                <c:pt idx="0">
                  <c:v>hystory</c:v>
                </c:pt>
              </c:strCache>
            </c:strRef>
          </c:tx>
          <c:spPr>
            <a:solidFill>
              <a:schemeClr val="accent1">
                <a:lumMod val="8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Foglio1!$BY$37:$BY$49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9"/>
          <c:tx>
            <c:strRef>
              <c:f>Foglio1!$BZ$36</c:f>
              <c:strCache>
                <c:ptCount val="1"/>
                <c:pt idx="0">
                  <c:v>cost-aware</c:v>
                </c:pt>
              </c:strCache>
            </c:strRef>
          </c:tx>
          <c:spPr>
            <a:solidFill>
              <a:schemeClr val="accent2">
                <a:lumMod val="8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Foglio1!$BZ$37:$BZ$49</c:f>
              <c:numCache>
                <c:formatCode>General</c:formatCode>
                <c:ptCount val="13"/>
                <c:pt idx="0">
                  <c:v>0</c:v>
                </c:pt>
                <c:pt idx="1">
                  <c:v>0</c:v>
                </c:pt>
                <c:pt idx="2">
                  <c:v>0</c:v>
                </c:pt>
                <c:pt idx="3">
                  <c:v>0</c:v>
                </c:pt>
                <c:pt idx="4">
                  <c:v>1</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20"/>
          <c:tx>
            <c:strRef>
              <c:f>Foglio1!$CA$36</c:f>
              <c:strCache>
                <c:ptCount val="1"/>
                <c:pt idx="0">
                  <c:v>similarity</c:v>
                </c:pt>
              </c:strCache>
            </c:strRef>
          </c:tx>
          <c:spPr>
            <a:solidFill>
              <a:schemeClr val="accent3">
                <a:lumMod val="80000"/>
              </a:schemeClr>
            </a:solidFill>
            <a:ln w="25400">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Foglio1!$CA$37:$CA$49</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21"/>
          <c:tx>
            <c:strRef>
              <c:f>Foglio1!$CB$36</c:f>
              <c:strCache>
                <c:ptCount val="1"/>
                <c:pt idx="0">
                  <c:v>other</c:v>
                </c:pt>
              </c:strCache>
            </c:strRef>
          </c:tx>
          <c:spPr>
            <a:solidFill>
              <a:schemeClr val="accent4">
                <a:lumMod val="80000"/>
              </a:schemeClr>
            </a:solidFill>
            <a:ln>
              <a:noFill/>
            </a:ln>
            <a:effectLst/>
          </c:spPr>
          <c:invertIfNegative val="0"/>
          <c:cat>
            <c:numRef>
              <c:f>Foglio1!$BF$37:$BF$49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Foglio1!$CB$37:$CB$49</c:f>
              <c:numCache>
                <c:formatCode>General</c:formatCode>
                <c:ptCount val="13"/>
                <c:pt idx="0">
                  <c:v>1</c:v>
                </c:pt>
                <c:pt idx="1">
                  <c:v>0</c:v>
                </c:pt>
                <c:pt idx="2">
                  <c:v>0</c:v>
                </c:pt>
                <c:pt idx="3">
                  <c:v>1</c:v>
                </c:pt>
                <c:pt idx="4">
                  <c:v>1</c:v>
                </c:pt>
                <c:pt idx="5">
                  <c:v>2</c:v>
                </c:pt>
                <c:pt idx="6">
                  <c:v>1</c:v>
                </c:pt>
                <c:pt idx="7">
                  <c:v>0</c:v>
                </c:pt>
                <c:pt idx="8">
                  <c:v>0</c:v>
                </c:pt>
                <c:pt idx="9">
                  <c:v>1</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Foglio1!$BG$2</c:f>
              <c:strCache>
                <c:ptCount val="1"/>
                <c:pt idx="0">
                  <c:v>coverage</c:v>
                </c:pt>
              </c:strCache>
            </c:strRef>
          </c:tx>
          <c:spPr>
            <a:solidFill>
              <a:schemeClr val="accent1"/>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Foglio1!$BG$3:$BG$15</c:f>
              <c:numCache>
                <c:formatCode>General</c:formatCode>
                <c:ptCount val="13"/>
                <c:pt idx="0">
                  <c:v>2</c:v>
                </c:pt>
                <c:pt idx="1">
                  <c:v>2</c:v>
                </c:pt>
                <c:pt idx="2">
                  <c:v>1</c:v>
                </c:pt>
                <c:pt idx="3">
                  <c:v>3</c:v>
                </c:pt>
                <c:pt idx="4">
                  <c:v>3</c:v>
                </c:pt>
                <c:pt idx="5">
                  <c:v>3</c:v>
                </c:pt>
                <c:pt idx="6">
                  <c:v>7</c:v>
                </c:pt>
                <c:pt idx="7">
                  <c:v>4</c:v>
                </c:pt>
                <c:pt idx="8">
                  <c:v>0</c:v>
                </c:pt>
                <c:pt idx="9">
                  <c:v>5</c:v>
                </c:pt>
                <c:pt idx="10">
                  <c:v>0</c:v>
                </c:pt>
                <c:pt idx="11">
                  <c:v>0</c:v>
                </c:pt>
                <c:pt idx="12">
                  <c:v>0</c:v>
                </c:pt>
              </c:numCache>
            </c:numRef>
          </c:val>
          <c:extLst>
            <c:ext xmlns:c16="http://schemas.microsoft.com/office/drawing/2014/chart" uri="{C3380CC4-5D6E-409C-BE32-E72D297353CC}">
              <c16:uniqueId val="{00000000-DF5D-E24B-B37D-192F0465D400}"/>
            </c:ext>
          </c:extLst>
        </c:ser>
        <c:ser>
          <c:idx val="1"/>
          <c:order val="1"/>
          <c:tx>
            <c:strRef>
              <c:f>Foglio1!$BH$2</c:f>
              <c:strCache>
                <c:ptCount val="1"/>
                <c:pt idx="0">
                  <c:v>requirement</c:v>
                </c:pt>
              </c:strCache>
            </c:strRef>
          </c:tx>
          <c:spPr>
            <a:solidFill>
              <a:schemeClr val="accent2"/>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Foglio1!$BH$3:$BH$15</c:f>
              <c:numCache>
                <c:formatCode>General</c:formatCode>
                <c:ptCount val="13"/>
                <c:pt idx="0">
                  <c:v>2</c:v>
                </c:pt>
                <c:pt idx="1">
                  <c:v>1</c:v>
                </c:pt>
                <c:pt idx="2">
                  <c:v>0</c:v>
                </c:pt>
                <c:pt idx="3">
                  <c:v>1</c:v>
                </c:pt>
                <c:pt idx="4">
                  <c:v>0</c:v>
                </c:pt>
                <c:pt idx="5">
                  <c:v>1</c:v>
                </c:pt>
                <c:pt idx="6">
                  <c:v>2</c:v>
                </c:pt>
                <c:pt idx="7">
                  <c:v>0</c:v>
                </c:pt>
                <c:pt idx="8">
                  <c:v>0</c:v>
                </c:pt>
                <c:pt idx="9">
                  <c:v>1</c:v>
                </c:pt>
                <c:pt idx="10">
                  <c:v>0</c:v>
                </c:pt>
                <c:pt idx="11">
                  <c:v>0</c:v>
                </c:pt>
                <c:pt idx="12">
                  <c:v>0</c:v>
                </c:pt>
              </c:numCache>
            </c:numRef>
          </c:val>
          <c:extLst>
            <c:ext xmlns:c16="http://schemas.microsoft.com/office/drawing/2014/chart" uri="{C3380CC4-5D6E-409C-BE32-E72D297353CC}">
              <c16:uniqueId val="{00000001-DF5D-E24B-B37D-192F0465D400}"/>
            </c:ext>
          </c:extLst>
        </c:ser>
        <c:ser>
          <c:idx val="2"/>
          <c:order val="2"/>
          <c:tx>
            <c:strRef>
              <c:f>Foglio1!$BI$2</c:f>
              <c:strCache>
                <c:ptCount val="1"/>
                <c:pt idx="0">
                  <c:v>probabilistic</c:v>
                </c:pt>
              </c:strCache>
            </c:strRef>
          </c:tx>
          <c:spPr>
            <a:solidFill>
              <a:schemeClr val="accent3"/>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Foglio1!$BI$3:$BI$15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DF5D-E24B-B37D-192F0465D400}"/>
            </c:ext>
          </c:extLst>
        </c:ser>
        <c:ser>
          <c:idx val="3"/>
          <c:order val="3"/>
          <c:tx>
            <c:strRef>
              <c:f>Foglio1!$BJ$2</c:f>
              <c:strCache>
                <c:ptCount val="1"/>
                <c:pt idx="0">
                  <c:v>distribution</c:v>
                </c:pt>
              </c:strCache>
            </c:strRef>
          </c:tx>
          <c:spPr>
            <a:solidFill>
              <a:schemeClr val="accent4"/>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Foglio1!$BJ$3:$BJ$15</c:f>
              <c:numCache>
                <c:formatCode>General</c:formatCode>
                <c:ptCount val="13"/>
                <c:pt idx="0">
                  <c:v>1</c:v>
                </c:pt>
                <c:pt idx="1">
                  <c:v>0</c:v>
                </c:pt>
                <c:pt idx="2">
                  <c:v>1</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3-DF5D-E24B-B37D-192F0465D400}"/>
            </c:ext>
          </c:extLst>
        </c:ser>
        <c:ser>
          <c:idx val="4"/>
          <c:order val="4"/>
          <c:tx>
            <c:strRef>
              <c:f>Foglio1!$BK$2</c:f>
              <c:strCache>
                <c:ptCount val="1"/>
                <c:pt idx="0">
                  <c:v>clustering</c:v>
                </c:pt>
              </c:strCache>
            </c:strRef>
          </c:tx>
          <c:spPr>
            <a:solidFill>
              <a:schemeClr val="accent5"/>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Foglio1!$BK$3:$BK$15</c:f>
              <c:numCache>
                <c:formatCode>General</c:formatCode>
                <c:ptCount val="13"/>
                <c:pt idx="0">
                  <c:v>0</c:v>
                </c:pt>
                <c:pt idx="1">
                  <c:v>0</c:v>
                </c:pt>
                <c:pt idx="2">
                  <c:v>0</c:v>
                </c:pt>
                <c:pt idx="3">
                  <c:v>1</c:v>
                </c:pt>
                <c:pt idx="4">
                  <c:v>0</c:v>
                </c:pt>
                <c:pt idx="5">
                  <c:v>0</c:v>
                </c:pt>
                <c:pt idx="6">
                  <c:v>0</c:v>
                </c:pt>
                <c:pt idx="7">
                  <c:v>0</c:v>
                </c:pt>
                <c:pt idx="8">
                  <c:v>1</c:v>
                </c:pt>
                <c:pt idx="9">
                  <c:v>0</c:v>
                </c:pt>
                <c:pt idx="10">
                  <c:v>0</c:v>
                </c:pt>
                <c:pt idx="11">
                  <c:v>1</c:v>
                </c:pt>
                <c:pt idx="12">
                  <c:v>0</c:v>
                </c:pt>
              </c:numCache>
            </c:numRef>
          </c:val>
          <c:extLst>
            <c:ext xmlns:c16="http://schemas.microsoft.com/office/drawing/2014/chart" uri="{C3380CC4-5D6E-409C-BE32-E72D297353CC}">
              <c16:uniqueId val="{00000004-DF5D-E24B-B37D-192F0465D400}"/>
            </c:ext>
          </c:extLst>
        </c:ser>
        <c:ser>
          <c:idx val="5"/>
          <c:order val="5"/>
          <c:tx>
            <c:strRef>
              <c:f>Foglio1!$BL$2</c:f>
              <c:strCache>
                <c:ptCount val="1"/>
                <c:pt idx="0">
                  <c:v>history</c:v>
                </c:pt>
              </c:strCache>
            </c:strRef>
          </c:tx>
          <c:spPr>
            <a:solidFill>
              <a:schemeClr val="accent6"/>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Foglio1!$BL$3:$BL$15</c:f>
              <c:numCache>
                <c:formatCode>General</c:formatCode>
                <c:ptCount val="13"/>
                <c:pt idx="0">
                  <c:v>0</c:v>
                </c:pt>
                <c:pt idx="1">
                  <c:v>3</c:v>
                </c:pt>
                <c:pt idx="2">
                  <c:v>2</c:v>
                </c:pt>
                <c:pt idx="3">
                  <c:v>1</c:v>
                </c:pt>
                <c:pt idx="4">
                  <c:v>2</c:v>
                </c:pt>
                <c:pt idx="5">
                  <c:v>3</c:v>
                </c:pt>
                <c:pt idx="6">
                  <c:v>0</c:v>
                </c:pt>
                <c:pt idx="7">
                  <c:v>0</c:v>
                </c:pt>
                <c:pt idx="8">
                  <c:v>2</c:v>
                </c:pt>
                <c:pt idx="9">
                  <c:v>3</c:v>
                </c:pt>
                <c:pt idx="10">
                  <c:v>2</c:v>
                </c:pt>
                <c:pt idx="11">
                  <c:v>2</c:v>
                </c:pt>
                <c:pt idx="12">
                  <c:v>0</c:v>
                </c:pt>
              </c:numCache>
            </c:numRef>
          </c:val>
          <c:extLst>
            <c:ext xmlns:c16="http://schemas.microsoft.com/office/drawing/2014/chart" uri="{C3380CC4-5D6E-409C-BE32-E72D297353CC}">
              <c16:uniqueId val="{00000005-DF5D-E24B-B37D-192F0465D400}"/>
            </c:ext>
          </c:extLst>
        </c:ser>
        <c:ser>
          <c:idx val="6"/>
          <c:order val="6"/>
          <c:tx>
            <c:strRef>
              <c:f>Foglio1!$BM$2</c:f>
              <c:strCache>
                <c:ptCount val="1"/>
                <c:pt idx="0">
                  <c:v>model</c:v>
                </c:pt>
              </c:strCache>
            </c:strRef>
          </c:tx>
          <c:spPr>
            <a:solidFill>
              <a:schemeClr val="accent1">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Foglio1!$BM$3:$BM$15</c:f>
              <c:numCache>
                <c:formatCode>General</c:formatCode>
                <c:ptCount val="13"/>
                <c:pt idx="0">
                  <c:v>0</c:v>
                </c:pt>
                <c:pt idx="1">
                  <c:v>0</c:v>
                </c:pt>
                <c:pt idx="2">
                  <c:v>1</c:v>
                </c:pt>
                <c:pt idx="3">
                  <c:v>0</c:v>
                </c:pt>
                <c:pt idx="4">
                  <c:v>0</c:v>
                </c:pt>
                <c:pt idx="5">
                  <c:v>1</c:v>
                </c:pt>
                <c:pt idx="6">
                  <c:v>1</c:v>
                </c:pt>
                <c:pt idx="7">
                  <c:v>0</c:v>
                </c:pt>
                <c:pt idx="8">
                  <c:v>0</c:v>
                </c:pt>
                <c:pt idx="9">
                  <c:v>1</c:v>
                </c:pt>
                <c:pt idx="10">
                  <c:v>1</c:v>
                </c:pt>
                <c:pt idx="11">
                  <c:v>0</c:v>
                </c:pt>
                <c:pt idx="12">
                  <c:v>0</c:v>
                </c:pt>
              </c:numCache>
            </c:numRef>
          </c:val>
          <c:extLst>
            <c:ext xmlns:c16="http://schemas.microsoft.com/office/drawing/2014/chart" uri="{C3380CC4-5D6E-409C-BE32-E72D297353CC}">
              <c16:uniqueId val="{00000006-DF5D-E24B-B37D-192F0465D400}"/>
            </c:ext>
          </c:extLst>
        </c:ser>
        <c:ser>
          <c:idx val="7"/>
          <c:order val="7"/>
          <c:tx>
            <c:strRef>
              <c:f>Foglio1!$BN$2</c:f>
              <c:strCache>
                <c:ptCount val="1"/>
                <c:pt idx="0">
                  <c:v>cost-aware</c:v>
                </c:pt>
              </c:strCache>
            </c:strRef>
          </c:tx>
          <c:spPr>
            <a:solidFill>
              <a:schemeClr val="accent2">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Foglio1!$BN$3:$BN$15</c:f>
              <c:numCache>
                <c:formatCode>General</c:formatCode>
                <c:ptCount val="13"/>
                <c:pt idx="0">
                  <c:v>0</c:v>
                </c:pt>
                <c:pt idx="1">
                  <c:v>0</c:v>
                </c:pt>
                <c:pt idx="2">
                  <c:v>0</c:v>
                </c:pt>
                <c:pt idx="3">
                  <c:v>0</c:v>
                </c:pt>
                <c:pt idx="4">
                  <c:v>1</c:v>
                </c:pt>
                <c:pt idx="5">
                  <c:v>0</c:v>
                </c:pt>
                <c:pt idx="6">
                  <c:v>0</c:v>
                </c:pt>
                <c:pt idx="7">
                  <c:v>0</c:v>
                </c:pt>
                <c:pt idx="8">
                  <c:v>1</c:v>
                </c:pt>
                <c:pt idx="9">
                  <c:v>0</c:v>
                </c:pt>
                <c:pt idx="10">
                  <c:v>2</c:v>
                </c:pt>
                <c:pt idx="11">
                  <c:v>0</c:v>
                </c:pt>
                <c:pt idx="12">
                  <c:v>0</c:v>
                </c:pt>
              </c:numCache>
            </c:numRef>
          </c:val>
          <c:extLst>
            <c:ext xmlns:c16="http://schemas.microsoft.com/office/drawing/2014/chart" uri="{C3380CC4-5D6E-409C-BE32-E72D297353CC}">
              <c16:uniqueId val="{00000007-DF5D-E24B-B37D-192F0465D400}"/>
            </c:ext>
          </c:extLst>
        </c:ser>
        <c:ser>
          <c:idx val="8"/>
          <c:order val="8"/>
          <c:tx>
            <c:strRef>
              <c:f>Foglio1!$BO$2</c:f>
              <c:strCache>
                <c:ptCount val="1"/>
                <c:pt idx="0">
                  <c:v>similarity</c:v>
                </c:pt>
              </c:strCache>
            </c:strRef>
          </c:tx>
          <c:spPr>
            <a:solidFill>
              <a:schemeClr val="accent3">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Foglio1!$BO$3:$BO$15</c:f>
              <c:numCache>
                <c:formatCode>General</c:formatCode>
                <c:ptCount val="13"/>
                <c:pt idx="0">
                  <c:v>0</c:v>
                </c:pt>
                <c:pt idx="1">
                  <c:v>0</c:v>
                </c:pt>
                <c:pt idx="2">
                  <c:v>0</c:v>
                </c:pt>
                <c:pt idx="3">
                  <c:v>1</c:v>
                </c:pt>
                <c:pt idx="4">
                  <c:v>0</c:v>
                </c:pt>
                <c:pt idx="5">
                  <c:v>1</c:v>
                </c:pt>
                <c:pt idx="6">
                  <c:v>1</c:v>
                </c:pt>
                <c:pt idx="7">
                  <c:v>0</c:v>
                </c:pt>
                <c:pt idx="8">
                  <c:v>0</c:v>
                </c:pt>
                <c:pt idx="9">
                  <c:v>1</c:v>
                </c:pt>
                <c:pt idx="10">
                  <c:v>2</c:v>
                </c:pt>
                <c:pt idx="11">
                  <c:v>0</c:v>
                </c:pt>
                <c:pt idx="12">
                  <c:v>0</c:v>
                </c:pt>
              </c:numCache>
            </c:numRef>
          </c:val>
          <c:extLst>
            <c:ext xmlns:c16="http://schemas.microsoft.com/office/drawing/2014/chart" uri="{C3380CC4-5D6E-409C-BE32-E72D297353CC}">
              <c16:uniqueId val="{00000008-DF5D-E24B-B37D-192F0465D400}"/>
            </c:ext>
          </c:extLst>
        </c:ser>
        <c:ser>
          <c:idx val="9"/>
          <c:order val="9"/>
          <c:tx>
            <c:strRef>
              <c:f>Foglio1!$BP$2</c:f>
              <c:strCache>
                <c:ptCount val="1"/>
                <c:pt idx="0">
                  <c:v>input</c:v>
                </c:pt>
              </c:strCache>
            </c:strRef>
          </c:tx>
          <c:spPr>
            <a:solidFill>
              <a:schemeClr val="accent4">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Foglio1!$BP$3:$BP$15</c:f>
              <c:numCache>
                <c:formatCode>General</c:formatCode>
                <c:ptCount val="13"/>
                <c:pt idx="0">
                  <c:v>0</c:v>
                </c:pt>
                <c:pt idx="1">
                  <c:v>0</c:v>
                </c:pt>
                <c:pt idx="2">
                  <c:v>1</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DF5D-E24B-B37D-192F0465D400}"/>
            </c:ext>
          </c:extLst>
        </c:ser>
        <c:ser>
          <c:idx val="10"/>
          <c:order val="10"/>
          <c:tx>
            <c:strRef>
              <c:f>Foglio1!$BQ$2</c:f>
              <c:strCache>
                <c:ptCount val="1"/>
                <c:pt idx="0">
                  <c:v>structure</c:v>
                </c:pt>
              </c:strCache>
            </c:strRef>
          </c:tx>
          <c:spPr>
            <a:solidFill>
              <a:schemeClr val="accent5">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Foglio1!$BQ$3:$BQ$15</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DF5D-E24B-B37D-192F0465D400}"/>
            </c:ext>
          </c:extLst>
        </c:ser>
        <c:ser>
          <c:idx val="11"/>
          <c:order val="11"/>
          <c:tx>
            <c:strRef>
              <c:f>Foglio1!$BR$2</c:f>
              <c:strCache>
                <c:ptCount val="1"/>
                <c:pt idx="0">
                  <c:v>change</c:v>
                </c:pt>
              </c:strCache>
            </c:strRef>
          </c:tx>
          <c:spPr>
            <a:solidFill>
              <a:schemeClr val="accent6">
                <a:lumMod val="6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Foglio1!$BR$3:$BR$15</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0B-DF5D-E24B-B37D-192F0465D400}"/>
            </c:ext>
          </c:extLst>
        </c:ser>
        <c:ser>
          <c:idx val="12"/>
          <c:order val="12"/>
          <c:tx>
            <c:strRef>
              <c:f>Foglio1!$BS$2</c:f>
              <c:strCache>
                <c:ptCount val="1"/>
                <c:pt idx="0">
                  <c:v>ml</c:v>
                </c:pt>
              </c:strCache>
            </c:strRef>
          </c:tx>
          <c:spPr>
            <a:solidFill>
              <a:schemeClr val="accent1">
                <a:lumMod val="80000"/>
                <a:lumOff val="20000"/>
              </a:schemeClr>
            </a:solidFill>
            <a:ln>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Foglio1!$BS$3:$BS$15</c:f>
              <c:numCache>
                <c:formatCode>General</c:formatCode>
                <c:ptCount val="13"/>
                <c:pt idx="0">
                  <c:v>0</c:v>
                </c:pt>
                <c:pt idx="1">
                  <c:v>0</c:v>
                </c:pt>
                <c:pt idx="2">
                  <c:v>0</c:v>
                </c:pt>
                <c:pt idx="3">
                  <c:v>0</c:v>
                </c:pt>
                <c:pt idx="4">
                  <c:v>0</c:v>
                </c:pt>
                <c:pt idx="5">
                  <c:v>0</c:v>
                </c:pt>
                <c:pt idx="6">
                  <c:v>0</c:v>
                </c:pt>
                <c:pt idx="7">
                  <c:v>1</c:v>
                </c:pt>
                <c:pt idx="8">
                  <c:v>0</c:v>
                </c:pt>
                <c:pt idx="9">
                  <c:v>1</c:v>
                </c:pt>
                <c:pt idx="10">
                  <c:v>0</c:v>
                </c:pt>
                <c:pt idx="11">
                  <c:v>0</c:v>
                </c:pt>
                <c:pt idx="12">
                  <c:v>0</c:v>
                </c:pt>
              </c:numCache>
            </c:numRef>
          </c:val>
          <c:extLst>
            <c:ext xmlns:c16="http://schemas.microsoft.com/office/drawing/2014/chart" uri="{C3380CC4-5D6E-409C-BE32-E72D297353CC}">
              <c16:uniqueId val="{0000000C-DF5D-E24B-B37D-192F0465D400}"/>
            </c:ext>
          </c:extLst>
        </c:ser>
        <c:ser>
          <c:idx val="13"/>
          <c:order val="13"/>
          <c:tx>
            <c:strRef>
              <c:f>Foglio1!$BT$2</c:f>
              <c:strCache>
                <c:ptCount val="1"/>
                <c:pt idx="0">
                  <c:v>heuristic</c:v>
                </c:pt>
              </c:strCache>
            </c:strRef>
          </c:tx>
          <c:spPr>
            <a:solidFill>
              <a:schemeClr val="accent2">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Foglio1!$BT$3:$BT$15</c:f>
              <c:numCache>
                <c:formatCode>General</c:formatCode>
                <c:ptCount val="13"/>
                <c:pt idx="0">
                  <c:v>0</c:v>
                </c:pt>
                <c:pt idx="1">
                  <c:v>0</c:v>
                </c:pt>
                <c:pt idx="2">
                  <c:v>0</c:v>
                </c:pt>
                <c:pt idx="3">
                  <c:v>0</c:v>
                </c:pt>
                <c:pt idx="4">
                  <c:v>0</c:v>
                </c:pt>
                <c:pt idx="5">
                  <c:v>0</c:v>
                </c:pt>
                <c:pt idx="6">
                  <c:v>0</c:v>
                </c:pt>
                <c:pt idx="7">
                  <c:v>0</c:v>
                </c:pt>
                <c:pt idx="8">
                  <c:v>2</c:v>
                </c:pt>
                <c:pt idx="9">
                  <c:v>1</c:v>
                </c:pt>
                <c:pt idx="10">
                  <c:v>1</c:v>
                </c:pt>
                <c:pt idx="11">
                  <c:v>0</c:v>
                </c:pt>
                <c:pt idx="12">
                  <c:v>0</c:v>
                </c:pt>
              </c:numCache>
            </c:numRef>
          </c:val>
          <c:extLst>
            <c:ext xmlns:c16="http://schemas.microsoft.com/office/drawing/2014/chart" uri="{C3380CC4-5D6E-409C-BE32-E72D297353CC}">
              <c16:uniqueId val="{0000000D-DF5D-E24B-B37D-192F0465D400}"/>
            </c:ext>
          </c:extLst>
        </c:ser>
        <c:ser>
          <c:idx val="14"/>
          <c:order val="14"/>
          <c:tx>
            <c:strRef>
              <c:f>Foglio1!$BU$2</c:f>
              <c:strCache>
                <c:ptCount val="1"/>
                <c:pt idx="0">
                  <c:v>search</c:v>
                </c:pt>
              </c:strCache>
            </c:strRef>
          </c:tx>
          <c:spPr>
            <a:solidFill>
              <a:schemeClr val="accent3">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Foglio1!$BU$3:$BU$15</c:f>
              <c:numCache>
                <c:formatCode>General</c:formatCode>
                <c:ptCount val="13"/>
                <c:pt idx="0">
                  <c:v>0</c:v>
                </c:pt>
                <c:pt idx="1">
                  <c:v>0</c:v>
                </c:pt>
                <c:pt idx="2">
                  <c:v>1</c:v>
                </c:pt>
                <c:pt idx="3">
                  <c:v>0</c:v>
                </c:pt>
                <c:pt idx="4">
                  <c:v>0</c:v>
                </c:pt>
                <c:pt idx="5">
                  <c:v>0</c:v>
                </c:pt>
                <c:pt idx="6">
                  <c:v>0</c:v>
                </c:pt>
                <c:pt idx="7">
                  <c:v>0</c:v>
                </c:pt>
                <c:pt idx="8">
                  <c:v>1</c:v>
                </c:pt>
                <c:pt idx="9">
                  <c:v>2</c:v>
                </c:pt>
                <c:pt idx="10">
                  <c:v>1</c:v>
                </c:pt>
                <c:pt idx="11">
                  <c:v>2</c:v>
                </c:pt>
                <c:pt idx="12">
                  <c:v>0</c:v>
                </c:pt>
              </c:numCache>
            </c:numRef>
          </c:val>
          <c:extLst>
            <c:ext xmlns:c16="http://schemas.microsoft.com/office/drawing/2014/chart" uri="{C3380CC4-5D6E-409C-BE32-E72D297353CC}">
              <c16:uniqueId val="{0000000E-DF5D-E24B-B37D-192F0465D400}"/>
            </c:ext>
          </c:extLst>
        </c:ser>
        <c:ser>
          <c:idx val="15"/>
          <c:order val="15"/>
          <c:tx>
            <c:strRef>
              <c:f>Foglio1!$BV$2</c:f>
              <c:strCache>
                <c:ptCount val="1"/>
                <c:pt idx="0">
                  <c:v>transfer</c:v>
                </c:pt>
              </c:strCache>
            </c:strRef>
          </c:tx>
          <c:spPr>
            <a:solidFill>
              <a:schemeClr val="accent4">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Foglio1!$BV$3:$BV$15</c:f>
              <c:numCache>
                <c:formatCode>General</c:formatCode>
                <c:ptCount val="13"/>
                <c:pt idx="0">
                  <c:v>0</c:v>
                </c:pt>
                <c:pt idx="1">
                  <c:v>0</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F-DF5D-E24B-B37D-192F0465D400}"/>
            </c:ext>
          </c:extLst>
        </c:ser>
        <c:ser>
          <c:idx val="16"/>
          <c:order val="16"/>
          <c:tx>
            <c:strRef>
              <c:f>Foglio1!$BW$2</c:f>
              <c:strCache>
                <c:ptCount val="1"/>
                <c:pt idx="0">
                  <c:v>risk</c:v>
                </c:pt>
              </c:strCache>
            </c:strRef>
          </c:tx>
          <c:spPr>
            <a:solidFill>
              <a:schemeClr val="accent5">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Foglio1!$BW$3:$BW$15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0-DF5D-E24B-B37D-192F0465D400}"/>
            </c:ext>
          </c:extLst>
        </c:ser>
        <c:ser>
          <c:idx val="17"/>
          <c:order val="17"/>
          <c:tx>
            <c:strRef>
              <c:f>Foglio1!$BX$2</c:f>
              <c:strCache>
                <c:ptCount val="1"/>
                <c:pt idx="0">
                  <c:v>nlp</c:v>
                </c:pt>
              </c:strCache>
            </c:strRef>
          </c:tx>
          <c:spPr>
            <a:solidFill>
              <a:schemeClr val="accent6">
                <a:lumMod val="80000"/>
                <a:lumOff val="2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Foglio1!$BX$3:$BX$15</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DF5D-E24B-B37D-192F0465D400}"/>
            </c:ext>
          </c:extLst>
        </c:ser>
        <c:ser>
          <c:idx val="18"/>
          <c:order val="18"/>
          <c:tx>
            <c:strRef>
              <c:f>Foglio1!$BY$2</c:f>
              <c:strCache>
                <c:ptCount val="1"/>
                <c:pt idx="0">
                  <c:v>design</c:v>
                </c:pt>
              </c:strCache>
            </c:strRef>
          </c:tx>
          <c:spPr>
            <a:solidFill>
              <a:schemeClr val="accent1">
                <a:lumMod val="8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Foglio1!$BY$3:$BY$15</c:f>
              <c:numCache>
                <c:formatCode>General</c:formatCode>
                <c:ptCount val="13"/>
                <c:pt idx="0">
                  <c:v>0</c:v>
                </c:pt>
                <c:pt idx="1">
                  <c:v>0</c:v>
                </c:pt>
                <c:pt idx="2">
                  <c:v>1</c:v>
                </c:pt>
                <c:pt idx="3">
                  <c:v>0</c:v>
                </c:pt>
                <c:pt idx="4">
                  <c:v>0</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2-DF5D-E24B-B37D-192F0465D400}"/>
            </c:ext>
          </c:extLst>
        </c:ser>
        <c:ser>
          <c:idx val="19"/>
          <c:order val="19"/>
          <c:tx>
            <c:strRef>
              <c:f>Foglio1!$BZ$2</c:f>
              <c:strCache>
                <c:ptCount val="1"/>
                <c:pt idx="0">
                  <c:v>other</c:v>
                </c:pt>
              </c:strCache>
            </c:strRef>
          </c:tx>
          <c:spPr>
            <a:solidFill>
              <a:schemeClr val="accent2">
                <a:lumMod val="80000"/>
              </a:schemeClr>
            </a:solidFill>
            <a:ln w="25400">
              <a:noFill/>
            </a:ln>
            <a:effectLst/>
          </c:spPr>
          <c:invertIfNegative val="0"/>
          <c:cat>
            <c:numRef>
              <c:f>Foglio1!$BF$3:$BF$15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Foglio1!$BZ$3:$BZ$15</c:f>
              <c:numCache>
                <c:formatCode>General</c:formatCode>
                <c:ptCount val="13"/>
                <c:pt idx="0">
                  <c:v>1</c:v>
                </c:pt>
                <c:pt idx="1">
                  <c:v>2</c:v>
                </c:pt>
                <c:pt idx="2">
                  <c:v>0</c:v>
                </c:pt>
                <c:pt idx="3">
                  <c:v>0</c:v>
                </c:pt>
                <c:pt idx="4">
                  <c:v>0</c:v>
                </c:pt>
                <c:pt idx="5">
                  <c:v>1</c:v>
                </c:pt>
                <c:pt idx="6">
                  <c:v>2</c:v>
                </c:pt>
                <c:pt idx="7">
                  <c:v>2</c:v>
                </c:pt>
                <c:pt idx="8">
                  <c:v>1</c:v>
                </c:pt>
                <c:pt idx="9">
                  <c:v>1</c:v>
                </c:pt>
                <c:pt idx="10">
                  <c:v>0</c:v>
                </c:pt>
                <c:pt idx="11">
                  <c:v>0</c:v>
                </c:pt>
                <c:pt idx="12">
                  <c:v>0</c:v>
                </c:pt>
              </c:numCache>
            </c:numRef>
          </c:val>
          <c:extLst>
            <c:ext xmlns:c16="http://schemas.microsoft.com/office/drawing/2014/chart" uri="{C3380CC4-5D6E-409C-BE32-E72D297353CC}">
              <c16:uniqueId val="{00000013-DF5D-E24B-B37D-192F0465D400}"/>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Foglio1!$BG$71</c:f>
              <c:strCache>
                <c:ptCount val="1"/>
                <c:pt idx="0">
                  <c:v>search-based</c:v>
                </c:pt>
              </c:strCache>
            </c:strRef>
          </c:tx>
          <c:spPr>
            <a:solidFill>
              <a:schemeClr val="accent1"/>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Foglio1!$BG$72:$BG$84</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Foglio1!$BH$71</c:f>
              <c:strCache>
                <c:ptCount val="1"/>
                <c:pt idx="0">
                  <c:v>others</c:v>
                </c:pt>
              </c:strCache>
            </c:strRef>
          </c:tx>
          <c:spPr>
            <a:solidFill>
              <a:schemeClr val="accent2"/>
            </a:solidFill>
            <a:ln>
              <a:noFill/>
            </a:ln>
            <a:effectLst/>
          </c:spPr>
          <c:invertIfNegative val="0"/>
          <c:cat>
            <c:numRef>
              <c:f>Foglio1!$BF$72:$BF$84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Foglio1!$BH$72:$BH$84</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32</xdr:col>
      <xdr:colOff>269234</xdr:colOff>
      <xdr:row>1</xdr:row>
      <xdr:rowOff>1118689</xdr:rowOff>
    </xdr:from>
    <xdr:to>
      <xdr:col>41</xdr:col>
      <xdr:colOff>465026</xdr:colOff>
      <xdr:row>2</xdr:row>
      <xdr:rowOff>1061538</xdr:rowOff>
    </xdr:to>
    <xdr:graphicFrame macro="">
      <xdr:nvGraphicFramePr>
        <xdr:cNvPr id="5" name="Grafico 4">
          <a:extLst>
            <a:ext uri="{FF2B5EF4-FFF2-40B4-BE49-F238E27FC236}">
              <a16:creationId xmlns:a16="http://schemas.microsoft.com/office/drawing/2014/main" id="{19C7A7D4-E7F8-97EF-E10B-584CF3E51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60</xdr:col>
      <xdr:colOff>677331</xdr:colOff>
      <xdr:row>35</xdr:row>
      <xdr:rowOff>1197264</xdr:rowOff>
    </xdr:from>
    <xdr:to>
      <xdr:col>75</xdr:col>
      <xdr:colOff>250152</xdr:colOff>
      <xdr:row>38</xdr:row>
      <xdr:rowOff>250152</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269393</xdr:colOff>
      <xdr:row>1</xdr:row>
      <xdr:rowOff>2001212</xdr:rowOff>
    </xdr:from>
    <xdr:to>
      <xdr:col>74</xdr:col>
      <xdr:colOff>673485</xdr:colOff>
      <xdr:row>2</xdr:row>
      <xdr:rowOff>3886970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58</xdr:col>
      <xdr:colOff>292484</xdr:colOff>
      <xdr:row>80</xdr:row>
      <xdr:rowOff>639233</xdr:rowOff>
    </xdr:from>
    <xdr:to>
      <xdr:col>66</xdr:col>
      <xdr:colOff>634999</xdr:colOff>
      <xdr:row>82</xdr:row>
      <xdr:rowOff>38484</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CB126"/>
  <sheetViews>
    <sheetView tabSelected="1" topLeftCell="AS81" zoomScale="66" zoomScaleNormal="72" workbookViewId="0">
      <selection activeCell="BF71" sqref="BF71:BH84"/>
    </sheetView>
  </sheetViews>
  <sheetFormatPr baseColWidth="10" defaultRowHeight="16" x14ac:dyDescent="0.2"/>
  <sheetData>
    <row r="1" spans="1:78"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2" t="s">
        <v>1334</v>
      </c>
      <c r="AL1" s="32" t="s">
        <v>1335</v>
      </c>
      <c r="AM1" s="32" t="s">
        <v>1075</v>
      </c>
      <c r="AN1" s="32" t="s">
        <v>1111</v>
      </c>
      <c r="AP1" s="33" t="s">
        <v>1333</v>
      </c>
      <c r="AQ1" s="33" t="s">
        <v>1336</v>
      </c>
      <c r="AR1" s="33" t="s">
        <v>1335</v>
      </c>
      <c r="AS1" s="33" t="s">
        <v>1075</v>
      </c>
      <c r="AT1" s="33" t="s">
        <v>1111</v>
      </c>
      <c r="AW1" s="33"/>
      <c r="AX1" s="33"/>
      <c r="AY1" s="33"/>
      <c r="BA1" s="33" t="s">
        <v>1340</v>
      </c>
      <c r="BB1" s="33"/>
      <c r="BC1" s="33"/>
      <c r="BD1" s="33"/>
      <c r="BF1" t="s">
        <v>1381</v>
      </c>
    </row>
    <row r="2" spans="1:78" ht="409.6" x14ac:dyDescent="0.2">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46</v>
      </c>
      <c r="AC2" s="2"/>
      <c r="AD2" s="2" t="s">
        <v>47</v>
      </c>
      <c r="AE2" s="2"/>
      <c r="AF2" s="2"/>
      <c r="AG2" s="2"/>
      <c r="AH2" s="2">
        <v>0</v>
      </c>
      <c r="AK2">
        <f>IF(Y2="PS",1,0)</f>
        <v>0</v>
      </c>
      <c r="AL2">
        <f>IF(AND(Y2="PS",ISNUMBER(SEARCH("minimization",Z2))),1,0)</f>
        <v>0</v>
      </c>
      <c r="AM2">
        <f>IF(AND(Y2="PS",ISNUMBER(SEARCH("selection",Z2))),1,0)</f>
        <v>0</v>
      </c>
      <c r="AN2">
        <f>IF(AND(Y2="PS",ISNUMBER(SEARCH("prioritization",Z2))),1,0)</f>
        <v>0</v>
      </c>
      <c r="AP2">
        <v>2012</v>
      </c>
      <c r="AQ2">
        <f>SUMIF(F:F,AP2,AK:AK)</f>
        <v>0</v>
      </c>
      <c r="AR2">
        <f>SUMIF(F:F,AP2,AL:AL)</f>
        <v>0</v>
      </c>
      <c r="AS2">
        <f>SUMIF(F:F,AP2,AM:AM)</f>
        <v>0</v>
      </c>
      <c r="AT2">
        <f>SUMIF(F:F,AP2,AN:AN)</f>
        <v>0</v>
      </c>
      <c r="BA2" t="s">
        <v>1341</v>
      </c>
      <c r="BB2" t="s">
        <v>1342</v>
      </c>
      <c r="BC2" t="s">
        <v>1343</v>
      </c>
      <c r="BD2" t="s">
        <v>1344</v>
      </c>
      <c r="BF2" t="s">
        <v>1382</v>
      </c>
      <c r="BG2" t="s">
        <v>1345</v>
      </c>
      <c r="BH2" t="s">
        <v>1383</v>
      </c>
      <c r="BI2" t="s">
        <v>1347</v>
      </c>
      <c r="BJ2" t="s">
        <v>1348</v>
      </c>
      <c r="BK2" t="s">
        <v>1349</v>
      </c>
      <c r="BL2" t="s">
        <v>1350</v>
      </c>
      <c r="BM2" t="s">
        <v>1351</v>
      </c>
      <c r="BN2" t="s">
        <v>1352</v>
      </c>
      <c r="BO2" t="s">
        <v>1353</v>
      </c>
      <c r="BP2" t="s">
        <v>1354</v>
      </c>
      <c r="BQ2" t="s">
        <v>1355</v>
      </c>
      <c r="BR2" t="s">
        <v>1356</v>
      </c>
      <c r="BS2" t="s">
        <v>1357</v>
      </c>
      <c r="BT2" t="s">
        <v>1358</v>
      </c>
      <c r="BU2" t="s">
        <v>1359</v>
      </c>
      <c r="BV2" t="s">
        <v>1360</v>
      </c>
      <c r="BW2" t="s">
        <v>1384</v>
      </c>
      <c r="BX2" t="s">
        <v>1361</v>
      </c>
      <c r="BY2" t="s">
        <v>1362</v>
      </c>
      <c r="BZ2" t="s">
        <v>1385</v>
      </c>
    </row>
    <row r="3" spans="1:78" ht="409.6" x14ac:dyDescent="0.2">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61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BA3" t="s">
        <v>1345</v>
      </c>
      <c r="BB3" s="35" cm="1">
        <f t="array" ref="BB3">SUMPRODUCT((Y$2:Y$1000="PS")*ISNUMBER(SEARCH(LOWER(BA3),LOWER(AA$2:AA$1000)))*ISNUMBER(SEARCH("prioritization",LOWER(Z$2:Z$1000))))</f>
        <v>30</v>
      </c>
      <c r="BF3">
        <v>2013</v>
      </c>
      <c r="BG3" s="35" cm="1">
        <f t="array" ref="BG3">SUMPRODUCT((Y$2:Y$1000="PS")*(F$2:F$1000=BF3)*ISNUMBER(SEARCH("prioritization",LOWER(Z$2:Z$1000)))*ISNUMBER(SEARCH("coverage",LOWER(AA$2:AA$1000))))</f>
        <v>2</v>
      </c>
      <c r="BH3" s="35" cm="1">
        <f t="array" ref="BH3">SUMPRODUCT((Y$2:Y$1000="PS")*(F$2:F$1000=BF3)*ISNUMBER(SEARCH("prioritization",LOWER(Z$2:Z$1000)))*ISNUMBER(SEARCH("requirement",LOWER(AA$2:AA$1000))))</f>
        <v>2</v>
      </c>
      <c r="BI3" s="35" cm="1">
        <f t="array" ref="BI3">SUMPRODUCT((Y$2:Y$1000="PS")*(F$2:F$1000=BF3)*ISNUMBER(SEARCH("prioritization",LOWER(Z$2:Z$1000)))*ISNUMBER(SEARCH("probabilistic",LOWER(AA$2:AA$1000))))</f>
        <v>0</v>
      </c>
      <c r="BJ3" s="35" cm="1">
        <f t="array" ref="BJ3">SUMPRODUCT((Y$2:Y$1000="PS")*(F$2:F$1000=BF3)*ISNUMBER(SEARCH("prioritization",LOWER(Z$2:Z$1000)))*ISNUMBER(SEARCH("distribution",LOWER(AA$2:AA$1000))))</f>
        <v>1</v>
      </c>
      <c r="BK3" s="35" cm="1">
        <f t="array" ref="BK3">SUMPRODUCT((Y$2:Y$1000="PS")*(F$2:F$1000=BF3)*ISNUMBER(SEARCH("prioritization",LOWER(Z$2:Z$1000)))*ISNUMBER(SEARCH("clustering",LOWER(AA$2:AA$1000))))</f>
        <v>0</v>
      </c>
      <c r="BL3" s="35" cm="1">
        <f t="array" ref="BL3">SUMPRODUCT((Y$2:Y$1000="PS")*(F$2:F$1000=BF3)*ISNUMBER(SEARCH("prioritization",LOWER(Z$2:Z$1000)))*ISNUMBER(SEARCH("history",LOWER(AA$2:AA$1000))))</f>
        <v>0</v>
      </c>
      <c r="BM3" s="35" cm="1">
        <f t="array" ref="BM3">SUMPRODUCT((Y$2:Y$1000="PS")*(F$2:F$1000=BF3)*ISNUMBER(SEARCH("prioritization",LOWER(Z$2:Z$1000)))*ISNUMBER(SEARCH("model",LOWER(AA$2:AA$1000))))</f>
        <v>0</v>
      </c>
      <c r="BN3" s="35" cm="1">
        <f t="array" ref="BN3">SUMPRODUCT((Y$2:Y$1000="PS")*(F$2:F$1000=BF3)*ISNUMBER(SEARCH("prioritization",LOWER(Z$2:Z$1000)))*ISNUMBER(SEARCH("cost-aware",LOWER(AA$2:AA$1000))))</f>
        <v>0</v>
      </c>
      <c r="BO3" s="35" cm="1">
        <f t="array" ref="BO3">SUMPRODUCT((Y$2:Y$1000="PS")*(F$2:F$1000=BF3)*ISNUMBER(SEARCH("prioritization",LOWER(Z$2:Z$1000)))*ISNUMBER(SEARCH("similarity",LOWER(AA$2:AA$1000))))</f>
        <v>0</v>
      </c>
      <c r="BP3" s="35" cm="1">
        <f t="array" ref="BP3">SUMPRODUCT((Y$2:Y$1000="PS")*(F$2:F$1000=BF3)*ISNUMBER(SEARCH("prioritization",LOWER(Z$2:Z$1000)))*ISNUMBER(SEARCH("input",LOWER(AA$2:AA$1000))))</f>
        <v>0</v>
      </c>
      <c r="BQ3" s="35" cm="1">
        <f t="array" ref="BQ3">SUMPRODUCT((Y$2:Y$1000="PS")*(F$2:F$1000=BF3)*ISNUMBER(SEARCH("prioritization",LOWER(Z$2:Z$1000)))*ISNUMBER(SEARCH("structure",LOWER(AA$2:AA$1000))))</f>
        <v>0</v>
      </c>
      <c r="BR3" s="35" cm="1">
        <f t="array" ref="BR3">SUMPRODUCT((Y$2:Y$1000="PS")*(F$2:F$1000=BF3)*ISNUMBER(SEARCH("prioritization",LOWER(Z$2:Z$1000)))*ISNUMBER(SEARCH("change",LOWER(AA$2:AA$1000))))</f>
        <v>0</v>
      </c>
      <c r="BS3" s="35" cm="1">
        <f t="array" ref="BS3">SUMPRODUCT((Y$2:Y$1000="PS")*(F$2:F$1000=BF3)*ISNUMBER(SEARCH("prioritization",LOWER(Z$2:Z$1000)))*ISNUMBER(SEARCH("ml",LOWER(AA$2:AA$1000))))</f>
        <v>0</v>
      </c>
      <c r="BT3" s="35" cm="1">
        <f t="array" ref="BT3">SUMPRODUCT((Y$2:Y$1000="PS")*(F$2:F$1000=BF3)*ISNUMBER(SEARCH("prioritization",LOWER(Z$2:Z$1000)))*ISNUMBER(SEARCH("heuristic",LOWER(AA$2:AA$1000))))</f>
        <v>0</v>
      </c>
      <c r="BU3" s="35" cm="1">
        <f t="array" ref="BU3">SUMPRODUCT((Y$2:Y$1000="PS")*(F$2:F$1000=BF3)*ISNUMBER(SEARCH("prioritization",LOWER(Z$2:Z$1000)))*ISNUMBER(SEARCH("search",LOWER(AA$2:AA$1000))))</f>
        <v>0</v>
      </c>
      <c r="BV3" s="35" cm="1">
        <f t="array" ref="BV3">SUMPRODUCT((Y$2:Y$1000="PS")*(F$2:F$1000=BF3)*ISNUMBER(SEARCH("prioritization",LOWER(Z$2:Z$1000)))*ISNUMBER(SEARCH("transfer",LOWER(AA$2:AA$1000))))</f>
        <v>0</v>
      </c>
      <c r="BW3" s="35" cm="1">
        <f t="array" ref="BW3">SUMPRODUCT((Y$2:Y$1000="PS")*(F$2:F$1000=BF3)*ISNUMBER(SEARCH("prioritization",LOWER(Z$2:Z$1000)))*ISNUMBER(SEARCH("riski",LOWER(AA$2:AA$1000))))</f>
        <v>0</v>
      </c>
      <c r="BX3" s="35" cm="1">
        <f t="array" ref="BX3">SUMPRODUCT((Y$2:Y$1000="PS")*(F$2:F$1000=BF3)*ISNUMBER(SEARCH("prioritization",LOWER(Z$2:Z$1000)))*ISNUMBER(SEARCH("nlp",LOWER(AA$2:AA$1000))))</f>
        <v>0</v>
      </c>
      <c r="BY3" s="35" cm="1">
        <f t="array" ref="BY3">SUMPRODUCT((Y$2:Y$1000="PS")*(F$2:F$1000=BF3)*ISNUMBER(SEARCH("prioritization",LOWER(Z$2:Z$1000)))*ISNUMBER(SEARCH("design",LOWER(AA$2:AA$1000))))</f>
        <v>0</v>
      </c>
      <c r="BZ3" s="35" cm="1">
        <f t="array" ref="BZ3">SUMPRODUCT((Y$2:Y$1000="PS")*(F$2:F$1000=BF3)*ISNUMBER(SEARCH("prioritization",LOWER(Z$2:Z$1000)))*ISNUMBER(SEARCH("other",LOWER(AA$2:AA$1000))))</f>
        <v>1</v>
      </c>
    </row>
    <row r="4" spans="1:78" ht="409.6" x14ac:dyDescent="0.2">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BA4" t="s">
        <v>1346</v>
      </c>
      <c r="BB4" s="35" cm="1">
        <f t="array" ref="BB4">SUMPRODUCT((Y$2:Y$1000="PS")*ISNUMBER(SEARCH(LOWER(BA4),LOWER(AA$2:AA$1000)))*ISNUMBER(SEARCH("prioritization",LOWER(Z$2:Z$1000))))</f>
        <v>2</v>
      </c>
      <c r="BF4">
        <v>2014</v>
      </c>
      <c r="BG4" s="35" cm="1">
        <f t="array" ref="BG4">SUMPRODUCT((Y$2:Y$1000="PS")*(F$2:F$1000=BF4)*ISNUMBER(SEARCH("prioritization",LOWER(Z$2:Z$1000)))*ISNUMBER(SEARCH("coverage",LOWER(AA$2:AA$1000))))</f>
        <v>2</v>
      </c>
      <c r="BH4" s="35" cm="1">
        <f t="array" ref="BH4">SUMPRODUCT((Y$2:Y$1000="PS")*(F$2:F$1000=BF4)*ISNUMBER(SEARCH("prioritization",LOWER(Z$2:Z$1000)))*ISNUMBER(SEARCH("requirement",LOWER(AA$2:AA$1000))))</f>
        <v>1</v>
      </c>
      <c r="BI4" s="35" cm="1">
        <f t="array" ref="BI4">SUMPRODUCT((Y$2:Y$1000="PS")*(F$2:F$1000=BF4)*ISNUMBER(SEARCH("prioritization",LOWER(Z$2:Z$1000)))*ISNUMBER(SEARCH("probabilistic",LOWER(AA$2:AA$1000))))</f>
        <v>0</v>
      </c>
      <c r="BJ4" s="35" cm="1">
        <f t="array" ref="BJ4">SUMPRODUCT((Y$2:Y$1000="PS")*(F$2:F$1000=BF4)*ISNUMBER(SEARCH("prioritization",LOWER(Z$2:Z$1000)))*ISNUMBER(SEARCH("distribution",LOWER(AA$2:AA$1000))))</f>
        <v>0</v>
      </c>
      <c r="BK4" s="35" cm="1">
        <f t="array" ref="BK4">SUMPRODUCT((Y$2:Y$1000="PS")*(F$2:F$1000=BF4)*ISNUMBER(SEARCH("prioritization",LOWER(Z$2:Z$1000)))*ISNUMBER(SEARCH("clustering",LOWER(AA$2:AA$1000))))</f>
        <v>0</v>
      </c>
      <c r="BL4" s="35" cm="1">
        <f t="array" ref="BL4">SUMPRODUCT((Y$2:Y$1000="PS")*(F$2:F$1000=BF4)*ISNUMBER(SEARCH("prioritization",LOWER(Z$2:Z$1000)))*ISNUMBER(SEARCH("history",LOWER(AA$2:AA$1000))))</f>
        <v>3</v>
      </c>
      <c r="BM4" s="35" cm="1">
        <f t="array" ref="BM4">SUMPRODUCT((Y$2:Y$1000="PS")*(F$2:F$1000=BF4)*ISNUMBER(SEARCH("prioritization",LOWER(Z$2:Z$1000)))*ISNUMBER(SEARCH("model",LOWER(AA$2:AA$1000))))</f>
        <v>0</v>
      </c>
      <c r="BN4" s="35" cm="1">
        <f t="array" ref="BN4">SUMPRODUCT((Y$2:Y$1000="PS")*(F$2:F$1000=BF4)*ISNUMBER(SEARCH("prioritization",LOWER(Z$2:Z$1000)))*ISNUMBER(SEARCH("cost-aware",LOWER(AA$2:AA$1000))))</f>
        <v>0</v>
      </c>
      <c r="BO4" s="35" cm="1">
        <f t="array" ref="BO4">SUMPRODUCT((Y$2:Y$1000="PS")*(F$2:F$1000=BF4)*ISNUMBER(SEARCH("prioritization",LOWER(Z$2:Z$1000)))*ISNUMBER(SEARCH("similarity",LOWER(AA$2:AA$1000))))</f>
        <v>0</v>
      </c>
      <c r="BP4" s="35" cm="1">
        <f t="array" ref="BP4">SUMPRODUCT((Y$2:Y$1000="PS")*(F$2:F$1000=BF4)*ISNUMBER(SEARCH("prioritization",LOWER(Z$2:Z$1000)))*ISNUMBER(SEARCH("input",LOWER(AA$2:AA$1000))))</f>
        <v>0</v>
      </c>
      <c r="BQ4" s="35" cm="1">
        <f t="array" ref="BQ4">SUMPRODUCT((Y$2:Y$1000="PS")*(F$2:F$1000=BF4)*ISNUMBER(SEARCH("prioritization",LOWER(Z$2:Z$1000)))*ISNUMBER(SEARCH("structure",LOWER(AA$2:AA$1000))))</f>
        <v>0</v>
      </c>
      <c r="BR4" s="35" cm="1">
        <f t="array" ref="BR4">SUMPRODUCT((Y$2:Y$1000="PS")*(F$2:F$1000=BF4)*ISNUMBER(SEARCH("prioritization",LOWER(Z$2:Z$1000)))*ISNUMBER(SEARCH("change",LOWER(AA$2:AA$1000))))</f>
        <v>0</v>
      </c>
      <c r="BS4" s="35" cm="1">
        <f t="array" ref="BS4">SUMPRODUCT((Y$2:Y$1000="PS")*(F$2:F$1000=BF4)*ISNUMBER(SEARCH("prioritization",LOWER(Z$2:Z$1000)))*ISNUMBER(SEARCH("ml",LOWER(AA$2:AA$1000))))</f>
        <v>0</v>
      </c>
      <c r="BT4" s="35" cm="1">
        <f t="array" ref="BT4">SUMPRODUCT((Y$2:Y$1000="PS")*(F$2:F$1000=BF4)*ISNUMBER(SEARCH("prioritization",LOWER(Z$2:Z$1000)))*ISNUMBER(SEARCH("heuristic",LOWER(AA$2:AA$1000))))</f>
        <v>0</v>
      </c>
      <c r="BU4" s="35" cm="1">
        <f t="array" ref="BU4">SUMPRODUCT((Y$2:Y$1000="PS")*(F$2:F$1000=BF4)*ISNUMBER(SEARCH("prioritization",LOWER(Z$2:Z$1000)))*ISNUMBER(SEARCH("search",LOWER(AA$2:AA$1000))))</f>
        <v>0</v>
      </c>
      <c r="BV4" s="35" cm="1">
        <f t="array" ref="BV4">SUMPRODUCT((Y$2:Y$1000="PS")*(F$2:F$1000=BF4)*ISNUMBER(SEARCH("prioritization",LOWER(Z$2:Z$1000)))*ISNUMBER(SEARCH("transfer",LOWER(AA$2:AA$1000))))</f>
        <v>0</v>
      </c>
      <c r="BW4" s="35" cm="1">
        <f t="array" ref="BW4">SUMPRODUCT((Y$2:Y$1000="PS")*(F$2:F$1000=BF4)*ISNUMBER(SEARCH("prioritization",LOWER(Z$2:Z$1000)))*ISNUMBER(SEARCH("riski",LOWER(AA$2:AA$1000))))</f>
        <v>0</v>
      </c>
      <c r="BX4" s="35" cm="1">
        <f t="array" ref="BX4">SUMPRODUCT((Y$2:Y$1000="PS")*(F$2:F$1000=BF4)*ISNUMBER(SEARCH("prioritization",LOWER(Z$2:Z$1000)))*ISNUMBER(SEARCH("nlp",LOWER(AA$2:AA$1000))))</f>
        <v>1</v>
      </c>
      <c r="BY4" s="35" cm="1">
        <f t="array" ref="BY4">SUMPRODUCT((Y$2:Y$1000="PS")*(F$2:F$1000=BF4)*ISNUMBER(SEARCH("prioritization",LOWER(Z$2:Z$1000)))*ISNUMBER(SEARCH("design",LOWER(AA$2:AA$1000))))</f>
        <v>0</v>
      </c>
      <c r="BZ4" s="35" cm="1">
        <f t="array" ref="BZ4">SUMPRODUCT((Y$2:Y$1000="PS")*(F$2:F$1000=BF4)*ISNUMBER(SEARCH("prioritization",LOWER(Z$2:Z$1000)))*ISNUMBER(SEARCH("other",LOWER(AA$2:AA$1000))))</f>
        <v>2</v>
      </c>
    </row>
    <row r="5" spans="1:78" ht="409.6" x14ac:dyDescent="0.2">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BA5" t="s">
        <v>1347</v>
      </c>
      <c r="BB5" s="35" cm="1">
        <f t="array" ref="BB5">SUMPRODUCT((Y$2:Y$1000="PS")*ISNUMBER(SEARCH(LOWER(BA5),LOWER(AA$2:AA$1000)))*ISNUMBER(SEARCH("prioritization",LOWER(Z$2:Z$1000))))</f>
        <v>0</v>
      </c>
      <c r="BF5">
        <v>2015</v>
      </c>
      <c r="BG5" s="35" cm="1">
        <f t="array" ref="BG5">SUMPRODUCT((Y$2:Y$1000="PS")*(F$2:F$1000=BF5)*ISNUMBER(SEARCH("prioritization",LOWER(Z$2:Z$1000)))*ISNUMBER(SEARCH("coverage",LOWER(AA$2:AA$1000))))</f>
        <v>1</v>
      </c>
      <c r="BH5" s="35" cm="1">
        <f t="array" ref="BH5">SUMPRODUCT((Y$2:Y$1000="PS")*(F$2:F$1000=BF5)*ISNUMBER(SEARCH("prioritization",LOWER(Z$2:Z$1000)))*ISNUMBER(SEARCH("requirement",LOWER(AA$2:AA$1000))))</f>
        <v>0</v>
      </c>
      <c r="BI5" s="35" cm="1">
        <f t="array" ref="BI5">SUMPRODUCT((Y$2:Y$1000="PS")*(F$2:F$1000=BF5)*ISNUMBER(SEARCH("prioritization",LOWER(Z$2:Z$1000)))*ISNUMBER(SEARCH("probabilistic",LOWER(AA$2:AA$1000))))</f>
        <v>0</v>
      </c>
      <c r="BJ5" s="35" cm="1">
        <f t="array" ref="BJ5">SUMPRODUCT((Y$2:Y$1000="PS")*(F$2:F$1000=BF5)*ISNUMBER(SEARCH("prioritization",LOWER(Z$2:Z$1000)))*ISNUMBER(SEARCH("distribution",LOWER(AA$2:AA$1000))))</f>
        <v>1</v>
      </c>
      <c r="BK5" s="35" cm="1">
        <f t="array" ref="BK5">SUMPRODUCT((Y$2:Y$1000="PS")*(F$2:F$1000=BF5)*ISNUMBER(SEARCH("prioritization",LOWER(Z$2:Z$1000)))*ISNUMBER(SEARCH("clustering",LOWER(AA$2:AA$1000))))</f>
        <v>0</v>
      </c>
      <c r="BL5" s="35" cm="1">
        <f t="array" ref="BL5">SUMPRODUCT((Y$2:Y$1000="PS")*(F$2:F$1000=BF5)*ISNUMBER(SEARCH("prioritization",LOWER(Z$2:Z$1000)))*ISNUMBER(SEARCH("history",LOWER(AA$2:AA$1000))))</f>
        <v>2</v>
      </c>
      <c r="BM5" s="35" cm="1">
        <f t="array" ref="BM5">SUMPRODUCT((Y$2:Y$1000="PS")*(F$2:F$1000=BF5)*ISNUMBER(SEARCH("prioritization",LOWER(Z$2:Z$1000)))*ISNUMBER(SEARCH("model",LOWER(AA$2:AA$1000))))</f>
        <v>1</v>
      </c>
      <c r="BN5" s="35" cm="1">
        <f t="array" ref="BN5">SUMPRODUCT((Y$2:Y$1000="PS")*(F$2:F$1000=BF5)*ISNUMBER(SEARCH("prioritization",LOWER(Z$2:Z$1000)))*ISNUMBER(SEARCH("cost-aware",LOWER(AA$2:AA$1000))))</f>
        <v>0</v>
      </c>
      <c r="BO5" s="35" cm="1">
        <f t="array" ref="BO5">SUMPRODUCT((Y$2:Y$1000="PS")*(F$2:F$1000=BF5)*ISNUMBER(SEARCH("prioritization",LOWER(Z$2:Z$1000)))*ISNUMBER(SEARCH("similarity",LOWER(AA$2:AA$1000))))</f>
        <v>0</v>
      </c>
      <c r="BP5" s="35" cm="1">
        <f t="array" ref="BP5">SUMPRODUCT((Y$2:Y$1000="PS")*(F$2:F$1000=BF5)*ISNUMBER(SEARCH("prioritization",LOWER(Z$2:Z$1000)))*ISNUMBER(SEARCH("input",LOWER(AA$2:AA$1000))))</f>
        <v>1</v>
      </c>
      <c r="BQ5" s="35" cm="1">
        <f t="array" ref="BQ5">SUMPRODUCT((Y$2:Y$1000="PS")*(F$2:F$1000=BF5)*ISNUMBER(SEARCH("prioritization",LOWER(Z$2:Z$1000)))*ISNUMBER(SEARCH("structure",LOWER(AA$2:AA$1000))))</f>
        <v>0</v>
      </c>
      <c r="BR5" s="35" cm="1">
        <f t="array" ref="BR5">SUMPRODUCT((Y$2:Y$1000="PS")*(F$2:F$1000=BF5)*ISNUMBER(SEARCH("prioritization",LOWER(Z$2:Z$1000)))*ISNUMBER(SEARCH("change",LOWER(AA$2:AA$1000))))</f>
        <v>0</v>
      </c>
      <c r="BS5" s="35" cm="1">
        <f t="array" ref="BS5">SUMPRODUCT((Y$2:Y$1000="PS")*(F$2:F$1000=BF5)*ISNUMBER(SEARCH("prioritization",LOWER(Z$2:Z$1000)))*ISNUMBER(SEARCH("ml",LOWER(AA$2:AA$1000))))</f>
        <v>0</v>
      </c>
      <c r="BT5" s="35" cm="1">
        <f t="array" ref="BT5">SUMPRODUCT((Y$2:Y$1000="PS")*(F$2:F$1000=BF5)*ISNUMBER(SEARCH("prioritization",LOWER(Z$2:Z$1000)))*ISNUMBER(SEARCH("heuristic",LOWER(AA$2:AA$1000))))</f>
        <v>0</v>
      </c>
      <c r="BU5" s="35" cm="1">
        <f t="array" ref="BU5">SUMPRODUCT((Y$2:Y$1000="PS")*(F$2:F$1000=BF5)*ISNUMBER(SEARCH("prioritization",LOWER(Z$2:Z$1000)))*ISNUMBER(SEARCH("search",LOWER(AA$2:AA$1000))))</f>
        <v>1</v>
      </c>
      <c r="BV5" s="35" cm="1">
        <f t="array" ref="BV5">SUMPRODUCT((Y$2:Y$1000="PS")*(F$2:F$1000=BF5)*ISNUMBER(SEARCH("prioritization",LOWER(Z$2:Z$1000)))*ISNUMBER(SEARCH("transfer",LOWER(AA$2:AA$1000))))</f>
        <v>0</v>
      </c>
      <c r="BW5" s="35" cm="1">
        <f t="array" ref="BW5">SUMPRODUCT((Y$2:Y$1000="PS")*(F$2:F$1000=BF5)*ISNUMBER(SEARCH("prioritization",LOWER(Z$2:Z$1000)))*ISNUMBER(SEARCH("riski",LOWER(AA$2:AA$1000))))</f>
        <v>0</v>
      </c>
      <c r="BX5" s="35" cm="1">
        <f t="array" ref="BX5">SUMPRODUCT((Y$2:Y$1000="PS")*(F$2:F$1000=BF5)*ISNUMBER(SEARCH("prioritization",LOWER(Z$2:Z$1000)))*ISNUMBER(SEARCH("nlp",LOWER(AA$2:AA$1000))))</f>
        <v>0</v>
      </c>
      <c r="BY5" s="35" cm="1">
        <f t="array" ref="BY5">SUMPRODUCT((Y$2:Y$1000="PS")*(F$2:F$1000=BF5)*ISNUMBER(SEARCH("prioritization",LOWER(Z$2:Z$1000)))*ISNUMBER(SEARCH("design",LOWER(AA$2:AA$1000))))</f>
        <v>1</v>
      </c>
      <c r="BZ5" s="35" cm="1">
        <f t="array" ref="BZ5">SUMPRODUCT((Y$2:Y$1000="PS")*(F$2:F$1000=BF5)*ISNUMBER(SEARCH("prioritization",LOWER(Z$2:Z$1000)))*ISNUMBER(SEARCH("other",LOWER(AA$2:AA$1000))))</f>
        <v>0</v>
      </c>
    </row>
    <row r="6" spans="1:78" ht="409.6" x14ac:dyDescent="0.2">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1338</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BA6" t="s">
        <v>1348</v>
      </c>
      <c r="BB6" s="35" cm="1">
        <f t="array" ref="BB6">SUMPRODUCT((Y$2:Y$1000="PS")*ISNUMBER(SEARCH(LOWER(BA6),LOWER(AA$2:AA$1000)))*ISNUMBER(SEARCH("prioritization",LOWER(Z$2:Z$1000))))</f>
        <v>3</v>
      </c>
      <c r="BF6">
        <v>2016</v>
      </c>
      <c r="BG6" s="35" cm="1">
        <f t="array" ref="BG6">SUMPRODUCT((Y$2:Y$1000="PS")*(F$2:F$1000=BF6)*ISNUMBER(SEARCH("prioritization",LOWER(Z$2:Z$1000)))*ISNUMBER(SEARCH("coverage",LOWER(AA$2:AA$1000))))</f>
        <v>3</v>
      </c>
      <c r="BH6" s="35" cm="1">
        <f t="array" ref="BH6">SUMPRODUCT((Y$2:Y$1000="PS")*(F$2:F$1000=BF6)*ISNUMBER(SEARCH("prioritization",LOWER(Z$2:Z$1000)))*ISNUMBER(SEARCH("requirement",LOWER(AA$2:AA$1000))))</f>
        <v>1</v>
      </c>
      <c r="BI6" s="35" cm="1">
        <f t="array" ref="BI6">SUMPRODUCT((Y$2:Y$1000="PS")*(F$2:F$1000=BF6)*ISNUMBER(SEARCH("prioritization",LOWER(Z$2:Z$1000)))*ISNUMBER(SEARCH("probabilistic",LOWER(AA$2:AA$1000))))</f>
        <v>0</v>
      </c>
      <c r="BJ6" s="35" cm="1">
        <f t="array" ref="BJ6">SUMPRODUCT((Y$2:Y$1000="PS")*(F$2:F$1000=BF6)*ISNUMBER(SEARCH("prioritization",LOWER(Z$2:Z$1000)))*ISNUMBER(SEARCH("distribution",LOWER(AA$2:AA$1000))))</f>
        <v>0</v>
      </c>
      <c r="BK6" s="35" cm="1">
        <f t="array" ref="BK6">SUMPRODUCT((Y$2:Y$1000="PS")*(F$2:F$1000=BF6)*ISNUMBER(SEARCH("prioritization",LOWER(Z$2:Z$1000)))*ISNUMBER(SEARCH("clustering",LOWER(AA$2:AA$1000))))</f>
        <v>1</v>
      </c>
      <c r="BL6" s="35" cm="1">
        <f t="array" ref="BL6">SUMPRODUCT((Y$2:Y$1000="PS")*(F$2:F$1000=BF6)*ISNUMBER(SEARCH("prioritization",LOWER(Z$2:Z$1000)))*ISNUMBER(SEARCH("history",LOWER(AA$2:AA$1000))))</f>
        <v>1</v>
      </c>
      <c r="BM6" s="35" cm="1">
        <f t="array" ref="BM6">SUMPRODUCT((Y$2:Y$1000="PS")*(F$2:F$1000=BF6)*ISNUMBER(SEARCH("prioritization",LOWER(Z$2:Z$1000)))*ISNUMBER(SEARCH("model",LOWER(AA$2:AA$1000))))</f>
        <v>0</v>
      </c>
      <c r="BN6" s="35" cm="1">
        <f t="array" ref="BN6">SUMPRODUCT((Y$2:Y$1000="PS")*(F$2:F$1000=BF6)*ISNUMBER(SEARCH("prioritization",LOWER(Z$2:Z$1000)))*ISNUMBER(SEARCH("cost-aware",LOWER(AA$2:AA$1000))))</f>
        <v>0</v>
      </c>
      <c r="BO6" s="35" cm="1">
        <f t="array" ref="BO6">SUMPRODUCT((Y$2:Y$1000="PS")*(F$2:F$1000=BF6)*ISNUMBER(SEARCH("prioritization",LOWER(Z$2:Z$1000)))*ISNUMBER(SEARCH("similarity",LOWER(AA$2:AA$1000))))</f>
        <v>1</v>
      </c>
      <c r="BP6" s="35" cm="1">
        <f t="array" ref="BP6">SUMPRODUCT((Y$2:Y$1000="PS")*(F$2:F$1000=BF6)*ISNUMBER(SEARCH("prioritization",LOWER(Z$2:Z$1000)))*ISNUMBER(SEARCH("input",LOWER(AA$2:AA$1000))))</f>
        <v>1</v>
      </c>
      <c r="BQ6" s="35" cm="1">
        <f t="array" ref="BQ6">SUMPRODUCT((Y$2:Y$1000="PS")*(F$2:F$1000=BF6)*ISNUMBER(SEARCH("prioritization",LOWER(Z$2:Z$1000)))*ISNUMBER(SEARCH("structure",LOWER(AA$2:AA$1000))))</f>
        <v>0</v>
      </c>
      <c r="BR6" s="35" cm="1">
        <f t="array" ref="BR6">SUMPRODUCT((Y$2:Y$1000="PS")*(F$2:F$1000=BF6)*ISNUMBER(SEARCH("prioritization",LOWER(Z$2:Z$1000)))*ISNUMBER(SEARCH("change",LOWER(AA$2:AA$1000))))</f>
        <v>0</v>
      </c>
      <c r="BS6" s="35" cm="1">
        <f t="array" ref="BS6">SUMPRODUCT((Y$2:Y$1000="PS")*(F$2:F$1000=BF6)*ISNUMBER(SEARCH("prioritization",LOWER(Z$2:Z$1000)))*ISNUMBER(SEARCH("ml",LOWER(AA$2:AA$1000))))</f>
        <v>0</v>
      </c>
      <c r="BT6" s="35" cm="1">
        <f t="array" ref="BT6">SUMPRODUCT((Y$2:Y$1000="PS")*(F$2:F$1000=BF6)*ISNUMBER(SEARCH("prioritization",LOWER(Z$2:Z$1000)))*ISNUMBER(SEARCH("heuristic",LOWER(AA$2:AA$1000))))</f>
        <v>0</v>
      </c>
      <c r="BU6" s="35" cm="1">
        <f t="array" ref="BU6">SUMPRODUCT((Y$2:Y$1000="PS")*(F$2:F$1000=BF6)*ISNUMBER(SEARCH("prioritization",LOWER(Z$2:Z$1000)))*ISNUMBER(SEARCH("search",LOWER(AA$2:AA$1000))))</f>
        <v>0</v>
      </c>
      <c r="BV6" s="35" cm="1">
        <f t="array" ref="BV6">SUMPRODUCT((Y$2:Y$1000="PS")*(F$2:F$1000=BF6)*ISNUMBER(SEARCH("prioritization",LOWER(Z$2:Z$1000)))*ISNUMBER(SEARCH("transfer",LOWER(AA$2:AA$1000))))</f>
        <v>0</v>
      </c>
      <c r="BW6" s="35" cm="1">
        <f t="array" ref="BW6">SUMPRODUCT((Y$2:Y$1000="PS")*(F$2:F$1000=BF6)*ISNUMBER(SEARCH("prioritization",LOWER(Z$2:Z$1000)))*ISNUMBER(SEARCH("riski",LOWER(AA$2:AA$1000))))</f>
        <v>0</v>
      </c>
      <c r="BX6" s="35" cm="1">
        <f t="array" ref="BX6">SUMPRODUCT((Y$2:Y$1000="PS")*(F$2:F$1000=BF6)*ISNUMBER(SEARCH("prioritization",LOWER(Z$2:Z$1000)))*ISNUMBER(SEARCH("nlp",LOWER(AA$2:AA$1000))))</f>
        <v>0</v>
      </c>
      <c r="BY6" s="35" cm="1">
        <f t="array" ref="BY6">SUMPRODUCT((Y$2:Y$1000="PS")*(F$2:F$1000=BF6)*ISNUMBER(SEARCH("prioritization",LOWER(Z$2:Z$1000)))*ISNUMBER(SEARCH("design",LOWER(AA$2:AA$1000))))</f>
        <v>0</v>
      </c>
      <c r="BZ6" s="35" cm="1">
        <f t="array" ref="BZ6">SUMPRODUCT((Y$2:Y$1000="PS")*(F$2:F$1000=BF6)*ISNUMBER(SEARCH("prioritization",LOWER(Z$2:Z$1000)))*ISNUMBER(SEARCH("other",LOWER(AA$2:AA$1000))))</f>
        <v>0</v>
      </c>
    </row>
    <row r="7" spans="1:78" ht="409.6" x14ac:dyDescent="0.2">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115</v>
      </c>
      <c r="AC7" s="2" t="s">
        <v>116</v>
      </c>
      <c r="AD7" s="2" t="s">
        <v>117</v>
      </c>
      <c r="AE7" s="2" t="s">
        <v>118</v>
      </c>
      <c r="AF7" s="2" t="s">
        <v>65</v>
      </c>
      <c r="AG7" s="2" t="s">
        <v>119</v>
      </c>
      <c r="AH7" s="2">
        <v>0.5</v>
      </c>
      <c r="AK7">
        <f t="shared" si="6"/>
        <v>1</v>
      </c>
      <c r="AL7">
        <f t="shared" si="0"/>
        <v>0</v>
      </c>
      <c r="AM7">
        <f t="shared" si="1"/>
        <v>0</v>
      </c>
      <c r="AN7">
        <f t="shared" si="2"/>
        <v>1</v>
      </c>
      <c r="AP7">
        <v>2017</v>
      </c>
      <c r="AQ7">
        <f t="shared" si="7"/>
        <v>7</v>
      </c>
      <c r="AR7">
        <f t="shared" si="3"/>
        <v>0</v>
      </c>
      <c r="AS7">
        <f t="shared" si="4"/>
        <v>3</v>
      </c>
      <c r="AT7">
        <f t="shared" si="5"/>
        <v>6</v>
      </c>
      <c r="BA7" t="s">
        <v>1349</v>
      </c>
      <c r="BB7" s="35" cm="1">
        <f t="array" ref="BB7">SUMPRODUCT((Y$2:Y$1000="PS")*ISNUMBER(SEARCH(LOWER(BA7),LOWER(AA$2:AA$1000)))*ISNUMBER(SEARCH("prioritization",LOWER(Z$2:Z$1000))))</f>
        <v>3</v>
      </c>
      <c r="BF7">
        <v>2017</v>
      </c>
      <c r="BG7" s="35" cm="1">
        <f t="array" ref="BG7">SUMPRODUCT((Y$2:Y$1000="PS")*(F$2:F$1000=BF7)*ISNUMBER(SEARCH("prioritization",LOWER(Z$2:Z$1000)))*ISNUMBER(SEARCH("coverage",LOWER(AA$2:AA$1000))))</f>
        <v>3</v>
      </c>
      <c r="BH7" s="35" cm="1">
        <f t="array" ref="BH7">SUMPRODUCT((Y$2:Y$1000="PS")*(F$2:F$1000=BF7)*ISNUMBER(SEARCH("prioritization",LOWER(Z$2:Z$1000)))*ISNUMBER(SEARCH("requirement",LOWER(AA$2:AA$1000))))</f>
        <v>0</v>
      </c>
      <c r="BI7" s="35" cm="1">
        <f t="array" ref="BI7">SUMPRODUCT((Y$2:Y$1000="PS")*(F$2:F$1000=BF7)*ISNUMBER(SEARCH("prioritization",LOWER(Z$2:Z$1000)))*ISNUMBER(SEARCH("probabilistic",LOWER(AA$2:AA$1000))))</f>
        <v>0</v>
      </c>
      <c r="BJ7" s="35" cm="1">
        <f t="array" ref="BJ7">SUMPRODUCT((Y$2:Y$1000="PS")*(F$2:F$1000=BF7)*ISNUMBER(SEARCH("prioritization",LOWER(Z$2:Z$1000)))*ISNUMBER(SEARCH("distribution",LOWER(AA$2:AA$1000))))</f>
        <v>0</v>
      </c>
      <c r="BK7" s="35" cm="1">
        <f t="array" ref="BK7">SUMPRODUCT((Y$2:Y$1000="PS")*(F$2:F$1000=BF7)*ISNUMBER(SEARCH("prioritization",LOWER(Z$2:Z$1000)))*ISNUMBER(SEARCH("clustering",LOWER(AA$2:AA$1000))))</f>
        <v>0</v>
      </c>
      <c r="BL7" s="35" cm="1">
        <f t="array" ref="BL7">SUMPRODUCT((Y$2:Y$1000="PS")*(F$2:F$1000=BF7)*ISNUMBER(SEARCH("prioritization",LOWER(Z$2:Z$1000)))*ISNUMBER(SEARCH("history",LOWER(AA$2:AA$1000))))</f>
        <v>2</v>
      </c>
      <c r="BM7" s="35" cm="1">
        <f t="array" ref="BM7">SUMPRODUCT((Y$2:Y$1000="PS")*(F$2:F$1000=BF7)*ISNUMBER(SEARCH("prioritization",LOWER(Z$2:Z$1000)))*ISNUMBER(SEARCH("model",LOWER(AA$2:AA$1000))))</f>
        <v>0</v>
      </c>
      <c r="BN7" s="35" cm="1">
        <f t="array" ref="BN7">SUMPRODUCT((Y$2:Y$1000="PS")*(F$2:F$1000=BF7)*ISNUMBER(SEARCH("prioritization",LOWER(Z$2:Z$1000)))*ISNUMBER(SEARCH("cost-aware",LOWER(AA$2:AA$1000))))</f>
        <v>1</v>
      </c>
      <c r="BO7" s="35" cm="1">
        <f t="array" ref="BO7">SUMPRODUCT((Y$2:Y$1000="PS")*(F$2:F$1000=BF7)*ISNUMBER(SEARCH("prioritization",LOWER(Z$2:Z$1000)))*ISNUMBER(SEARCH("similarity",LOWER(AA$2:AA$1000))))</f>
        <v>0</v>
      </c>
      <c r="BP7" s="35" cm="1">
        <f t="array" ref="BP7">SUMPRODUCT((Y$2:Y$1000="PS")*(F$2:F$1000=BF7)*ISNUMBER(SEARCH("prioritization",LOWER(Z$2:Z$1000)))*ISNUMBER(SEARCH("input",LOWER(AA$2:AA$1000))))</f>
        <v>0</v>
      </c>
      <c r="BQ7" s="35" cm="1">
        <f t="array" ref="BQ7">SUMPRODUCT((Y$2:Y$1000="PS")*(F$2:F$1000=BF7)*ISNUMBER(SEARCH("prioritization",LOWER(Z$2:Z$1000)))*ISNUMBER(SEARCH("structure",LOWER(AA$2:AA$1000))))</f>
        <v>0</v>
      </c>
      <c r="BR7" s="35" cm="1">
        <f t="array" ref="BR7">SUMPRODUCT((Y$2:Y$1000="PS")*(F$2:F$1000=BF7)*ISNUMBER(SEARCH("prioritization",LOWER(Z$2:Z$1000)))*ISNUMBER(SEARCH("change",LOWER(AA$2:AA$1000))))</f>
        <v>0</v>
      </c>
      <c r="BS7" s="35" cm="1">
        <f t="array" ref="BS7">SUMPRODUCT((Y$2:Y$1000="PS")*(F$2:F$1000=BF7)*ISNUMBER(SEARCH("prioritization",LOWER(Z$2:Z$1000)))*ISNUMBER(SEARCH("ml",LOWER(AA$2:AA$1000))))</f>
        <v>0</v>
      </c>
      <c r="BT7" s="35" cm="1">
        <f t="array" ref="BT7">SUMPRODUCT((Y$2:Y$1000="PS")*(F$2:F$1000=BF7)*ISNUMBER(SEARCH("prioritization",LOWER(Z$2:Z$1000)))*ISNUMBER(SEARCH("heuristic",LOWER(AA$2:AA$1000))))</f>
        <v>0</v>
      </c>
      <c r="BU7" s="35" cm="1">
        <f t="array" ref="BU7">SUMPRODUCT((Y$2:Y$1000="PS")*(F$2:F$1000=BF7)*ISNUMBER(SEARCH("prioritization",LOWER(Z$2:Z$1000)))*ISNUMBER(SEARCH("search",LOWER(AA$2:AA$1000))))</f>
        <v>0</v>
      </c>
      <c r="BV7" s="35" cm="1">
        <f t="array" ref="BV7">SUMPRODUCT((Y$2:Y$1000="PS")*(F$2:F$1000=BF7)*ISNUMBER(SEARCH("prioritization",LOWER(Z$2:Z$1000)))*ISNUMBER(SEARCH("transfer",LOWER(AA$2:AA$1000))))</f>
        <v>0</v>
      </c>
      <c r="BW7" s="35" cm="1">
        <f t="array" ref="BW7">SUMPRODUCT((Y$2:Y$1000="PS")*(F$2:F$1000=BF7)*ISNUMBER(SEARCH("prioritization",LOWER(Z$2:Z$1000)))*ISNUMBER(SEARCH("riski",LOWER(AA$2:AA$1000))))</f>
        <v>0</v>
      </c>
      <c r="BX7" s="35" cm="1">
        <f t="array" ref="BX7">SUMPRODUCT((Y$2:Y$1000="PS")*(F$2:F$1000=BF7)*ISNUMBER(SEARCH("prioritization",LOWER(Z$2:Z$1000)))*ISNUMBER(SEARCH("nlp",LOWER(AA$2:AA$1000))))</f>
        <v>0</v>
      </c>
      <c r="BY7" s="35" cm="1">
        <f t="array" ref="BY7">SUMPRODUCT((Y$2:Y$1000="PS")*(F$2:F$1000=BF7)*ISNUMBER(SEARCH("prioritization",LOWER(Z$2:Z$1000)))*ISNUMBER(SEARCH("design",LOWER(AA$2:AA$1000))))</f>
        <v>0</v>
      </c>
      <c r="BZ7" s="35" cm="1">
        <f t="array" ref="BZ7">SUMPRODUCT((Y$2:Y$1000="PS")*(F$2:F$1000=BF7)*ISNUMBER(SEARCH("prioritization",LOWER(Z$2:Z$1000)))*ISNUMBER(SEARCH("other",LOWER(AA$2:AA$1000))))</f>
        <v>0</v>
      </c>
    </row>
    <row r="8" spans="1:78" ht="409.6" x14ac:dyDescent="0.2">
      <c r="A8" s="2">
        <v>6571611</v>
      </c>
      <c r="B8" s="2" t="s">
        <v>34</v>
      </c>
      <c r="C8" s="2" t="s">
        <v>120</v>
      </c>
      <c r="D8" s="2" t="s">
        <v>121</v>
      </c>
      <c r="E8" s="2" t="s">
        <v>122</v>
      </c>
      <c r="F8" s="2">
        <v>2013</v>
      </c>
      <c r="G8" s="2"/>
      <c r="H8" s="2"/>
      <c r="I8" s="2" t="s">
        <v>123</v>
      </c>
      <c r="J8" s="2" t="s">
        <v>124</v>
      </c>
      <c r="K8" s="2" t="s">
        <v>125</v>
      </c>
      <c r="L8" s="2" t="s">
        <v>126</v>
      </c>
      <c r="M8" s="2"/>
      <c r="N8" s="2" t="s">
        <v>127</v>
      </c>
      <c r="O8" s="2"/>
      <c r="P8" s="2"/>
      <c r="Q8" s="2"/>
      <c r="R8" s="2"/>
      <c r="S8" s="2"/>
      <c r="T8" s="2"/>
      <c r="U8" s="2"/>
      <c r="V8" s="2"/>
      <c r="W8" s="2"/>
      <c r="X8" s="2" t="s">
        <v>128</v>
      </c>
      <c r="Y8" s="2" t="s">
        <v>58</v>
      </c>
      <c r="Z8" s="2" t="s">
        <v>129</v>
      </c>
      <c r="AA8" s="2" t="s">
        <v>130</v>
      </c>
      <c r="AB8" s="2" t="s">
        <v>131</v>
      </c>
      <c r="AC8" s="2" t="s">
        <v>132</v>
      </c>
      <c r="AD8" s="2"/>
      <c r="AE8" s="2"/>
      <c r="AF8" s="2"/>
      <c r="AG8" s="2"/>
      <c r="AH8" s="2"/>
      <c r="AK8">
        <f t="shared" si="6"/>
        <v>1</v>
      </c>
      <c r="AL8">
        <f t="shared" si="0"/>
        <v>0</v>
      </c>
      <c r="AM8">
        <f t="shared" si="1"/>
        <v>1</v>
      </c>
      <c r="AN8">
        <f t="shared" si="2"/>
        <v>0</v>
      </c>
      <c r="AP8">
        <v>2018</v>
      </c>
      <c r="AQ8">
        <f t="shared" si="7"/>
        <v>13</v>
      </c>
      <c r="AR8">
        <f t="shared" si="3"/>
        <v>0</v>
      </c>
      <c r="AS8">
        <f t="shared" si="4"/>
        <v>5</v>
      </c>
      <c r="AT8">
        <f t="shared" si="5"/>
        <v>8</v>
      </c>
      <c r="BA8" t="s">
        <v>1350</v>
      </c>
      <c r="BB8" s="35" cm="1">
        <f t="array" ref="BB8">SUMPRODUCT((Y$2:Y$1000="PS")*ISNUMBER(SEARCH(LOWER(BA8),LOWER(AA$2:AA$1000)))*ISNUMBER(SEARCH("prioritization",LOWER(Z$2:Z$1000))))</f>
        <v>20</v>
      </c>
      <c r="BF8">
        <v>2018</v>
      </c>
      <c r="BG8" s="35" cm="1">
        <f t="array" ref="BG8">SUMPRODUCT((Y$2:Y$1000="PS")*(F$2:F$1000=BF8)*ISNUMBER(SEARCH("prioritization",LOWER(Z$2:Z$1000)))*ISNUMBER(SEARCH("coverage",LOWER(AA$2:AA$1000))))</f>
        <v>3</v>
      </c>
      <c r="BH8" s="35" cm="1">
        <f t="array" ref="BH8">SUMPRODUCT((Y$2:Y$1000="PS")*(F$2:F$1000=BF8)*ISNUMBER(SEARCH("prioritization",LOWER(Z$2:Z$1000)))*ISNUMBER(SEARCH("requirement",LOWER(AA$2:AA$1000))))</f>
        <v>1</v>
      </c>
      <c r="BI8" s="35" cm="1">
        <f t="array" ref="BI8">SUMPRODUCT((Y$2:Y$1000="PS")*(F$2:F$1000=BF8)*ISNUMBER(SEARCH("prioritization",LOWER(Z$2:Z$1000)))*ISNUMBER(SEARCH("probabilistic",LOWER(AA$2:AA$1000))))</f>
        <v>0</v>
      </c>
      <c r="BJ8" s="35" cm="1">
        <f t="array" ref="BJ8">SUMPRODUCT((Y$2:Y$1000="PS")*(F$2:F$1000=BF8)*ISNUMBER(SEARCH("prioritization",LOWER(Z$2:Z$1000)))*ISNUMBER(SEARCH("distribution",LOWER(AA$2:AA$1000))))</f>
        <v>0</v>
      </c>
      <c r="BK8" s="35" cm="1">
        <f t="array" ref="BK8">SUMPRODUCT((Y$2:Y$1000="PS")*(F$2:F$1000=BF8)*ISNUMBER(SEARCH("prioritization",LOWER(Z$2:Z$1000)))*ISNUMBER(SEARCH("clustering",LOWER(AA$2:AA$1000))))</f>
        <v>0</v>
      </c>
      <c r="BL8" s="35" cm="1">
        <f t="array" ref="BL8">SUMPRODUCT((Y$2:Y$1000="PS")*(F$2:F$1000=BF8)*ISNUMBER(SEARCH("prioritization",LOWER(Z$2:Z$1000)))*ISNUMBER(SEARCH("history",LOWER(AA$2:AA$1000))))</f>
        <v>3</v>
      </c>
      <c r="BM8" s="35" cm="1">
        <f t="array" ref="BM8">SUMPRODUCT((Y$2:Y$1000="PS")*(F$2:F$1000=BF8)*ISNUMBER(SEARCH("prioritization",LOWER(Z$2:Z$1000)))*ISNUMBER(SEARCH("model",LOWER(AA$2:AA$1000))))</f>
        <v>1</v>
      </c>
      <c r="BN8" s="35" cm="1">
        <f t="array" ref="BN8">SUMPRODUCT((Y$2:Y$1000="PS")*(F$2:F$1000=BF8)*ISNUMBER(SEARCH("prioritization",LOWER(Z$2:Z$1000)))*ISNUMBER(SEARCH("cost-aware",LOWER(AA$2:AA$1000))))</f>
        <v>0</v>
      </c>
      <c r="BO8" s="35" cm="1">
        <f t="array" ref="BO8">SUMPRODUCT((Y$2:Y$1000="PS")*(F$2:F$1000=BF8)*ISNUMBER(SEARCH("prioritization",LOWER(Z$2:Z$1000)))*ISNUMBER(SEARCH("similarity",LOWER(AA$2:AA$1000))))</f>
        <v>1</v>
      </c>
      <c r="BP8" s="35" cm="1">
        <f t="array" ref="BP8">SUMPRODUCT((Y$2:Y$1000="PS")*(F$2:F$1000=BF8)*ISNUMBER(SEARCH("prioritization",LOWER(Z$2:Z$1000)))*ISNUMBER(SEARCH("input",LOWER(AA$2:AA$1000))))</f>
        <v>0</v>
      </c>
      <c r="BQ8" s="35" cm="1">
        <f t="array" ref="BQ8">SUMPRODUCT((Y$2:Y$1000="PS")*(F$2:F$1000=BF8)*ISNUMBER(SEARCH("prioritization",LOWER(Z$2:Z$1000)))*ISNUMBER(SEARCH("structure",LOWER(AA$2:AA$1000))))</f>
        <v>1</v>
      </c>
      <c r="BR8" s="35" cm="1">
        <f t="array" ref="BR8">SUMPRODUCT((Y$2:Y$1000="PS")*(F$2:F$1000=BF8)*ISNUMBER(SEARCH("prioritization",LOWER(Z$2:Z$1000)))*ISNUMBER(SEARCH("change",LOWER(AA$2:AA$1000))))</f>
        <v>0</v>
      </c>
      <c r="BS8" s="35" cm="1">
        <f t="array" ref="BS8">SUMPRODUCT((Y$2:Y$1000="PS")*(F$2:F$1000=BF8)*ISNUMBER(SEARCH("prioritization",LOWER(Z$2:Z$1000)))*ISNUMBER(SEARCH("ml",LOWER(AA$2:AA$1000))))</f>
        <v>0</v>
      </c>
      <c r="BT8" s="35" cm="1">
        <f t="array" ref="BT8">SUMPRODUCT((Y$2:Y$1000="PS")*(F$2:F$1000=BF8)*ISNUMBER(SEARCH("prioritization",LOWER(Z$2:Z$1000)))*ISNUMBER(SEARCH("heuristic",LOWER(AA$2:AA$1000))))</f>
        <v>0</v>
      </c>
      <c r="BU8" s="35" cm="1">
        <f t="array" ref="BU8">SUMPRODUCT((Y$2:Y$1000="PS")*(F$2:F$1000=BF8)*ISNUMBER(SEARCH("prioritization",LOWER(Z$2:Z$1000)))*ISNUMBER(SEARCH("search",LOWER(AA$2:AA$1000))))</f>
        <v>0</v>
      </c>
      <c r="BV8" s="35" cm="1">
        <f t="array" ref="BV8">SUMPRODUCT((Y$2:Y$1000="PS")*(F$2:F$1000=BF8)*ISNUMBER(SEARCH("prioritization",LOWER(Z$2:Z$1000)))*ISNUMBER(SEARCH("transfer",LOWER(AA$2:AA$1000))))</f>
        <v>0</v>
      </c>
      <c r="BW8" s="35" cm="1">
        <f t="array" ref="BW8">SUMPRODUCT((Y$2:Y$1000="PS")*(F$2:F$1000=BF8)*ISNUMBER(SEARCH("prioritization",LOWER(Z$2:Z$1000)))*ISNUMBER(SEARCH("riski",LOWER(AA$2:AA$1000))))</f>
        <v>0</v>
      </c>
      <c r="BX8" s="35" cm="1">
        <f t="array" ref="BX8">SUMPRODUCT((Y$2:Y$1000="PS")*(F$2:F$1000=BF8)*ISNUMBER(SEARCH("prioritization",LOWER(Z$2:Z$1000)))*ISNUMBER(SEARCH("nlp",LOWER(AA$2:AA$1000))))</f>
        <v>0</v>
      </c>
      <c r="BY8" s="35" cm="1">
        <f t="array" ref="BY8">SUMPRODUCT((Y$2:Y$1000="PS")*(F$2:F$1000=BF8)*ISNUMBER(SEARCH("prioritization",LOWER(Z$2:Z$1000)))*ISNUMBER(SEARCH("design",LOWER(AA$2:AA$1000))))</f>
        <v>0</v>
      </c>
      <c r="BZ8" s="35" cm="1">
        <f t="array" ref="BZ8">SUMPRODUCT((Y$2:Y$1000="PS")*(F$2:F$1000=BF8)*ISNUMBER(SEARCH("prioritization",LOWER(Z$2:Z$1000)))*ISNUMBER(SEARCH("other",LOWER(AA$2:AA$1000))))</f>
        <v>1</v>
      </c>
    </row>
    <row r="9" spans="1:78" ht="409.6" x14ac:dyDescent="0.2">
      <c r="A9" s="2">
        <v>9440156</v>
      </c>
      <c r="B9" s="2" t="s">
        <v>34</v>
      </c>
      <c r="C9" s="2" t="s">
        <v>133</v>
      </c>
      <c r="D9" s="2" t="s">
        <v>134</v>
      </c>
      <c r="E9" s="2" t="s">
        <v>135</v>
      </c>
      <c r="F9" s="2">
        <v>2021</v>
      </c>
      <c r="G9" s="2"/>
      <c r="H9" s="2"/>
      <c r="I9" s="2" t="s">
        <v>136</v>
      </c>
      <c r="J9" s="2" t="s">
        <v>137</v>
      </c>
      <c r="K9" s="2" t="s">
        <v>138</v>
      </c>
      <c r="L9" s="2" t="s">
        <v>139</v>
      </c>
      <c r="M9" s="2"/>
      <c r="N9" s="2" t="s">
        <v>140</v>
      </c>
      <c r="O9" s="2"/>
      <c r="P9" s="2"/>
      <c r="Q9" s="2"/>
      <c r="R9" s="2"/>
      <c r="S9" s="2"/>
      <c r="T9" s="2"/>
      <c r="U9" s="2"/>
      <c r="V9" s="2"/>
      <c r="W9" s="2"/>
      <c r="X9" s="2" t="s">
        <v>141</v>
      </c>
      <c r="Y9" s="2" t="s">
        <v>58</v>
      </c>
      <c r="Z9" s="2" t="s">
        <v>142</v>
      </c>
      <c r="AA9" s="2" t="s">
        <v>143</v>
      </c>
      <c r="AB9" s="2" t="s">
        <v>144</v>
      </c>
      <c r="AC9" s="2" t="s">
        <v>145</v>
      </c>
      <c r="AD9" s="2" t="s">
        <v>146</v>
      </c>
      <c r="AE9" s="2" t="s">
        <v>147</v>
      </c>
      <c r="AF9" s="2" t="s">
        <v>65</v>
      </c>
      <c r="AG9" s="2" t="s">
        <v>148</v>
      </c>
      <c r="AH9" s="2">
        <v>0.5</v>
      </c>
      <c r="AK9">
        <f t="shared" si="6"/>
        <v>1</v>
      </c>
      <c r="AL9">
        <f t="shared" si="0"/>
        <v>0</v>
      </c>
      <c r="AM9">
        <f t="shared" si="1"/>
        <v>0</v>
      </c>
      <c r="AN9">
        <f t="shared" si="2"/>
        <v>1</v>
      </c>
      <c r="AP9">
        <v>2019</v>
      </c>
      <c r="AQ9">
        <f t="shared" si="7"/>
        <v>13</v>
      </c>
      <c r="AR9">
        <f t="shared" si="3"/>
        <v>0</v>
      </c>
      <c r="AS9">
        <f t="shared" si="4"/>
        <v>2</v>
      </c>
      <c r="AT9">
        <f t="shared" si="5"/>
        <v>12</v>
      </c>
      <c r="BA9" t="s">
        <v>1351</v>
      </c>
      <c r="BB9" s="35" cm="1">
        <f t="array" ref="BB9">SUMPRODUCT((Y$2:Y$1000="PS")*ISNUMBER(SEARCH(LOWER(BA9),LOWER(AA$2:AA$1000)))*ISNUMBER(SEARCH("prioritization",LOWER(Z$2:Z$1000))))</f>
        <v>5</v>
      </c>
      <c r="BF9">
        <v>2019</v>
      </c>
      <c r="BG9" s="35" cm="1">
        <f t="array" ref="BG9">SUMPRODUCT((Y$2:Y$1000="PS")*(F$2:F$1000=BF9)*ISNUMBER(SEARCH("prioritization",LOWER(Z$2:Z$1000)))*ISNUMBER(SEARCH("coverage",LOWER(AA$2:AA$1000))))</f>
        <v>7</v>
      </c>
      <c r="BH9" s="35" cm="1">
        <f t="array" ref="BH9">SUMPRODUCT((Y$2:Y$1000="PS")*(F$2:F$1000=BF9)*ISNUMBER(SEARCH("prioritization",LOWER(Z$2:Z$1000)))*ISNUMBER(SEARCH("requirement",LOWER(AA$2:AA$1000))))</f>
        <v>2</v>
      </c>
      <c r="BI9" s="35" cm="1">
        <f t="array" ref="BI9">SUMPRODUCT((Y$2:Y$1000="PS")*(F$2:F$1000=BF9)*ISNUMBER(SEARCH("prioritization",LOWER(Z$2:Z$1000)))*ISNUMBER(SEARCH("probabilistic",LOWER(AA$2:AA$1000))))</f>
        <v>0</v>
      </c>
      <c r="BJ9" s="35" cm="1">
        <f t="array" ref="BJ9">SUMPRODUCT((Y$2:Y$1000="PS")*(F$2:F$1000=BF9)*ISNUMBER(SEARCH("prioritization",LOWER(Z$2:Z$1000)))*ISNUMBER(SEARCH("distribution",LOWER(AA$2:AA$1000))))</f>
        <v>0</v>
      </c>
      <c r="BK9" s="35" cm="1">
        <f t="array" ref="BK9">SUMPRODUCT((Y$2:Y$1000="PS")*(F$2:F$1000=BF9)*ISNUMBER(SEARCH("prioritization",LOWER(Z$2:Z$1000)))*ISNUMBER(SEARCH("clustering",LOWER(AA$2:AA$1000))))</f>
        <v>0</v>
      </c>
      <c r="BL9" s="35" cm="1">
        <f t="array" ref="BL9">SUMPRODUCT((Y$2:Y$1000="PS")*(F$2:F$1000=BF9)*ISNUMBER(SEARCH("prioritization",LOWER(Z$2:Z$1000)))*ISNUMBER(SEARCH("history",LOWER(AA$2:AA$1000))))</f>
        <v>0</v>
      </c>
      <c r="BM9" s="35" cm="1">
        <f t="array" ref="BM9">SUMPRODUCT((Y$2:Y$1000="PS")*(F$2:F$1000=BF9)*ISNUMBER(SEARCH("prioritization",LOWER(Z$2:Z$1000)))*ISNUMBER(SEARCH("model",LOWER(AA$2:AA$1000))))</f>
        <v>1</v>
      </c>
      <c r="BN9" s="35" cm="1">
        <f t="array" ref="BN9">SUMPRODUCT((Y$2:Y$1000="PS")*(F$2:F$1000=BF9)*ISNUMBER(SEARCH("prioritization",LOWER(Z$2:Z$1000)))*ISNUMBER(SEARCH("cost-aware",LOWER(AA$2:AA$1000))))</f>
        <v>0</v>
      </c>
      <c r="BO9" s="35" cm="1">
        <f t="array" ref="BO9">SUMPRODUCT((Y$2:Y$1000="PS")*(F$2:F$1000=BF9)*ISNUMBER(SEARCH("prioritization",LOWER(Z$2:Z$1000)))*ISNUMBER(SEARCH("similarity",LOWER(AA$2:AA$1000))))</f>
        <v>1</v>
      </c>
      <c r="BP9" s="35" cm="1">
        <f t="array" ref="BP9">SUMPRODUCT((Y$2:Y$1000="PS")*(F$2:F$1000=BF9)*ISNUMBER(SEARCH("prioritization",LOWER(Z$2:Z$1000)))*ISNUMBER(SEARCH("input",LOWER(AA$2:AA$1000))))</f>
        <v>0</v>
      </c>
      <c r="BQ9" s="35" cm="1">
        <f t="array" ref="BQ9">SUMPRODUCT((Y$2:Y$1000="PS")*(F$2:F$1000=BF9)*ISNUMBER(SEARCH("prioritization",LOWER(Z$2:Z$1000)))*ISNUMBER(SEARCH("structure",LOWER(AA$2:AA$1000))))</f>
        <v>0</v>
      </c>
      <c r="BR9" s="35" cm="1">
        <f t="array" ref="BR9">SUMPRODUCT((Y$2:Y$1000="PS")*(F$2:F$1000=BF9)*ISNUMBER(SEARCH("prioritization",LOWER(Z$2:Z$1000)))*ISNUMBER(SEARCH("change",LOWER(AA$2:AA$1000))))</f>
        <v>0</v>
      </c>
      <c r="BS9" s="35" cm="1">
        <f t="array" ref="BS9">SUMPRODUCT((Y$2:Y$1000="PS")*(F$2:F$1000=BF9)*ISNUMBER(SEARCH("prioritization",LOWER(Z$2:Z$1000)))*ISNUMBER(SEARCH("ml",LOWER(AA$2:AA$1000))))</f>
        <v>0</v>
      </c>
      <c r="BT9" s="35" cm="1">
        <f t="array" ref="BT9">SUMPRODUCT((Y$2:Y$1000="PS")*(F$2:F$1000=BF9)*ISNUMBER(SEARCH("prioritization",LOWER(Z$2:Z$1000)))*ISNUMBER(SEARCH("heuristic",LOWER(AA$2:AA$1000))))</f>
        <v>0</v>
      </c>
      <c r="BU9" s="35" cm="1">
        <f t="array" ref="BU9">SUMPRODUCT((Y$2:Y$1000="PS")*(F$2:F$1000=BF9)*ISNUMBER(SEARCH("prioritization",LOWER(Z$2:Z$1000)))*ISNUMBER(SEARCH("search",LOWER(AA$2:AA$1000))))</f>
        <v>0</v>
      </c>
      <c r="BV9" s="35" cm="1">
        <f t="array" ref="BV9">SUMPRODUCT((Y$2:Y$1000="PS")*(F$2:F$1000=BF9)*ISNUMBER(SEARCH("prioritization",LOWER(Z$2:Z$1000)))*ISNUMBER(SEARCH("transfer",LOWER(AA$2:AA$1000))))</f>
        <v>0</v>
      </c>
      <c r="BW9" s="35" cm="1">
        <f t="array" ref="BW9">SUMPRODUCT((Y$2:Y$1000="PS")*(F$2:F$1000=BF9)*ISNUMBER(SEARCH("prioritization",LOWER(Z$2:Z$1000)))*ISNUMBER(SEARCH("riski",LOWER(AA$2:AA$1000))))</f>
        <v>0</v>
      </c>
      <c r="BX9" s="35" cm="1">
        <f t="array" ref="BX9">SUMPRODUCT((Y$2:Y$1000="PS")*(F$2:F$1000=BF9)*ISNUMBER(SEARCH("prioritization",LOWER(Z$2:Z$1000)))*ISNUMBER(SEARCH("nlp",LOWER(AA$2:AA$1000))))</f>
        <v>0</v>
      </c>
      <c r="BY9" s="35" cm="1">
        <f t="array" ref="BY9">SUMPRODUCT((Y$2:Y$1000="PS")*(F$2:F$1000=BF9)*ISNUMBER(SEARCH("prioritization",LOWER(Z$2:Z$1000)))*ISNUMBER(SEARCH("design",LOWER(AA$2:AA$1000))))</f>
        <v>0</v>
      </c>
      <c r="BZ9" s="35" cm="1">
        <f t="array" ref="BZ9">SUMPRODUCT((Y$2:Y$1000="PS")*(F$2:F$1000=BF9)*ISNUMBER(SEARCH("prioritization",LOWER(Z$2:Z$1000)))*ISNUMBER(SEARCH("other",LOWER(AA$2:AA$1000))))</f>
        <v>2</v>
      </c>
    </row>
    <row r="10" spans="1:78" ht="409.6" x14ac:dyDescent="0.2">
      <c r="A10" s="2">
        <v>7273631</v>
      </c>
      <c r="B10" s="2" t="s">
        <v>34</v>
      </c>
      <c r="C10" s="2" t="s">
        <v>149</v>
      </c>
      <c r="D10" s="2" t="s">
        <v>150</v>
      </c>
      <c r="E10" s="2" t="s">
        <v>151</v>
      </c>
      <c r="F10" s="2">
        <v>2015</v>
      </c>
      <c r="G10" s="2">
        <v>2</v>
      </c>
      <c r="H10" s="2"/>
      <c r="I10" s="2" t="s">
        <v>152</v>
      </c>
      <c r="J10" s="2" t="s">
        <v>153</v>
      </c>
      <c r="K10" s="2" t="s">
        <v>154</v>
      </c>
      <c r="L10" s="2" t="s">
        <v>155</v>
      </c>
      <c r="M10" s="2" t="s">
        <v>55</v>
      </c>
      <c r="N10" s="2" t="s">
        <v>56</v>
      </c>
      <c r="O10" s="2"/>
      <c r="P10" s="2"/>
      <c r="Q10" s="2"/>
      <c r="R10" s="2"/>
      <c r="S10" s="2"/>
      <c r="T10" s="2"/>
      <c r="U10" s="2"/>
      <c r="V10" s="2"/>
      <c r="W10" s="2"/>
      <c r="X10" s="2" t="s">
        <v>156</v>
      </c>
      <c r="Y10" s="2" t="s">
        <v>58</v>
      </c>
      <c r="Z10" s="2" t="s">
        <v>157</v>
      </c>
      <c r="AA10" s="2" t="s">
        <v>60</v>
      </c>
      <c r="AB10" s="2" t="s">
        <v>158</v>
      </c>
      <c r="AC10" s="2" t="s">
        <v>62</v>
      </c>
      <c r="AD10" s="2" t="s">
        <v>159</v>
      </c>
      <c r="AE10" s="2" t="s">
        <v>160</v>
      </c>
      <c r="AF10" s="2" t="s">
        <v>65</v>
      </c>
      <c r="AG10" s="2" t="s">
        <v>161</v>
      </c>
      <c r="AH10" s="2">
        <v>0.5</v>
      </c>
      <c r="AK10">
        <f t="shared" si="6"/>
        <v>1</v>
      </c>
      <c r="AL10">
        <f t="shared" si="0"/>
        <v>0</v>
      </c>
      <c r="AM10">
        <f t="shared" si="1"/>
        <v>0</v>
      </c>
      <c r="AN10">
        <f t="shared" si="2"/>
        <v>1</v>
      </c>
      <c r="AP10">
        <v>2020</v>
      </c>
      <c r="AQ10">
        <f t="shared" si="7"/>
        <v>7</v>
      </c>
      <c r="AR10">
        <f t="shared" si="3"/>
        <v>0</v>
      </c>
      <c r="AS10">
        <f t="shared" si="4"/>
        <v>2</v>
      </c>
      <c r="AT10">
        <f t="shared" si="5"/>
        <v>6</v>
      </c>
      <c r="BA10" t="s">
        <v>1352</v>
      </c>
      <c r="BB10" s="35" cm="1">
        <f t="array" ref="BB10">SUMPRODUCT((Y$2:Y$1000="PS")*ISNUMBER(SEARCH(LOWER(BA10),LOWER(AA$2:AA$1000)))*ISNUMBER(SEARCH("prioritization",LOWER(Z$2:Z$1000))))</f>
        <v>4</v>
      </c>
      <c r="BF10">
        <v>2020</v>
      </c>
      <c r="BG10" s="35" cm="1">
        <f t="array" ref="BG10">SUMPRODUCT((Y$2:Y$1000="PS")*(F$2:F$1000=BF10)*ISNUMBER(SEARCH("prioritization",LOWER(Z$2:Z$1000)))*ISNUMBER(SEARCH("coverage",LOWER(AA$2:AA$1000))))</f>
        <v>4</v>
      </c>
      <c r="BH10" s="35" cm="1">
        <f t="array" ref="BH10">SUMPRODUCT((Y$2:Y$1000="PS")*(F$2:F$1000=BF10)*ISNUMBER(SEARCH("prioritization",LOWER(Z$2:Z$1000)))*ISNUMBER(SEARCH("requirement",LOWER(AA$2:AA$1000))))</f>
        <v>0</v>
      </c>
      <c r="BI10" s="35" cm="1">
        <f t="array" ref="BI10">SUMPRODUCT((Y$2:Y$1000="PS")*(F$2:F$1000=BF10)*ISNUMBER(SEARCH("prioritization",LOWER(Z$2:Z$1000)))*ISNUMBER(SEARCH("probabilistic",LOWER(AA$2:AA$1000))))</f>
        <v>0</v>
      </c>
      <c r="BJ10" s="35" cm="1">
        <f t="array" ref="BJ10">SUMPRODUCT((Y$2:Y$1000="PS")*(F$2:F$1000=BF10)*ISNUMBER(SEARCH("prioritization",LOWER(Z$2:Z$1000)))*ISNUMBER(SEARCH("distribution",LOWER(AA$2:AA$1000))))</f>
        <v>0</v>
      </c>
      <c r="BK10" s="35" cm="1">
        <f t="array" ref="BK10">SUMPRODUCT((Y$2:Y$1000="PS")*(F$2:F$1000=BF10)*ISNUMBER(SEARCH("prioritization",LOWER(Z$2:Z$1000)))*ISNUMBER(SEARCH("clustering",LOWER(AA$2:AA$1000))))</f>
        <v>0</v>
      </c>
      <c r="BL10" s="35" cm="1">
        <f t="array" ref="BL10">SUMPRODUCT((Y$2:Y$1000="PS")*(F$2:F$1000=BF10)*ISNUMBER(SEARCH("prioritization",LOWER(Z$2:Z$1000)))*ISNUMBER(SEARCH("history",LOWER(AA$2:AA$1000))))</f>
        <v>0</v>
      </c>
      <c r="BM10" s="35" cm="1">
        <f t="array" ref="BM10">SUMPRODUCT((Y$2:Y$1000="PS")*(F$2:F$1000=BF10)*ISNUMBER(SEARCH("prioritization",LOWER(Z$2:Z$1000)))*ISNUMBER(SEARCH("model",LOWER(AA$2:AA$1000))))</f>
        <v>0</v>
      </c>
      <c r="BN10" s="35" cm="1">
        <f t="array" ref="BN10">SUMPRODUCT((Y$2:Y$1000="PS")*(F$2:F$1000=BF10)*ISNUMBER(SEARCH("prioritization",LOWER(Z$2:Z$1000)))*ISNUMBER(SEARCH("cost-aware",LOWER(AA$2:AA$1000))))</f>
        <v>0</v>
      </c>
      <c r="BO10" s="35" cm="1">
        <f t="array" ref="BO10">SUMPRODUCT((Y$2:Y$1000="PS")*(F$2:F$1000=BF10)*ISNUMBER(SEARCH("prioritization",LOWER(Z$2:Z$1000)))*ISNUMBER(SEARCH("similarity",LOWER(AA$2:AA$1000))))</f>
        <v>0</v>
      </c>
      <c r="BP10" s="35" cm="1">
        <f t="array" ref="BP10">SUMPRODUCT((Y$2:Y$1000="PS")*(F$2:F$1000=BF10)*ISNUMBER(SEARCH("prioritization",LOWER(Z$2:Z$1000)))*ISNUMBER(SEARCH("input",LOWER(AA$2:AA$1000))))</f>
        <v>0</v>
      </c>
      <c r="BQ10" s="35" cm="1">
        <f t="array" ref="BQ10">SUMPRODUCT((Y$2:Y$1000="PS")*(F$2:F$1000=BF10)*ISNUMBER(SEARCH("prioritization",LOWER(Z$2:Z$1000)))*ISNUMBER(SEARCH("structure",LOWER(AA$2:AA$1000))))</f>
        <v>0</v>
      </c>
      <c r="BR10" s="35" cm="1">
        <f t="array" ref="BR10">SUMPRODUCT((Y$2:Y$1000="PS")*(F$2:F$1000=BF10)*ISNUMBER(SEARCH("prioritization",LOWER(Z$2:Z$1000)))*ISNUMBER(SEARCH("change",LOWER(AA$2:AA$1000))))</f>
        <v>1</v>
      </c>
      <c r="BS10" s="35" cm="1">
        <f t="array" ref="BS10">SUMPRODUCT((Y$2:Y$1000="PS")*(F$2:F$1000=BF10)*ISNUMBER(SEARCH("prioritization",LOWER(Z$2:Z$1000)))*ISNUMBER(SEARCH("ml",LOWER(AA$2:AA$1000))))</f>
        <v>1</v>
      </c>
      <c r="BT10" s="35" cm="1">
        <f t="array" ref="BT10">SUMPRODUCT((Y$2:Y$1000="PS")*(F$2:F$1000=BF10)*ISNUMBER(SEARCH("prioritization",LOWER(Z$2:Z$1000)))*ISNUMBER(SEARCH("heuristic",LOWER(AA$2:AA$1000))))</f>
        <v>0</v>
      </c>
      <c r="BU10" s="35" cm="1">
        <f t="array" ref="BU10">SUMPRODUCT((Y$2:Y$1000="PS")*(F$2:F$1000=BF10)*ISNUMBER(SEARCH("prioritization",LOWER(Z$2:Z$1000)))*ISNUMBER(SEARCH("search",LOWER(AA$2:AA$1000))))</f>
        <v>0</v>
      </c>
      <c r="BV10" s="35" cm="1">
        <f t="array" ref="BV10">SUMPRODUCT((Y$2:Y$1000="PS")*(F$2:F$1000=BF10)*ISNUMBER(SEARCH("prioritization",LOWER(Z$2:Z$1000)))*ISNUMBER(SEARCH("transfer",LOWER(AA$2:AA$1000))))</f>
        <v>0</v>
      </c>
      <c r="BW10" s="35" cm="1">
        <f t="array" ref="BW10">SUMPRODUCT((Y$2:Y$1000="PS")*(F$2:F$1000=BF10)*ISNUMBER(SEARCH("prioritization",LOWER(Z$2:Z$1000)))*ISNUMBER(SEARCH("riski",LOWER(AA$2:AA$1000))))</f>
        <v>0</v>
      </c>
      <c r="BX10" s="35" cm="1">
        <f t="array" ref="BX10">SUMPRODUCT((Y$2:Y$1000="PS")*(F$2:F$1000=BF10)*ISNUMBER(SEARCH("prioritization",LOWER(Z$2:Z$1000)))*ISNUMBER(SEARCH("nlp",LOWER(AA$2:AA$1000))))</f>
        <v>0</v>
      </c>
      <c r="BY10" s="35" cm="1">
        <f t="array" ref="BY10">SUMPRODUCT((Y$2:Y$1000="PS")*(F$2:F$1000=BF10)*ISNUMBER(SEARCH("prioritization",LOWER(Z$2:Z$1000)))*ISNUMBER(SEARCH("design",LOWER(AA$2:AA$1000))))</f>
        <v>1</v>
      </c>
      <c r="BZ10" s="35" cm="1">
        <f t="array" ref="BZ10">SUMPRODUCT((Y$2:Y$1000="PS")*(F$2:F$1000=BF10)*ISNUMBER(SEARCH("prioritization",LOWER(Z$2:Z$1000)))*ISNUMBER(SEARCH("other",LOWER(AA$2:AA$1000))))</f>
        <v>2</v>
      </c>
    </row>
    <row r="11" spans="1:78" ht="409.6" x14ac:dyDescent="0.2">
      <c r="A11" s="2">
        <v>8305939</v>
      </c>
      <c r="B11" s="2" t="s">
        <v>34</v>
      </c>
      <c r="C11" s="2" t="s">
        <v>162</v>
      </c>
      <c r="D11" s="2" t="s">
        <v>163</v>
      </c>
      <c r="E11" s="2" t="s">
        <v>164</v>
      </c>
      <c r="F11" s="2">
        <v>2017</v>
      </c>
      <c r="G11" s="2"/>
      <c r="H11" s="2"/>
      <c r="I11" s="2" t="s">
        <v>165</v>
      </c>
      <c r="J11" s="2" t="s">
        <v>166</v>
      </c>
      <c r="K11" s="2" t="s">
        <v>167</v>
      </c>
      <c r="L11" s="2" t="s">
        <v>168</v>
      </c>
      <c r="M11" s="2"/>
      <c r="N11" s="2" t="s">
        <v>169</v>
      </c>
      <c r="O11" s="2"/>
      <c r="P11" s="2"/>
      <c r="Q11" s="2"/>
      <c r="R11" s="2"/>
      <c r="S11" s="2"/>
      <c r="T11" s="2"/>
      <c r="U11" s="2"/>
      <c r="V11" s="2"/>
      <c r="W11" s="2"/>
      <c r="X11" s="2" t="s">
        <v>170</v>
      </c>
      <c r="Y11" s="2" t="s">
        <v>58</v>
      </c>
      <c r="Z11" s="2" t="s">
        <v>171</v>
      </c>
      <c r="AA11" s="2" t="s">
        <v>172</v>
      </c>
      <c r="AB11" s="2" t="s">
        <v>61</v>
      </c>
      <c r="AC11" s="2" t="s">
        <v>62</v>
      </c>
      <c r="AD11" s="2" t="s">
        <v>173</v>
      </c>
      <c r="AE11" s="2" t="s">
        <v>174</v>
      </c>
      <c r="AF11" s="2" t="s">
        <v>175</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BA11" t="s">
        <v>1353</v>
      </c>
      <c r="BB11" s="35" cm="1">
        <f t="array" ref="BB11">SUMPRODUCT((Y$2:Y$1000="PS")*ISNUMBER(SEARCH(LOWER(BA11),LOWER(AA$2:AA$1000)))*ISNUMBER(SEARCH("prioritization",LOWER(Z$2:Z$1000))))</f>
        <v>6</v>
      </c>
      <c r="BF11">
        <v>2021</v>
      </c>
      <c r="BG11" s="35" cm="1">
        <f t="array" ref="BG11">SUMPRODUCT((Y$2:Y$1000="PS")*(F$2:F$1000=BF11)*ISNUMBER(SEARCH("prioritization",LOWER(Z$2:Z$1000)))*ISNUMBER(SEARCH("coverage",LOWER(AA$2:AA$1000))))</f>
        <v>0</v>
      </c>
      <c r="BH11" s="35" cm="1">
        <f t="array" ref="BH11">SUMPRODUCT((Y$2:Y$1000="PS")*(F$2:F$1000=BF11)*ISNUMBER(SEARCH("prioritization",LOWER(Z$2:Z$1000)))*ISNUMBER(SEARCH("requirement",LOWER(AA$2:AA$1000))))</f>
        <v>0</v>
      </c>
      <c r="BI11" s="35" cm="1">
        <f t="array" ref="BI11">SUMPRODUCT((Y$2:Y$1000="PS")*(F$2:F$1000=BF11)*ISNUMBER(SEARCH("prioritization",LOWER(Z$2:Z$1000)))*ISNUMBER(SEARCH("probabilistic",LOWER(AA$2:AA$1000))))</f>
        <v>0</v>
      </c>
      <c r="BJ11" s="35" cm="1">
        <f t="array" ref="BJ11">SUMPRODUCT((Y$2:Y$1000="PS")*(F$2:F$1000=BF11)*ISNUMBER(SEARCH("prioritization",LOWER(Z$2:Z$1000)))*ISNUMBER(SEARCH("distribution",LOWER(AA$2:AA$1000))))</f>
        <v>0</v>
      </c>
      <c r="BK11" s="35" cm="1">
        <f t="array" ref="BK11">SUMPRODUCT((Y$2:Y$1000="PS")*(F$2:F$1000=BF11)*ISNUMBER(SEARCH("prioritization",LOWER(Z$2:Z$1000)))*ISNUMBER(SEARCH("clustering",LOWER(AA$2:AA$1000))))</f>
        <v>1</v>
      </c>
      <c r="BL11" s="35" cm="1">
        <f t="array" ref="BL11">SUMPRODUCT((Y$2:Y$1000="PS")*(F$2:F$1000=BF11)*ISNUMBER(SEARCH("prioritization",LOWER(Z$2:Z$1000)))*ISNUMBER(SEARCH("history",LOWER(AA$2:AA$1000))))</f>
        <v>2</v>
      </c>
      <c r="BM11" s="35" cm="1">
        <f t="array" ref="BM11">SUMPRODUCT((Y$2:Y$1000="PS")*(F$2:F$1000=BF11)*ISNUMBER(SEARCH("prioritization",LOWER(Z$2:Z$1000)))*ISNUMBER(SEARCH("model",LOWER(AA$2:AA$1000))))</f>
        <v>0</v>
      </c>
      <c r="BN11" s="35" cm="1">
        <f t="array" ref="BN11">SUMPRODUCT((Y$2:Y$1000="PS")*(F$2:F$1000=BF11)*ISNUMBER(SEARCH("prioritization",LOWER(Z$2:Z$1000)))*ISNUMBER(SEARCH("cost-aware",LOWER(AA$2:AA$1000))))</f>
        <v>1</v>
      </c>
      <c r="BO11" s="35" cm="1">
        <f t="array" ref="BO11">SUMPRODUCT((Y$2:Y$1000="PS")*(F$2:F$1000=BF11)*ISNUMBER(SEARCH("prioritization",LOWER(Z$2:Z$1000)))*ISNUMBER(SEARCH("similarity",LOWER(AA$2:AA$1000))))</f>
        <v>0</v>
      </c>
      <c r="BP11" s="35" cm="1">
        <f t="array" ref="BP11">SUMPRODUCT((Y$2:Y$1000="PS")*(F$2:F$1000=BF11)*ISNUMBER(SEARCH("prioritization",LOWER(Z$2:Z$1000)))*ISNUMBER(SEARCH("input",LOWER(AA$2:AA$1000))))</f>
        <v>0</v>
      </c>
      <c r="BQ11" s="35" cm="1">
        <f t="array" ref="BQ11">SUMPRODUCT((Y$2:Y$1000="PS")*(F$2:F$1000=BF11)*ISNUMBER(SEARCH("prioritization",LOWER(Z$2:Z$1000)))*ISNUMBER(SEARCH("structure",LOWER(AA$2:AA$1000))))</f>
        <v>0</v>
      </c>
      <c r="BR11" s="35" cm="1">
        <f t="array" ref="BR11">SUMPRODUCT((Y$2:Y$1000="PS")*(F$2:F$1000=BF11)*ISNUMBER(SEARCH("prioritization",LOWER(Z$2:Z$1000)))*ISNUMBER(SEARCH("change",LOWER(AA$2:AA$1000))))</f>
        <v>0</v>
      </c>
      <c r="BS11" s="35" cm="1">
        <f t="array" ref="BS11">SUMPRODUCT((Y$2:Y$1000="PS")*(F$2:F$1000=BF11)*ISNUMBER(SEARCH("prioritization",LOWER(Z$2:Z$1000)))*ISNUMBER(SEARCH("ml",LOWER(AA$2:AA$1000))))</f>
        <v>0</v>
      </c>
      <c r="BT11" s="35" cm="1">
        <f t="array" ref="BT11">SUMPRODUCT((Y$2:Y$1000="PS")*(F$2:F$1000=BF11)*ISNUMBER(SEARCH("prioritization",LOWER(Z$2:Z$1000)))*ISNUMBER(SEARCH("heuristic",LOWER(AA$2:AA$1000))))</f>
        <v>2</v>
      </c>
      <c r="BU11" s="35" cm="1">
        <f t="array" ref="BU11">SUMPRODUCT((Y$2:Y$1000="PS")*(F$2:F$1000=BF11)*ISNUMBER(SEARCH("prioritization",LOWER(Z$2:Z$1000)))*ISNUMBER(SEARCH("search",LOWER(AA$2:AA$1000))))</f>
        <v>1</v>
      </c>
      <c r="BV11" s="35" cm="1">
        <f t="array" ref="BV11">SUMPRODUCT((Y$2:Y$1000="PS")*(F$2:F$1000=BF11)*ISNUMBER(SEARCH("prioritization",LOWER(Z$2:Z$1000)))*ISNUMBER(SEARCH("transfer",LOWER(AA$2:AA$1000))))</f>
        <v>0</v>
      </c>
      <c r="BW11" s="35" cm="1">
        <f t="array" ref="BW11">SUMPRODUCT((Y$2:Y$1000="PS")*(F$2:F$1000=BF11)*ISNUMBER(SEARCH("prioritization",LOWER(Z$2:Z$1000)))*ISNUMBER(SEARCH("riski",LOWER(AA$2:AA$1000))))</f>
        <v>0</v>
      </c>
      <c r="BX11" s="35" cm="1">
        <f t="array" ref="BX11">SUMPRODUCT((Y$2:Y$1000="PS")*(F$2:F$1000=BF11)*ISNUMBER(SEARCH("prioritization",LOWER(Z$2:Z$1000)))*ISNUMBER(SEARCH("nlp",LOWER(AA$2:AA$1000))))</f>
        <v>0</v>
      </c>
      <c r="BY11" s="35" cm="1">
        <f t="array" ref="BY11">SUMPRODUCT((Y$2:Y$1000="PS")*(F$2:F$1000=BF11)*ISNUMBER(SEARCH("prioritization",LOWER(Z$2:Z$1000)))*ISNUMBER(SEARCH("design",LOWER(AA$2:AA$1000))))</f>
        <v>0</v>
      </c>
      <c r="BZ11" s="35" cm="1">
        <f t="array" ref="BZ11">SUMPRODUCT((Y$2:Y$1000="PS")*(F$2:F$1000=BF11)*ISNUMBER(SEARCH("prioritization",LOWER(Z$2:Z$1000)))*ISNUMBER(SEARCH("other",LOWER(AA$2:AA$1000))))</f>
        <v>1</v>
      </c>
    </row>
    <row r="12" spans="1:78" ht="409.6" x14ac:dyDescent="0.2">
      <c r="A12" s="2">
        <v>9796413</v>
      </c>
      <c r="B12" s="2" t="s">
        <v>34</v>
      </c>
      <c r="C12" s="2" t="s">
        <v>176</v>
      </c>
      <c r="D12" s="2" t="s">
        <v>177</v>
      </c>
      <c r="E12" s="2" t="s">
        <v>178</v>
      </c>
      <c r="F12" s="2">
        <v>2022</v>
      </c>
      <c r="G12" s="2"/>
      <c r="H12" s="2"/>
      <c r="I12" s="2" t="s">
        <v>179</v>
      </c>
      <c r="J12" s="2" t="s">
        <v>180</v>
      </c>
      <c r="K12" s="2" t="s">
        <v>181</v>
      </c>
      <c r="L12" s="2" t="s">
        <v>182</v>
      </c>
      <c r="M12" s="2"/>
      <c r="N12" s="2" t="s">
        <v>75</v>
      </c>
      <c r="O12" s="2"/>
      <c r="P12" s="2"/>
      <c r="Q12" s="2"/>
      <c r="R12" s="2"/>
      <c r="S12" s="2"/>
      <c r="T12" s="2"/>
      <c r="U12" s="2"/>
      <c r="V12" s="2"/>
      <c r="W12" s="2"/>
      <c r="X12" s="2" t="s">
        <v>183</v>
      </c>
      <c r="Y12" s="2" t="s">
        <v>58</v>
      </c>
      <c r="Z12" s="2" t="s">
        <v>184</v>
      </c>
      <c r="AA12" s="2" t="s">
        <v>185</v>
      </c>
      <c r="AB12" s="2" t="s">
        <v>131</v>
      </c>
      <c r="AC12" s="2" t="s">
        <v>132</v>
      </c>
      <c r="AD12" s="2" t="s">
        <v>186</v>
      </c>
      <c r="AE12" s="2" t="s">
        <v>187</v>
      </c>
      <c r="AF12" s="2" t="s">
        <v>188</v>
      </c>
      <c r="AG12" s="2" t="s">
        <v>189</v>
      </c>
      <c r="AH12" s="2">
        <v>0.5</v>
      </c>
      <c r="AK12">
        <f t="shared" si="6"/>
        <v>1</v>
      </c>
      <c r="AL12">
        <f t="shared" si="0"/>
        <v>0</v>
      </c>
      <c r="AM12">
        <f t="shared" si="1"/>
        <v>1</v>
      </c>
      <c r="AN12">
        <f t="shared" si="2"/>
        <v>1</v>
      </c>
      <c r="AP12">
        <v>2022</v>
      </c>
      <c r="AQ12">
        <f t="shared" si="7"/>
        <v>17</v>
      </c>
      <c r="AR12">
        <f t="shared" si="3"/>
        <v>1</v>
      </c>
      <c r="AS12">
        <f t="shared" si="4"/>
        <v>2</v>
      </c>
      <c r="AT12">
        <f t="shared" si="5"/>
        <v>16</v>
      </c>
      <c r="BA12" t="s">
        <v>1354</v>
      </c>
      <c r="BB12" s="35" cm="1">
        <f t="array" ref="BB12">SUMPRODUCT((Y$2:Y$1000="PS")*ISNUMBER(SEARCH(LOWER(BA12),LOWER(AA$2:AA$1000)))*ISNUMBER(SEARCH("prioritization",LOWER(Z$2:Z$1000))))</f>
        <v>2</v>
      </c>
      <c r="BF12">
        <v>2022</v>
      </c>
      <c r="BG12" s="35" cm="1">
        <f t="array" ref="BG12">SUMPRODUCT((Y$2:Y$1000="PS")*(F$2:F$1000=BF12)*ISNUMBER(SEARCH("prioritization",LOWER(Z$2:Z$1000)))*ISNUMBER(SEARCH("coverage",LOWER(AA$2:AA$1000))))</f>
        <v>5</v>
      </c>
      <c r="BH12" s="35" cm="1">
        <f t="array" ref="BH12">SUMPRODUCT((Y$2:Y$1000="PS")*(F$2:F$1000=BF12)*ISNUMBER(SEARCH("prioritization",LOWER(Z$2:Z$1000)))*ISNUMBER(SEARCH("requirement",LOWER(AA$2:AA$1000))))</f>
        <v>1</v>
      </c>
      <c r="BI12" s="35" cm="1">
        <f t="array" ref="BI12">SUMPRODUCT((Y$2:Y$1000="PS")*(F$2:F$1000=BF12)*ISNUMBER(SEARCH("prioritization",LOWER(Z$2:Z$1000)))*ISNUMBER(SEARCH("probabilistic",LOWER(AA$2:AA$1000))))</f>
        <v>0</v>
      </c>
      <c r="BJ12" s="35" cm="1">
        <f t="array" ref="BJ12">SUMPRODUCT((Y$2:Y$1000="PS")*(F$2:F$1000=BF12)*ISNUMBER(SEARCH("prioritization",LOWER(Z$2:Z$1000)))*ISNUMBER(SEARCH("distribution",LOWER(AA$2:AA$1000))))</f>
        <v>1</v>
      </c>
      <c r="BK12" s="35" cm="1">
        <f t="array" ref="BK12">SUMPRODUCT((Y$2:Y$1000="PS")*(F$2:F$1000=BF12)*ISNUMBER(SEARCH("prioritization",LOWER(Z$2:Z$1000)))*ISNUMBER(SEARCH("clustering",LOWER(AA$2:AA$1000))))</f>
        <v>0</v>
      </c>
      <c r="BL12" s="35" cm="1">
        <f t="array" ref="BL12">SUMPRODUCT((Y$2:Y$1000="PS")*(F$2:F$1000=BF12)*ISNUMBER(SEARCH("prioritization",LOWER(Z$2:Z$1000)))*ISNUMBER(SEARCH("history",LOWER(AA$2:AA$1000))))</f>
        <v>3</v>
      </c>
      <c r="BM12" s="35" cm="1">
        <f t="array" ref="BM12">SUMPRODUCT((Y$2:Y$1000="PS")*(F$2:F$1000=BF12)*ISNUMBER(SEARCH("prioritization",LOWER(Z$2:Z$1000)))*ISNUMBER(SEARCH("model",LOWER(AA$2:AA$1000))))</f>
        <v>1</v>
      </c>
      <c r="BN12" s="35" cm="1">
        <f t="array" ref="BN12">SUMPRODUCT((Y$2:Y$1000="PS")*(F$2:F$1000=BF12)*ISNUMBER(SEARCH("prioritization",LOWER(Z$2:Z$1000)))*ISNUMBER(SEARCH("cost-aware",LOWER(AA$2:AA$1000))))</f>
        <v>0</v>
      </c>
      <c r="BO12" s="35" cm="1">
        <f t="array" ref="BO12">SUMPRODUCT((Y$2:Y$1000="PS")*(F$2:F$1000=BF12)*ISNUMBER(SEARCH("prioritization",LOWER(Z$2:Z$1000)))*ISNUMBER(SEARCH("similarity",LOWER(AA$2:AA$1000))))</f>
        <v>1</v>
      </c>
      <c r="BP12" s="35" cm="1">
        <f t="array" ref="BP12">SUMPRODUCT((Y$2:Y$1000="PS")*(F$2:F$1000=BF12)*ISNUMBER(SEARCH("prioritization",LOWER(Z$2:Z$1000)))*ISNUMBER(SEARCH("input",LOWER(AA$2:AA$1000))))</f>
        <v>0</v>
      </c>
      <c r="BQ12" s="35" cm="1">
        <f t="array" ref="BQ12">SUMPRODUCT((Y$2:Y$1000="PS")*(F$2:F$1000=BF12)*ISNUMBER(SEARCH("prioritization",LOWER(Z$2:Z$1000)))*ISNUMBER(SEARCH("structure",LOWER(AA$2:AA$1000))))</f>
        <v>0</v>
      </c>
      <c r="BR12" s="35" cm="1">
        <f t="array" ref="BR12">SUMPRODUCT((Y$2:Y$1000="PS")*(F$2:F$1000=BF12)*ISNUMBER(SEARCH("prioritization",LOWER(Z$2:Z$1000)))*ISNUMBER(SEARCH("change",LOWER(AA$2:AA$1000))))</f>
        <v>1</v>
      </c>
      <c r="BS12" s="35" cm="1">
        <f t="array" ref="BS12">SUMPRODUCT((Y$2:Y$1000="PS")*(F$2:F$1000=BF12)*ISNUMBER(SEARCH("prioritization",LOWER(Z$2:Z$1000)))*ISNUMBER(SEARCH("ml",LOWER(AA$2:AA$1000))))</f>
        <v>1</v>
      </c>
      <c r="BT12" s="35" cm="1">
        <f t="array" ref="BT12">SUMPRODUCT((Y$2:Y$1000="PS")*(F$2:F$1000=BF12)*ISNUMBER(SEARCH("prioritization",LOWER(Z$2:Z$1000)))*ISNUMBER(SEARCH("heuristic",LOWER(AA$2:AA$1000))))</f>
        <v>1</v>
      </c>
      <c r="BU12" s="35" cm="1">
        <f t="array" ref="BU12">SUMPRODUCT((Y$2:Y$1000="PS")*(F$2:F$1000=BF12)*ISNUMBER(SEARCH("prioritization",LOWER(Z$2:Z$1000)))*ISNUMBER(SEARCH("search",LOWER(AA$2:AA$1000))))</f>
        <v>2</v>
      </c>
      <c r="BV12" s="35" cm="1">
        <f t="array" ref="BV12">SUMPRODUCT((Y$2:Y$1000="PS")*(F$2:F$1000=BF12)*ISNUMBER(SEARCH("prioritization",LOWER(Z$2:Z$1000)))*ISNUMBER(SEARCH("transfer",LOWER(AA$2:AA$1000))))</f>
        <v>0</v>
      </c>
      <c r="BW12" s="35" cm="1">
        <f t="array" ref="BW12">SUMPRODUCT((Y$2:Y$1000="PS")*(F$2:F$1000=BF12)*ISNUMBER(SEARCH("prioritization",LOWER(Z$2:Z$1000)))*ISNUMBER(SEARCH("riski",LOWER(AA$2:AA$1000))))</f>
        <v>0</v>
      </c>
      <c r="BX12" s="35" cm="1">
        <f t="array" ref="BX12">SUMPRODUCT((Y$2:Y$1000="PS")*(F$2:F$1000=BF12)*ISNUMBER(SEARCH("prioritization",LOWER(Z$2:Z$1000)))*ISNUMBER(SEARCH("nlp",LOWER(AA$2:AA$1000))))</f>
        <v>0</v>
      </c>
      <c r="BY12" s="35" cm="1">
        <f t="array" ref="BY12">SUMPRODUCT((Y$2:Y$1000="PS")*(F$2:F$1000=BF12)*ISNUMBER(SEARCH("prioritization",LOWER(Z$2:Z$1000)))*ISNUMBER(SEARCH("design",LOWER(AA$2:AA$1000))))</f>
        <v>0</v>
      </c>
      <c r="BZ12" s="35" cm="1">
        <f t="array" ref="BZ12">SUMPRODUCT((Y$2:Y$1000="PS")*(F$2:F$1000=BF12)*ISNUMBER(SEARCH("prioritization",LOWER(Z$2:Z$1000)))*ISNUMBER(SEARCH("other",LOWER(AA$2:AA$1000))))</f>
        <v>1</v>
      </c>
    </row>
    <row r="13" spans="1:78" ht="409.6" x14ac:dyDescent="0.2">
      <c r="A13" s="2">
        <v>8452804</v>
      </c>
      <c r="B13" s="2" t="s">
        <v>34</v>
      </c>
      <c r="C13" s="2" t="s">
        <v>190</v>
      </c>
      <c r="D13" s="2" t="s">
        <v>191</v>
      </c>
      <c r="E13" s="2" t="s">
        <v>192</v>
      </c>
      <c r="F13" s="2">
        <v>2018</v>
      </c>
      <c r="G13" s="2"/>
      <c r="H13" s="2"/>
      <c r="I13" s="2" t="s">
        <v>193</v>
      </c>
      <c r="J13" s="2" t="s">
        <v>194</v>
      </c>
      <c r="K13" s="2" t="s">
        <v>195</v>
      </c>
      <c r="L13" s="2"/>
      <c r="M13" s="2"/>
      <c r="N13" s="2" t="s">
        <v>75</v>
      </c>
      <c r="O13" s="2"/>
      <c r="P13" s="2"/>
      <c r="Q13" s="2"/>
      <c r="R13" s="2"/>
      <c r="S13" s="2"/>
      <c r="T13" s="2"/>
      <c r="U13" s="2"/>
      <c r="V13" s="2"/>
      <c r="W13" s="2"/>
      <c r="X13" s="2" t="s">
        <v>196</v>
      </c>
      <c r="Y13" s="2" t="s">
        <v>58</v>
      </c>
      <c r="Z13" s="2" t="s">
        <v>197</v>
      </c>
      <c r="AA13" s="2"/>
      <c r="AB13" s="2" t="s">
        <v>61</v>
      </c>
      <c r="AC13" s="2" t="s">
        <v>198</v>
      </c>
      <c r="AD13" s="2" t="s">
        <v>199</v>
      </c>
      <c r="AE13" s="2" t="s">
        <v>200</v>
      </c>
      <c r="AF13" s="2" t="s">
        <v>188</v>
      </c>
      <c r="AG13" s="2" t="s">
        <v>201</v>
      </c>
      <c r="AH13" s="2">
        <v>0</v>
      </c>
      <c r="AK13">
        <f t="shared" si="6"/>
        <v>1</v>
      </c>
      <c r="AL13">
        <f t="shared" si="0"/>
        <v>0</v>
      </c>
      <c r="AM13">
        <f t="shared" si="1"/>
        <v>1</v>
      </c>
      <c r="AN13">
        <f t="shared" si="2"/>
        <v>0</v>
      </c>
      <c r="AP13">
        <v>2023</v>
      </c>
      <c r="AQ13">
        <f t="shared" si="7"/>
        <v>9</v>
      </c>
      <c r="AR13">
        <f t="shared" si="3"/>
        <v>0</v>
      </c>
      <c r="AS13">
        <f t="shared" si="4"/>
        <v>2</v>
      </c>
      <c r="AT13">
        <f t="shared" si="5"/>
        <v>7</v>
      </c>
      <c r="BA13" t="s">
        <v>1355</v>
      </c>
      <c r="BB13" s="35" cm="1">
        <f t="array" ref="BB13">SUMPRODUCT((Y$2:Y$1000="PS")*ISNUMBER(SEARCH(LOWER(BA13),LOWER(AA$2:AA$1000)))*ISNUMBER(SEARCH("prioritization",LOWER(Z$2:Z$1000))))</f>
        <v>1</v>
      </c>
      <c r="BF13">
        <v>2023</v>
      </c>
      <c r="BG13" s="35" cm="1">
        <f t="array" ref="BG13">SUMPRODUCT((Y$2:Y$1000="PS")*(F$2:F$1000=BF13)*ISNUMBER(SEARCH("prioritization",LOWER(Z$2:Z$1000)))*ISNUMBER(SEARCH("coverage",LOWER(AA$2:AA$1000))))</f>
        <v>0</v>
      </c>
      <c r="BH13" s="35" cm="1">
        <f t="array" ref="BH13">SUMPRODUCT((Y$2:Y$1000="PS")*(F$2:F$1000=BF13)*ISNUMBER(SEARCH("prioritization",LOWER(Z$2:Z$1000)))*ISNUMBER(SEARCH("requirement",LOWER(AA$2:AA$1000))))</f>
        <v>0</v>
      </c>
      <c r="BI13" s="35" cm="1">
        <f t="array" ref="BI13">SUMPRODUCT((Y$2:Y$1000="PS")*(F$2:F$1000=BF13)*ISNUMBER(SEARCH("prioritization",LOWER(Z$2:Z$1000)))*ISNUMBER(SEARCH("probabilistic",LOWER(AA$2:AA$1000))))</f>
        <v>0</v>
      </c>
      <c r="BJ13" s="35" cm="1">
        <f t="array" ref="BJ13">SUMPRODUCT((Y$2:Y$1000="PS")*(F$2:F$1000=BF13)*ISNUMBER(SEARCH("prioritization",LOWER(Z$2:Z$1000)))*ISNUMBER(SEARCH("distribution",LOWER(AA$2:AA$1000))))</f>
        <v>0</v>
      </c>
      <c r="BK13" s="35" cm="1">
        <f t="array" ref="BK13">SUMPRODUCT((Y$2:Y$1000="PS")*(F$2:F$1000=BF13)*ISNUMBER(SEARCH("prioritization",LOWER(Z$2:Z$1000)))*ISNUMBER(SEARCH("clustering",LOWER(AA$2:AA$1000))))</f>
        <v>0</v>
      </c>
      <c r="BL13" s="35" cm="1">
        <f t="array" ref="BL13">SUMPRODUCT((Y$2:Y$1000="PS")*(F$2:F$1000=BF13)*ISNUMBER(SEARCH("prioritization",LOWER(Z$2:Z$1000)))*ISNUMBER(SEARCH("history",LOWER(AA$2:AA$1000))))</f>
        <v>2</v>
      </c>
      <c r="BM13" s="35" cm="1">
        <f t="array" ref="BM13">SUMPRODUCT((Y$2:Y$1000="PS")*(F$2:F$1000=BF13)*ISNUMBER(SEARCH("prioritization",LOWER(Z$2:Z$1000)))*ISNUMBER(SEARCH("model",LOWER(AA$2:AA$1000))))</f>
        <v>1</v>
      </c>
      <c r="BN13" s="35" cm="1">
        <f t="array" ref="BN13">SUMPRODUCT((Y$2:Y$1000="PS")*(F$2:F$1000=BF13)*ISNUMBER(SEARCH("prioritization",LOWER(Z$2:Z$1000)))*ISNUMBER(SEARCH("cost-aware",LOWER(AA$2:AA$1000))))</f>
        <v>2</v>
      </c>
      <c r="BO13" s="35" cm="1">
        <f t="array" ref="BO13">SUMPRODUCT((Y$2:Y$1000="PS")*(F$2:F$1000=BF13)*ISNUMBER(SEARCH("prioritization",LOWER(Z$2:Z$1000)))*ISNUMBER(SEARCH("similarity",LOWER(AA$2:AA$1000))))</f>
        <v>2</v>
      </c>
      <c r="BP13" s="35" cm="1">
        <f t="array" ref="BP13">SUMPRODUCT((Y$2:Y$1000="PS")*(F$2:F$1000=BF13)*ISNUMBER(SEARCH("prioritization",LOWER(Z$2:Z$1000)))*ISNUMBER(SEARCH("input",LOWER(AA$2:AA$1000))))</f>
        <v>0</v>
      </c>
      <c r="BQ13" s="35" cm="1">
        <f t="array" ref="BQ13">SUMPRODUCT((Y$2:Y$1000="PS")*(F$2:F$1000=BF13)*ISNUMBER(SEARCH("prioritization",LOWER(Z$2:Z$1000)))*ISNUMBER(SEARCH("structure",LOWER(AA$2:AA$1000))))</f>
        <v>0</v>
      </c>
      <c r="BR13" s="35" cm="1">
        <f t="array" ref="BR13">SUMPRODUCT((Y$2:Y$1000="PS")*(F$2:F$1000=BF13)*ISNUMBER(SEARCH("prioritization",LOWER(Z$2:Z$1000)))*ISNUMBER(SEARCH("change",LOWER(AA$2:AA$1000))))</f>
        <v>0</v>
      </c>
      <c r="BS13" s="35" cm="1">
        <f t="array" ref="BS13">SUMPRODUCT((Y$2:Y$1000="PS")*(F$2:F$1000=BF13)*ISNUMBER(SEARCH("prioritization",LOWER(Z$2:Z$1000)))*ISNUMBER(SEARCH("ml",LOWER(AA$2:AA$1000))))</f>
        <v>0</v>
      </c>
      <c r="BT13" s="35" cm="1">
        <f t="array" ref="BT13">SUMPRODUCT((Y$2:Y$1000="PS")*(F$2:F$1000=BF13)*ISNUMBER(SEARCH("prioritization",LOWER(Z$2:Z$1000)))*ISNUMBER(SEARCH("heuristic",LOWER(AA$2:AA$1000))))</f>
        <v>1</v>
      </c>
      <c r="BU13" s="35" cm="1">
        <f t="array" ref="BU13">SUMPRODUCT((Y$2:Y$1000="PS")*(F$2:F$1000=BF13)*ISNUMBER(SEARCH("prioritization",LOWER(Z$2:Z$1000)))*ISNUMBER(SEARCH("search",LOWER(AA$2:AA$1000))))</f>
        <v>1</v>
      </c>
      <c r="BV13" s="35" cm="1">
        <f t="array" ref="BV13">SUMPRODUCT((Y$2:Y$1000="PS")*(F$2:F$1000=BF13)*ISNUMBER(SEARCH("prioritization",LOWER(Z$2:Z$1000)))*ISNUMBER(SEARCH("transfer",LOWER(AA$2:AA$1000))))</f>
        <v>1</v>
      </c>
      <c r="BW13" s="35" cm="1">
        <f t="array" ref="BW13">SUMPRODUCT((Y$2:Y$1000="PS")*(F$2:F$1000=BF13)*ISNUMBER(SEARCH("prioritization",LOWER(Z$2:Z$1000)))*ISNUMBER(SEARCH("riski",LOWER(AA$2:AA$1000))))</f>
        <v>0</v>
      </c>
      <c r="BX13" s="35" cm="1">
        <f t="array" ref="BX13">SUMPRODUCT((Y$2:Y$1000="PS")*(F$2:F$1000=BF13)*ISNUMBER(SEARCH("prioritization",LOWER(Z$2:Z$1000)))*ISNUMBER(SEARCH("nlp",LOWER(AA$2:AA$1000))))</f>
        <v>0</v>
      </c>
      <c r="BY13" s="35" cm="1">
        <f t="array" ref="BY13">SUMPRODUCT((Y$2:Y$1000="PS")*(F$2:F$1000=BF13)*ISNUMBER(SEARCH("prioritization",LOWER(Z$2:Z$1000)))*ISNUMBER(SEARCH("design",LOWER(AA$2:AA$1000))))</f>
        <v>0</v>
      </c>
      <c r="BZ13" s="35" cm="1">
        <f t="array" ref="BZ13">SUMPRODUCT((Y$2:Y$1000="PS")*(F$2:F$1000=BF13)*ISNUMBER(SEARCH("prioritization",LOWER(Z$2:Z$1000)))*ISNUMBER(SEARCH("other",LOWER(AA$2:AA$1000))))</f>
        <v>0</v>
      </c>
    </row>
    <row r="14" spans="1:78" ht="409.6" x14ac:dyDescent="0.2">
      <c r="A14" s="2">
        <v>7273420</v>
      </c>
      <c r="B14" s="2" t="s">
        <v>34</v>
      </c>
      <c r="C14" s="2" t="s">
        <v>202</v>
      </c>
      <c r="D14" s="2" t="s">
        <v>150</v>
      </c>
      <c r="E14" s="2" t="s">
        <v>203</v>
      </c>
      <c r="F14" s="2">
        <v>2015</v>
      </c>
      <c r="G14" s="2">
        <v>3</v>
      </c>
      <c r="H14" s="2"/>
      <c r="I14" s="2" t="s">
        <v>204</v>
      </c>
      <c r="J14" s="2" t="s">
        <v>205</v>
      </c>
      <c r="K14" s="2" t="s">
        <v>206</v>
      </c>
      <c r="L14" s="2" t="s">
        <v>207</v>
      </c>
      <c r="M14" s="2" t="s">
        <v>55</v>
      </c>
      <c r="N14" s="2" t="s">
        <v>56</v>
      </c>
      <c r="O14" s="2"/>
      <c r="P14" s="2"/>
      <c r="Q14" s="2"/>
      <c r="R14" s="2"/>
      <c r="S14" s="2"/>
      <c r="T14" s="2"/>
      <c r="U14" s="2"/>
      <c r="V14" s="2"/>
      <c r="W14" s="2"/>
      <c r="X14" s="2" t="s">
        <v>208</v>
      </c>
      <c r="Y14" s="2" t="s">
        <v>58</v>
      </c>
      <c r="Z14" s="2" t="s">
        <v>209</v>
      </c>
      <c r="AA14" s="2" t="s">
        <v>210</v>
      </c>
      <c r="AB14" s="2" t="s">
        <v>211</v>
      </c>
      <c r="AC14" s="2" t="s">
        <v>212</v>
      </c>
      <c r="AD14" s="2" t="s">
        <v>213</v>
      </c>
      <c r="AE14" s="2" t="s">
        <v>214</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A14" t="s">
        <v>1356</v>
      </c>
      <c r="BB14" s="35" cm="1">
        <f t="array" ref="BB14">SUMPRODUCT((Y$2:Y$1000="PS")*ISNUMBER(SEARCH(LOWER(BA14),LOWER(AA$2:AA$1000)))*ISNUMBER(SEARCH("prioritization",LOWER(Z$2:Z$1000))))</f>
        <v>2</v>
      </c>
      <c r="BF14">
        <v>2024</v>
      </c>
      <c r="BG14" s="35" cm="1">
        <f t="array" ref="BG14">SUMPRODUCT((Y$2:Y$1000="PS")*(F$2:F$1000=BF14)*ISNUMBER(SEARCH("prioritization",LOWER(Z$2:Z$1000)))*ISNUMBER(SEARCH("coverage",LOWER(AA$2:AA$1000))))</f>
        <v>0</v>
      </c>
      <c r="BH14" s="35" cm="1">
        <f t="array" ref="BH14">SUMPRODUCT((Y$2:Y$1000="PS")*(F$2:F$1000=BF14)*ISNUMBER(SEARCH("prioritization",LOWER(Z$2:Z$1000)))*ISNUMBER(SEARCH("requirement",LOWER(AA$2:AA$1000))))</f>
        <v>0</v>
      </c>
      <c r="BI14" s="35" cm="1">
        <f t="array" ref="BI14">SUMPRODUCT((Y$2:Y$1000="PS")*(F$2:F$1000=BF14)*ISNUMBER(SEARCH("prioritization",LOWER(Z$2:Z$1000)))*ISNUMBER(SEARCH("probabilistic",LOWER(AA$2:AA$1000))))</f>
        <v>0</v>
      </c>
      <c r="BJ14" s="35" cm="1">
        <f t="array" ref="BJ14">SUMPRODUCT((Y$2:Y$1000="PS")*(F$2:F$1000=BF14)*ISNUMBER(SEARCH("prioritization",LOWER(Z$2:Z$1000)))*ISNUMBER(SEARCH("distribution",LOWER(AA$2:AA$1000))))</f>
        <v>0</v>
      </c>
      <c r="BK14" s="35" cm="1">
        <f t="array" ref="BK14">SUMPRODUCT((Y$2:Y$1000="PS")*(F$2:F$1000=BF14)*ISNUMBER(SEARCH("prioritization",LOWER(Z$2:Z$1000)))*ISNUMBER(SEARCH("clustering",LOWER(AA$2:AA$1000))))</f>
        <v>1</v>
      </c>
      <c r="BL14" s="35" cm="1">
        <f t="array" ref="BL14">SUMPRODUCT((Y$2:Y$1000="PS")*(F$2:F$1000=BF14)*ISNUMBER(SEARCH("prioritization",LOWER(Z$2:Z$1000)))*ISNUMBER(SEARCH("history",LOWER(AA$2:AA$1000))))</f>
        <v>2</v>
      </c>
      <c r="BM14" s="35" cm="1">
        <f t="array" ref="BM14">SUMPRODUCT((Y$2:Y$1000="PS")*(F$2:F$1000=BF14)*ISNUMBER(SEARCH("prioritization",LOWER(Z$2:Z$1000)))*ISNUMBER(SEARCH("model",LOWER(AA$2:AA$1000))))</f>
        <v>0</v>
      </c>
      <c r="BN14" s="35" cm="1">
        <f t="array" ref="BN14">SUMPRODUCT((Y$2:Y$1000="PS")*(F$2:F$1000=BF14)*ISNUMBER(SEARCH("prioritization",LOWER(Z$2:Z$1000)))*ISNUMBER(SEARCH("cost-aware",LOWER(AA$2:AA$1000))))</f>
        <v>0</v>
      </c>
      <c r="BO14" s="35" cm="1">
        <f t="array" ref="BO14">SUMPRODUCT((Y$2:Y$1000="PS")*(F$2:F$1000=BF14)*ISNUMBER(SEARCH("prioritization",LOWER(Z$2:Z$1000)))*ISNUMBER(SEARCH("similarity",LOWER(AA$2:AA$1000))))</f>
        <v>0</v>
      </c>
      <c r="BP14" s="35" cm="1">
        <f t="array" ref="BP14">SUMPRODUCT((Y$2:Y$1000="PS")*(F$2:F$1000=BF14)*ISNUMBER(SEARCH("prioritization",LOWER(Z$2:Z$1000)))*ISNUMBER(SEARCH("input",LOWER(AA$2:AA$1000))))</f>
        <v>0</v>
      </c>
      <c r="BQ14" s="35" cm="1">
        <f t="array" ref="BQ14">SUMPRODUCT((Y$2:Y$1000="PS")*(F$2:F$1000=BF14)*ISNUMBER(SEARCH("prioritization",LOWER(Z$2:Z$1000)))*ISNUMBER(SEARCH("structure",LOWER(AA$2:AA$1000))))</f>
        <v>0</v>
      </c>
      <c r="BR14" s="35" cm="1">
        <f t="array" ref="BR14">SUMPRODUCT((Y$2:Y$1000="PS")*(F$2:F$1000=BF14)*ISNUMBER(SEARCH("prioritization",LOWER(Z$2:Z$1000)))*ISNUMBER(SEARCH("change",LOWER(AA$2:AA$1000))))</f>
        <v>0</v>
      </c>
      <c r="BS14" s="35" cm="1">
        <f t="array" ref="BS14">SUMPRODUCT((Y$2:Y$1000="PS")*(F$2:F$1000=BF14)*ISNUMBER(SEARCH("prioritization",LOWER(Z$2:Z$1000)))*ISNUMBER(SEARCH("ml",LOWER(AA$2:AA$1000))))</f>
        <v>0</v>
      </c>
      <c r="BT14" s="35" cm="1">
        <f t="array" ref="BT14">SUMPRODUCT((Y$2:Y$1000="PS")*(F$2:F$1000=BF14)*ISNUMBER(SEARCH("prioritization",LOWER(Z$2:Z$1000)))*ISNUMBER(SEARCH("heuristic",LOWER(AA$2:AA$1000))))</f>
        <v>0</v>
      </c>
      <c r="BU14" s="35" cm="1">
        <f t="array" ref="BU14">SUMPRODUCT((Y$2:Y$1000="PS")*(F$2:F$1000=BF14)*ISNUMBER(SEARCH("prioritization",LOWER(Z$2:Z$1000)))*ISNUMBER(SEARCH("search",LOWER(AA$2:AA$1000))))</f>
        <v>2</v>
      </c>
      <c r="BV14" s="35" cm="1">
        <f t="array" ref="BV14">SUMPRODUCT((Y$2:Y$1000="PS")*(F$2:F$1000=BF14)*ISNUMBER(SEARCH("prioritization",LOWER(Z$2:Z$1000)))*ISNUMBER(SEARCH("transfer",LOWER(AA$2:AA$1000))))</f>
        <v>0</v>
      </c>
      <c r="BW14" s="35" cm="1">
        <f t="array" ref="BW14">SUMPRODUCT((Y$2:Y$1000="PS")*(F$2:F$1000=BF14)*ISNUMBER(SEARCH("prioritization",LOWER(Z$2:Z$1000)))*ISNUMBER(SEARCH("riski",LOWER(AA$2:AA$1000))))</f>
        <v>0</v>
      </c>
      <c r="BX14" s="35" cm="1">
        <f t="array" ref="BX14">SUMPRODUCT((Y$2:Y$1000="PS")*(F$2:F$1000=BF14)*ISNUMBER(SEARCH("prioritization",LOWER(Z$2:Z$1000)))*ISNUMBER(SEARCH("nlp",LOWER(AA$2:AA$1000))))</f>
        <v>0</v>
      </c>
      <c r="BY14" s="35" cm="1">
        <f t="array" ref="BY14">SUMPRODUCT((Y$2:Y$1000="PS")*(F$2:F$1000=BF14)*ISNUMBER(SEARCH("prioritization",LOWER(Z$2:Z$1000)))*ISNUMBER(SEARCH("design",LOWER(AA$2:AA$1000))))</f>
        <v>0</v>
      </c>
      <c r="BZ14" s="35" cm="1">
        <f t="array" ref="BZ14">SUMPRODUCT((Y$2:Y$1000="PS")*(F$2:F$1000=BF14)*ISNUMBER(SEARCH("prioritization",LOWER(Z$2:Z$1000)))*ISNUMBER(SEARCH("other",LOWER(AA$2:AA$1000))))</f>
        <v>0</v>
      </c>
    </row>
    <row r="15" spans="1:78" ht="409.6" x14ac:dyDescent="0.2">
      <c r="A15" s="2">
        <v>9787970</v>
      </c>
      <c r="B15" s="2" t="s">
        <v>34</v>
      </c>
      <c r="C15" s="2" t="s">
        <v>215</v>
      </c>
      <c r="D15" s="2" t="s">
        <v>216</v>
      </c>
      <c r="E15" s="2" t="s">
        <v>217</v>
      </c>
      <c r="F15" s="2">
        <v>2022</v>
      </c>
      <c r="G15" s="2"/>
      <c r="H15" s="2"/>
      <c r="I15" s="2" t="s">
        <v>218</v>
      </c>
      <c r="J15" s="2" t="s">
        <v>219</v>
      </c>
      <c r="K15" s="2" t="s">
        <v>220</v>
      </c>
      <c r="L15" s="2" t="s">
        <v>221</v>
      </c>
      <c r="M15" s="2" t="s">
        <v>222</v>
      </c>
      <c r="N15" s="2" t="s">
        <v>140</v>
      </c>
      <c r="O15" s="2"/>
      <c r="P15" s="2"/>
      <c r="Q15" s="2"/>
      <c r="R15" s="2"/>
      <c r="S15" s="2"/>
      <c r="T15" s="2"/>
      <c r="U15" s="2"/>
      <c r="V15" s="2"/>
      <c r="W15" s="2"/>
      <c r="X15" s="2" t="s">
        <v>223</v>
      </c>
      <c r="Y15" s="2" t="s">
        <v>58</v>
      </c>
      <c r="Z15" s="2" t="s">
        <v>224</v>
      </c>
      <c r="AA15" s="2" t="s">
        <v>143</v>
      </c>
      <c r="AB15" s="2" t="s">
        <v>211</v>
      </c>
      <c r="AC15" s="2" t="s">
        <v>212</v>
      </c>
      <c r="AD15" s="2" t="s">
        <v>225</v>
      </c>
      <c r="AE15" s="2" t="s">
        <v>226</v>
      </c>
      <c r="AF15" s="2"/>
      <c r="AG15" s="2" t="s">
        <v>227</v>
      </c>
      <c r="AH15" s="2">
        <v>0.5</v>
      </c>
      <c r="AK15">
        <f t="shared" si="6"/>
        <v>1</v>
      </c>
      <c r="AL15">
        <f t="shared" si="0"/>
        <v>0</v>
      </c>
      <c r="AM15">
        <f t="shared" si="1"/>
        <v>0</v>
      </c>
      <c r="AN15">
        <f t="shared" si="2"/>
        <v>1</v>
      </c>
      <c r="AP15">
        <v>2025</v>
      </c>
      <c r="AQ15">
        <f t="shared" si="7"/>
        <v>1</v>
      </c>
      <c r="AR15">
        <f t="shared" si="3"/>
        <v>0</v>
      </c>
      <c r="AS15">
        <f t="shared" si="4"/>
        <v>1</v>
      </c>
      <c r="AT15">
        <f t="shared" si="5"/>
        <v>0</v>
      </c>
      <c r="BA15" t="s">
        <v>1357</v>
      </c>
      <c r="BB15" s="35" cm="1">
        <f t="array" ref="BB15">SUMPRODUCT((Y$2:Y$1000="PS")*ISNUMBER(SEARCH(LOWER(BA15),LOWER(AA$2:AA$1000)))*ISNUMBER(SEARCH("prioritization",LOWER(Z$2:Z$1000))))</f>
        <v>2</v>
      </c>
      <c r="BF15">
        <v>2025</v>
      </c>
      <c r="BG15" s="35" cm="1">
        <f t="array" ref="BG15">SUMPRODUCT((Y$2:Y$1000="PS")*(F$2:F$1000=BF15)*ISNUMBER(SEARCH("prioritization",LOWER(Z$2:Z$1000)))*ISNUMBER(SEARCH("coverage",LOWER(AA$2:AA$1000))))</f>
        <v>0</v>
      </c>
      <c r="BH15" s="35" cm="1">
        <f t="array" ref="BH15">SUMPRODUCT((Y$2:Y$1000="PS")*(F$2:F$1000=BF15)*ISNUMBER(SEARCH("prioritization",LOWER(Z$2:Z$1000)))*ISNUMBER(SEARCH("requirement",LOWER(AA$2:AA$1000))))</f>
        <v>0</v>
      </c>
      <c r="BI15" s="35" cm="1">
        <f t="array" ref="BI15">SUMPRODUCT((Y$2:Y$1000="PS")*(F$2:F$1000=BF15)*ISNUMBER(SEARCH("prioritization",LOWER(Z$2:Z$1000)))*ISNUMBER(SEARCH("probabilistic",LOWER(AA$2:AA$1000))))</f>
        <v>0</v>
      </c>
      <c r="BJ15" s="35" cm="1">
        <f t="array" ref="BJ15">SUMPRODUCT((Y$2:Y$1000="PS")*(F$2:F$1000=BF15)*ISNUMBER(SEARCH("prioritization",LOWER(Z$2:Z$1000)))*ISNUMBER(SEARCH("distribution",LOWER(AA$2:AA$1000))))</f>
        <v>0</v>
      </c>
      <c r="BK15" s="35" cm="1">
        <f t="array" ref="BK15">SUMPRODUCT((Y$2:Y$1000="PS")*(F$2:F$1000=BF15)*ISNUMBER(SEARCH("prioritization",LOWER(Z$2:Z$1000)))*ISNUMBER(SEARCH("clustering",LOWER(AA$2:AA$1000))))</f>
        <v>0</v>
      </c>
      <c r="BL15" s="35" cm="1">
        <f t="array" ref="BL15">SUMPRODUCT((Y$2:Y$1000="PS")*(F$2:F$1000=BF15)*ISNUMBER(SEARCH("prioritization",LOWER(Z$2:Z$1000)))*ISNUMBER(SEARCH("history",LOWER(AA$2:AA$1000))))</f>
        <v>0</v>
      </c>
      <c r="BM15" s="35" cm="1">
        <f t="array" ref="BM15">SUMPRODUCT((Y$2:Y$1000="PS")*(F$2:F$1000=BF15)*ISNUMBER(SEARCH("prioritization",LOWER(Z$2:Z$1000)))*ISNUMBER(SEARCH("model",LOWER(AA$2:AA$1000))))</f>
        <v>0</v>
      </c>
      <c r="BN15" s="35" cm="1">
        <f t="array" ref="BN15">SUMPRODUCT((Y$2:Y$1000="PS")*(F$2:F$1000=BF15)*ISNUMBER(SEARCH("prioritization",LOWER(Z$2:Z$1000)))*ISNUMBER(SEARCH("cost-aware",LOWER(AA$2:AA$1000))))</f>
        <v>0</v>
      </c>
      <c r="BO15" s="35" cm="1">
        <f t="array" ref="BO15">SUMPRODUCT((Y$2:Y$1000="PS")*(F$2:F$1000=BF15)*ISNUMBER(SEARCH("prioritization",LOWER(Z$2:Z$1000)))*ISNUMBER(SEARCH("similarity",LOWER(AA$2:AA$1000))))</f>
        <v>0</v>
      </c>
      <c r="BP15" s="35" cm="1">
        <f t="array" ref="BP15">SUMPRODUCT((Y$2:Y$1000="PS")*(F$2:F$1000=BF15)*ISNUMBER(SEARCH("prioritization",LOWER(Z$2:Z$1000)))*ISNUMBER(SEARCH("input",LOWER(AA$2:AA$1000))))</f>
        <v>0</v>
      </c>
      <c r="BQ15" s="35" cm="1">
        <f t="array" ref="BQ15">SUMPRODUCT((Y$2:Y$1000="PS")*(F$2:F$1000=BF15)*ISNUMBER(SEARCH("prioritization",LOWER(Z$2:Z$1000)))*ISNUMBER(SEARCH("structure",LOWER(AA$2:AA$1000))))</f>
        <v>0</v>
      </c>
      <c r="BR15" s="35" cm="1">
        <f t="array" ref="BR15">SUMPRODUCT((Y$2:Y$1000="PS")*(F$2:F$1000=BF15)*ISNUMBER(SEARCH("prioritization",LOWER(Z$2:Z$1000)))*ISNUMBER(SEARCH("change",LOWER(AA$2:AA$1000))))</f>
        <v>0</v>
      </c>
      <c r="BS15" s="35" cm="1">
        <f t="array" ref="BS15">SUMPRODUCT((Y$2:Y$1000="PS")*(F$2:F$1000=BF15)*ISNUMBER(SEARCH("prioritization",LOWER(Z$2:Z$1000)))*ISNUMBER(SEARCH("ml",LOWER(AA$2:AA$1000))))</f>
        <v>0</v>
      </c>
      <c r="BT15" s="35" cm="1">
        <f t="array" ref="BT15">SUMPRODUCT((Y$2:Y$1000="PS")*(F$2:F$1000=BF15)*ISNUMBER(SEARCH("prioritization",LOWER(Z$2:Z$1000)))*ISNUMBER(SEARCH("heuristic",LOWER(AA$2:AA$1000))))</f>
        <v>0</v>
      </c>
      <c r="BU15" s="35" cm="1">
        <f t="array" ref="BU15">SUMPRODUCT((Y$2:Y$1000="PS")*(F$2:F$1000=BF15)*ISNUMBER(SEARCH("prioritization",LOWER(Z$2:Z$1000)))*ISNUMBER(SEARCH("search",LOWER(AA$2:AA$1000))))</f>
        <v>0</v>
      </c>
      <c r="BV15" s="35" cm="1">
        <f t="array" ref="BV15">SUMPRODUCT((Y$2:Y$1000="PS")*(F$2:F$1000=BF15)*ISNUMBER(SEARCH("prioritization",LOWER(Z$2:Z$1000)))*ISNUMBER(SEARCH("transfer",LOWER(AA$2:AA$1000))))</f>
        <v>0</v>
      </c>
      <c r="BW15" s="35" cm="1">
        <f t="array" ref="BW15">SUMPRODUCT((Y$2:Y$1000="PS")*(F$2:F$1000=BF15)*ISNUMBER(SEARCH("prioritization",LOWER(Z$2:Z$1000)))*ISNUMBER(SEARCH("riski",LOWER(AA$2:AA$1000))))</f>
        <v>0</v>
      </c>
      <c r="BX15" s="35" cm="1">
        <f t="array" ref="BX15">SUMPRODUCT((Y$2:Y$1000="PS")*(F$2:F$1000=BF15)*ISNUMBER(SEARCH("prioritization",LOWER(Z$2:Z$1000)))*ISNUMBER(SEARCH("nlp",LOWER(AA$2:AA$1000))))</f>
        <v>0</v>
      </c>
      <c r="BY15" s="35" cm="1">
        <f t="array" ref="BY15">SUMPRODUCT((Y$2:Y$1000="PS")*(F$2:F$1000=BF15)*ISNUMBER(SEARCH("prioritization",LOWER(Z$2:Z$1000)))*ISNUMBER(SEARCH("design",LOWER(AA$2:AA$1000))))</f>
        <v>0</v>
      </c>
      <c r="BZ15" s="35" cm="1">
        <f t="array" ref="BZ15">SUMPRODUCT((Y$2:Y$1000="PS")*(F$2:F$1000=BF15)*ISNUMBER(SEARCH("prioritization",LOWER(Z$2:Z$1000)))*ISNUMBER(SEARCH("other",LOWER(AA$2:AA$1000))))</f>
        <v>0</v>
      </c>
    </row>
    <row r="16" spans="1:78" ht="409.6" x14ac:dyDescent="0.2">
      <c r="A16" s="2">
        <v>8855691</v>
      </c>
      <c r="B16" s="2" t="s">
        <v>34</v>
      </c>
      <c r="C16" s="2" t="s">
        <v>228</v>
      </c>
      <c r="D16" s="2" t="s">
        <v>229</v>
      </c>
      <c r="E16" s="2" t="s">
        <v>230</v>
      </c>
      <c r="F16" s="2">
        <v>2019</v>
      </c>
      <c r="G16" s="2"/>
      <c r="H16" s="2"/>
      <c r="I16" s="2" t="s">
        <v>231</v>
      </c>
      <c r="J16" s="2" t="s">
        <v>232</v>
      </c>
      <c r="K16" s="2" t="s">
        <v>233</v>
      </c>
      <c r="L16" s="2" t="s">
        <v>234</v>
      </c>
      <c r="M16" s="2"/>
      <c r="N16" s="2" t="s">
        <v>235</v>
      </c>
      <c r="O16" s="2"/>
      <c r="P16" s="2"/>
      <c r="Q16" s="2"/>
      <c r="R16" s="2"/>
      <c r="S16" s="2"/>
      <c r="T16" s="2"/>
      <c r="U16" s="2"/>
      <c r="V16" s="2"/>
      <c r="W16" s="2"/>
      <c r="X16" s="2" t="s">
        <v>236</v>
      </c>
      <c r="Y16" s="2" t="s">
        <v>58</v>
      </c>
      <c r="Z16" s="2" t="s">
        <v>237</v>
      </c>
      <c r="AA16" s="2" t="s">
        <v>90</v>
      </c>
      <c r="AB16" s="2" t="s">
        <v>61</v>
      </c>
      <c r="AC16" s="2" t="s">
        <v>105</v>
      </c>
      <c r="AD16" s="2" t="s">
        <v>238</v>
      </c>
      <c r="AE16" s="2" t="s">
        <v>239</v>
      </c>
      <c r="AF16" s="2"/>
      <c r="AG16" s="2" t="s">
        <v>240</v>
      </c>
      <c r="AH16" s="2">
        <v>0.5</v>
      </c>
      <c r="AK16">
        <f t="shared" si="6"/>
        <v>1</v>
      </c>
      <c r="AL16">
        <f t="shared" si="0"/>
        <v>0</v>
      </c>
      <c r="AM16">
        <f t="shared" si="1"/>
        <v>0</v>
      </c>
      <c r="AN16">
        <f t="shared" si="2"/>
        <v>1</v>
      </c>
      <c r="AP16" t="s">
        <v>1337</v>
      </c>
      <c r="AQ16">
        <v>3</v>
      </c>
      <c r="AR16">
        <v>25</v>
      </c>
      <c r="AS16">
        <v>91</v>
      </c>
      <c r="AT16" s="34">
        <v>119</v>
      </c>
      <c r="BA16" t="s">
        <v>1358</v>
      </c>
      <c r="BB16" s="35" cm="1">
        <f t="array" ref="BB16">SUMPRODUCT((Y$2:Y$1000="PS")*ISNUMBER(SEARCH(LOWER(BA16),LOWER(AA$2:AA$1000)))*ISNUMBER(SEARCH("prioritization",LOWER(Z$2:Z$1000))))</f>
        <v>4</v>
      </c>
    </row>
    <row r="17" spans="1:54" ht="409.6" x14ac:dyDescent="0.2">
      <c r="A17" s="2">
        <v>8029584</v>
      </c>
      <c r="B17" s="2" t="s">
        <v>34</v>
      </c>
      <c r="C17" s="2" t="s">
        <v>241</v>
      </c>
      <c r="D17" s="2" t="s">
        <v>242</v>
      </c>
      <c r="E17" s="2" t="s">
        <v>243</v>
      </c>
      <c r="F17" s="2">
        <v>2017</v>
      </c>
      <c r="G17" s="2">
        <v>1</v>
      </c>
      <c r="H17" s="2"/>
      <c r="I17" s="2" t="s">
        <v>244</v>
      </c>
      <c r="J17" s="2" t="s">
        <v>245</v>
      </c>
      <c r="K17" s="2" t="s">
        <v>246</v>
      </c>
      <c r="L17" s="2" t="s">
        <v>247</v>
      </c>
      <c r="M17" s="2" t="s">
        <v>55</v>
      </c>
      <c r="N17" s="2" t="s">
        <v>56</v>
      </c>
      <c r="O17" s="2"/>
      <c r="P17" s="2"/>
      <c r="Q17" s="2"/>
      <c r="R17" s="2"/>
      <c r="S17" s="2"/>
      <c r="T17" s="2"/>
      <c r="U17" s="2"/>
      <c r="V17" s="2"/>
      <c r="W17" s="2"/>
      <c r="X17" s="2" t="s">
        <v>248</v>
      </c>
      <c r="Y17" s="2" t="s">
        <v>58</v>
      </c>
      <c r="Z17" s="2" t="s">
        <v>171</v>
      </c>
      <c r="AA17" s="2" t="s">
        <v>1339</v>
      </c>
      <c r="AB17" s="2" t="s">
        <v>249</v>
      </c>
      <c r="AC17" s="2"/>
      <c r="AD17" s="2" t="s">
        <v>250</v>
      </c>
      <c r="AE17" s="2" t="s">
        <v>251</v>
      </c>
      <c r="AF17" s="2" t="s">
        <v>252</v>
      </c>
      <c r="AG17" s="2" t="s">
        <v>253</v>
      </c>
      <c r="AH17" s="2">
        <v>1</v>
      </c>
      <c r="AK17">
        <f t="shared" si="6"/>
        <v>1</v>
      </c>
      <c r="AL17">
        <f t="shared" si="0"/>
        <v>0</v>
      </c>
      <c r="AM17">
        <f t="shared" si="1"/>
        <v>0</v>
      </c>
      <c r="AN17">
        <f t="shared" si="2"/>
        <v>1</v>
      </c>
      <c r="BA17" t="s">
        <v>1359</v>
      </c>
      <c r="BB17" s="35" cm="1">
        <f t="array" ref="BB17">SUMPRODUCT((Y$2:Y$1000="PS")*ISNUMBER(SEARCH(LOWER(BA17),LOWER(AA$2:AA$1000)))*ISNUMBER(SEARCH("prioritization",LOWER(Z$2:Z$1000))))</f>
        <v>7</v>
      </c>
    </row>
    <row r="18" spans="1:54" ht="409.6" x14ac:dyDescent="0.2">
      <c r="A18" s="2">
        <v>7838169</v>
      </c>
      <c r="B18" s="2" t="s">
        <v>34</v>
      </c>
      <c r="C18" s="2" t="s">
        <v>254</v>
      </c>
      <c r="D18" s="2" t="s">
        <v>255</v>
      </c>
      <c r="E18" s="2" t="s">
        <v>256</v>
      </c>
      <c r="F18" s="2">
        <v>2016</v>
      </c>
      <c r="G18" s="2"/>
      <c r="H18" s="2"/>
      <c r="I18" s="2" t="s">
        <v>257</v>
      </c>
      <c r="J18" s="2" t="s">
        <v>258</v>
      </c>
      <c r="K18" s="2" t="s">
        <v>259</v>
      </c>
      <c r="L18" s="2" t="s">
        <v>260</v>
      </c>
      <c r="M18" s="2"/>
      <c r="N18" s="2" t="s">
        <v>169</v>
      </c>
      <c r="O18" s="2"/>
      <c r="P18" s="2"/>
      <c r="Q18" s="2"/>
      <c r="R18" s="2"/>
      <c r="S18" s="2"/>
      <c r="T18" s="2"/>
      <c r="U18" s="2"/>
      <c r="V18" s="2"/>
      <c r="W18" s="2"/>
      <c r="X18" s="2" t="s">
        <v>261</v>
      </c>
      <c r="Y18" s="2" t="s">
        <v>58</v>
      </c>
      <c r="Z18" s="2" t="s">
        <v>262</v>
      </c>
      <c r="AA18" s="2" t="s">
        <v>263</v>
      </c>
      <c r="AB18" s="2" t="s">
        <v>211</v>
      </c>
      <c r="AC18" s="2" t="s">
        <v>264</v>
      </c>
      <c r="AD18" s="2" t="s">
        <v>265</v>
      </c>
      <c r="AE18" s="2" t="s">
        <v>266</v>
      </c>
      <c r="AF18" s="2" t="s">
        <v>65</v>
      </c>
      <c r="AG18" s="2" t="s">
        <v>66</v>
      </c>
      <c r="AH18" s="2">
        <v>0.5</v>
      </c>
      <c r="AK18">
        <f t="shared" si="6"/>
        <v>1</v>
      </c>
      <c r="AL18">
        <f t="shared" si="0"/>
        <v>0</v>
      </c>
      <c r="AM18">
        <f t="shared" si="1"/>
        <v>0</v>
      </c>
      <c r="AN18">
        <f t="shared" si="2"/>
        <v>1</v>
      </c>
      <c r="BA18" t="s">
        <v>1360</v>
      </c>
      <c r="BB18" s="35" cm="1">
        <f t="array" ref="BB18">SUMPRODUCT((Y$2:Y$1000="PS")*ISNUMBER(SEARCH(LOWER(BA18),LOWER(AA$2:AA$1000)))*ISNUMBER(SEARCH("prioritization",LOWER(Z$2:Z$1000))))</f>
        <v>1</v>
      </c>
    </row>
    <row r="19" spans="1:54" ht="409.6" x14ac:dyDescent="0.2">
      <c r="A19" s="2">
        <v>6569743</v>
      </c>
      <c r="B19" s="2" t="s">
        <v>34</v>
      </c>
      <c r="C19" s="2" t="s">
        <v>267</v>
      </c>
      <c r="D19" s="2" t="s">
        <v>268</v>
      </c>
      <c r="E19" s="2" t="s">
        <v>269</v>
      </c>
      <c r="F19" s="2">
        <v>2013</v>
      </c>
      <c r="G19" s="2"/>
      <c r="H19" s="2"/>
      <c r="I19" s="2" t="s">
        <v>270</v>
      </c>
      <c r="J19" s="2" t="s">
        <v>271</v>
      </c>
      <c r="K19" s="2" t="s">
        <v>272</v>
      </c>
      <c r="L19" s="2" t="s">
        <v>273</v>
      </c>
      <c r="M19" s="2" t="s">
        <v>222</v>
      </c>
      <c r="N19" s="2" t="s">
        <v>127</v>
      </c>
      <c r="O19" s="2"/>
      <c r="P19" s="2"/>
      <c r="Q19" s="2"/>
      <c r="R19" s="2"/>
      <c r="S19" s="2"/>
      <c r="T19" s="2"/>
      <c r="U19" s="2"/>
      <c r="V19" s="2"/>
      <c r="W19" s="2"/>
      <c r="X19" s="2" t="s">
        <v>274</v>
      </c>
      <c r="Y19" s="2" t="s">
        <v>58</v>
      </c>
      <c r="Z19" s="2" t="s">
        <v>275</v>
      </c>
      <c r="AA19" s="2" t="s">
        <v>276</v>
      </c>
      <c r="AB19" s="2" t="s">
        <v>277</v>
      </c>
      <c r="AC19" s="2" t="s">
        <v>198</v>
      </c>
      <c r="AD19" s="2" t="s">
        <v>278</v>
      </c>
      <c r="AE19" s="2" t="s">
        <v>279</v>
      </c>
      <c r="AF19" s="2" t="s">
        <v>65</v>
      </c>
      <c r="AG19" s="2" t="s">
        <v>66</v>
      </c>
      <c r="AH19" s="2">
        <v>0.5</v>
      </c>
      <c r="AK19">
        <f t="shared" si="6"/>
        <v>1</v>
      </c>
      <c r="AL19">
        <f t="shared" si="0"/>
        <v>0</v>
      </c>
      <c r="AM19">
        <f t="shared" si="1"/>
        <v>0</v>
      </c>
      <c r="AN19">
        <f t="shared" si="2"/>
        <v>1</v>
      </c>
      <c r="BA19" t="s">
        <v>1384</v>
      </c>
      <c r="BB19" s="35" cm="1">
        <f t="array" ref="BB19">SUMPRODUCT((Y$2:Y$1000="PS")*ISNUMBER(SEARCH(LOWER(BA19),LOWER(AA$2:AA$1000)))*ISNUMBER(SEARCH("prioritization",LOWER(Z$2:Z$1000))))</f>
        <v>3</v>
      </c>
    </row>
    <row r="20" spans="1:54" ht="409.6" x14ac:dyDescent="0.2">
      <c r="A20" s="2">
        <v>8854718</v>
      </c>
      <c r="B20" s="2" t="s">
        <v>34</v>
      </c>
      <c r="C20" s="2" t="s">
        <v>280</v>
      </c>
      <c r="D20" s="2" t="s">
        <v>281</v>
      </c>
      <c r="E20" s="2" t="s">
        <v>282</v>
      </c>
      <c r="F20" s="2">
        <v>2019</v>
      </c>
      <c r="G20" s="2"/>
      <c r="H20" s="2"/>
      <c r="I20" s="2" t="s">
        <v>283</v>
      </c>
      <c r="J20" s="2" t="s">
        <v>284</v>
      </c>
      <c r="K20" s="2" t="s">
        <v>285</v>
      </c>
      <c r="L20" s="2" t="s">
        <v>286</v>
      </c>
      <c r="M20" s="2"/>
      <c r="N20" s="2" t="s">
        <v>56</v>
      </c>
      <c r="O20" s="2"/>
      <c r="P20" s="2"/>
      <c r="Q20" s="2"/>
      <c r="R20" s="2"/>
      <c r="S20" s="2"/>
      <c r="T20" s="2"/>
      <c r="U20" s="2"/>
      <c r="V20" s="2"/>
      <c r="W20" s="2"/>
      <c r="X20" s="2" t="s">
        <v>287</v>
      </c>
      <c r="Y20" s="2" t="s">
        <v>58</v>
      </c>
      <c r="Z20" s="2" t="s">
        <v>237</v>
      </c>
      <c r="AA20" s="2" t="s">
        <v>90</v>
      </c>
      <c r="AB20" s="2" t="s">
        <v>288</v>
      </c>
      <c r="AC20" s="2" t="s">
        <v>198</v>
      </c>
      <c r="AD20" s="2" t="s">
        <v>289</v>
      </c>
      <c r="AE20" s="2" t="s">
        <v>290</v>
      </c>
      <c r="AF20" s="2" t="s">
        <v>65</v>
      </c>
      <c r="AG20" s="2" t="s">
        <v>66</v>
      </c>
      <c r="AH20" s="2">
        <v>0.5</v>
      </c>
      <c r="AK20">
        <f t="shared" si="6"/>
        <v>1</v>
      </c>
      <c r="AL20">
        <f t="shared" si="0"/>
        <v>0</v>
      </c>
      <c r="AM20">
        <f t="shared" si="1"/>
        <v>0</v>
      </c>
      <c r="AN20">
        <f t="shared" si="2"/>
        <v>1</v>
      </c>
      <c r="BA20" t="s">
        <v>1361</v>
      </c>
      <c r="BB20" s="35" cm="1">
        <f t="array" ref="BB20">SUMPRODUCT((Y$2:Y$1000="PS")*ISNUMBER(SEARCH(LOWER(BA20),LOWER(AA$2:AA$1000)))*ISNUMBER(SEARCH("prioritization",LOWER(Z$2:Z$1000))))</f>
        <v>1</v>
      </c>
    </row>
    <row r="21" spans="1:54" ht="409.6" x14ac:dyDescent="0.2">
      <c r="A21" s="2">
        <v>7272924</v>
      </c>
      <c r="B21" s="2" t="s">
        <v>34</v>
      </c>
      <c r="C21" s="2" t="s">
        <v>291</v>
      </c>
      <c r="D21" s="2" t="s">
        <v>292</v>
      </c>
      <c r="E21" s="2" t="s">
        <v>293</v>
      </c>
      <c r="F21" s="2">
        <v>2015</v>
      </c>
      <c r="G21" s="2"/>
      <c r="H21" s="2"/>
      <c r="I21" s="2" t="s">
        <v>294</v>
      </c>
      <c r="J21" s="2" t="s">
        <v>295</v>
      </c>
      <c r="K21" s="2" t="s">
        <v>296</v>
      </c>
      <c r="L21" s="2" t="s">
        <v>297</v>
      </c>
      <c r="M21" s="2"/>
      <c r="N21" s="2" t="s">
        <v>235</v>
      </c>
      <c r="O21" s="2"/>
      <c r="P21" s="2"/>
      <c r="Q21" s="2"/>
      <c r="R21" s="2"/>
      <c r="S21" s="2"/>
      <c r="T21" s="2"/>
      <c r="U21" s="2"/>
      <c r="V21" s="2"/>
      <c r="W21" s="2"/>
      <c r="X21" s="2" t="s">
        <v>298</v>
      </c>
      <c r="Y21" s="2" t="s">
        <v>58</v>
      </c>
      <c r="Z21" s="2" t="s">
        <v>209</v>
      </c>
      <c r="AA21" s="2" t="s">
        <v>299</v>
      </c>
      <c r="AB21" s="2" t="s">
        <v>61</v>
      </c>
      <c r="AC21" s="2" t="s">
        <v>264</v>
      </c>
      <c r="AD21" s="2" t="s">
        <v>300</v>
      </c>
      <c r="AE21" s="2" t="s">
        <v>301</v>
      </c>
      <c r="AF21" s="2"/>
      <c r="AG21" s="2" t="s">
        <v>302</v>
      </c>
      <c r="AH21" s="2">
        <v>0.5</v>
      </c>
      <c r="AK21">
        <f t="shared" si="6"/>
        <v>1</v>
      </c>
      <c r="AL21">
        <f t="shared" si="0"/>
        <v>0</v>
      </c>
      <c r="AM21">
        <f t="shared" si="1"/>
        <v>0</v>
      </c>
      <c r="AN21">
        <f t="shared" si="2"/>
        <v>1</v>
      </c>
      <c r="BA21" t="s">
        <v>1362</v>
      </c>
      <c r="BB21" s="35" cm="1">
        <f t="array" ref="BB21">SUMPRODUCT((Y$2:Y$1000="PS")*ISNUMBER(SEARCH(LOWER(BA21),LOWER(AA$2:AA$1000)))*ISNUMBER(SEARCH("prioritization",LOWER(Z$2:Z$1000))))</f>
        <v>2</v>
      </c>
    </row>
    <row r="22" spans="1:54" ht="409.6" x14ac:dyDescent="0.2">
      <c r="A22" s="2">
        <v>10196878</v>
      </c>
      <c r="B22" s="2" t="s">
        <v>34</v>
      </c>
      <c r="C22" s="2" t="s">
        <v>303</v>
      </c>
      <c r="D22" s="2" t="s">
        <v>304</v>
      </c>
      <c r="E22" s="2" t="s">
        <v>305</v>
      </c>
      <c r="F22" s="2">
        <v>2023</v>
      </c>
      <c r="G22" s="2"/>
      <c r="H22" s="2"/>
      <c r="I22" s="2" t="s">
        <v>306</v>
      </c>
      <c r="J22" s="2" t="s">
        <v>307</v>
      </c>
      <c r="K22" s="2" t="s">
        <v>308</v>
      </c>
      <c r="L22" s="2" t="s">
        <v>309</v>
      </c>
      <c r="M22" s="2" t="s">
        <v>55</v>
      </c>
      <c r="N22" s="2" t="s">
        <v>102</v>
      </c>
      <c r="O22" s="2"/>
      <c r="P22" s="2"/>
      <c r="Q22" s="2"/>
      <c r="R22" s="2"/>
      <c r="S22" s="2"/>
      <c r="T22" s="2"/>
      <c r="U22" s="2"/>
      <c r="V22" s="2"/>
      <c r="W22" s="2"/>
      <c r="X22" s="2" t="s">
        <v>310</v>
      </c>
      <c r="Y22" s="2" t="s">
        <v>58</v>
      </c>
      <c r="Z22" s="2" t="s">
        <v>311</v>
      </c>
      <c r="AA22" s="2" t="s">
        <v>60</v>
      </c>
      <c r="AB22" s="2" t="s">
        <v>312</v>
      </c>
      <c r="AC22" s="2" t="s">
        <v>264</v>
      </c>
      <c r="AD22" s="2" t="s">
        <v>313</v>
      </c>
      <c r="AE22" s="2" t="s">
        <v>314</v>
      </c>
      <c r="AF22" s="2"/>
      <c r="AG22" s="2" t="s">
        <v>315</v>
      </c>
      <c r="AH22" s="2">
        <v>0.5</v>
      </c>
      <c r="AK22">
        <f t="shared" si="6"/>
        <v>1</v>
      </c>
      <c r="AL22">
        <f t="shared" si="0"/>
        <v>0</v>
      </c>
      <c r="AM22">
        <f t="shared" si="1"/>
        <v>0</v>
      </c>
      <c r="AN22">
        <f t="shared" si="2"/>
        <v>1</v>
      </c>
      <c r="BA22" t="s">
        <v>1377</v>
      </c>
      <c r="BB22" s="35" cm="1">
        <f t="array" ref="BB22">SUMPRODUCT((Y$2:Y$1000="PS")*ISNUMBER(SEARCH(LOWER(BA22),LOWER(AA$2:AA$1000)))*ISNUMBER(SEARCH("prioritization",LOWER(Z$2:Z$1000))))</f>
        <v>6</v>
      </c>
    </row>
    <row r="23" spans="1:54" ht="409.6" x14ac:dyDescent="0.2">
      <c r="A23" s="2">
        <v>7589817</v>
      </c>
      <c r="B23" s="2" t="s">
        <v>34</v>
      </c>
      <c r="C23" s="2" t="s">
        <v>316</v>
      </c>
      <c r="D23" s="2" t="s">
        <v>317</v>
      </c>
      <c r="E23" s="2" t="s">
        <v>318</v>
      </c>
      <c r="F23" s="2">
        <v>2016</v>
      </c>
      <c r="G23" s="2"/>
      <c r="H23" s="2"/>
      <c r="I23" s="2" t="s">
        <v>283</v>
      </c>
      <c r="J23" s="2" t="s">
        <v>319</v>
      </c>
      <c r="K23" s="2" t="s">
        <v>320</v>
      </c>
      <c r="L23" s="2" t="s">
        <v>321</v>
      </c>
      <c r="M23" s="2"/>
      <c r="N23" s="2" t="s">
        <v>235</v>
      </c>
      <c r="O23" s="2"/>
      <c r="P23" s="2"/>
      <c r="Q23" s="2"/>
      <c r="R23" s="2"/>
      <c r="S23" s="2"/>
      <c r="T23" s="2"/>
      <c r="U23" s="2"/>
      <c r="V23" s="2"/>
      <c r="W23" s="2"/>
      <c r="X23" s="2" t="s">
        <v>322</v>
      </c>
      <c r="Y23" s="2" t="s">
        <v>58</v>
      </c>
      <c r="Z23" s="2" t="s">
        <v>262</v>
      </c>
      <c r="AA23" s="2" t="s">
        <v>299</v>
      </c>
      <c r="AB23" s="2" t="s">
        <v>91</v>
      </c>
      <c r="AC23" s="2" t="s">
        <v>62</v>
      </c>
      <c r="AD23" s="2" t="s">
        <v>323</v>
      </c>
      <c r="AE23" s="2" t="s">
        <v>324</v>
      </c>
      <c r="AF23" s="2" t="s">
        <v>325</v>
      </c>
      <c r="AG23" s="3" t="s">
        <v>326</v>
      </c>
      <c r="AH23" s="2">
        <v>0.5</v>
      </c>
      <c r="AK23">
        <f t="shared" si="6"/>
        <v>1</v>
      </c>
      <c r="AL23">
        <f t="shared" si="0"/>
        <v>0</v>
      </c>
      <c r="AM23">
        <f t="shared" si="1"/>
        <v>0</v>
      </c>
      <c r="AN23">
        <f t="shared" si="2"/>
        <v>1</v>
      </c>
      <c r="BA23" t="s">
        <v>1380</v>
      </c>
      <c r="BB23" s="35" cm="1">
        <f t="array" ref="BB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10</v>
      </c>
    </row>
    <row r="24" spans="1:54" ht="409.6" x14ac:dyDescent="0.2">
      <c r="A24" s="2">
        <v>7381799</v>
      </c>
      <c r="B24" s="2" t="s">
        <v>34</v>
      </c>
      <c r="C24" s="2" t="s">
        <v>327</v>
      </c>
      <c r="D24" s="2" t="s">
        <v>328</v>
      </c>
      <c r="E24" s="2" t="s">
        <v>329</v>
      </c>
      <c r="F24" s="2">
        <v>2015</v>
      </c>
      <c r="G24" s="2"/>
      <c r="H24" s="2"/>
      <c r="I24" s="2" t="s">
        <v>330</v>
      </c>
      <c r="J24" s="2" t="s">
        <v>331</v>
      </c>
      <c r="K24" s="2" t="s">
        <v>332</v>
      </c>
      <c r="L24" s="2" t="s">
        <v>333</v>
      </c>
      <c r="M24" s="2"/>
      <c r="N24" s="2" t="s">
        <v>334</v>
      </c>
      <c r="O24" s="2"/>
      <c r="P24" s="2"/>
      <c r="Q24" s="2"/>
      <c r="R24" s="2"/>
      <c r="S24" s="2"/>
      <c r="T24" s="2"/>
      <c r="U24" s="2"/>
      <c r="V24" s="2"/>
      <c r="W24" s="2"/>
      <c r="X24" s="2" t="s">
        <v>335</v>
      </c>
      <c r="Y24" s="2" t="s">
        <v>58</v>
      </c>
      <c r="Z24" s="2" t="s">
        <v>209</v>
      </c>
      <c r="AA24" s="2" t="s">
        <v>114</v>
      </c>
      <c r="AB24" s="2" t="s">
        <v>249</v>
      </c>
      <c r="AC24" s="2" t="s">
        <v>62</v>
      </c>
      <c r="AD24" s="2" t="s">
        <v>336</v>
      </c>
      <c r="AE24" s="2" t="s">
        <v>337</v>
      </c>
      <c r="AF24" s="2"/>
      <c r="AG24" s="2" t="s">
        <v>338</v>
      </c>
      <c r="AH24" s="2">
        <v>0.5</v>
      </c>
      <c r="AK24">
        <f t="shared" si="6"/>
        <v>1</v>
      </c>
      <c r="AL24">
        <f t="shared" si="0"/>
        <v>0</v>
      </c>
      <c r="AM24">
        <f t="shared" si="1"/>
        <v>0</v>
      </c>
      <c r="AN24">
        <f t="shared" si="2"/>
        <v>1</v>
      </c>
      <c r="BA24" t="s">
        <v>1363</v>
      </c>
    </row>
    <row r="25" spans="1:54" ht="409.6" x14ac:dyDescent="0.2">
      <c r="A25" s="2">
        <v>10621714</v>
      </c>
      <c r="B25" s="2" t="s">
        <v>34</v>
      </c>
      <c r="C25" s="2" t="s">
        <v>339</v>
      </c>
      <c r="D25" s="2" t="s">
        <v>340</v>
      </c>
      <c r="E25" s="2" t="s">
        <v>341</v>
      </c>
      <c r="F25" s="2">
        <v>2024</v>
      </c>
      <c r="G25" s="2"/>
      <c r="H25" s="2"/>
      <c r="I25" s="2" t="s">
        <v>342</v>
      </c>
      <c r="J25" s="2" t="s">
        <v>343</v>
      </c>
      <c r="K25" s="2" t="s">
        <v>344</v>
      </c>
      <c r="L25" s="2" t="s">
        <v>345</v>
      </c>
      <c r="M25" s="2"/>
      <c r="N25" s="2" t="s">
        <v>127</v>
      </c>
      <c r="O25" s="2"/>
      <c r="P25" s="2"/>
      <c r="Q25" s="2"/>
      <c r="R25" s="2"/>
      <c r="S25" s="2"/>
      <c r="T25" s="2"/>
      <c r="U25" s="2"/>
      <c r="V25" s="2"/>
      <c r="W25" s="2"/>
      <c r="X25" s="2" t="s">
        <v>346</v>
      </c>
      <c r="Y25" s="2" t="s">
        <v>58</v>
      </c>
      <c r="Z25" s="2" t="s">
        <v>347</v>
      </c>
      <c r="AA25" s="2" t="s">
        <v>114</v>
      </c>
      <c r="AB25" s="2" t="s">
        <v>277</v>
      </c>
      <c r="AC25" s="2" t="s">
        <v>348</v>
      </c>
      <c r="AD25" s="2" t="s">
        <v>349</v>
      </c>
      <c r="AE25" s="2" t="s">
        <v>350</v>
      </c>
      <c r="AF25" s="2" t="s">
        <v>65</v>
      </c>
      <c r="AG25" s="2" t="s">
        <v>351</v>
      </c>
      <c r="AH25" s="2">
        <v>0.5</v>
      </c>
      <c r="AK25">
        <f t="shared" si="6"/>
        <v>1</v>
      </c>
      <c r="AL25">
        <f t="shared" si="0"/>
        <v>0</v>
      </c>
      <c r="AM25">
        <f t="shared" si="1"/>
        <v>0</v>
      </c>
      <c r="AN25">
        <f t="shared" si="2"/>
        <v>1</v>
      </c>
      <c r="BA25" t="s">
        <v>1341</v>
      </c>
      <c r="BB25" t="s">
        <v>1342</v>
      </c>
    </row>
    <row r="26" spans="1:54" ht="409.6" x14ac:dyDescent="0.2">
      <c r="A26" s="2">
        <v>8530033</v>
      </c>
      <c r="B26" s="2" t="s">
        <v>34</v>
      </c>
      <c r="C26" s="2" t="s">
        <v>352</v>
      </c>
      <c r="D26" s="2" t="s">
        <v>353</v>
      </c>
      <c r="E26" s="2" t="s">
        <v>354</v>
      </c>
      <c r="F26" s="2">
        <v>2018</v>
      </c>
      <c r="G26" s="2"/>
      <c r="H26" s="2"/>
      <c r="I26" s="2" t="s">
        <v>355</v>
      </c>
      <c r="J26" s="2" t="s">
        <v>356</v>
      </c>
      <c r="K26" s="2" t="s">
        <v>357</v>
      </c>
      <c r="L26" s="2" t="s">
        <v>358</v>
      </c>
      <c r="M26" s="2" t="s">
        <v>359</v>
      </c>
      <c r="N26" s="2" t="s">
        <v>360</v>
      </c>
      <c r="O26" s="2"/>
      <c r="P26" s="2"/>
      <c r="Q26" s="2"/>
      <c r="R26" s="2"/>
      <c r="S26" s="2"/>
      <c r="T26" s="2"/>
      <c r="U26" s="2"/>
      <c r="V26" s="2"/>
      <c r="W26" s="2"/>
      <c r="X26" s="2" t="s">
        <v>361</v>
      </c>
      <c r="Y26" s="2" t="s">
        <v>58</v>
      </c>
      <c r="Z26" s="2" t="s">
        <v>362</v>
      </c>
      <c r="AA26" s="2" t="s">
        <v>363</v>
      </c>
      <c r="AB26" s="2" t="s">
        <v>61</v>
      </c>
      <c r="AC26" s="2" t="s">
        <v>364</v>
      </c>
      <c r="AD26" s="2" t="s">
        <v>365</v>
      </c>
      <c r="AE26" s="2" t="s">
        <v>366</v>
      </c>
      <c r="AF26" s="2" t="s">
        <v>367</v>
      </c>
      <c r="AG26" s="2" t="s">
        <v>368</v>
      </c>
      <c r="AH26" s="2">
        <v>0.5</v>
      </c>
      <c r="AK26">
        <f t="shared" si="6"/>
        <v>1</v>
      </c>
      <c r="AL26">
        <f t="shared" si="0"/>
        <v>0</v>
      </c>
      <c r="AM26">
        <f t="shared" si="1"/>
        <v>0</v>
      </c>
      <c r="AN26">
        <f t="shared" si="2"/>
        <v>1</v>
      </c>
      <c r="BA26" t="s">
        <v>1364</v>
      </c>
      <c r="BB26" s="35" cm="1">
        <f t="array" ref="BB26">SUMPRODUCT((Y$2:Y$1000="PS")*ISNUMBER(SEARCH(LOWER(BA26),LOWER(AA$2:AA$1000)))*ISNUMBER(SEARCH("selection",LOWER(Z$2:Z$1000))))</f>
        <v>0</v>
      </c>
    </row>
    <row r="27" spans="1:54" ht="409.6" x14ac:dyDescent="0.2">
      <c r="A27" s="2">
        <v>9825820</v>
      </c>
      <c r="B27" s="2" t="s">
        <v>34</v>
      </c>
      <c r="C27" s="2" t="s">
        <v>369</v>
      </c>
      <c r="D27" s="2" t="s">
        <v>370</v>
      </c>
      <c r="E27" s="2" t="s">
        <v>371</v>
      </c>
      <c r="F27" s="2">
        <v>2022</v>
      </c>
      <c r="G27" s="2"/>
      <c r="H27" s="2"/>
      <c r="I27" s="2" t="s">
        <v>372</v>
      </c>
      <c r="J27" s="2" t="s">
        <v>373</v>
      </c>
      <c r="K27" s="2" t="s">
        <v>374</v>
      </c>
      <c r="L27" s="2" t="s">
        <v>375</v>
      </c>
      <c r="M27" s="2" t="s">
        <v>376</v>
      </c>
      <c r="N27" s="2" t="s">
        <v>127</v>
      </c>
      <c r="O27" s="2"/>
      <c r="P27" s="2"/>
      <c r="Q27" s="2"/>
      <c r="R27" s="2"/>
      <c r="S27" s="2"/>
      <c r="T27" s="2"/>
      <c r="U27" s="2"/>
      <c r="V27" s="2"/>
      <c r="W27" s="2"/>
      <c r="X27" s="2" t="s">
        <v>377</v>
      </c>
      <c r="Y27" s="2" t="s">
        <v>58</v>
      </c>
      <c r="Z27" s="2" t="s">
        <v>224</v>
      </c>
      <c r="AA27" s="2" t="s">
        <v>114</v>
      </c>
      <c r="AB27" s="2" t="s">
        <v>378</v>
      </c>
      <c r="AC27" s="2" t="s">
        <v>212</v>
      </c>
      <c r="AD27" s="2" t="s">
        <v>379</v>
      </c>
      <c r="AE27" s="2" t="s">
        <v>380</v>
      </c>
      <c r="AF27" s="2" t="s">
        <v>65</v>
      </c>
      <c r="AG27" s="2" t="s">
        <v>381</v>
      </c>
      <c r="AH27" s="2">
        <v>0.5</v>
      </c>
      <c r="AK27">
        <f t="shared" si="6"/>
        <v>1</v>
      </c>
      <c r="AL27">
        <f t="shared" si="0"/>
        <v>0</v>
      </c>
      <c r="AM27">
        <f t="shared" si="1"/>
        <v>0</v>
      </c>
      <c r="AN27">
        <f t="shared" si="2"/>
        <v>1</v>
      </c>
      <c r="BA27" t="s">
        <v>1365</v>
      </c>
      <c r="BB27" s="35" cm="1">
        <f t="array" ref="BB27">SUMPRODUCT((Y$2:Y$1000="PS")*ISNUMBER(SEARCH(LOWER(BA27),LOWER(AA$2:AA$1000)))*ISNUMBER(SEARCH("selection",LOWER(Z$2:Z$1000))))</f>
        <v>1</v>
      </c>
    </row>
    <row r="28" spans="1:54" ht="409.6" x14ac:dyDescent="0.2">
      <c r="A28" s="2">
        <v>7272927</v>
      </c>
      <c r="B28" s="2" t="s">
        <v>34</v>
      </c>
      <c r="C28" s="2" t="s">
        <v>382</v>
      </c>
      <c r="D28" s="2" t="s">
        <v>292</v>
      </c>
      <c r="E28" s="2" t="s">
        <v>383</v>
      </c>
      <c r="F28" s="2">
        <v>2015</v>
      </c>
      <c r="G28" s="2"/>
      <c r="H28" s="2"/>
      <c r="I28" s="2" t="s">
        <v>384</v>
      </c>
      <c r="J28" s="2" t="s">
        <v>385</v>
      </c>
      <c r="K28" s="2" t="s">
        <v>386</v>
      </c>
      <c r="L28" s="2" t="s">
        <v>387</v>
      </c>
      <c r="M28" s="2"/>
      <c r="N28" s="2" t="s">
        <v>235</v>
      </c>
      <c r="O28" s="2"/>
      <c r="P28" s="2"/>
      <c r="Q28" s="2"/>
      <c r="R28" s="2"/>
      <c r="S28" s="2"/>
      <c r="T28" s="2"/>
      <c r="U28" s="2"/>
      <c r="V28" s="2"/>
      <c r="W28" s="2"/>
      <c r="X28" s="2" t="s">
        <v>388</v>
      </c>
      <c r="Y28" s="2" t="s">
        <v>58</v>
      </c>
      <c r="Z28" s="2" t="s">
        <v>389</v>
      </c>
      <c r="AA28" s="2" t="s">
        <v>114</v>
      </c>
      <c r="AB28" s="2" t="s">
        <v>390</v>
      </c>
      <c r="AC28" s="2" t="s">
        <v>391</v>
      </c>
      <c r="AD28" s="2"/>
      <c r="AE28" s="2" t="s">
        <v>392</v>
      </c>
      <c r="AF28" s="2"/>
      <c r="AG28" s="2" t="s">
        <v>66</v>
      </c>
      <c r="AH28" s="2">
        <v>0</v>
      </c>
      <c r="AK28">
        <f t="shared" si="6"/>
        <v>1</v>
      </c>
      <c r="AL28">
        <f t="shared" si="0"/>
        <v>0</v>
      </c>
      <c r="AM28">
        <f t="shared" si="1"/>
        <v>0</v>
      </c>
      <c r="AN28">
        <f t="shared" si="2"/>
        <v>1</v>
      </c>
      <c r="BA28" t="s">
        <v>1366</v>
      </c>
      <c r="BB28" s="35" cm="1">
        <f t="array" ref="BB28">SUMPRODUCT((Y$2:Y$1000="PS")*ISNUMBER(SEARCH(LOWER(BA28),LOWER(AA$2:AA$1000)))*ISNUMBER(SEARCH("selection",LOWER(Z$2:Z$1000))))</f>
        <v>0</v>
      </c>
    </row>
    <row r="29" spans="1:54" ht="409.6" x14ac:dyDescent="0.2">
      <c r="A29" s="2">
        <v>8539203</v>
      </c>
      <c r="B29" s="2" t="s">
        <v>34</v>
      </c>
      <c r="C29" s="2" t="s">
        <v>393</v>
      </c>
      <c r="D29" s="2" t="s">
        <v>394</v>
      </c>
      <c r="E29" s="2" t="s">
        <v>395</v>
      </c>
      <c r="F29" s="2">
        <v>2018</v>
      </c>
      <c r="G29" s="2"/>
      <c r="H29" s="2"/>
      <c r="I29" s="2" t="s">
        <v>396</v>
      </c>
      <c r="J29" s="2" t="s">
        <v>397</v>
      </c>
      <c r="K29" s="2" t="s">
        <v>398</v>
      </c>
      <c r="L29" s="2" t="s">
        <v>399</v>
      </c>
      <c r="M29" s="2"/>
      <c r="N29" s="2" t="s">
        <v>400</v>
      </c>
      <c r="O29" s="2"/>
      <c r="P29" s="2"/>
      <c r="Q29" s="2"/>
      <c r="R29" s="2"/>
      <c r="S29" s="2"/>
      <c r="T29" s="2"/>
      <c r="U29" s="2"/>
      <c r="V29" s="2"/>
      <c r="W29" s="2"/>
      <c r="X29" s="2" t="s">
        <v>401</v>
      </c>
      <c r="Y29" s="2" t="s">
        <v>58</v>
      </c>
      <c r="Z29" s="2" t="s">
        <v>362</v>
      </c>
      <c r="AA29" s="2" t="s">
        <v>402</v>
      </c>
      <c r="AB29" s="2" t="s">
        <v>61</v>
      </c>
      <c r="AC29" s="2" t="s">
        <v>391</v>
      </c>
      <c r="AD29" s="2" t="s">
        <v>403</v>
      </c>
      <c r="AE29" s="2" t="s">
        <v>404</v>
      </c>
      <c r="AF29" s="2" t="s">
        <v>188</v>
      </c>
      <c r="AG29" s="2" t="s">
        <v>405</v>
      </c>
      <c r="AH29" s="2">
        <v>0.5</v>
      </c>
      <c r="AK29">
        <f t="shared" si="6"/>
        <v>1</v>
      </c>
      <c r="AL29">
        <f t="shared" si="0"/>
        <v>0</v>
      </c>
      <c r="AM29">
        <f t="shared" si="1"/>
        <v>0</v>
      </c>
      <c r="AN29">
        <f t="shared" si="2"/>
        <v>1</v>
      </c>
      <c r="BA29" t="s">
        <v>1367</v>
      </c>
      <c r="BB29" s="35" cm="1">
        <f t="array" ref="BB29">SUMPRODUCT((Y$2:Y$1000="PS")*ISNUMBER(SEARCH(LOWER(BA29),LOWER(AA$2:AA$1000)))*ISNUMBER(SEARCH("selection",LOWER(Z$2:Z$1000))))</f>
        <v>1</v>
      </c>
    </row>
    <row r="30" spans="1:54" ht="409.6" x14ac:dyDescent="0.2">
      <c r="A30" s="2">
        <v>6928903</v>
      </c>
      <c r="B30" s="2" t="s">
        <v>34</v>
      </c>
      <c r="C30" s="2" t="s">
        <v>406</v>
      </c>
      <c r="D30" s="2" t="s">
        <v>407</v>
      </c>
      <c r="E30" s="2" t="s">
        <v>408</v>
      </c>
      <c r="F30" s="2">
        <v>2014</v>
      </c>
      <c r="G30" s="2"/>
      <c r="H30" s="2"/>
      <c r="I30" s="2" t="s">
        <v>409</v>
      </c>
      <c r="J30" s="2" t="s">
        <v>410</v>
      </c>
      <c r="K30" s="2" t="s">
        <v>411</v>
      </c>
      <c r="L30" s="2" t="s">
        <v>412</v>
      </c>
      <c r="M30" s="2"/>
      <c r="N30" s="2" t="s">
        <v>102</v>
      </c>
      <c r="O30" s="2"/>
      <c r="P30" s="2"/>
      <c r="Q30" s="2"/>
      <c r="R30" s="2"/>
      <c r="S30" s="2"/>
      <c r="T30" s="2"/>
      <c r="U30" s="2"/>
      <c r="V30" s="2"/>
      <c r="W30" s="2"/>
      <c r="X30" s="2" t="s">
        <v>413</v>
      </c>
      <c r="Y30" s="2" t="s">
        <v>58</v>
      </c>
      <c r="Z30" s="2" t="s">
        <v>414</v>
      </c>
      <c r="AA30" s="2" t="s">
        <v>415</v>
      </c>
      <c r="AB30" s="2" t="s">
        <v>416</v>
      </c>
      <c r="AC30" s="2" t="s">
        <v>132</v>
      </c>
      <c r="AD30" s="2" t="s">
        <v>417</v>
      </c>
      <c r="AE30" s="2"/>
      <c r="AF30" s="2" t="s">
        <v>418</v>
      </c>
      <c r="AG30" s="2" t="s">
        <v>66</v>
      </c>
      <c r="AH30" s="2">
        <v>0.5</v>
      </c>
      <c r="AK30">
        <f t="shared" si="6"/>
        <v>1</v>
      </c>
      <c r="AL30">
        <f t="shared" si="0"/>
        <v>0</v>
      </c>
      <c r="AM30">
        <f t="shared" si="1"/>
        <v>0</v>
      </c>
      <c r="AN30">
        <f t="shared" si="2"/>
        <v>1</v>
      </c>
      <c r="BA30" t="s">
        <v>1368</v>
      </c>
      <c r="BB30" s="35" cm="1">
        <f t="array" ref="BB30">SUMPRODUCT((Y$2:Y$1000="PS")*ISNUMBER(SEARCH(LOWER(BA30),LOWER(AA$2:AA$1000)))*ISNUMBER(SEARCH("selection",LOWER(Z$2:Z$1000))))</f>
        <v>1</v>
      </c>
    </row>
    <row r="31" spans="1:54" ht="409.6" x14ac:dyDescent="0.2">
      <c r="A31" s="2">
        <v>7091286</v>
      </c>
      <c r="B31" s="2" t="s">
        <v>34</v>
      </c>
      <c r="C31" s="2" t="s">
        <v>419</v>
      </c>
      <c r="D31" s="2" t="s">
        <v>420</v>
      </c>
      <c r="E31" s="2" t="s">
        <v>421</v>
      </c>
      <c r="F31" s="2">
        <v>2014</v>
      </c>
      <c r="G31" s="2">
        <v>1</v>
      </c>
      <c r="H31" s="2"/>
      <c r="I31" s="2" t="s">
        <v>422</v>
      </c>
      <c r="J31" s="2" t="s">
        <v>423</v>
      </c>
      <c r="K31" s="2" t="s">
        <v>424</v>
      </c>
      <c r="L31" s="2" t="s">
        <v>425</v>
      </c>
      <c r="M31" s="2" t="s">
        <v>426</v>
      </c>
      <c r="N31" s="2" t="s">
        <v>169</v>
      </c>
      <c r="O31" s="2"/>
      <c r="P31" s="2"/>
      <c r="Q31" s="2"/>
      <c r="R31" s="2"/>
      <c r="S31" s="2"/>
      <c r="T31" s="2"/>
      <c r="U31" s="2"/>
      <c r="V31" s="2"/>
      <c r="W31" s="2"/>
      <c r="X31" s="2" t="s">
        <v>427</v>
      </c>
      <c r="Y31" s="2" t="s">
        <v>58</v>
      </c>
      <c r="Z31" s="2" t="s">
        <v>414</v>
      </c>
      <c r="AA31" s="2" t="s">
        <v>114</v>
      </c>
      <c r="AB31" s="2" t="s">
        <v>277</v>
      </c>
      <c r="AC31" s="2" t="s">
        <v>212</v>
      </c>
      <c r="AD31" s="2" t="s">
        <v>428</v>
      </c>
      <c r="AE31" s="2" t="s">
        <v>429</v>
      </c>
      <c r="AF31" s="2" t="s">
        <v>430</v>
      </c>
      <c r="AG31" s="2" t="s">
        <v>431</v>
      </c>
      <c r="AH31" s="2">
        <v>0.5</v>
      </c>
      <c r="AK31">
        <f t="shared" si="6"/>
        <v>1</v>
      </c>
      <c r="AL31">
        <f t="shared" si="0"/>
        <v>0</v>
      </c>
      <c r="AM31">
        <f t="shared" si="1"/>
        <v>0</v>
      </c>
      <c r="AN31">
        <f t="shared" si="2"/>
        <v>1</v>
      </c>
      <c r="BA31" t="s">
        <v>1369</v>
      </c>
      <c r="BB31" s="35" cm="1">
        <f t="array" ref="BB31">SUMPRODUCT((Y$2:Y$1000="PS")*ISNUMBER(SEARCH(LOWER(BA31),LOWER(AA$2:AA$1000)))*ISNUMBER(SEARCH("selection",LOWER(Z$2:Z$1000))))</f>
        <v>0</v>
      </c>
    </row>
    <row r="32" spans="1:54" ht="409.6" x14ac:dyDescent="0.2">
      <c r="A32" s="2">
        <v>10336260</v>
      </c>
      <c r="B32" s="2" t="s">
        <v>34</v>
      </c>
      <c r="C32" s="2" t="s">
        <v>432</v>
      </c>
      <c r="D32" s="2" t="s">
        <v>433</v>
      </c>
      <c r="E32" s="2" t="s">
        <v>434</v>
      </c>
      <c r="F32" s="2">
        <v>2023</v>
      </c>
      <c r="G32" s="2"/>
      <c r="H32" s="2"/>
      <c r="I32" s="2" t="s">
        <v>435</v>
      </c>
      <c r="J32" s="2" t="s">
        <v>436</v>
      </c>
      <c r="K32" s="2" t="s">
        <v>437</v>
      </c>
      <c r="L32" s="2" t="s">
        <v>438</v>
      </c>
      <c r="M32" s="2" t="s">
        <v>359</v>
      </c>
      <c r="N32" s="2" t="s">
        <v>400</v>
      </c>
      <c r="O32" s="2"/>
      <c r="P32" s="2"/>
      <c r="Q32" s="2"/>
      <c r="R32" s="2"/>
      <c r="S32" s="2"/>
      <c r="T32" s="2"/>
      <c r="U32" s="2"/>
      <c r="V32" s="2"/>
      <c r="W32" s="2"/>
      <c r="X32" s="2" t="s">
        <v>439</v>
      </c>
      <c r="Y32" s="2" t="s">
        <v>58</v>
      </c>
      <c r="Z32" s="2" t="s">
        <v>311</v>
      </c>
      <c r="AA32" s="2" t="s">
        <v>114</v>
      </c>
      <c r="AB32" s="2" t="s">
        <v>277</v>
      </c>
      <c r="AC32" s="2" t="s">
        <v>440</v>
      </c>
      <c r="AD32" s="2" t="s">
        <v>441</v>
      </c>
      <c r="AE32" s="2" t="s">
        <v>442</v>
      </c>
      <c r="AF32" s="2" t="s">
        <v>443</v>
      </c>
      <c r="AG32" s="2" t="s">
        <v>444</v>
      </c>
      <c r="AH32" s="2">
        <v>1</v>
      </c>
      <c r="AK32">
        <f t="shared" si="6"/>
        <v>1</v>
      </c>
      <c r="AL32">
        <f t="shared" si="0"/>
        <v>0</v>
      </c>
      <c r="AM32">
        <f t="shared" si="1"/>
        <v>0</v>
      </c>
      <c r="AN32">
        <f t="shared" si="2"/>
        <v>1</v>
      </c>
      <c r="BA32" t="s">
        <v>1370</v>
      </c>
      <c r="BB32" s="35" cm="1">
        <f t="array" ref="BB32">SUMPRODUCT((Y$2:Y$1000="PS")*ISNUMBER(SEARCH(LOWER(BA32),LOWER(AA$2:AA$1000)))*ISNUMBER(SEARCH("selection",LOWER(Z$2:Z$1000))))</f>
        <v>0</v>
      </c>
    </row>
    <row r="33" spans="1:80" ht="409.6" x14ac:dyDescent="0.2">
      <c r="A33" s="2">
        <v>10304799</v>
      </c>
      <c r="B33" s="2" t="s">
        <v>34</v>
      </c>
      <c r="C33" s="2" t="s">
        <v>445</v>
      </c>
      <c r="D33" s="2" t="s">
        <v>446</v>
      </c>
      <c r="E33" s="2" t="s">
        <v>447</v>
      </c>
      <c r="F33" s="2">
        <v>2023</v>
      </c>
      <c r="G33" s="2"/>
      <c r="H33" s="2"/>
      <c r="I33" s="2" t="s">
        <v>448</v>
      </c>
      <c r="J33" s="2" t="s">
        <v>449</v>
      </c>
      <c r="K33" s="2" t="s">
        <v>450</v>
      </c>
      <c r="L33" s="2" t="s">
        <v>451</v>
      </c>
      <c r="M33" s="2"/>
      <c r="N33" s="2" t="s">
        <v>400</v>
      </c>
      <c r="O33" s="2"/>
      <c r="P33" s="2"/>
      <c r="Q33" s="2"/>
      <c r="R33" s="2"/>
      <c r="S33" s="2"/>
      <c r="T33" s="2"/>
      <c r="U33" s="2"/>
      <c r="V33" s="2"/>
      <c r="W33" s="2"/>
      <c r="X33" s="2" t="s">
        <v>452</v>
      </c>
      <c r="Y33" s="2" t="s">
        <v>58</v>
      </c>
      <c r="Z33" s="2" t="s">
        <v>1075</v>
      </c>
      <c r="AA33" s="2"/>
      <c r="AB33" s="2"/>
      <c r="AC33" s="2"/>
      <c r="AD33" s="2"/>
      <c r="AE33" s="2"/>
      <c r="AF33" s="2"/>
      <c r="AG33" s="2"/>
      <c r="AH33" s="2"/>
      <c r="AK33">
        <f t="shared" si="6"/>
        <v>1</v>
      </c>
      <c r="AL33">
        <f t="shared" si="0"/>
        <v>0</v>
      </c>
      <c r="AM33">
        <f t="shared" si="1"/>
        <v>1</v>
      </c>
      <c r="AN33">
        <f t="shared" si="2"/>
        <v>0</v>
      </c>
      <c r="BA33" t="s">
        <v>1371</v>
      </c>
      <c r="BB33" s="35" cm="1">
        <f t="array" ref="BB33">SUMPRODUCT((Y$2:Y$1000="PS")*ISNUMBER(SEARCH(LOWER(BA33),LOWER(AA$2:AA$1000)))*ISNUMBER(SEARCH("selection",LOWER(Z$2:Z$1000))))</f>
        <v>0</v>
      </c>
    </row>
    <row r="34" spans="1:80" ht="409.6" x14ac:dyDescent="0.2">
      <c r="A34" s="2">
        <v>10011478</v>
      </c>
      <c r="B34" s="2" t="s">
        <v>34</v>
      </c>
      <c r="C34" s="2" t="s">
        <v>453</v>
      </c>
      <c r="D34" s="2" t="s">
        <v>454</v>
      </c>
      <c r="E34" s="2" t="s">
        <v>455</v>
      </c>
      <c r="F34" s="2">
        <v>2022</v>
      </c>
      <c r="G34" s="2"/>
      <c r="H34" s="2"/>
      <c r="I34" s="2" t="s">
        <v>456</v>
      </c>
      <c r="J34" s="2" t="s">
        <v>457</v>
      </c>
      <c r="K34" s="2" t="s">
        <v>458</v>
      </c>
      <c r="L34" s="2" t="s">
        <v>459</v>
      </c>
      <c r="M34" s="2"/>
      <c r="N34" s="2" t="s">
        <v>235</v>
      </c>
      <c r="O34" s="2"/>
      <c r="P34" s="2"/>
      <c r="Q34" s="2"/>
      <c r="R34" s="2"/>
      <c r="S34" s="2"/>
      <c r="T34" s="2"/>
      <c r="U34" s="2"/>
      <c r="V34" s="2"/>
      <c r="W34" s="2"/>
      <c r="X34" s="2" t="s">
        <v>460</v>
      </c>
      <c r="Y34" s="2" t="s">
        <v>58</v>
      </c>
      <c r="Z34" s="2" t="s">
        <v>224</v>
      </c>
      <c r="AA34" s="2" t="s">
        <v>461</v>
      </c>
      <c r="AB34" s="2" t="s">
        <v>462</v>
      </c>
      <c r="AC34" s="2" t="s">
        <v>116</v>
      </c>
      <c r="AD34" s="2" t="s">
        <v>463</v>
      </c>
      <c r="AE34" s="2" t="s">
        <v>464</v>
      </c>
      <c r="AF34" s="2" t="s">
        <v>465</v>
      </c>
      <c r="AG34" s="2" t="s">
        <v>431</v>
      </c>
      <c r="AH34" s="2">
        <v>0.5</v>
      </c>
      <c r="AK34">
        <f t="shared" si="6"/>
        <v>1</v>
      </c>
      <c r="AL34">
        <f t="shared" si="0"/>
        <v>0</v>
      </c>
      <c r="AM34">
        <f t="shared" si="1"/>
        <v>0</v>
      </c>
      <c r="AN34">
        <f t="shared" si="2"/>
        <v>1</v>
      </c>
      <c r="BA34" t="s">
        <v>1372</v>
      </c>
      <c r="BB34" s="35" cm="1">
        <f t="array" ref="BB34">SUMPRODUCT((Y$2:Y$1000="PS")*ISNUMBER(SEARCH(LOWER(BA34),LOWER(AA$2:AA$1000)))*ISNUMBER(SEARCH("selection",LOWER(Z$2:Z$1000))))</f>
        <v>5</v>
      </c>
    </row>
    <row r="35" spans="1:80" ht="144" x14ac:dyDescent="0.2">
      <c r="C35" t="s">
        <v>466</v>
      </c>
      <c r="D35" t="s">
        <v>467</v>
      </c>
      <c r="E35" t="s">
        <v>468</v>
      </c>
      <c r="F35">
        <v>2022</v>
      </c>
      <c r="J35" t="s">
        <v>469</v>
      </c>
      <c r="Y35" t="s">
        <v>58</v>
      </c>
      <c r="Z35" s="6" t="s">
        <v>470</v>
      </c>
      <c r="AA35" s="7" t="s">
        <v>471</v>
      </c>
      <c r="AB35" s="7" t="s">
        <v>472</v>
      </c>
      <c r="AC35" s="6"/>
      <c r="AD35" s="7" t="s">
        <v>473</v>
      </c>
      <c r="AE35" s="6" t="s">
        <v>474</v>
      </c>
      <c r="AF35" s="7" t="s">
        <v>475</v>
      </c>
      <c r="AG35" s="7" t="s">
        <v>476</v>
      </c>
      <c r="AH35" s="6">
        <v>1</v>
      </c>
      <c r="AK35">
        <f t="shared" si="6"/>
        <v>1</v>
      </c>
      <c r="AL35">
        <f t="shared" si="0"/>
        <v>0</v>
      </c>
      <c r="AM35">
        <f t="shared" si="1"/>
        <v>0</v>
      </c>
      <c r="AN35">
        <f t="shared" si="2"/>
        <v>1</v>
      </c>
      <c r="BA35" t="s">
        <v>1373</v>
      </c>
      <c r="BB35" s="35" cm="1">
        <f t="array" ref="BB35">SUMPRODUCT((Y$2:Y$1000="PS")*ISNUMBER(SEARCH(LOWER(BA35),LOWER(AA$2:AA$1000)))*ISNUMBER(SEARCH("selection",LOWER(Z$2:Z$1000))))</f>
        <v>0</v>
      </c>
      <c r="BF35" t="s">
        <v>1386</v>
      </c>
    </row>
    <row r="36" spans="1:80" ht="409.6" x14ac:dyDescent="0.2">
      <c r="C36" t="s">
        <v>477</v>
      </c>
      <c r="D36" t="s">
        <v>478</v>
      </c>
      <c r="E36" t="s">
        <v>479</v>
      </c>
      <c r="F36">
        <v>2018</v>
      </c>
      <c r="J36" t="s">
        <v>480</v>
      </c>
      <c r="Y36" t="s">
        <v>58</v>
      </c>
      <c r="Z36" s="6" t="s">
        <v>481</v>
      </c>
      <c r="AA36" s="7" t="s">
        <v>482</v>
      </c>
      <c r="AB36" s="7" t="s">
        <v>483</v>
      </c>
      <c r="AC36" s="8"/>
      <c r="AD36" s="6" t="s">
        <v>484</v>
      </c>
      <c r="AE36" s="6" t="s">
        <v>485</v>
      </c>
      <c r="AF36" s="7" t="s">
        <v>486</v>
      </c>
      <c r="AG36" s="7" t="s">
        <v>487</v>
      </c>
      <c r="AH36" s="7">
        <v>0.5</v>
      </c>
      <c r="AK36">
        <f t="shared" si="6"/>
        <v>1</v>
      </c>
      <c r="AL36">
        <f t="shared" si="0"/>
        <v>0</v>
      </c>
      <c r="AM36">
        <f t="shared" si="1"/>
        <v>1</v>
      </c>
      <c r="AN36">
        <f t="shared" si="2"/>
        <v>0</v>
      </c>
      <c r="BA36" t="s">
        <v>1374</v>
      </c>
      <c r="BB36" s="35" cm="1">
        <f t="array" ref="BB36">SUMPRODUCT((Y$2:Y$1000="PS")*ISNUMBER(SEARCH(LOWER(BA36),LOWER(AA$2:AA$1000)))*ISNUMBER(SEARCH("selection",LOWER(Z$2:Z$1000))))</f>
        <v>0</v>
      </c>
      <c r="BF36" t="s">
        <v>1382</v>
      </c>
      <c r="BG36" t="s">
        <v>1364</v>
      </c>
      <c r="BH36" t="s">
        <v>1365</v>
      </c>
      <c r="BI36" t="s">
        <v>1366</v>
      </c>
      <c r="BJ36" t="s">
        <v>1367</v>
      </c>
      <c r="BK36" t="s">
        <v>1368</v>
      </c>
      <c r="BL36" t="s">
        <v>1369</v>
      </c>
      <c r="BM36" t="s">
        <v>1370</v>
      </c>
      <c r="BN36" t="s">
        <v>1371</v>
      </c>
      <c r="BO36" t="s">
        <v>1372</v>
      </c>
      <c r="BP36" t="s">
        <v>1373</v>
      </c>
      <c r="BQ36" t="s">
        <v>1374</v>
      </c>
      <c r="BR36" t="s">
        <v>1362</v>
      </c>
      <c r="BS36" t="s">
        <v>1375</v>
      </c>
      <c r="BT36" t="s">
        <v>1363</v>
      </c>
      <c r="BU36" t="s">
        <v>1376</v>
      </c>
      <c r="BV36" t="s">
        <v>1345</v>
      </c>
      <c r="BW36" t="s">
        <v>1356</v>
      </c>
      <c r="BX36" t="s">
        <v>1351</v>
      </c>
      <c r="BY36" t="s">
        <v>1387</v>
      </c>
      <c r="BZ36" t="s">
        <v>1352</v>
      </c>
      <c r="CA36" t="s">
        <v>1353</v>
      </c>
      <c r="CB36" t="s">
        <v>1385</v>
      </c>
    </row>
    <row r="37" spans="1:80" ht="112" x14ac:dyDescent="0.2">
      <c r="C37" t="s">
        <v>488</v>
      </c>
      <c r="D37" t="s">
        <v>489</v>
      </c>
      <c r="E37" t="s">
        <v>490</v>
      </c>
      <c r="F37">
        <v>2016</v>
      </c>
      <c r="J37" t="s">
        <v>491</v>
      </c>
      <c r="Y37" t="s">
        <v>58</v>
      </c>
      <c r="Z37" s="6" t="s">
        <v>492</v>
      </c>
      <c r="AA37" s="6" t="s">
        <v>493</v>
      </c>
      <c r="AB37" s="7" t="s">
        <v>494</v>
      </c>
      <c r="AC37" s="7" t="s">
        <v>116</v>
      </c>
      <c r="AD37" s="7" t="s">
        <v>495</v>
      </c>
      <c r="AE37" s="6" t="s">
        <v>496</v>
      </c>
      <c r="AF37" s="7" t="s">
        <v>497</v>
      </c>
      <c r="AG37" s="7" t="s">
        <v>498</v>
      </c>
      <c r="AH37" s="7">
        <v>1</v>
      </c>
      <c r="AK37">
        <f t="shared" si="6"/>
        <v>1</v>
      </c>
      <c r="AL37">
        <f t="shared" si="0"/>
        <v>0</v>
      </c>
      <c r="AM37">
        <f t="shared" si="1"/>
        <v>0</v>
      </c>
      <c r="AN37">
        <f t="shared" si="2"/>
        <v>1</v>
      </c>
      <c r="BA37" t="s">
        <v>1362</v>
      </c>
      <c r="BB37" s="35" cm="1">
        <f t="array" ref="BB37">SUMPRODUCT((Y$2:Y$1000="PS")*ISNUMBER(SEARCH(LOWER(BA37),LOWER(AA$2:AA$1000)))*ISNUMBER(SEARCH("selection",LOWER(Z$2:Z$1000))))</f>
        <v>3</v>
      </c>
      <c r="BF37">
        <v>2013</v>
      </c>
      <c r="BG37" s="35" cm="1">
        <f t="array" ref="BG37">SUMPRODUCT((Y$2:Y$1000="PS")*(F$2:F$1000=BF37)*ISNUMBER(SEARCH("selection",LOWER(Z$2:Z$1000)))*ISNUMBER(SEARCH("integer",LOWER(AA$2:AA$1000))))</f>
        <v>0</v>
      </c>
      <c r="BH37" cm="1">
        <f t="array" ref="BH37">SUMPRODUCT((Y$2:Y$1000="PS")*(F$2:F$1000=BF37)*ISNUMBER(SEARCH("selection",LOWER(Z$2:Z$1000)))*ISNUMBER(SEARCH("data-flow",LOWER(AA$2:AA$1000))))</f>
        <v>0</v>
      </c>
      <c r="BI37" cm="1">
        <f t="array" ref="BI37">SUMPRODUCT((Y$2:Y$1000="PS")*(F$2:F$1000=BF37)*ISNUMBER(SEARCH("selection",LOWER(Z$2:Z$1000)))*ISNUMBER(SEARCH("symbolic",LOWER(AA$2:AA$1000))))</f>
        <v>0</v>
      </c>
      <c r="BJ37" cm="1">
        <f t="array" ref="BJ37">SUMPRODUCT((Y$2:Y$1000="PS")*(F$2:F$1000=BF37)*ISNUMBER(SEARCH("selection",LOWER(Z$2:Z$1000)))*ISNUMBER(SEARCH("dynamyc",LOWER(AA$2:AA$1000))))</f>
        <v>0</v>
      </c>
      <c r="BK37" cm="1">
        <f t="array" ref="BK37">SUMPRODUCT((Y$2:Y$1000="PS")*(F$2:F$1000=BF37)*ISNUMBER(SEARCH("selection",LOWER(Z$2:Z$1000)))*ISNUMBER(SEARCH("graph",LOWER(AA$2:AA$1000))))</f>
        <v>0</v>
      </c>
      <c r="BL37" cm="1">
        <f t="array" ref="BL37">SUMPRODUCT((Y$2:Y$1000="PS")*(F$2:F$1000=BF37)*ISNUMBER(SEARCH("selection",LOWER(Z$2:Z$1000)))*ISNUMBER(SEARCH("textual",LOWER(AA$2:AA$1000))))</f>
        <v>0</v>
      </c>
      <c r="BM37" cm="1">
        <f t="array" ref="BM37">SUMPRODUCT((Y$2:Y$1000="PS")*(F$2:F$1000=BF37)*ISNUMBER(SEARCH("selection",LOWER(Z$2:Z$1000)))*ISNUMBER(SEARCH("sdg",LOWER(AA$2:AA$1000))))</f>
        <v>0</v>
      </c>
      <c r="BN37" cm="1">
        <f t="array" ref="BN37">SUMPRODUCT((Y$2:Y$1000="PS")*(F$2:F$1000=BF37)*ISNUMBER(SEARCH("selection",LOWER(Z$2:Z$1000)))*ISNUMBER(SEARCH("path",LOWER(AA$2:AA$1000))))</f>
        <v>0</v>
      </c>
      <c r="BO37" cm="1">
        <f t="array" ref="BO37">SUMPRODUCT((Y$2:Y$1000="PS")*(F$2:F$1000=BF37)*ISNUMBER(SEARCH("selection",LOWER(Z$2:Z$1000)))*ISNUMBER(SEARCH("mod",LOWER(AA$2:AA$1000))))</f>
        <v>1</v>
      </c>
      <c r="BP37" cm="1">
        <f t="array" ref="BP37">SUMPRODUCT((Y$2:Y$1000="PS")*(F$2:F$1000=BF37)*ISNUMBER(SEARCH("selection",LOWER(Z$2:Z$1000)))*ISNUMBER(SEARCH("firewall",LOWER(AA$2:AA$1000))))</f>
        <v>0</v>
      </c>
      <c r="BQ37" cm="1">
        <f t="array" ref="BQ37">SUMPRODUCT((Y$2:Y$1000="PS")*(F$2:F$1000=BF37)*ISNUMBER(SEARCH("selection",LOWER(Z$2:Z$1000)))*ISNUMBER(SEARCH("cluster",LOWER(AA$2:AA$1000))))</f>
        <v>0</v>
      </c>
      <c r="BR37" cm="1">
        <f t="array" ref="BR37">SUMPRODUCT((Y$2:Y$1000="PS")*(F$2:F$1000=BF37)*ISNUMBER(SEARCH("selection",LOWER(Z$2:Z$1000)))*ISNUMBER(SEARCH("design",LOWER(AA$2:AA$1000))))</f>
        <v>0</v>
      </c>
      <c r="BS37" cm="1">
        <f t="array" ref="BS37">SUMPRODUCT((Y$2:Y$1000="PS")*(F$2:F$1000=BF37)*ISNUMBER(SEARCH("selection",LOWER(Z$2:Z$1000)))*ISNUMBER(SEARCH("hybrid",LOWER(AA$2:AA$1000))))</f>
        <v>0</v>
      </c>
      <c r="BT37" cm="1">
        <f t="array" ref="BT37">SUMPRODUCT((Y$2:Y$1000="PS")*(F$2:F$1000=BF37)*ISNUMBER(SEARCH("selection",LOWER(Z$2:Z$1000)))*ISNUMBER(SEARCH("selection",LOWER(AA$2:AA$1000))))</f>
        <v>0</v>
      </c>
      <c r="BU37" cm="1">
        <f t="array" ref="BU37">SUMPRODUCT((Y$2:Y$1000="PS")*(F$2:F$1000=BF37)*ISNUMBER(SEARCH("selection",LOWER(Z$2:Z$1000)))*ISNUMBER(SEARCH("detection",LOWER(AA$2:AA$1000))))</f>
        <v>0</v>
      </c>
      <c r="BV37" cm="1">
        <f t="array" ref="BV37">SUMPRODUCT((Y$2:Y$1000="PS")*(F$2:F$1000=BF37)*ISNUMBER(SEARCH("selection",LOWER(Z$2:Z$1000)))*ISNUMBER(SEARCH("coverage",LOWER(AA$2:AA$1000))))</f>
        <v>0</v>
      </c>
      <c r="BW37" cm="1">
        <f t="array" ref="BW37">SUMPRODUCT((Y$2:Y$1000="PS")*(F$2:F$1000=BF37)*ISNUMBER(SEARCH("selection",LOWER(Z$2:Z$1000)))*ISNUMBER(SEARCH("change",LOWER(AA$2:AA$1000))))</f>
        <v>0</v>
      </c>
      <c r="BX37" cm="1">
        <f t="array" ref="BX37">SUMPRODUCT((Y$2:Y$1000="PS")*(F$2:F$1000=BF37)*ISNUMBER(SEARCH("selection",LOWER(Z$2:Z$1000)))*ISNUMBER(SEARCH("model",LOWER(AA$2:AA$1000))))</f>
        <v>0</v>
      </c>
      <c r="BY37" cm="1">
        <f t="array" ref="BY37">SUMPRODUCT((Y$2:Y$1000="PS")*(F$2:F$1000=$BF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BZ37" cm="1">
        <f t="array" ref="BZ37">SUMPRODUCT((Y$2:Y$1000="PS")*(F$2:F$1000=BF37)*ISNUMBER(SEARCH("selection",LOWER(Z$2:Z$1000)))*ISNUMBER(SEARCH("cost-aware",LOWER(AA$2:AA$1000))))</f>
        <v>0</v>
      </c>
      <c r="CA37" cm="1">
        <f t="array" ref="CA37">SUMPRODUCT((Y$2:Y$1000="PS")*(F$2:F$1000=BF37)*ISNUMBER(SEARCH("selection",LOWER(Z$2:Z$1000)))*ISNUMBER(SEARCH("similarity",LOWER(AA$2:AA$1000))))</f>
        <v>0</v>
      </c>
      <c r="CB37" s="35" cm="1">
        <f t="array" ref="CB37">SUMPRODUCT((Y$2:Y$1000="PS")*(F$2:F$1000=BF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38" spans="1:80" ht="128" x14ac:dyDescent="0.2">
      <c r="C38" t="s">
        <v>499</v>
      </c>
      <c r="D38" t="s">
        <v>500</v>
      </c>
      <c r="E38" t="s">
        <v>501</v>
      </c>
      <c r="F38">
        <v>2019</v>
      </c>
      <c r="J38" t="s">
        <v>502</v>
      </c>
      <c r="Y38" t="s">
        <v>58</v>
      </c>
      <c r="Z38" s="9" t="s">
        <v>503</v>
      </c>
      <c r="AA38" s="10" t="s">
        <v>504</v>
      </c>
      <c r="AB38" s="10" t="s">
        <v>60</v>
      </c>
      <c r="AC38" s="9"/>
      <c r="AD38" s="10" t="s">
        <v>505</v>
      </c>
      <c r="AE38" s="9" t="s">
        <v>506</v>
      </c>
      <c r="AF38" s="10" t="s">
        <v>507</v>
      </c>
      <c r="AG38" s="10" t="s">
        <v>508</v>
      </c>
      <c r="AH38" s="10">
        <v>0</v>
      </c>
      <c r="AK38">
        <f t="shared" si="6"/>
        <v>1</v>
      </c>
      <c r="AL38">
        <f t="shared" si="0"/>
        <v>0</v>
      </c>
      <c r="AM38">
        <f t="shared" si="1"/>
        <v>1</v>
      </c>
      <c r="AN38">
        <f t="shared" si="2"/>
        <v>0</v>
      </c>
      <c r="BA38" t="s">
        <v>1375</v>
      </c>
      <c r="BB38" s="35" cm="1">
        <f t="array" ref="BB38">SUMPRODUCT((Y$2:Y$1000="PS")*ISNUMBER(SEARCH(LOWER(BA38),LOWER(AA$2:AA$1000)))*ISNUMBER(SEARCH("selection",LOWER(Z$2:Z$1000))))</f>
        <v>1</v>
      </c>
      <c r="BF38">
        <v>2014</v>
      </c>
      <c r="BG38" s="35" cm="1">
        <f t="array" ref="BG38">SUMPRODUCT((Y$2:Y$1000="PS")*(F$2:F$1000=BF38)*ISNUMBER(SEARCH("selection",LOWER(Z$2:Z$1000)))*ISNUMBER(SEARCH("integer",LOWER(AA$2:AA$1000))))</f>
        <v>0</v>
      </c>
      <c r="BH38" cm="1">
        <f t="array" ref="BH38">SUMPRODUCT((Y$2:Y$1000="PS")*(F$2:F$1000=BF38)*ISNUMBER(SEARCH("selection",LOWER(Z$2:Z$1000)))*ISNUMBER(SEARCH("data-flow",LOWER(AA$2:AA$1000))))</f>
        <v>0</v>
      </c>
      <c r="BI38" cm="1">
        <f t="array" ref="BI38">SUMPRODUCT((Y$2:Y$1000="PS")*(F$2:F$1000=BF38)*ISNUMBER(SEARCH("selection",LOWER(Z$2:Z$1000)))*ISNUMBER(SEARCH("symbolic",LOWER(AA$2:AA$1000))))</f>
        <v>0</v>
      </c>
      <c r="BJ38" cm="1">
        <f t="array" ref="BJ38">SUMPRODUCT((Y$2:Y$1000="PS")*(F$2:F$1000=BF38)*ISNUMBER(SEARCH("selection",LOWER(Z$2:Z$1000)))*ISNUMBER(SEARCH("dynamyc",LOWER(AA$2:AA$1000))))</f>
        <v>0</v>
      </c>
      <c r="BK38" cm="1">
        <f t="array" ref="BK38">SUMPRODUCT((Y$2:Y$1000="PS")*(F$2:F$1000=BF38)*ISNUMBER(SEARCH("selection",LOWER(Z$2:Z$1000)))*ISNUMBER(SEARCH("graph",LOWER(AA$2:AA$1000))))</f>
        <v>0</v>
      </c>
      <c r="BL38" cm="1">
        <f t="array" ref="BL38">SUMPRODUCT((Y$2:Y$1000="PS")*(F$2:F$1000=BF38)*ISNUMBER(SEARCH("selection",LOWER(Z$2:Z$1000)))*ISNUMBER(SEARCH("textual",LOWER(AA$2:AA$1000))))</f>
        <v>0</v>
      </c>
      <c r="BM38" cm="1">
        <f t="array" ref="BM38">SUMPRODUCT((Y$2:Y$1000="PS")*(F$2:F$1000=BF38)*ISNUMBER(SEARCH("selection",LOWER(Z$2:Z$1000)))*ISNUMBER(SEARCH("sdg",LOWER(AA$2:AA$1000))))</f>
        <v>0</v>
      </c>
      <c r="BN38" cm="1">
        <f t="array" ref="BN38">SUMPRODUCT((Y$2:Y$1000="PS")*(F$2:F$1000=BF38)*ISNUMBER(SEARCH("selection",LOWER(Z$2:Z$1000)))*ISNUMBER(SEARCH("path",LOWER(AA$2:AA$1000))))</f>
        <v>0</v>
      </c>
      <c r="BO38" cm="1">
        <f t="array" ref="BO38">SUMPRODUCT((Y$2:Y$1000="PS")*(F$2:F$1000=BF38)*ISNUMBER(SEARCH("selection",LOWER(Z$2:Z$1000)))*ISNUMBER(SEARCH("mod",LOWER(AA$2:AA$1000))))</f>
        <v>0</v>
      </c>
      <c r="BP38" cm="1">
        <f t="array" ref="BP38">SUMPRODUCT((Y$2:Y$1000="PS")*(F$2:F$1000=BF38)*ISNUMBER(SEARCH("selection",LOWER(Z$2:Z$1000)))*ISNUMBER(SEARCH("firewall",LOWER(AA$2:AA$1000))))</f>
        <v>0</v>
      </c>
      <c r="BQ38" cm="1">
        <f t="array" ref="BQ38">SUMPRODUCT((Y$2:Y$1000="PS")*(F$2:F$1000=BF38)*ISNUMBER(SEARCH("selection",LOWER(Z$2:Z$1000)))*ISNUMBER(SEARCH("cluster",LOWER(AA$2:AA$1000))))</f>
        <v>0</v>
      </c>
      <c r="BR38" cm="1">
        <f t="array" ref="BR38">SUMPRODUCT((Y$2:Y$1000="PS")*(F$2:F$1000=BF38)*ISNUMBER(SEARCH("selection",LOWER(Z$2:Z$1000)))*ISNUMBER(SEARCH("design",LOWER(AA$2:AA$1000))))</f>
        <v>0</v>
      </c>
      <c r="BS38" cm="1">
        <f t="array" ref="BS38">SUMPRODUCT((Y$2:Y$1000="PS")*(F$2:F$1000=BF38)*ISNUMBER(SEARCH("selection",LOWER(Z$2:Z$1000)))*ISNUMBER(SEARCH("hybrid",LOWER(AA$2:AA$1000))))</f>
        <v>0</v>
      </c>
      <c r="BT38" cm="1">
        <f t="array" ref="BT38">SUMPRODUCT((Y$2:Y$1000="PS")*(F$2:F$1000=BF38)*ISNUMBER(SEARCH("selection",LOWER(Z$2:Z$1000)))*ISNUMBER(SEARCH("selection",LOWER(AA$2:AA$1000))))</f>
        <v>0</v>
      </c>
      <c r="BU38" cm="1">
        <f t="array" ref="BU38">SUMPRODUCT((Y$2:Y$1000="PS")*(F$2:F$1000=BF38)*ISNUMBER(SEARCH("selection",LOWER(Z$2:Z$1000)))*ISNUMBER(SEARCH("detection",LOWER(AA$2:AA$1000))))</f>
        <v>0</v>
      </c>
      <c r="BV38" cm="1">
        <f t="array" ref="BV38">SUMPRODUCT((Y$2:Y$1000="PS")*(F$2:F$1000=BF38)*ISNUMBER(SEARCH("selection",LOWER(Z$2:Z$1000)))*ISNUMBER(SEARCH("coverage",LOWER(AA$2:AA$1000))))</f>
        <v>1</v>
      </c>
      <c r="BW38" cm="1">
        <f t="array" ref="BW38">SUMPRODUCT((Y$2:Y$1000="PS")*(F$2:F$1000=BF38)*ISNUMBER(SEARCH("selection",LOWER(Z$2:Z$1000)))*ISNUMBER(SEARCH("change",LOWER(AA$2:AA$1000))))</f>
        <v>0</v>
      </c>
      <c r="BX38" cm="1">
        <f t="array" ref="BX38">SUMPRODUCT((Y$2:Y$1000="PS")*(F$2:F$1000=BF38)*ISNUMBER(SEARCH("selection",LOWER(Z$2:Z$1000)))*ISNUMBER(SEARCH("model",LOWER(AA$2:AA$1000))))</f>
        <v>0</v>
      </c>
      <c r="BY38" cm="1">
        <f t="array" ref="BY38">SUMPRODUCT((Y$2:Y$1000="PS")*(F$2:F$1000=BF38)*ISNUMBER(SEARCH("selection",LOWER(Z$2:Z$1000)))*ISNUMBER(SEARCH("hystory",LOWER(AA$2:AA$1000))))</f>
        <v>0</v>
      </c>
      <c r="BZ38" cm="1">
        <f t="array" ref="BZ38">SUMPRODUCT((Y$2:Y$1000="PS")*(F$2:F$1000=BF38)*ISNUMBER(SEARCH("selection",LOWER(Z$2:Z$1000)))*ISNUMBER(SEARCH("cost-aware",LOWER(AA$2:AA$1000))))</f>
        <v>0</v>
      </c>
      <c r="CA38" cm="1">
        <f t="array" ref="CA38">SUMPRODUCT((Y$2:Y$1000="PS")*(F$2:F$1000=BF38)*ISNUMBER(SEARCH("selection",LOWER(Z$2:Z$1000)))*ISNUMBER(SEARCH("similarity",LOWER(AA$2:AA$1000))))</f>
        <v>0</v>
      </c>
      <c r="CB38" s="35" cm="1">
        <f t="array" ref="CB38">SUMPRODUCT((Y$2:Y$1000="PS")*(F$2:F$1000=BF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39" spans="1:80" ht="128" x14ac:dyDescent="0.2">
      <c r="C39" t="s">
        <v>509</v>
      </c>
      <c r="D39" t="s">
        <v>510</v>
      </c>
      <c r="E39" t="s">
        <v>511</v>
      </c>
      <c r="F39">
        <v>2016</v>
      </c>
      <c r="J39" t="s">
        <v>512</v>
      </c>
      <c r="Y39" t="s">
        <v>44</v>
      </c>
      <c r="Z39" s="11" t="s">
        <v>513</v>
      </c>
      <c r="AA39" s="12" t="s">
        <v>514</v>
      </c>
      <c r="AB39" s="12" t="s">
        <v>60</v>
      </c>
      <c r="AC39" s="12"/>
      <c r="AD39" s="12" t="s">
        <v>515</v>
      </c>
      <c r="AE39" s="11" t="s">
        <v>516</v>
      </c>
      <c r="AF39" s="12" t="s">
        <v>517</v>
      </c>
      <c r="AG39" s="12" t="s">
        <v>518</v>
      </c>
      <c r="AH39" s="12">
        <v>0</v>
      </c>
      <c r="AK39">
        <f t="shared" si="6"/>
        <v>0</v>
      </c>
      <c r="AL39">
        <f t="shared" si="0"/>
        <v>0</v>
      </c>
      <c r="AM39">
        <f t="shared" si="1"/>
        <v>0</v>
      </c>
      <c r="AN39">
        <f t="shared" si="2"/>
        <v>0</v>
      </c>
      <c r="BA39" t="s">
        <v>1363</v>
      </c>
      <c r="BB39" s="35" cm="1">
        <f t="array" ref="BB39">SUMPRODUCT((Y$2:Y$1000="PS")*ISNUMBER(SEARCH(LOWER(BA39),LOWER(AA$2:AA$1000)))*ISNUMBER(SEARCH("selection",LOWER(Z$2:Z$1000))))</f>
        <v>1</v>
      </c>
      <c r="BF39">
        <v>2015</v>
      </c>
      <c r="BG39" s="35" cm="1">
        <f t="array" ref="BG39">SUMPRODUCT((Y$2:Y$1000="PS")*(F$2:F$1000=BF39)*ISNUMBER(SEARCH("selection",LOWER(Z$2:Z$1000)))*ISNUMBER(SEARCH("integer",LOWER(AA$2:AA$1000))))</f>
        <v>0</v>
      </c>
      <c r="BH39" cm="1">
        <f t="array" ref="BH39">SUMPRODUCT((Y$2:Y$1000="PS")*(F$2:F$1000=BF39)*ISNUMBER(SEARCH("selection",LOWER(Z$2:Z$1000)))*ISNUMBER(SEARCH("data-flow",LOWER(AA$2:AA$1000))))</f>
        <v>0</v>
      </c>
      <c r="BI39" cm="1">
        <f t="array" ref="BI39">SUMPRODUCT((Y$2:Y$1000="PS")*(F$2:F$1000=BF39)*ISNUMBER(SEARCH("selection",LOWER(Z$2:Z$1000)))*ISNUMBER(SEARCH("symbolic",LOWER(AA$2:AA$1000))))</f>
        <v>0</v>
      </c>
      <c r="BJ39" cm="1">
        <f t="array" ref="BJ39">SUMPRODUCT((Y$2:Y$1000="PS")*(F$2:F$1000=BF39)*ISNUMBER(SEARCH("selection",LOWER(Z$2:Z$1000)))*ISNUMBER(SEARCH("dynamyc",LOWER(AA$2:AA$1000))))</f>
        <v>0</v>
      </c>
      <c r="BK39" cm="1">
        <f t="array" ref="BK39">SUMPRODUCT((Y$2:Y$1000="PS")*(F$2:F$1000=BF39)*ISNUMBER(SEARCH("selection",LOWER(Z$2:Z$1000)))*ISNUMBER(SEARCH("graph",LOWER(AA$2:AA$1000))))</f>
        <v>0</v>
      </c>
      <c r="BL39" cm="1">
        <f t="array" ref="BL39">SUMPRODUCT((Y$2:Y$1000="PS")*(F$2:F$1000=BF39)*ISNUMBER(SEARCH("selection",LOWER(Z$2:Z$1000)))*ISNUMBER(SEARCH("textual",LOWER(AA$2:AA$1000))))</f>
        <v>0</v>
      </c>
      <c r="BM39" cm="1">
        <f t="array" ref="BM39">SUMPRODUCT((Y$2:Y$1000="PS")*(F$2:F$1000=BF39)*ISNUMBER(SEARCH("selection",LOWER(Z$2:Z$1000)))*ISNUMBER(SEARCH("sdg",LOWER(AA$2:AA$1000))))</f>
        <v>0</v>
      </c>
      <c r="BN39" cm="1">
        <f t="array" ref="BN39">SUMPRODUCT((Y$2:Y$1000="PS")*(F$2:F$1000=BF39)*ISNUMBER(SEARCH("selection",LOWER(Z$2:Z$1000)))*ISNUMBER(SEARCH("path",LOWER(AA$2:AA$1000))))</f>
        <v>0</v>
      </c>
      <c r="BO39" cm="1">
        <f t="array" ref="BO39">SUMPRODUCT((Y$2:Y$1000="PS")*(F$2:F$1000=BF39)*ISNUMBER(SEARCH("selection",LOWER(Z$2:Z$1000)))*ISNUMBER(SEARCH("mod",LOWER(AA$2:AA$1000))))</f>
        <v>0</v>
      </c>
      <c r="BP39" cm="1">
        <f t="array" ref="BP39">SUMPRODUCT((Y$2:Y$1000="PS")*(F$2:F$1000=BF39)*ISNUMBER(SEARCH("selection",LOWER(Z$2:Z$1000)))*ISNUMBER(SEARCH("firewall",LOWER(AA$2:AA$1000))))</f>
        <v>0</v>
      </c>
      <c r="BQ39" cm="1">
        <f t="array" ref="BQ39">SUMPRODUCT((Y$2:Y$1000="PS")*(F$2:F$1000=BF39)*ISNUMBER(SEARCH("selection",LOWER(Z$2:Z$1000)))*ISNUMBER(SEARCH("cluster",LOWER(AA$2:AA$1000))))</f>
        <v>0</v>
      </c>
      <c r="BR39" cm="1">
        <f t="array" ref="BR39">SUMPRODUCT((Y$2:Y$1000="PS")*(F$2:F$1000=BF39)*ISNUMBER(SEARCH("selection",LOWER(Z$2:Z$1000)))*ISNUMBER(SEARCH("design",LOWER(AA$2:AA$1000))))</f>
        <v>0</v>
      </c>
      <c r="BS39" cm="1">
        <f t="array" ref="BS39">SUMPRODUCT((Y$2:Y$1000="PS")*(F$2:F$1000=BF39)*ISNUMBER(SEARCH("selection",LOWER(Z$2:Z$1000)))*ISNUMBER(SEARCH("hybrid",LOWER(AA$2:AA$1000))))</f>
        <v>0</v>
      </c>
      <c r="BT39" cm="1">
        <f t="array" ref="BT39">SUMPRODUCT((Y$2:Y$1000="PS")*(F$2:F$1000=BF39)*ISNUMBER(SEARCH("selection",LOWER(Z$2:Z$1000)))*ISNUMBER(SEARCH("selection",LOWER(AA$2:AA$1000))))</f>
        <v>0</v>
      </c>
      <c r="BU39" cm="1">
        <f t="array" ref="BU39">SUMPRODUCT((Y$2:Y$1000="PS")*(F$2:F$1000=BF39)*ISNUMBER(SEARCH("selection",LOWER(Z$2:Z$1000)))*ISNUMBER(SEARCH("detection",LOWER(AA$2:AA$1000))))</f>
        <v>0</v>
      </c>
      <c r="BV39" cm="1">
        <f t="array" ref="BV39">SUMPRODUCT((Y$2:Y$1000="PS")*(F$2:F$1000=BF39)*ISNUMBER(SEARCH("selection",LOWER(Z$2:Z$1000)))*ISNUMBER(SEARCH("coverage",LOWER(AA$2:AA$1000))))</f>
        <v>0</v>
      </c>
      <c r="BW39" cm="1">
        <f t="array" ref="BW39">SUMPRODUCT((Y$2:Y$1000="PS")*(F$2:F$1000=BF39)*ISNUMBER(SEARCH("selection",LOWER(Z$2:Z$1000)))*ISNUMBER(SEARCH("change",LOWER(AA$2:AA$1000))))</f>
        <v>0</v>
      </c>
      <c r="BX39" cm="1">
        <f t="array" ref="BX39">SUMPRODUCT((Y$2:Y$1000="PS")*(F$2:F$1000=BF39)*ISNUMBER(SEARCH("selection",LOWER(Z$2:Z$1000)))*ISNUMBER(SEARCH("model",LOWER(AA$2:AA$1000))))</f>
        <v>0</v>
      </c>
      <c r="BY39" cm="1">
        <f t="array" ref="BY39">SUMPRODUCT((Y$2:Y$1000="PS")*(F$2:F$1000=BF39)*ISNUMBER(SEARCH("selection",LOWER(Z$2:Z$1000)))*ISNUMBER(SEARCH("hystory",LOWER(AA$2:AA$1000))))</f>
        <v>0</v>
      </c>
      <c r="BZ39" cm="1">
        <f t="array" ref="BZ39">SUMPRODUCT((Y$2:Y$1000="PS")*(F$2:F$1000=BF39)*ISNUMBER(SEARCH("selection",LOWER(Z$2:Z$1000)))*ISNUMBER(SEARCH("cost-aware",LOWER(AA$2:AA$1000))))</f>
        <v>0</v>
      </c>
      <c r="CA39" cm="1">
        <f t="array" ref="CA39">SUMPRODUCT((Y$2:Y$1000="PS")*(F$2:F$1000=BF39)*ISNUMBER(SEARCH("selection",LOWER(Z$2:Z$1000)))*ISNUMBER(SEARCH("similarity",LOWER(AA$2:AA$1000))))</f>
        <v>0</v>
      </c>
      <c r="CB39" s="35" cm="1">
        <f t="array" ref="CB39">SUMPRODUCT((Y$2:Y$1000="PS")*(F$2:F$1000=BF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40" spans="1:80" ht="144" x14ac:dyDescent="0.2">
      <c r="C40" t="s">
        <v>519</v>
      </c>
      <c r="D40" t="s">
        <v>520</v>
      </c>
      <c r="E40" t="s">
        <v>521</v>
      </c>
      <c r="F40">
        <v>2018</v>
      </c>
      <c r="J40" t="s">
        <v>522</v>
      </c>
      <c r="Y40" t="s">
        <v>58</v>
      </c>
      <c r="Z40" s="13" t="s">
        <v>481</v>
      </c>
      <c r="AA40" s="14" t="s">
        <v>523</v>
      </c>
      <c r="AB40" s="14" t="s">
        <v>524</v>
      </c>
      <c r="AC40" s="15"/>
      <c r="AD40" s="14" t="s">
        <v>525</v>
      </c>
      <c r="AE40" s="13" t="s">
        <v>526</v>
      </c>
      <c r="AF40" s="13" t="s">
        <v>527</v>
      </c>
      <c r="AG40" s="14" t="s">
        <v>528</v>
      </c>
      <c r="AH40" s="14">
        <v>1</v>
      </c>
      <c r="AK40">
        <f t="shared" si="6"/>
        <v>1</v>
      </c>
      <c r="AL40">
        <f t="shared" si="0"/>
        <v>0</v>
      </c>
      <c r="AM40">
        <f t="shared" si="1"/>
        <v>1</v>
      </c>
      <c r="AN40">
        <f t="shared" si="2"/>
        <v>0</v>
      </c>
      <c r="BA40" t="s">
        <v>1376</v>
      </c>
      <c r="BB40" s="35" cm="1">
        <f t="array" ref="BB40">SUMPRODUCT((Y$2:Y$1000="PS")*ISNUMBER(SEARCH(LOWER(BA40),LOWER(AA$2:AA$1000)))*ISNUMBER(SEARCH("selection",LOWER(Z$2:Z$1000))))</f>
        <v>1</v>
      </c>
      <c r="BF40">
        <v>2016</v>
      </c>
      <c r="BG40" s="35" cm="1">
        <f t="array" ref="BG40">SUMPRODUCT((Y$2:Y$1000="PS")*(F$2:F$1000=BF40)*ISNUMBER(SEARCH("selection",LOWER(Z$2:Z$1000)))*ISNUMBER(SEARCH("integer",LOWER(AA$2:AA$1000))))</f>
        <v>0</v>
      </c>
      <c r="BH40" cm="1">
        <f t="array" ref="BH40">SUMPRODUCT((Y$2:Y$1000="PS")*(F$2:F$1000=BF40)*ISNUMBER(SEARCH("selection",LOWER(Z$2:Z$1000)))*ISNUMBER(SEARCH("data-flow",LOWER(AA$2:AA$1000))))</f>
        <v>0</v>
      </c>
      <c r="BI40" cm="1">
        <f t="array" ref="BI40">SUMPRODUCT((Y$2:Y$1000="PS")*(F$2:F$1000=BF40)*ISNUMBER(SEARCH("selection",LOWER(Z$2:Z$1000)))*ISNUMBER(SEARCH("symbolic",LOWER(AA$2:AA$1000))))</f>
        <v>0</v>
      </c>
      <c r="BJ40" cm="1">
        <f t="array" ref="BJ40">SUMPRODUCT((Y$2:Y$1000="PS")*(F$2:F$1000=BF40)*ISNUMBER(SEARCH("selection",LOWER(Z$2:Z$1000)))*ISNUMBER(SEARCH("dynamyc",LOWER(AA$2:AA$1000))))</f>
        <v>0</v>
      </c>
      <c r="BK40" cm="1">
        <f t="array" ref="BK40">SUMPRODUCT((Y$2:Y$1000="PS")*(F$2:F$1000=BF40)*ISNUMBER(SEARCH("selection",LOWER(Z$2:Z$1000)))*ISNUMBER(SEARCH("graph",LOWER(AA$2:AA$1000))))</f>
        <v>0</v>
      </c>
      <c r="BL40" cm="1">
        <f t="array" ref="BL40">SUMPRODUCT((Y$2:Y$1000="PS")*(F$2:F$1000=BF40)*ISNUMBER(SEARCH("selection",LOWER(Z$2:Z$1000)))*ISNUMBER(SEARCH("textual",LOWER(AA$2:AA$1000))))</f>
        <v>0</v>
      </c>
      <c r="BM40" cm="1">
        <f t="array" ref="BM40">SUMPRODUCT((Y$2:Y$1000="PS")*(F$2:F$1000=BF40)*ISNUMBER(SEARCH("selection",LOWER(Z$2:Z$1000)))*ISNUMBER(SEARCH("sdg",LOWER(AA$2:AA$1000))))</f>
        <v>0</v>
      </c>
      <c r="BN40" cm="1">
        <f t="array" ref="BN40">SUMPRODUCT((Y$2:Y$1000="PS")*(F$2:F$1000=BF40)*ISNUMBER(SEARCH("selection",LOWER(Z$2:Z$1000)))*ISNUMBER(SEARCH("path",LOWER(AA$2:AA$1000))))</f>
        <v>0</v>
      </c>
      <c r="BO40" cm="1">
        <f t="array" ref="BO40">SUMPRODUCT((Y$2:Y$1000="PS")*(F$2:F$1000=BF40)*ISNUMBER(SEARCH("selection",LOWER(Z$2:Z$1000)))*ISNUMBER(SEARCH("mod",LOWER(AA$2:AA$1000))))</f>
        <v>1</v>
      </c>
      <c r="BP40" cm="1">
        <f t="array" ref="BP40">SUMPRODUCT((Y$2:Y$1000="PS")*(F$2:F$1000=BF40)*ISNUMBER(SEARCH("selection",LOWER(Z$2:Z$1000)))*ISNUMBER(SEARCH("firewall",LOWER(AA$2:AA$1000))))</f>
        <v>0</v>
      </c>
      <c r="BQ40" cm="1">
        <f t="array" ref="BQ40">SUMPRODUCT((Y$2:Y$1000="PS")*(F$2:F$1000=BF40)*ISNUMBER(SEARCH("selection",LOWER(Z$2:Z$1000)))*ISNUMBER(SEARCH("cluster",LOWER(AA$2:AA$1000))))</f>
        <v>0</v>
      </c>
      <c r="BR40" cm="1">
        <f t="array" ref="BR40">SUMPRODUCT((Y$2:Y$1000="PS")*(F$2:F$1000=BF40)*ISNUMBER(SEARCH("selection",LOWER(Z$2:Z$1000)))*ISNUMBER(SEARCH("design",LOWER(AA$2:AA$1000))))</f>
        <v>1</v>
      </c>
      <c r="BS40" cm="1">
        <f t="array" ref="BS40">SUMPRODUCT((Y$2:Y$1000="PS")*(F$2:F$1000=BF40)*ISNUMBER(SEARCH("selection",LOWER(Z$2:Z$1000)))*ISNUMBER(SEARCH("hybrid",LOWER(AA$2:AA$1000))))</f>
        <v>0</v>
      </c>
      <c r="BT40" cm="1">
        <f t="array" ref="BT40">SUMPRODUCT((Y$2:Y$1000="PS")*(F$2:F$1000=BF40)*ISNUMBER(SEARCH("selection",LOWER(Z$2:Z$1000)))*ISNUMBER(SEARCH("selection",LOWER(AA$2:AA$1000))))</f>
        <v>0</v>
      </c>
      <c r="BU40" cm="1">
        <f t="array" ref="BU40">SUMPRODUCT((Y$2:Y$1000="PS")*(F$2:F$1000=BF40)*ISNUMBER(SEARCH("selection",LOWER(Z$2:Z$1000)))*ISNUMBER(SEARCH("detection",LOWER(AA$2:AA$1000))))</f>
        <v>0</v>
      </c>
      <c r="BV40" cm="1">
        <f t="array" ref="BV40">SUMPRODUCT((Y$2:Y$1000="PS")*(F$2:F$1000=BF40)*ISNUMBER(SEARCH("selection",LOWER(Z$2:Z$1000)))*ISNUMBER(SEARCH("coverage",LOWER(AA$2:AA$1000))))</f>
        <v>1</v>
      </c>
      <c r="BW40" cm="1">
        <f t="array" ref="BW40">SUMPRODUCT((Y$2:Y$1000="PS")*(F$2:F$1000=BF40)*ISNUMBER(SEARCH("selection",LOWER(Z$2:Z$1000)))*ISNUMBER(SEARCH("change",LOWER(AA$2:AA$1000))))</f>
        <v>0</v>
      </c>
      <c r="BX40" cm="1">
        <f t="array" ref="BX40">SUMPRODUCT((Y$2:Y$1000="PS")*(F$2:F$1000=BF40)*ISNUMBER(SEARCH("selection",LOWER(Z$2:Z$1000)))*ISNUMBER(SEARCH("model",LOWER(AA$2:AA$1000))))</f>
        <v>1</v>
      </c>
      <c r="BY40" cm="1">
        <f t="array" ref="BY40">SUMPRODUCT((Y$2:Y$1000="PS")*(F$2:F$1000=BF40)*ISNUMBER(SEARCH("selection",LOWER(Z$2:Z$1000)))*ISNUMBER(SEARCH("hystory",LOWER(AA$2:AA$1000))))</f>
        <v>0</v>
      </c>
      <c r="BZ40" cm="1">
        <f t="array" ref="BZ40">SUMPRODUCT((Y$2:Y$1000="PS")*(F$2:F$1000=BF40)*ISNUMBER(SEARCH("selection",LOWER(Z$2:Z$1000)))*ISNUMBER(SEARCH("cost-aware",LOWER(AA$2:AA$1000))))</f>
        <v>0</v>
      </c>
      <c r="CA40" cm="1">
        <f t="array" ref="CA40">SUMPRODUCT((Y$2:Y$1000="PS")*(F$2:F$1000=BF40)*ISNUMBER(SEARCH("selection",LOWER(Z$2:Z$1000)))*ISNUMBER(SEARCH("similarity",LOWER(AA$2:AA$1000))))</f>
        <v>0</v>
      </c>
      <c r="CB40" s="35" cm="1">
        <f t="array" ref="CB40">SUMPRODUCT((Y$2:Y$1000="PS")*(F$2:F$1000=BF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41" spans="1:80" ht="144" x14ac:dyDescent="0.2">
      <c r="C41" t="s">
        <v>529</v>
      </c>
      <c r="D41" t="s">
        <v>530</v>
      </c>
      <c r="E41" t="s">
        <v>531</v>
      </c>
      <c r="F41">
        <v>2021</v>
      </c>
      <c r="J41" t="s">
        <v>532</v>
      </c>
      <c r="Y41" t="s">
        <v>58</v>
      </c>
      <c r="Z41" s="6" t="s">
        <v>533</v>
      </c>
      <c r="AA41" s="7" t="s">
        <v>534</v>
      </c>
      <c r="AB41" s="7" t="s">
        <v>535</v>
      </c>
      <c r="AC41" s="8"/>
      <c r="AD41" s="7" t="s">
        <v>536</v>
      </c>
      <c r="AE41" s="6" t="s">
        <v>537</v>
      </c>
      <c r="AF41" s="7" t="s">
        <v>538</v>
      </c>
      <c r="AG41" s="7" t="s">
        <v>539</v>
      </c>
      <c r="AH41" s="7">
        <v>1</v>
      </c>
      <c r="AK41">
        <f t="shared" si="6"/>
        <v>1</v>
      </c>
      <c r="AL41">
        <f t="shared" si="0"/>
        <v>0</v>
      </c>
      <c r="AM41">
        <f t="shared" si="1"/>
        <v>0</v>
      </c>
      <c r="AN41">
        <f t="shared" si="2"/>
        <v>1</v>
      </c>
      <c r="BA41" t="s">
        <v>1345</v>
      </c>
      <c r="BB41" s="35" cm="1">
        <f t="array" ref="BB41">SUMPRODUCT((Y$2:Y$1000="PS")*ISNUMBER(SEARCH(LOWER(BA41),LOWER(AA$2:AA$1000)))*ISNUMBER(SEARCH("selection",LOWER(Z$2:Z$1000))))</f>
        <v>5</v>
      </c>
      <c r="BF41">
        <v>2017</v>
      </c>
      <c r="BG41" s="35" cm="1">
        <f t="array" ref="BG41">SUMPRODUCT((Y$2:Y$1000="PS")*(F$2:F$1000=BF41)*ISNUMBER(SEARCH("selection",LOWER(Z$2:Z$1000)))*ISNUMBER(SEARCH("integer",LOWER(AA$2:AA$1000))))</f>
        <v>0</v>
      </c>
      <c r="BH41" cm="1">
        <f t="array" ref="BH41">SUMPRODUCT((Y$2:Y$1000="PS")*(F$2:F$1000=BF41)*ISNUMBER(SEARCH("selection",LOWER(Z$2:Z$1000)))*ISNUMBER(SEARCH("data-flow",LOWER(AA$2:AA$1000))))</f>
        <v>0</v>
      </c>
      <c r="BI41" cm="1">
        <f t="array" ref="BI41">SUMPRODUCT((Y$2:Y$1000="PS")*(F$2:F$1000=BF41)*ISNUMBER(SEARCH("selection",LOWER(Z$2:Z$1000)))*ISNUMBER(SEARCH("symbolic",LOWER(AA$2:AA$1000))))</f>
        <v>0</v>
      </c>
      <c r="BJ41" cm="1">
        <f t="array" ref="BJ41">SUMPRODUCT((Y$2:Y$1000="PS")*(F$2:F$1000=BF41)*ISNUMBER(SEARCH("selection",LOWER(Z$2:Z$1000)))*ISNUMBER(SEARCH("dynamyc",LOWER(AA$2:AA$1000))))</f>
        <v>0</v>
      </c>
      <c r="BK41" cm="1">
        <f t="array" ref="BK41">SUMPRODUCT((Y$2:Y$1000="PS")*(F$2:F$1000=BF41)*ISNUMBER(SEARCH("selection",LOWER(Z$2:Z$1000)))*ISNUMBER(SEARCH("graph",LOWER(AA$2:AA$1000))))</f>
        <v>0</v>
      </c>
      <c r="BL41" cm="1">
        <f t="array" ref="BL41">SUMPRODUCT((Y$2:Y$1000="PS")*(F$2:F$1000=BF41)*ISNUMBER(SEARCH("selection",LOWER(Z$2:Z$1000)))*ISNUMBER(SEARCH("textual",LOWER(AA$2:AA$1000))))</f>
        <v>0</v>
      </c>
      <c r="BM41" cm="1">
        <f t="array" ref="BM41">SUMPRODUCT((Y$2:Y$1000="PS")*(F$2:F$1000=BF41)*ISNUMBER(SEARCH("selection",LOWER(Z$2:Z$1000)))*ISNUMBER(SEARCH("sdg",LOWER(AA$2:AA$1000))))</f>
        <v>0</v>
      </c>
      <c r="BN41" cm="1">
        <f t="array" ref="BN41">SUMPRODUCT((Y$2:Y$1000="PS")*(F$2:F$1000=BF41)*ISNUMBER(SEARCH("selection",LOWER(Z$2:Z$1000)))*ISNUMBER(SEARCH("path",LOWER(AA$2:AA$1000))))</f>
        <v>0</v>
      </c>
      <c r="BO41" cm="1">
        <f t="array" ref="BO41">SUMPRODUCT((Y$2:Y$1000="PS")*(F$2:F$1000=BF41)*ISNUMBER(SEARCH("selection",LOWER(Z$2:Z$1000)))*ISNUMBER(SEARCH("mod",LOWER(AA$2:AA$1000))))</f>
        <v>1</v>
      </c>
      <c r="BP41" cm="1">
        <f t="array" ref="BP41">SUMPRODUCT((Y$2:Y$1000="PS")*(F$2:F$1000=BF41)*ISNUMBER(SEARCH("selection",LOWER(Z$2:Z$1000)))*ISNUMBER(SEARCH("firewall",LOWER(AA$2:AA$1000))))</f>
        <v>0</v>
      </c>
      <c r="BQ41" cm="1">
        <f t="array" ref="BQ41">SUMPRODUCT((Y$2:Y$1000="PS")*(F$2:F$1000=BF41)*ISNUMBER(SEARCH("selection",LOWER(Z$2:Z$1000)))*ISNUMBER(SEARCH("cluster",LOWER(AA$2:AA$1000))))</f>
        <v>0</v>
      </c>
      <c r="BR41" cm="1">
        <f t="array" ref="BR41">SUMPRODUCT((Y$2:Y$1000="PS")*(F$2:F$1000=BF41)*ISNUMBER(SEARCH("selection",LOWER(Z$2:Z$1000)))*ISNUMBER(SEARCH("design",LOWER(AA$2:AA$1000))))</f>
        <v>1</v>
      </c>
      <c r="BS41" cm="1">
        <f t="array" ref="BS41">SUMPRODUCT((Y$2:Y$1000="PS")*(F$2:F$1000=BF41)*ISNUMBER(SEARCH("selection",LOWER(Z$2:Z$1000)))*ISNUMBER(SEARCH("hybrid",LOWER(AA$2:AA$1000))))</f>
        <v>0</v>
      </c>
      <c r="BT41" cm="1">
        <f t="array" ref="BT41">SUMPRODUCT((Y$2:Y$1000="PS")*(F$2:F$1000=BF41)*ISNUMBER(SEARCH("selection",LOWER(Z$2:Z$1000)))*ISNUMBER(SEARCH("selection",LOWER(AA$2:AA$1000))))</f>
        <v>0</v>
      </c>
      <c r="BU41" cm="1">
        <f t="array" ref="BU41">SUMPRODUCT((Y$2:Y$1000="PS")*(F$2:F$1000=BF41)*ISNUMBER(SEARCH("selection",LOWER(Z$2:Z$1000)))*ISNUMBER(SEARCH("detection",LOWER(AA$2:AA$1000))))</f>
        <v>0</v>
      </c>
      <c r="BV41" cm="1">
        <f t="array" ref="BV41">SUMPRODUCT((Y$2:Y$1000="PS")*(F$2:F$1000=BF41)*ISNUMBER(SEARCH("selection",LOWER(Z$2:Z$1000)))*ISNUMBER(SEARCH("coverage",LOWER(AA$2:AA$1000))))</f>
        <v>0</v>
      </c>
      <c r="BW41" cm="1">
        <f t="array" ref="BW41">SUMPRODUCT((Y$2:Y$1000="PS")*(F$2:F$1000=BF41)*ISNUMBER(SEARCH("selection",LOWER(Z$2:Z$1000)))*ISNUMBER(SEARCH("change",LOWER(AA$2:AA$1000))))</f>
        <v>0</v>
      </c>
      <c r="BX41" cm="1">
        <f t="array" ref="BX41">SUMPRODUCT((Y$2:Y$1000="PS")*(F$2:F$1000=BF41)*ISNUMBER(SEARCH("selection",LOWER(Z$2:Z$1000)))*ISNUMBER(SEARCH("model",LOWER(AA$2:AA$1000))))</f>
        <v>1</v>
      </c>
      <c r="BY41" cm="1">
        <f t="array" ref="BY41">SUMPRODUCT((Y$2:Y$1000="PS")*(F$2:F$1000=BF41)*ISNUMBER(SEARCH("selection",LOWER(Z$2:Z$1000)))*ISNUMBER(SEARCH("hystory",LOWER(AA$2:AA$1000))))</f>
        <v>0</v>
      </c>
      <c r="BZ41" cm="1">
        <f t="array" ref="BZ41">SUMPRODUCT((Y$2:Y$1000="PS")*(F$2:F$1000=BF41)*ISNUMBER(SEARCH("selection",LOWER(Z$2:Z$1000)))*ISNUMBER(SEARCH("cost-aware",LOWER(AA$2:AA$1000))))</f>
        <v>1</v>
      </c>
      <c r="CA41" cm="1">
        <f t="array" ref="CA41">SUMPRODUCT((Y$2:Y$1000="PS")*(F$2:F$1000=BF41)*ISNUMBER(SEARCH("selection",LOWER(Z$2:Z$1000)))*ISNUMBER(SEARCH("similarity",LOWER(AA$2:AA$1000))))</f>
        <v>0</v>
      </c>
      <c r="CB41" s="35" cm="1">
        <f t="array" ref="CB41">SUMPRODUCT((Y$2:Y$1000="PS")*(F$2:F$1000=BF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42" spans="1:80" ht="112" x14ac:dyDescent="0.2">
      <c r="C42" t="s">
        <v>540</v>
      </c>
      <c r="D42" t="s">
        <v>541</v>
      </c>
      <c r="E42" t="s">
        <v>542</v>
      </c>
      <c r="F42">
        <v>2024</v>
      </c>
      <c r="J42" t="s">
        <v>543</v>
      </c>
      <c r="Y42" t="s">
        <v>58</v>
      </c>
      <c r="Z42" s="6" t="s">
        <v>544</v>
      </c>
      <c r="AA42" s="7" t="s">
        <v>545</v>
      </c>
      <c r="AB42" s="7" t="s">
        <v>546</v>
      </c>
      <c r="AC42" s="6" t="s">
        <v>391</v>
      </c>
      <c r="AD42" s="7" t="s">
        <v>547</v>
      </c>
      <c r="AE42" s="6" t="s">
        <v>548</v>
      </c>
      <c r="AF42" s="7" t="s">
        <v>549</v>
      </c>
      <c r="AG42" s="7" t="s">
        <v>550</v>
      </c>
      <c r="AH42" s="7">
        <v>1</v>
      </c>
      <c r="AK42">
        <f t="shared" si="6"/>
        <v>1</v>
      </c>
      <c r="AL42">
        <f t="shared" si="0"/>
        <v>1</v>
      </c>
      <c r="AM42">
        <f t="shared" si="1"/>
        <v>0</v>
      </c>
      <c r="AN42">
        <f t="shared" si="2"/>
        <v>0</v>
      </c>
      <c r="BA42" t="s">
        <v>1356</v>
      </c>
      <c r="BB42" s="35" cm="1">
        <f t="array" ref="BB42">SUMPRODUCT((Y$2:Y$1000="PS")*ISNUMBER(SEARCH(LOWER(BA42),LOWER(AA$2:AA$1000)))*ISNUMBER(SEARCH("selection",LOWER(Z$2:Z$1000))))</f>
        <v>2</v>
      </c>
      <c r="BF42">
        <v>2018</v>
      </c>
      <c r="BG42" s="35" cm="1">
        <f t="array" ref="BG42">SUMPRODUCT((Y$2:Y$1000="PS")*(F$2:F$1000=BF42)*ISNUMBER(SEARCH("selection",LOWER(Z$2:Z$1000)))*ISNUMBER(SEARCH("integer",LOWER(AA$2:AA$1000))))</f>
        <v>0</v>
      </c>
      <c r="BH42" cm="1">
        <f t="array" ref="BH42">SUMPRODUCT((Y$2:Y$1000="PS")*(F$2:F$1000=BF42)*ISNUMBER(SEARCH("selection",LOWER(Z$2:Z$1000)))*ISNUMBER(SEARCH("data-flow",LOWER(AA$2:AA$1000))))</f>
        <v>0</v>
      </c>
      <c r="BI42" cm="1">
        <f t="array" ref="BI42">SUMPRODUCT((Y$2:Y$1000="PS")*(F$2:F$1000=BF42)*ISNUMBER(SEARCH("selection",LOWER(Z$2:Z$1000)))*ISNUMBER(SEARCH("symbolic",LOWER(AA$2:AA$1000))))</f>
        <v>0</v>
      </c>
      <c r="BJ42" cm="1">
        <f t="array" ref="BJ42">SUMPRODUCT((Y$2:Y$1000="PS")*(F$2:F$1000=BF42)*ISNUMBER(SEARCH("selection",LOWER(Z$2:Z$1000)))*ISNUMBER(SEARCH("dynamyc",LOWER(AA$2:AA$1000))))</f>
        <v>0</v>
      </c>
      <c r="BK42" cm="1">
        <f t="array" ref="BK42">SUMPRODUCT((Y$2:Y$1000="PS")*(F$2:F$1000=BF42)*ISNUMBER(SEARCH("selection",LOWER(Z$2:Z$1000)))*ISNUMBER(SEARCH("graph",LOWER(AA$2:AA$1000))))</f>
        <v>1</v>
      </c>
      <c r="BL42" cm="1">
        <f t="array" ref="BL42">SUMPRODUCT((Y$2:Y$1000="PS")*(F$2:F$1000=BF42)*ISNUMBER(SEARCH("selection",LOWER(Z$2:Z$1000)))*ISNUMBER(SEARCH("textual",LOWER(AA$2:AA$1000))))</f>
        <v>0</v>
      </c>
      <c r="BM42" cm="1">
        <f t="array" ref="BM42">SUMPRODUCT((Y$2:Y$1000="PS")*(F$2:F$1000=BF42)*ISNUMBER(SEARCH("selection",LOWER(Z$2:Z$1000)))*ISNUMBER(SEARCH("sdg",LOWER(AA$2:AA$1000))))</f>
        <v>0</v>
      </c>
      <c r="BN42" cm="1">
        <f t="array" ref="BN42">SUMPRODUCT((Y$2:Y$1000="PS")*(F$2:F$1000=BF42)*ISNUMBER(SEARCH("selection",LOWER(Z$2:Z$1000)))*ISNUMBER(SEARCH("path",LOWER(AA$2:AA$1000))))</f>
        <v>0</v>
      </c>
      <c r="BO42" cm="1">
        <f t="array" ref="BO42">SUMPRODUCT((Y$2:Y$1000="PS")*(F$2:F$1000=BF42)*ISNUMBER(SEARCH("selection",LOWER(Z$2:Z$1000)))*ISNUMBER(SEARCH("mod",LOWER(AA$2:AA$1000))))</f>
        <v>0</v>
      </c>
      <c r="BP42" cm="1">
        <f t="array" ref="BP42">SUMPRODUCT((Y$2:Y$1000="PS")*(F$2:F$1000=BF42)*ISNUMBER(SEARCH("selection",LOWER(Z$2:Z$1000)))*ISNUMBER(SEARCH("firewall",LOWER(AA$2:AA$1000))))</f>
        <v>0</v>
      </c>
      <c r="BQ42" cm="1">
        <f t="array" ref="BQ42">SUMPRODUCT((Y$2:Y$1000="PS")*(F$2:F$1000=BF42)*ISNUMBER(SEARCH("selection",LOWER(Z$2:Z$1000)))*ISNUMBER(SEARCH("cluster",LOWER(AA$2:AA$1000))))</f>
        <v>0</v>
      </c>
      <c r="BR42" cm="1">
        <f t="array" ref="BR42">SUMPRODUCT((Y$2:Y$1000="PS")*(F$2:F$1000=BF42)*ISNUMBER(SEARCH("selection",LOWER(Z$2:Z$1000)))*ISNUMBER(SEARCH("design",LOWER(AA$2:AA$1000))))</f>
        <v>0</v>
      </c>
      <c r="BS42" cm="1">
        <f t="array" ref="BS42">SUMPRODUCT((Y$2:Y$1000="PS")*(F$2:F$1000=BF42)*ISNUMBER(SEARCH("selection",LOWER(Z$2:Z$1000)))*ISNUMBER(SEARCH("hybrid",LOWER(AA$2:AA$1000))))</f>
        <v>1</v>
      </c>
      <c r="BT42" cm="1">
        <f t="array" ref="BT42">SUMPRODUCT((Y$2:Y$1000="PS")*(F$2:F$1000=BF42)*ISNUMBER(SEARCH("selection",LOWER(Z$2:Z$1000)))*ISNUMBER(SEARCH("selection",LOWER(AA$2:AA$1000))))</f>
        <v>0</v>
      </c>
      <c r="BU42" cm="1">
        <f t="array" ref="BU42">SUMPRODUCT((Y$2:Y$1000="PS")*(F$2:F$1000=BF42)*ISNUMBER(SEARCH("selection",LOWER(Z$2:Z$1000)))*ISNUMBER(SEARCH("detection",LOWER(AA$2:AA$1000))))</f>
        <v>0</v>
      </c>
      <c r="BV42" cm="1">
        <f t="array" ref="BV42">SUMPRODUCT((Y$2:Y$1000="PS")*(F$2:F$1000=BF42)*ISNUMBER(SEARCH("selection",LOWER(Z$2:Z$1000)))*ISNUMBER(SEARCH("coverage",LOWER(AA$2:AA$1000))))</f>
        <v>1</v>
      </c>
      <c r="BW42" cm="1">
        <f t="array" ref="BW42">SUMPRODUCT((Y$2:Y$1000="PS")*(F$2:F$1000=BF42)*ISNUMBER(SEARCH("selection",LOWER(Z$2:Z$1000)))*ISNUMBER(SEARCH("change",LOWER(AA$2:AA$1000))))</f>
        <v>1</v>
      </c>
      <c r="BX42" cm="1">
        <f t="array" ref="BX42">SUMPRODUCT((Y$2:Y$1000="PS")*(F$2:F$1000=BF42)*ISNUMBER(SEARCH("selection",LOWER(Z$2:Z$1000)))*ISNUMBER(SEARCH("model",LOWER(AA$2:AA$1000))))</f>
        <v>0</v>
      </c>
      <c r="BY42" cm="1">
        <f t="array" ref="BY42">SUMPRODUCT((Y$2:Y$1000="PS")*(F$2:F$1000=BF42)*ISNUMBER(SEARCH("selection",LOWER(Z$2:Z$1000)))*ISNUMBER(SEARCH("hystory",LOWER(AA$2:AA$1000))))</f>
        <v>0</v>
      </c>
      <c r="BZ42" cm="1">
        <f t="array" ref="BZ42">SUMPRODUCT((Y$2:Y$1000="PS")*(F$2:F$1000=BF42)*ISNUMBER(SEARCH("selection",LOWER(Z$2:Z$1000)))*ISNUMBER(SEARCH("cost-aware",LOWER(AA$2:AA$1000))))</f>
        <v>0</v>
      </c>
      <c r="CA42" cm="1">
        <f t="array" ref="CA42">SUMPRODUCT((Y$2:Y$1000="PS")*(F$2:F$1000=BF42)*ISNUMBER(SEARCH("selection",LOWER(Z$2:Z$1000)))*ISNUMBER(SEARCH("similarity",LOWER(AA$2:AA$1000))))</f>
        <v>0</v>
      </c>
      <c r="CB42" s="35" cm="1">
        <f t="array" ref="CB42">SUMPRODUCT((Y$2:Y$1000="PS")*(F$2:F$1000=BF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2</v>
      </c>
    </row>
    <row r="43" spans="1:80" ht="80" x14ac:dyDescent="0.2">
      <c r="C43" t="s">
        <v>551</v>
      </c>
      <c r="D43" t="s">
        <v>552</v>
      </c>
      <c r="E43" t="s">
        <v>553</v>
      </c>
      <c r="F43">
        <v>2023</v>
      </c>
      <c r="J43" t="s">
        <v>554</v>
      </c>
      <c r="Y43" t="s">
        <v>44</v>
      </c>
      <c r="Z43" s="6" t="s">
        <v>555</v>
      </c>
      <c r="AA43" s="16"/>
      <c r="AB43" s="16"/>
      <c r="AC43" s="16"/>
      <c r="AD43" s="16"/>
      <c r="AE43" s="16"/>
      <c r="AF43" s="16"/>
      <c r="AG43" s="16"/>
      <c r="AH43" s="16"/>
      <c r="AK43">
        <f t="shared" si="6"/>
        <v>0</v>
      </c>
      <c r="AL43">
        <f t="shared" si="0"/>
        <v>0</v>
      </c>
      <c r="AM43">
        <f t="shared" si="1"/>
        <v>0</v>
      </c>
      <c r="AN43">
        <f t="shared" si="2"/>
        <v>0</v>
      </c>
      <c r="BA43" t="s">
        <v>1351</v>
      </c>
      <c r="BB43" s="35" cm="1">
        <f t="array" ref="BB43">SUMPRODUCT((Y$2:Y$1000="PS")*ISNUMBER(SEARCH(LOWER(BA43),LOWER(AA$2:AA$1000)))*ISNUMBER(SEARCH("selection",LOWER(Z$2:Z$1000))))</f>
        <v>3</v>
      </c>
      <c r="BF43">
        <v>2019</v>
      </c>
      <c r="BG43" s="35" cm="1">
        <f t="array" ref="BG43">SUMPRODUCT((Y$2:Y$1000="PS")*(F$2:F$1000=BF43)*ISNUMBER(SEARCH("selection",LOWER(Z$2:Z$1000)))*ISNUMBER(SEARCH("integer",LOWER(AA$2:AA$1000))))</f>
        <v>0</v>
      </c>
      <c r="BH43" cm="1">
        <f t="array" ref="BH43">SUMPRODUCT((Y$2:Y$1000="PS")*(F$2:F$1000=BF43)*ISNUMBER(SEARCH("selection",LOWER(Z$2:Z$1000)))*ISNUMBER(SEARCH("data-flow",LOWER(AA$2:AA$1000))))</f>
        <v>1</v>
      </c>
      <c r="BI43" cm="1">
        <f t="array" ref="BI43">SUMPRODUCT((Y$2:Y$1000="PS")*(F$2:F$1000=BF43)*ISNUMBER(SEARCH("selection",LOWER(Z$2:Z$1000)))*ISNUMBER(SEARCH("symbolic",LOWER(AA$2:AA$1000))))</f>
        <v>0</v>
      </c>
      <c r="BJ43" cm="1">
        <f t="array" ref="BJ43">SUMPRODUCT((Y$2:Y$1000="PS")*(F$2:F$1000=BF43)*ISNUMBER(SEARCH("selection",LOWER(Z$2:Z$1000)))*ISNUMBER(SEARCH("dynamyc",LOWER(AA$2:AA$1000))))</f>
        <v>0</v>
      </c>
      <c r="BK43" cm="1">
        <f t="array" ref="BK43">SUMPRODUCT((Y$2:Y$1000="PS")*(F$2:F$1000=BF43)*ISNUMBER(SEARCH("selection",LOWER(Z$2:Z$1000)))*ISNUMBER(SEARCH("graph",LOWER(AA$2:AA$1000))))</f>
        <v>0</v>
      </c>
      <c r="BL43" cm="1">
        <f t="array" ref="BL43">SUMPRODUCT((Y$2:Y$1000="PS")*(F$2:F$1000=BF43)*ISNUMBER(SEARCH("selection",LOWER(Z$2:Z$1000)))*ISNUMBER(SEARCH("textual",LOWER(AA$2:AA$1000))))</f>
        <v>0</v>
      </c>
      <c r="BM43" cm="1">
        <f t="array" ref="BM43">SUMPRODUCT((Y$2:Y$1000="PS")*(F$2:F$1000=BF43)*ISNUMBER(SEARCH("selection",LOWER(Z$2:Z$1000)))*ISNUMBER(SEARCH("sdg",LOWER(AA$2:AA$1000))))</f>
        <v>0</v>
      </c>
      <c r="BN43" cm="1">
        <f t="array" ref="BN43">SUMPRODUCT((Y$2:Y$1000="PS")*(F$2:F$1000=BF43)*ISNUMBER(SEARCH("selection",LOWER(Z$2:Z$1000)))*ISNUMBER(SEARCH("path",LOWER(AA$2:AA$1000))))</f>
        <v>0</v>
      </c>
      <c r="BO43" cm="1">
        <f t="array" ref="BO43">SUMPRODUCT((Y$2:Y$1000="PS")*(F$2:F$1000=BF43)*ISNUMBER(SEARCH("selection",LOWER(Z$2:Z$1000)))*ISNUMBER(SEARCH("mod",LOWER(AA$2:AA$1000))))</f>
        <v>0</v>
      </c>
      <c r="BP43" cm="1">
        <f t="array" ref="BP43">SUMPRODUCT((Y$2:Y$1000="PS")*(F$2:F$1000=BF43)*ISNUMBER(SEARCH("selection",LOWER(Z$2:Z$1000)))*ISNUMBER(SEARCH("firewall",LOWER(AA$2:AA$1000))))</f>
        <v>0</v>
      </c>
      <c r="BQ43" cm="1">
        <f t="array" ref="BQ43">SUMPRODUCT((Y$2:Y$1000="PS")*(F$2:F$1000=BF43)*ISNUMBER(SEARCH("selection",LOWER(Z$2:Z$1000)))*ISNUMBER(SEARCH("cluster",LOWER(AA$2:AA$1000))))</f>
        <v>0</v>
      </c>
      <c r="BR43" cm="1">
        <f t="array" ref="BR43">SUMPRODUCT((Y$2:Y$1000="PS")*(F$2:F$1000=BF43)*ISNUMBER(SEARCH("selection",LOWER(Z$2:Z$1000)))*ISNUMBER(SEARCH("design",LOWER(AA$2:AA$1000))))</f>
        <v>0</v>
      </c>
      <c r="BS43" cm="1">
        <f t="array" ref="BS43">SUMPRODUCT((Y$2:Y$1000="PS")*(F$2:F$1000=BF43)*ISNUMBER(SEARCH("selection",LOWER(Z$2:Z$1000)))*ISNUMBER(SEARCH("hybrid",LOWER(AA$2:AA$1000))))</f>
        <v>0</v>
      </c>
      <c r="BT43" cm="1">
        <f t="array" ref="BT43">SUMPRODUCT((Y$2:Y$1000="PS")*(F$2:F$1000=BF43)*ISNUMBER(SEARCH("selection",LOWER(Z$2:Z$1000)))*ISNUMBER(SEARCH("selection",LOWER(AA$2:AA$1000))))</f>
        <v>0</v>
      </c>
      <c r="BU43" cm="1">
        <f t="array" ref="BU43">SUMPRODUCT((Y$2:Y$1000="PS")*(F$2:F$1000=BF43)*ISNUMBER(SEARCH("selection",LOWER(Z$2:Z$1000)))*ISNUMBER(SEARCH("detection",LOWER(AA$2:AA$1000))))</f>
        <v>0</v>
      </c>
      <c r="BV43" cm="1">
        <f t="array" ref="BV43">SUMPRODUCT((Y$2:Y$1000="PS")*(F$2:F$1000=BF43)*ISNUMBER(SEARCH("selection",LOWER(Z$2:Z$1000)))*ISNUMBER(SEARCH("coverage",LOWER(AA$2:AA$1000))))</f>
        <v>0</v>
      </c>
      <c r="BW43" cm="1">
        <f t="array" ref="BW43">SUMPRODUCT((Y$2:Y$1000="PS")*(F$2:F$1000=BF43)*ISNUMBER(SEARCH("selection",LOWER(Z$2:Z$1000)))*ISNUMBER(SEARCH("change",LOWER(AA$2:AA$1000))))</f>
        <v>0</v>
      </c>
      <c r="BX43" cm="1">
        <f t="array" ref="BX43">SUMPRODUCT((Y$2:Y$1000="PS")*(F$2:F$1000=BF43)*ISNUMBER(SEARCH("selection",LOWER(Z$2:Z$1000)))*ISNUMBER(SEARCH("model",LOWER(AA$2:AA$1000))))</f>
        <v>0</v>
      </c>
      <c r="BY43" cm="1">
        <f t="array" ref="BY43">SUMPRODUCT((Y$2:Y$1000="PS")*(F$2:F$1000=BF43)*ISNUMBER(SEARCH("selection",LOWER(Z$2:Z$1000)))*ISNUMBER(SEARCH("hystory",LOWER(AA$2:AA$1000))))</f>
        <v>0</v>
      </c>
      <c r="BZ43" cm="1">
        <f t="array" ref="BZ43">SUMPRODUCT((Y$2:Y$1000="PS")*(F$2:F$1000=BF43)*ISNUMBER(SEARCH("selection",LOWER(Z$2:Z$1000)))*ISNUMBER(SEARCH("cost-aware",LOWER(AA$2:AA$1000))))</f>
        <v>0</v>
      </c>
      <c r="CA43" cm="1">
        <f t="array" ref="CA43">SUMPRODUCT((Y$2:Y$1000="PS")*(F$2:F$1000=BF43)*ISNUMBER(SEARCH("selection",LOWER(Z$2:Z$1000)))*ISNUMBER(SEARCH("similarity",LOWER(AA$2:AA$1000))))</f>
        <v>0</v>
      </c>
      <c r="CB43" s="35" cm="1">
        <f t="array" ref="CB43">SUMPRODUCT((Y$2:Y$1000="PS")*(F$2:F$1000=BF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44" spans="1:80" ht="112" x14ac:dyDescent="0.2">
      <c r="C44" t="s">
        <v>556</v>
      </c>
      <c r="D44" t="s">
        <v>557</v>
      </c>
      <c r="E44" t="s">
        <v>558</v>
      </c>
      <c r="F44">
        <v>2024</v>
      </c>
      <c r="J44" t="s">
        <v>559</v>
      </c>
      <c r="Y44" t="s">
        <v>58</v>
      </c>
      <c r="Z44" s="6" t="s">
        <v>560</v>
      </c>
      <c r="AA44" s="7" t="s">
        <v>561</v>
      </c>
      <c r="AB44" s="7" t="s">
        <v>562</v>
      </c>
      <c r="AC44" s="7"/>
      <c r="AD44" s="7" t="s">
        <v>563</v>
      </c>
      <c r="AE44" s="6" t="s">
        <v>564</v>
      </c>
      <c r="AF44" s="7" t="s">
        <v>565</v>
      </c>
      <c r="AG44" s="7" t="s">
        <v>566</v>
      </c>
      <c r="AH44" s="7">
        <v>1</v>
      </c>
      <c r="AK44">
        <f t="shared" si="6"/>
        <v>1</v>
      </c>
      <c r="AL44">
        <f t="shared" si="0"/>
        <v>0</v>
      </c>
      <c r="AM44">
        <f t="shared" si="1"/>
        <v>0</v>
      </c>
      <c r="AN44">
        <f t="shared" si="2"/>
        <v>1</v>
      </c>
      <c r="BA44" t="s">
        <v>1350</v>
      </c>
      <c r="BB44" s="35" cm="1">
        <f t="array" ref="BB44">SUMPRODUCT((Y$2:Y$1000="PS")*ISNUMBER(SEARCH(LOWER(BA44),LOWER(AA$2:AA$1000)))*ISNUMBER(SEARCH("selection",LOWER(Z$2:Z$1000))))</f>
        <v>2</v>
      </c>
      <c r="BF44">
        <v>2020</v>
      </c>
      <c r="BG44" s="35" cm="1">
        <f t="array" ref="BG44">SUMPRODUCT((Y$2:Y$1000="PS")*(F$2:F$1000=BF44)*ISNUMBER(SEARCH("selection",LOWER(Z$2:Z$1000)))*ISNUMBER(SEARCH("integer",LOWER(AA$2:AA$1000))))</f>
        <v>0</v>
      </c>
      <c r="BH44" cm="1">
        <f t="array" ref="BH44">SUMPRODUCT((Y$2:Y$1000="PS")*(F$2:F$1000=BF44)*ISNUMBER(SEARCH("selection",LOWER(Z$2:Z$1000)))*ISNUMBER(SEARCH("data-flow",LOWER(AA$2:AA$1000))))</f>
        <v>0</v>
      </c>
      <c r="BI44" cm="1">
        <f t="array" ref="BI44">SUMPRODUCT((Y$2:Y$1000="PS")*(F$2:F$1000=BF44)*ISNUMBER(SEARCH("selection",LOWER(Z$2:Z$1000)))*ISNUMBER(SEARCH("symbolic",LOWER(AA$2:AA$1000))))</f>
        <v>0</v>
      </c>
      <c r="BJ44" cm="1">
        <f t="array" ref="BJ44">SUMPRODUCT((Y$2:Y$1000="PS")*(F$2:F$1000=BF44)*ISNUMBER(SEARCH("selection",LOWER(Z$2:Z$1000)))*ISNUMBER(SEARCH("dynamyc",LOWER(AA$2:AA$1000))))</f>
        <v>0</v>
      </c>
      <c r="BK44" cm="1">
        <f t="array" ref="BK44">SUMPRODUCT((Y$2:Y$1000="PS")*(F$2:F$1000=BF44)*ISNUMBER(SEARCH("selection",LOWER(Z$2:Z$1000)))*ISNUMBER(SEARCH("graph",LOWER(AA$2:AA$1000))))</f>
        <v>0</v>
      </c>
      <c r="BL44" cm="1">
        <f t="array" ref="BL44">SUMPRODUCT((Y$2:Y$1000="PS")*(F$2:F$1000=BF44)*ISNUMBER(SEARCH("selection",LOWER(Z$2:Z$1000)))*ISNUMBER(SEARCH("textual",LOWER(AA$2:AA$1000))))</f>
        <v>0</v>
      </c>
      <c r="BM44" cm="1">
        <f t="array" ref="BM44">SUMPRODUCT((Y$2:Y$1000="PS")*(F$2:F$1000=BF44)*ISNUMBER(SEARCH("selection",LOWER(Z$2:Z$1000)))*ISNUMBER(SEARCH("sdg",LOWER(AA$2:AA$1000))))</f>
        <v>0</v>
      </c>
      <c r="BN44" cm="1">
        <f t="array" ref="BN44">SUMPRODUCT((Y$2:Y$1000="PS")*(F$2:F$1000=BF44)*ISNUMBER(SEARCH("selection",LOWER(Z$2:Z$1000)))*ISNUMBER(SEARCH("path",LOWER(AA$2:AA$1000))))</f>
        <v>0</v>
      </c>
      <c r="BO44" cm="1">
        <f t="array" ref="BO44">SUMPRODUCT((Y$2:Y$1000="PS")*(F$2:F$1000=BF44)*ISNUMBER(SEARCH("selection",LOWER(Z$2:Z$1000)))*ISNUMBER(SEARCH("mod",LOWER(AA$2:AA$1000))))</f>
        <v>0</v>
      </c>
      <c r="BP44" cm="1">
        <f t="array" ref="BP44">SUMPRODUCT((Y$2:Y$1000="PS")*(F$2:F$1000=BF44)*ISNUMBER(SEARCH("selection",LOWER(Z$2:Z$1000)))*ISNUMBER(SEARCH("firewall",LOWER(AA$2:AA$1000))))</f>
        <v>0</v>
      </c>
      <c r="BQ44" cm="1">
        <f t="array" ref="BQ44">SUMPRODUCT((Y$2:Y$1000="PS")*(F$2:F$1000=BF44)*ISNUMBER(SEARCH("selection",LOWER(Z$2:Z$1000)))*ISNUMBER(SEARCH("cluster",LOWER(AA$2:AA$1000))))</f>
        <v>0</v>
      </c>
      <c r="BR44" cm="1">
        <f t="array" ref="BR44">SUMPRODUCT((Y$2:Y$1000="PS")*(F$2:F$1000=BF44)*ISNUMBER(SEARCH("selection",LOWER(Z$2:Z$1000)))*ISNUMBER(SEARCH("design",LOWER(AA$2:AA$1000))))</f>
        <v>1</v>
      </c>
      <c r="BS44" cm="1">
        <f t="array" ref="BS44">SUMPRODUCT((Y$2:Y$1000="PS")*(F$2:F$1000=BF44)*ISNUMBER(SEARCH("selection",LOWER(Z$2:Z$1000)))*ISNUMBER(SEARCH("hybrid",LOWER(AA$2:AA$1000))))</f>
        <v>0</v>
      </c>
      <c r="BT44" cm="1">
        <f t="array" ref="BT44">SUMPRODUCT((Y$2:Y$1000="PS")*(F$2:F$1000=BF44)*ISNUMBER(SEARCH("selection",LOWER(Z$2:Z$1000)))*ISNUMBER(SEARCH("selection",LOWER(AA$2:AA$1000))))</f>
        <v>0</v>
      </c>
      <c r="BU44" cm="1">
        <f t="array" ref="BU44">SUMPRODUCT((Y$2:Y$1000="PS")*(F$2:F$1000=BF44)*ISNUMBER(SEARCH("selection",LOWER(Z$2:Z$1000)))*ISNUMBER(SEARCH("detection",LOWER(AA$2:AA$1000))))</f>
        <v>0</v>
      </c>
      <c r="BV44" cm="1">
        <f t="array" ref="BV44">SUMPRODUCT((Y$2:Y$1000="PS")*(F$2:F$1000=BF44)*ISNUMBER(SEARCH("selection",LOWER(Z$2:Z$1000)))*ISNUMBER(SEARCH("coverage",LOWER(AA$2:AA$1000))))</f>
        <v>0</v>
      </c>
      <c r="BW44" cm="1">
        <f t="array" ref="BW44">SUMPRODUCT((Y$2:Y$1000="PS")*(F$2:F$1000=BF44)*ISNUMBER(SEARCH("selection",LOWER(Z$2:Z$1000)))*ISNUMBER(SEARCH("change",LOWER(AA$2:AA$1000))))</f>
        <v>1</v>
      </c>
      <c r="BX44" cm="1">
        <f t="array" ref="BX44">SUMPRODUCT((Y$2:Y$1000="PS")*(F$2:F$1000=BF44)*ISNUMBER(SEARCH("selection",LOWER(Z$2:Z$1000)))*ISNUMBER(SEARCH("model",LOWER(AA$2:AA$1000))))</f>
        <v>0</v>
      </c>
      <c r="BY44" cm="1">
        <f t="array" ref="BY44">SUMPRODUCT((Y$2:Y$1000="PS")*(F$2:F$1000=BF44)*ISNUMBER(SEARCH("selection",LOWER(Z$2:Z$1000)))*ISNUMBER(SEARCH("hystory",LOWER(AA$2:AA$1000))))</f>
        <v>0</v>
      </c>
      <c r="BZ44" cm="1">
        <f t="array" ref="BZ44">SUMPRODUCT((Y$2:Y$1000="PS")*(F$2:F$1000=BF44)*ISNUMBER(SEARCH("selection",LOWER(Z$2:Z$1000)))*ISNUMBER(SEARCH("cost-aware",LOWER(AA$2:AA$1000))))</f>
        <v>1</v>
      </c>
      <c r="CA44" cm="1">
        <f t="array" ref="CA44">SUMPRODUCT((Y$2:Y$1000="PS")*(F$2:F$1000=BF44)*ISNUMBER(SEARCH("selection",LOWER(Z$2:Z$1000)))*ISNUMBER(SEARCH("similarity",LOWER(AA$2:AA$1000))))</f>
        <v>1</v>
      </c>
      <c r="CB44" s="35" cm="1">
        <f t="array" ref="CB44">SUMPRODUCT((Y$2:Y$1000="PS")*(F$2:F$1000=BF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45" spans="1:80" ht="192" x14ac:dyDescent="0.2">
      <c r="C45" t="s">
        <v>567</v>
      </c>
      <c r="D45" t="s">
        <v>568</v>
      </c>
      <c r="E45" t="s">
        <v>569</v>
      </c>
      <c r="F45">
        <v>2022</v>
      </c>
      <c r="J45" t="s">
        <v>570</v>
      </c>
      <c r="Y45" t="s">
        <v>58</v>
      </c>
      <c r="Z45" s="6" t="s">
        <v>571</v>
      </c>
      <c r="AA45" s="7" t="s">
        <v>572</v>
      </c>
      <c r="AB45" s="7" t="s">
        <v>573</v>
      </c>
      <c r="AC45" s="8"/>
      <c r="AD45" s="7" t="s">
        <v>574</v>
      </c>
      <c r="AE45" s="6" t="s">
        <v>575</v>
      </c>
      <c r="AF45" s="7" t="s">
        <v>576</v>
      </c>
      <c r="AG45" s="7" t="s">
        <v>577</v>
      </c>
      <c r="AH45" s="6" t="s">
        <v>578</v>
      </c>
      <c r="AK45">
        <f t="shared" si="6"/>
        <v>1</v>
      </c>
      <c r="AL45">
        <f t="shared" si="0"/>
        <v>0</v>
      </c>
      <c r="AM45">
        <f t="shared" si="1"/>
        <v>0</v>
      </c>
      <c r="AN45">
        <f t="shared" si="2"/>
        <v>1</v>
      </c>
      <c r="BA45" t="s">
        <v>1352</v>
      </c>
      <c r="BB45" s="35" cm="1">
        <f t="array" ref="BB45">SUMPRODUCT((Y$2:Y$1000="PS")*ISNUMBER(SEARCH(LOWER(BA45),LOWER(AA$2:AA$1000)))*ISNUMBER(SEARCH("selection",LOWER(Z$2:Z$1000))))</f>
        <v>2</v>
      </c>
      <c r="BF45">
        <v>2021</v>
      </c>
      <c r="BG45" s="35" cm="1">
        <f t="array" ref="BG45">SUMPRODUCT((Y$2:Y$1000="PS")*(F$2:F$1000=BF45)*ISNUMBER(SEARCH("selection",LOWER(Z$2:Z$1000)))*ISNUMBER(SEARCH("integer",LOWER(AA$2:AA$1000))))</f>
        <v>0</v>
      </c>
      <c r="BH45" cm="1">
        <f t="array" ref="BH45">SUMPRODUCT((Y$2:Y$1000="PS")*(F$2:F$1000=BF45)*ISNUMBER(SEARCH("selection",LOWER(Z$2:Z$1000)))*ISNUMBER(SEARCH("data-flow",LOWER(AA$2:AA$1000))))</f>
        <v>0</v>
      </c>
      <c r="BI45" cm="1">
        <f t="array" ref="BI45">SUMPRODUCT((Y$2:Y$1000="PS")*(F$2:F$1000=BF45)*ISNUMBER(SEARCH("selection",LOWER(Z$2:Z$1000)))*ISNUMBER(SEARCH("symbolic",LOWER(AA$2:AA$1000))))</f>
        <v>0</v>
      </c>
      <c r="BJ45" cm="1">
        <f t="array" ref="BJ45">SUMPRODUCT((Y$2:Y$1000="PS")*(F$2:F$1000=BF45)*ISNUMBER(SEARCH("selection",LOWER(Z$2:Z$1000)))*ISNUMBER(SEARCH("dynamyc",LOWER(AA$2:AA$1000))))</f>
        <v>0</v>
      </c>
      <c r="BK45" cm="1">
        <f t="array" ref="BK45">SUMPRODUCT((Y$2:Y$1000="PS")*(F$2:F$1000=BF45)*ISNUMBER(SEARCH("selection",LOWER(Z$2:Z$1000)))*ISNUMBER(SEARCH("graph",LOWER(AA$2:AA$1000))))</f>
        <v>0</v>
      </c>
      <c r="BL45" cm="1">
        <f t="array" ref="BL45">SUMPRODUCT((Y$2:Y$1000="PS")*(F$2:F$1000=BF45)*ISNUMBER(SEARCH("selection",LOWER(Z$2:Z$1000)))*ISNUMBER(SEARCH("textual",LOWER(AA$2:AA$1000))))</f>
        <v>0</v>
      </c>
      <c r="BM45" cm="1">
        <f t="array" ref="BM45">SUMPRODUCT((Y$2:Y$1000="PS")*(F$2:F$1000=BF45)*ISNUMBER(SEARCH("selection",LOWER(Z$2:Z$1000)))*ISNUMBER(SEARCH("sdg",LOWER(AA$2:AA$1000))))</f>
        <v>0</v>
      </c>
      <c r="BN45" cm="1">
        <f t="array" ref="BN45">SUMPRODUCT((Y$2:Y$1000="PS")*(F$2:F$1000=BF45)*ISNUMBER(SEARCH("selection",LOWER(Z$2:Z$1000)))*ISNUMBER(SEARCH("path",LOWER(AA$2:AA$1000))))</f>
        <v>0</v>
      </c>
      <c r="BO45" cm="1">
        <f t="array" ref="BO45">SUMPRODUCT((Y$2:Y$1000="PS")*(F$2:F$1000=BF45)*ISNUMBER(SEARCH("selection",LOWER(Z$2:Z$1000)))*ISNUMBER(SEARCH("mod",LOWER(AA$2:AA$1000))))</f>
        <v>0</v>
      </c>
      <c r="BP45" cm="1">
        <f t="array" ref="BP45">SUMPRODUCT((Y$2:Y$1000="PS")*(F$2:F$1000=BF45)*ISNUMBER(SEARCH("selection",LOWER(Z$2:Z$1000)))*ISNUMBER(SEARCH("firewall",LOWER(AA$2:AA$1000))))</f>
        <v>0</v>
      </c>
      <c r="BQ45" cm="1">
        <f t="array" ref="BQ45">SUMPRODUCT((Y$2:Y$1000="PS")*(F$2:F$1000=BF45)*ISNUMBER(SEARCH("selection",LOWER(Z$2:Z$1000)))*ISNUMBER(SEARCH("cluster",LOWER(AA$2:AA$1000))))</f>
        <v>0</v>
      </c>
      <c r="BR45" cm="1">
        <f t="array" ref="BR45">SUMPRODUCT((Y$2:Y$1000="PS")*(F$2:F$1000=BF45)*ISNUMBER(SEARCH("selection",LOWER(Z$2:Z$1000)))*ISNUMBER(SEARCH("design",LOWER(AA$2:AA$1000))))</f>
        <v>0</v>
      </c>
      <c r="BS45" cm="1">
        <f t="array" ref="BS45">SUMPRODUCT((Y$2:Y$1000="PS")*(F$2:F$1000=BF45)*ISNUMBER(SEARCH("selection",LOWER(Z$2:Z$1000)))*ISNUMBER(SEARCH("hybrid",LOWER(AA$2:AA$1000))))</f>
        <v>0</v>
      </c>
      <c r="BT45" cm="1">
        <f t="array" ref="BT45">SUMPRODUCT((Y$2:Y$1000="PS")*(F$2:F$1000=BF45)*ISNUMBER(SEARCH("selection",LOWER(Z$2:Z$1000)))*ISNUMBER(SEARCH("selection",LOWER(AA$2:AA$1000))))</f>
        <v>0</v>
      </c>
      <c r="BU45" cm="1">
        <f t="array" ref="BU45">SUMPRODUCT((Y$2:Y$1000="PS")*(F$2:F$1000=BF45)*ISNUMBER(SEARCH("selection",LOWER(Z$2:Z$1000)))*ISNUMBER(SEARCH("detection",LOWER(AA$2:AA$1000))))</f>
        <v>0</v>
      </c>
      <c r="BV45" cm="1">
        <f t="array" ref="BV45">SUMPRODUCT((Y$2:Y$1000="PS")*(F$2:F$1000=BF45)*ISNUMBER(SEARCH("selection",LOWER(Z$2:Z$1000)))*ISNUMBER(SEARCH("coverage",LOWER(AA$2:AA$1000))))</f>
        <v>1</v>
      </c>
      <c r="BW45" cm="1">
        <f t="array" ref="BW45">SUMPRODUCT((Y$2:Y$1000="PS")*(F$2:F$1000=BF45)*ISNUMBER(SEARCH("selection",LOWER(Z$2:Z$1000)))*ISNUMBER(SEARCH("change",LOWER(AA$2:AA$1000))))</f>
        <v>0</v>
      </c>
      <c r="BX45" cm="1">
        <f t="array" ref="BX45">SUMPRODUCT((Y$2:Y$1000="PS")*(F$2:F$1000=BF45)*ISNUMBER(SEARCH("selection",LOWER(Z$2:Z$1000)))*ISNUMBER(SEARCH("model",LOWER(AA$2:AA$1000))))</f>
        <v>0</v>
      </c>
      <c r="BY45" cm="1">
        <f t="array" ref="BY45">SUMPRODUCT((Y$2:Y$1000="PS")*(F$2:F$1000=BF45)*ISNUMBER(SEARCH("selection",LOWER(Z$2:Z$1000)))*ISNUMBER(SEARCH("hystory",LOWER(AA$2:AA$1000))))</f>
        <v>0</v>
      </c>
      <c r="BZ45" cm="1">
        <f t="array" ref="BZ45">SUMPRODUCT((Y$2:Y$1000="PS")*(F$2:F$1000=BF45)*ISNUMBER(SEARCH("selection",LOWER(Z$2:Z$1000)))*ISNUMBER(SEARCH("cost-aware",LOWER(AA$2:AA$1000))))</f>
        <v>0</v>
      </c>
      <c r="CA45" cm="1">
        <f t="array" ref="CA45">SUMPRODUCT((Y$2:Y$1000="PS")*(F$2:F$1000=BF45)*ISNUMBER(SEARCH("selection",LOWER(Z$2:Z$1000)))*ISNUMBER(SEARCH("similarity",LOWER(AA$2:AA$1000))))</f>
        <v>0</v>
      </c>
      <c r="CB45" s="35" cm="1">
        <f t="array" ref="CB45">SUMPRODUCT((Y$2:Y$1000="PS")*(F$2:F$1000=BF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46" spans="1:80" ht="80" x14ac:dyDescent="0.2">
      <c r="C46" t="s">
        <v>579</v>
      </c>
      <c r="D46" t="s">
        <v>580</v>
      </c>
      <c r="E46" t="s">
        <v>581</v>
      </c>
      <c r="F46">
        <v>2021</v>
      </c>
      <c r="J46" t="s">
        <v>582</v>
      </c>
      <c r="Y46" t="s">
        <v>77</v>
      </c>
      <c r="Z46" s="6" t="s">
        <v>583</v>
      </c>
      <c r="AA46" s="17"/>
      <c r="AB46" s="17"/>
      <c r="AC46" s="17"/>
      <c r="AD46" s="17"/>
      <c r="AE46" s="17"/>
      <c r="AF46" s="17"/>
      <c r="AG46" s="17"/>
      <c r="AH46" s="17"/>
      <c r="AK46">
        <f t="shared" si="6"/>
        <v>0</v>
      </c>
      <c r="AL46">
        <f t="shared" si="0"/>
        <v>0</v>
      </c>
      <c r="AM46">
        <f t="shared" si="1"/>
        <v>0</v>
      </c>
      <c r="AN46">
        <f t="shared" si="2"/>
        <v>0</v>
      </c>
      <c r="BA46" t="s">
        <v>1353</v>
      </c>
      <c r="BB46" s="35" cm="1">
        <f t="array" ref="BB46">SUMPRODUCT((Y$2:Y$1000="PS")*ISNUMBER(SEARCH(LOWER(BA46),LOWER(AA$2:AA$1000)))*ISNUMBER(SEARCH("selection",LOWER(Z$2:Z$1000))))</f>
        <v>2</v>
      </c>
      <c r="BF46">
        <v>2022</v>
      </c>
      <c r="BG46" s="35" cm="1">
        <f t="array" ref="BG46">SUMPRODUCT((Y$2:Y$1000="PS")*(F$2:F$1000=BF46)*ISNUMBER(SEARCH("selection",LOWER(Z$2:Z$1000)))*ISNUMBER(SEARCH("integer",LOWER(AA$2:AA$1000))))</f>
        <v>0</v>
      </c>
      <c r="BH46" cm="1">
        <f t="array" ref="BH46">SUMPRODUCT((Y$2:Y$1000="PS")*(F$2:F$1000=BF46)*ISNUMBER(SEARCH("selection",LOWER(Z$2:Z$1000)))*ISNUMBER(SEARCH("data-flow",LOWER(AA$2:AA$1000))))</f>
        <v>0</v>
      </c>
      <c r="BI46" cm="1">
        <f t="array" ref="BI46">SUMPRODUCT((Y$2:Y$1000="PS")*(F$2:F$1000=BF46)*ISNUMBER(SEARCH("selection",LOWER(Z$2:Z$1000)))*ISNUMBER(SEARCH("symbolic",LOWER(AA$2:AA$1000))))</f>
        <v>0</v>
      </c>
      <c r="BJ46" cm="1">
        <f t="array" ref="BJ46">SUMPRODUCT((Y$2:Y$1000="PS")*(F$2:F$1000=BF46)*ISNUMBER(SEARCH("selection",LOWER(Z$2:Z$1000)))*ISNUMBER(SEARCH("dynamyc",LOWER(AA$2:AA$1000))))</f>
        <v>0</v>
      </c>
      <c r="BK46" cm="1">
        <f t="array" ref="BK46">SUMPRODUCT((Y$2:Y$1000="PS")*(F$2:F$1000=BF46)*ISNUMBER(SEARCH("selection",LOWER(Z$2:Z$1000)))*ISNUMBER(SEARCH("graph",LOWER(AA$2:AA$1000))))</f>
        <v>0</v>
      </c>
      <c r="BL46" cm="1">
        <f t="array" ref="BL46">SUMPRODUCT((Y$2:Y$1000="PS")*(F$2:F$1000=BF46)*ISNUMBER(SEARCH("selection",LOWER(Z$2:Z$1000)))*ISNUMBER(SEARCH("textual",LOWER(AA$2:AA$1000))))</f>
        <v>0</v>
      </c>
      <c r="BM46" cm="1">
        <f t="array" ref="BM46">SUMPRODUCT((Y$2:Y$1000="PS")*(F$2:F$1000=BF46)*ISNUMBER(SEARCH("selection",LOWER(Z$2:Z$1000)))*ISNUMBER(SEARCH("sdg",LOWER(AA$2:AA$1000))))</f>
        <v>0</v>
      </c>
      <c r="BN46" cm="1">
        <f t="array" ref="BN46">SUMPRODUCT((Y$2:Y$1000="PS")*(F$2:F$1000=BF46)*ISNUMBER(SEARCH("selection",LOWER(Z$2:Z$1000)))*ISNUMBER(SEARCH("path",LOWER(AA$2:AA$1000))))</f>
        <v>0</v>
      </c>
      <c r="BO46" cm="1">
        <f t="array" ref="BO46">SUMPRODUCT((Y$2:Y$1000="PS")*(F$2:F$1000=BF46)*ISNUMBER(SEARCH("selection",LOWER(Z$2:Z$1000)))*ISNUMBER(SEARCH("mod",LOWER(AA$2:AA$1000))))</f>
        <v>1</v>
      </c>
      <c r="BP46" cm="1">
        <f t="array" ref="BP46">SUMPRODUCT((Y$2:Y$1000="PS")*(F$2:F$1000=BF46)*ISNUMBER(SEARCH("selection",LOWER(Z$2:Z$1000)))*ISNUMBER(SEARCH("firewall",LOWER(AA$2:AA$1000))))</f>
        <v>0</v>
      </c>
      <c r="BQ46" cm="1">
        <f t="array" ref="BQ46">SUMPRODUCT((Y$2:Y$1000="PS")*(F$2:F$1000=BF46)*ISNUMBER(SEARCH("selection",LOWER(Z$2:Z$1000)))*ISNUMBER(SEARCH("cluster",LOWER(AA$2:AA$1000))))</f>
        <v>0</v>
      </c>
      <c r="BR46" cm="1">
        <f t="array" ref="BR46">SUMPRODUCT((Y$2:Y$1000="PS")*(F$2:F$1000=BF46)*ISNUMBER(SEARCH("selection",LOWER(Z$2:Z$1000)))*ISNUMBER(SEARCH("design",LOWER(AA$2:AA$1000))))</f>
        <v>0</v>
      </c>
      <c r="BS46" cm="1">
        <f t="array" ref="BS46">SUMPRODUCT((Y$2:Y$1000="PS")*(F$2:F$1000=BF46)*ISNUMBER(SEARCH("selection",LOWER(Z$2:Z$1000)))*ISNUMBER(SEARCH("hybrid",LOWER(AA$2:AA$1000))))</f>
        <v>0</v>
      </c>
      <c r="BT46" cm="1">
        <f t="array" ref="BT46">SUMPRODUCT((Y$2:Y$1000="PS")*(F$2:F$1000=BF46)*ISNUMBER(SEARCH("selection",LOWER(Z$2:Z$1000)))*ISNUMBER(SEARCH("selection",LOWER(AA$2:AA$1000))))</f>
        <v>0</v>
      </c>
      <c r="BU46" cm="1">
        <f t="array" ref="BU46">SUMPRODUCT((Y$2:Y$1000="PS")*(F$2:F$1000=BF46)*ISNUMBER(SEARCH("selection",LOWER(Z$2:Z$1000)))*ISNUMBER(SEARCH("detection",LOWER(AA$2:AA$1000))))</f>
        <v>0</v>
      </c>
      <c r="BV46" cm="1">
        <f t="array" ref="BV46">SUMPRODUCT((Y$2:Y$1000="PS")*(F$2:F$1000=BF46)*ISNUMBER(SEARCH("selection",LOWER(Z$2:Z$1000)))*ISNUMBER(SEARCH("coverage",LOWER(AA$2:AA$1000))))</f>
        <v>0</v>
      </c>
      <c r="BW46" cm="1">
        <f t="array" ref="BW46">SUMPRODUCT((Y$2:Y$1000="PS")*(F$2:F$1000=BF46)*ISNUMBER(SEARCH("selection",LOWER(Z$2:Z$1000)))*ISNUMBER(SEARCH("change",LOWER(AA$2:AA$1000))))</f>
        <v>0</v>
      </c>
      <c r="BX46" cm="1">
        <f t="array" ref="BX46">SUMPRODUCT((Y$2:Y$1000="PS")*(F$2:F$1000=BF46)*ISNUMBER(SEARCH("selection",LOWER(Z$2:Z$1000)))*ISNUMBER(SEARCH("model",LOWER(AA$2:AA$1000))))</f>
        <v>0</v>
      </c>
      <c r="BY46" cm="1">
        <f t="array" ref="BY46">SUMPRODUCT((Y$2:Y$1000="PS")*(F$2:F$1000=BF46)*ISNUMBER(SEARCH("selection",LOWER(Z$2:Z$1000)))*ISNUMBER(SEARCH("hystory",LOWER(AA$2:AA$1000))))</f>
        <v>0</v>
      </c>
      <c r="BZ46" cm="1">
        <f t="array" ref="BZ46">SUMPRODUCT((Y$2:Y$1000="PS")*(F$2:F$1000=BF46)*ISNUMBER(SEARCH("selection",LOWER(Z$2:Z$1000)))*ISNUMBER(SEARCH("cost-aware",LOWER(AA$2:AA$1000))))</f>
        <v>0</v>
      </c>
      <c r="CA46" cm="1">
        <f t="array" ref="CA46">SUMPRODUCT((Y$2:Y$1000="PS")*(F$2:F$1000=BF46)*ISNUMBER(SEARCH("selection",LOWER(Z$2:Z$1000)))*ISNUMBER(SEARCH("similarity",LOWER(AA$2:AA$1000))))</f>
        <v>1</v>
      </c>
      <c r="CB46" s="35" cm="1">
        <f t="array" ref="CB46">SUMPRODUCT((Y$2:Y$1000="PS")*(F$2:F$1000=BF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47" spans="1:80" ht="80" x14ac:dyDescent="0.2">
      <c r="C47" t="s">
        <v>584</v>
      </c>
      <c r="D47" t="s">
        <v>585</v>
      </c>
      <c r="E47" t="s">
        <v>586</v>
      </c>
      <c r="F47">
        <v>2021</v>
      </c>
      <c r="J47" t="s">
        <v>587</v>
      </c>
      <c r="Y47" t="s">
        <v>44</v>
      </c>
      <c r="Z47" s="6" t="s">
        <v>583</v>
      </c>
      <c r="AA47" s="17"/>
      <c r="AB47" s="17"/>
      <c r="AC47" s="17"/>
      <c r="AD47" s="17"/>
      <c r="AE47" s="17"/>
      <c r="AF47" s="17"/>
      <c r="AG47" s="17"/>
      <c r="AH47" s="17"/>
      <c r="AK47">
        <f t="shared" si="6"/>
        <v>0</v>
      </c>
      <c r="AL47">
        <f t="shared" si="0"/>
        <v>0</v>
      </c>
      <c r="AM47">
        <f t="shared" si="1"/>
        <v>0</v>
      </c>
      <c r="AN47">
        <f t="shared" si="2"/>
        <v>0</v>
      </c>
      <c r="BA47" t="s">
        <v>1377</v>
      </c>
      <c r="BB47" s="35" cm="1">
        <f t="array" ref="BB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8</v>
      </c>
      <c r="BF47">
        <v>2023</v>
      </c>
      <c r="BG47" s="35" cm="1">
        <f t="array" ref="BG47">SUMPRODUCT((Y$2:Y$1000="PS")*(F$2:F$1000=BF47)*ISNUMBER(SEARCH("selection",LOWER(Z$2:Z$1000)))*ISNUMBER(SEARCH("integer",LOWER(AA$2:AA$1000))))</f>
        <v>0</v>
      </c>
      <c r="BH47" cm="1">
        <f t="array" ref="BH47">SUMPRODUCT((Y$2:Y$1000="PS")*(F$2:F$1000=BF47)*ISNUMBER(SEARCH("selection",LOWER(Z$2:Z$1000)))*ISNUMBER(SEARCH("data-flow",LOWER(AA$2:AA$1000))))</f>
        <v>0</v>
      </c>
      <c r="BI47" cm="1">
        <f t="array" ref="BI47">SUMPRODUCT((Y$2:Y$1000="PS")*(F$2:F$1000=BF47)*ISNUMBER(SEARCH("selection",LOWER(Z$2:Z$1000)))*ISNUMBER(SEARCH("symbolic",LOWER(AA$2:AA$1000))))</f>
        <v>0</v>
      </c>
      <c r="BJ47" cm="1">
        <f t="array" ref="BJ47">SUMPRODUCT((Y$2:Y$1000="PS")*(F$2:F$1000=BF47)*ISNUMBER(SEARCH("selection",LOWER(Z$2:Z$1000)))*ISNUMBER(SEARCH("dynamyc",LOWER(AA$2:AA$1000))))</f>
        <v>0</v>
      </c>
      <c r="BK47" cm="1">
        <f t="array" ref="BK47">SUMPRODUCT((Y$2:Y$1000="PS")*(F$2:F$1000=BF47)*ISNUMBER(SEARCH("selection",LOWER(Z$2:Z$1000)))*ISNUMBER(SEARCH("graph",LOWER(AA$2:AA$1000))))</f>
        <v>0</v>
      </c>
      <c r="BL47" cm="1">
        <f t="array" ref="BL47">SUMPRODUCT((Y$2:Y$1000="PS")*(F$2:F$1000=BF47)*ISNUMBER(SEARCH("selection",LOWER(Z$2:Z$1000)))*ISNUMBER(SEARCH("textual",LOWER(AA$2:AA$1000))))</f>
        <v>0</v>
      </c>
      <c r="BM47" cm="1">
        <f t="array" ref="BM47">SUMPRODUCT((Y$2:Y$1000="PS")*(F$2:F$1000=BF47)*ISNUMBER(SEARCH("selection",LOWER(Z$2:Z$1000)))*ISNUMBER(SEARCH("sdg",LOWER(AA$2:AA$1000))))</f>
        <v>0</v>
      </c>
      <c r="BN47" cm="1">
        <f t="array" ref="BN47">SUMPRODUCT((Y$2:Y$1000="PS")*(F$2:F$1000=BF47)*ISNUMBER(SEARCH("selection",LOWER(Z$2:Z$1000)))*ISNUMBER(SEARCH("path",LOWER(AA$2:AA$1000))))</f>
        <v>0</v>
      </c>
      <c r="BO47" cm="1">
        <f t="array" ref="BO47">SUMPRODUCT((Y$2:Y$1000="PS")*(F$2:F$1000=BF47)*ISNUMBER(SEARCH("selection",LOWER(Z$2:Z$1000)))*ISNUMBER(SEARCH("mod",LOWER(AA$2:AA$1000))))</f>
        <v>0</v>
      </c>
      <c r="BP47" cm="1">
        <f t="array" ref="BP47">SUMPRODUCT((Y$2:Y$1000="PS")*(F$2:F$1000=BF47)*ISNUMBER(SEARCH("selection",LOWER(Z$2:Z$1000)))*ISNUMBER(SEARCH("firewall",LOWER(AA$2:AA$1000))))</f>
        <v>0</v>
      </c>
      <c r="BQ47" cm="1">
        <f t="array" ref="BQ47">SUMPRODUCT((Y$2:Y$1000="PS")*(F$2:F$1000=BF47)*ISNUMBER(SEARCH("selection",LOWER(Z$2:Z$1000)))*ISNUMBER(SEARCH("cluster",LOWER(AA$2:AA$1000))))</f>
        <v>0</v>
      </c>
      <c r="BR47" cm="1">
        <f t="array" ref="BR47">SUMPRODUCT((Y$2:Y$1000="PS")*(F$2:F$1000=BF47)*ISNUMBER(SEARCH("selection",LOWER(Z$2:Z$1000)))*ISNUMBER(SEARCH("design",LOWER(AA$2:AA$1000))))</f>
        <v>0</v>
      </c>
      <c r="BS47" cm="1">
        <f t="array" ref="BS47">SUMPRODUCT((Y$2:Y$1000="PS")*(F$2:F$1000=BF47)*ISNUMBER(SEARCH("selection",LOWER(Z$2:Z$1000)))*ISNUMBER(SEARCH("hybrid",LOWER(AA$2:AA$1000))))</f>
        <v>0</v>
      </c>
      <c r="BT47" cm="1">
        <f t="array" ref="BT47">SUMPRODUCT((Y$2:Y$1000="PS")*(F$2:F$1000=BF47)*ISNUMBER(SEARCH("selection",LOWER(Z$2:Z$1000)))*ISNUMBER(SEARCH("selection",LOWER(AA$2:AA$1000))))</f>
        <v>0</v>
      </c>
      <c r="BU47" cm="1">
        <f t="array" ref="BU47">SUMPRODUCT((Y$2:Y$1000="PS")*(F$2:F$1000=BF47)*ISNUMBER(SEARCH("selection",LOWER(Z$2:Z$1000)))*ISNUMBER(SEARCH("detection",LOWER(AA$2:AA$1000))))</f>
        <v>0</v>
      </c>
      <c r="BV47" cm="1">
        <f t="array" ref="BV47">SUMPRODUCT((Y$2:Y$1000="PS")*(F$2:F$1000=BF47)*ISNUMBER(SEARCH("selection",LOWER(Z$2:Z$1000)))*ISNUMBER(SEARCH("coverage",LOWER(AA$2:AA$1000))))</f>
        <v>1</v>
      </c>
      <c r="BW47" cm="1">
        <f t="array" ref="BW47">SUMPRODUCT((Y$2:Y$1000="PS")*(F$2:F$1000=BF47)*ISNUMBER(SEARCH("selection",LOWER(Z$2:Z$1000)))*ISNUMBER(SEARCH("change",LOWER(AA$2:AA$1000))))</f>
        <v>0</v>
      </c>
      <c r="BX47" cm="1">
        <f t="array" ref="BX47">SUMPRODUCT((Y$2:Y$1000="PS")*(F$2:F$1000=BF47)*ISNUMBER(SEARCH("selection",LOWER(Z$2:Z$1000)))*ISNUMBER(SEARCH("model",LOWER(AA$2:AA$1000))))</f>
        <v>0</v>
      </c>
      <c r="BY47" cm="1">
        <f t="array" ref="BY47">SUMPRODUCT((Y$2:Y$1000="PS")*(F$2:F$1000=BF47)*ISNUMBER(SEARCH("selection",LOWER(Z$2:Z$1000)))*ISNUMBER(SEARCH("hystory",LOWER(AA$2:AA$1000))))</f>
        <v>0</v>
      </c>
      <c r="BZ47" cm="1">
        <f t="array" ref="BZ47">SUMPRODUCT((Y$2:Y$1000="PS")*(F$2:F$1000=BF47)*ISNUMBER(SEARCH("selection",LOWER(Z$2:Z$1000)))*ISNUMBER(SEARCH("cost-aware",LOWER(AA$2:AA$1000))))</f>
        <v>0</v>
      </c>
      <c r="CA47" cm="1">
        <f t="array" ref="CA47">SUMPRODUCT((Y$2:Y$1000="PS")*(F$2:F$1000=BF47)*ISNUMBER(SEARCH("selection",LOWER(Z$2:Z$1000)))*ISNUMBER(SEARCH("similarity",LOWER(AA$2:AA$1000))))</f>
        <v>0</v>
      </c>
      <c r="CB47" s="35" cm="1">
        <f t="array" ref="CB47">SUMPRODUCT((Y$2:Y$1000="PS")*(F$2:F$1000=BF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row>
    <row r="48" spans="1:80" ht="144" x14ac:dyDescent="0.2">
      <c r="C48" t="s">
        <v>588</v>
      </c>
      <c r="D48" t="s">
        <v>589</v>
      </c>
      <c r="E48" t="s">
        <v>590</v>
      </c>
      <c r="F48">
        <v>2024</v>
      </c>
      <c r="J48" t="s">
        <v>591</v>
      </c>
      <c r="Y48" t="s">
        <v>58</v>
      </c>
      <c r="Z48" s="6" t="s">
        <v>592</v>
      </c>
      <c r="AA48" s="7" t="s">
        <v>593</v>
      </c>
      <c r="AB48" s="7" t="s">
        <v>594</v>
      </c>
      <c r="AC48" s="7"/>
      <c r="AD48" s="7" t="s">
        <v>595</v>
      </c>
      <c r="AE48" s="6" t="s">
        <v>596</v>
      </c>
      <c r="AF48" s="7" t="s">
        <v>597</v>
      </c>
      <c r="AG48" s="7" t="s">
        <v>598</v>
      </c>
      <c r="AH48" s="6">
        <v>0.5</v>
      </c>
      <c r="AK48">
        <f t="shared" si="6"/>
        <v>1</v>
      </c>
      <c r="AL48">
        <f t="shared" si="0"/>
        <v>0</v>
      </c>
      <c r="AM48">
        <f t="shared" si="1"/>
        <v>0</v>
      </c>
      <c r="AN48">
        <f t="shared" si="2"/>
        <v>1</v>
      </c>
      <c r="BF48">
        <v>2024</v>
      </c>
      <c r="BG48" s="35" cm="1">
        <f t="array" ref="BG48">SUMPRODUCT((Y$2:Y$1000="PS")*(F$2:F$1000=BF48)*ISNUMBER(SEARCH("selection",LOWER(Z$2:Z$1000)))*ISNUMBER(SEARCH("integer",LOWER(AA$2:AA$1000))))</f>
        <v>0</v>
      </c>
      <c r="BH48" cm="1">
        <f t="array" ref="BH48">SUMPRODUCT((Y$2:Y$1000="PS")*(F$2:F$1000=BF48)*ISNUMBER(SEARCH("selection",LOWER(Z$2:Z$1000)))*ISNUMBER(SEARCH("data-flow",LOWER(AA$2:AA$1000))))</f>
        <v>0</v>
      </c>
      <c r="BI48" cm="1">
        <f t="array" ref="BI48">SUMPRODUCT((Y$2:Y$1000="PS")*(F$2:F$1000=BF48)*ISNUMBER(SEARCH("selection",LOWER(Z$2:Z$1000)))*ISNUMBER(SEARCH("symbolic",LOWER(AA$2:AA$1000))))</f>
        <v>0</v>
      </c>
      <c r="BJ48" cm="1">
        <f t="array" ref="BJ48">SUMPRODUCT((Y$2:Y$1000="PS")*(F$2:F$1000=BF48)*ISNUMBER(SEARCH("selection",LOWER(Z$2:Z$1000)))*ISNUMBER(SEARCH("dynamyc",LOWER(AA$2:AA$1000))))</f>
        <v>0</v>
      </c>
      <c r="BK48" cm="1">
        <f t="array" ref="BK48">SUMPRODUCT((Y$2:Y$1000="PS")*(F$2:F$1000=BF48)*ISNUMBER(SEARCH("selection",LOWER(Z$2:Z$1000)))*ISNUMBER(SEARCH("graph",LOWER(AA$2:AA$1000))))</f>
        <v>0</v>
      </c>
      <c r="BL48" cm="1">
        <f t="array" ref="BL48">SUMPRODUCT((Y$2:Y$1000="PS")*(F$2:F$1000=BF48)*ISNUMBER(SEARCH("selection",LOWER(Z$2:Z$1000)))*ISNUMBER(SEARCH("textual",LOWER(AA$2:AA$1000))))</f>
        <v>0</v>
      </c>
      <c r="BM48" cm="1">
        <f t="array" ref="BM48">SUMPRODUCT((Y$2:Y$1000="PS")*(F$2:F$1000=BF48)*ISNUMBER(SEARCH("selection",LOWER(Z$2:Z$1000)))*ISNUMBER(SEARCH("sdg",LOWER(AA$2:AA$1000))))</f>
        <v>0</v>
      </c>
      <c r="BN48" cm="1">
        <f t="array" ref="BN48">SUMPRODUCT((Y$2:Y$1000="PS")*(F$2:F$1000=BF48)*ISNUMBER(SEARCH("selection",LOWER(Z$2:Z$1000)))*ISNUMBER(SEARCH("path",LOWER(AA$2:AA$1000))))</f>
        <v>0</v>
      </c>
      <c r="BO48" cm="1">
        <f t="array" ref="BO48">SUMPRODUCT((Y$2:Y$1000="PS")*(F$2:F$1000=BF48)*ISNUMBER(SEARCH("selection",LOWER(Z$2:Z$1000)))*ISNUMBER(SEARCH("mod",LOWER(AA$2:AA$1000))))</f>
        <v>0</v>
      </c>
      <c r="BP48" cm="1">
        <f t="array" ref="BP48">SUMPRODUCT((Y$2:Y$1000="PS")*(F$2:F$1000=BF48)*ISNUMBER(SEARCH("selection",LOWER(Z$2:Z$1000)))*ISNUMBER(SEARCH("firewall",LOWER(AA$2:AA$1000))))</f>
        <v>0</v>
      </c>
      <c r="BQ48" cm="1">
        <f t="array" ref="BQ48">SUMPRODUCT((Y$2:Y$1000="PS")*(F$2:F$1000=BF48)*ISNUMBER(SEARCH("selection",LOWER(Z$2:Z$1000)))*ISNUMBER(SEARCH("cluster",LOWER(AA$2:AA$1000))))</f>
        <v>0</v>
      </c>
      <c r="BR48" cm="1">
        <f t="array" ref="BR48">SUMPRODUCT((Y$2:Y$1000="PS")*(F$2:F$1000=BF48)*ISNUMBER(SEARCH("selection",LOWER(Z$2:Z$1000)))*ISNUMBER(SEARCH("design",LOWER(AA$2:AA$1000))))</f>
        <v>0</v>
      </c>
      <c r="BS48" cm="1">
        <f t="array" ref="BS48">SUMPRODUCT((Y$2:Y$1000="PS")*(F$2:F$1000=BF48)*ISNUMBER(SEARCH("selection",LOWER(Z$2:Z$1000)))*ISNUMBER(SEARCH("hybrid",LOWER(AA$2:AA$1000))))</f>
        <v>0</v>
      </c>
      <c r="BT48" cm="1">
        <f t="array" ref="BT48">SUMPRODUCT((Y$2:Y$1000="PS")*(F$2:F$1000=BF48)*ISNUMBER(SEARCH("selection",LOWER(Z$2:Z$1000)))*ISNUMBER(SEARCH("selection",LOWER(AA$2:AA$1000))))</f>
        <v>1</v>
      </c>
      <c r="BU48" cm="1">
        <f t="array" ref="BU48">SUMPRODUCT((Y$2:Y$1000="PS")*(F$2:F$1000=BF48)*ISNUMBER(SEARCH("selection",LOWER(Z$2:Z$1000)))*ISNUMBER(SEARCH("detection",LOWER(AA$2:AA$1000))))</f>
        <v>1</v>
      </c>
      <c r="BV48" cm="1">
        <f t="array" ref="BV48">SUMPRODUCT((Y$2:Y$1000="PS")*(F$2:F$1000=BF48)*ISNUMBER(SEARCH("selection",LOWER(Z$2:Z$1000)))*ISNUMBER(SEARCH("coverage",LOWER(AA$2:AA$1000))))</f>
        <v>0</v>
      </c>
      <c r="BW48" cm="1">
        <f t="array" ref="BW48">SUMPRODUCT((Y$2:Y$1000="PS")*(F$2:F$1000=BF48)*ISNUMBER(SEARCH("selection",LOWER(Z$2:Z$1000)))*ISNUMBER(SEARCH("change",LOWER(AA$2:AA$1000))))</f>
        <v>0</v>
      </c>
      <c r="BX48" cm="1">
        <f t="array" ref="BX48">SUMPRODUCT((Y$2:Y$1000="PS")*(F$2:F$1000=BF48)*ISNUMBER(SEARCH("selection",LOWER(Z$2:Z$1000)))*ISNUMBER(SEARCH("model",LOWER(AA$2:AA$1000))))</f>
        <v>0</v>
      </c>
      <c r="BY48" cm="1">
        <f t="array" ref="BY48">SUMPRODUCT((Y$2:Y$1000="PS")*(F$2:F$1000=BF48)*ISNUMBER(SEARCH("selection",LOWER(Z$2:Z$1000)))*ISNUMBER(SEARCH("hystory",LOWER(AA$2:AA$1000))))</f>
        <v>0</v>
      </c>
      <c r="BZ48" cm="1">
        <f t="array" ref="BZ48">SUMPRODUCT((Y$2:Y$1000="PS")*(F$2:F$1000=BF48)*ISNUMBER(SEARCH("selection",LOWER(Z$2:Z$1000)))*ISNUMBER(SEARCH("cost-aware",LOWER(AA$2:AA$1000))))</f>
        <v>0</v>
      </c>
      <c r="CA48" cm="1">
        <f t="array" ref="CA48">SUMPRODUCT((Y$2:Y$1000="PS")*(F$2:F$1000=BF48)*ISNUMBER(SEARCH("selection",LOWER(Z$2:Z$1000)))*ISNUMBER(SEARCH("similarity",LOWER(AA$2:AA$1000))))</f>
        <v>0</v>
      </c>
      <c r="CB48" s="35" cm="1">
        <f t="array" ref="CB48">SUMPRODUCT((Y$2:Y$1000="PS")*(F$2:F$1000=BF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49" spans="3:80" ht="144" x14ac:dyDescent="0.2">
      <c r="C49" t="s">
        <v>599</v>
      </c>
      <c r="D49" t="s">
        <v>600</v>
      </c>
      <c r="E49" t="s">
        <v>601</v>
      </c>
      <c r="F49">
        <v>2021</v>
      </c>
      <c r="J49" t="s">
        <v>602</v>
      </c>
      <c r="Y49" t="s">
        <v>58</v>
      </c>
      <c r="Z49" s="6" t="s">
        <v>583</v>
      </c>
      <c r="AA49" s="7" t="s">
        <v>603</v>
      </c>
      <c r="AB49" s="7" t="s">
        <v>604</v>
      </c>
      <c r="AC49" s="7"/>
      <c r="AD49" s="6" t="s">
        <v>605</v>
      </c>
      <c r="AE49" s="6" t="s">
        <v>606</v>
      </c>
      <c r="AF49" s="7" t="s">
        <v>607</v>
      </c>
      <c r="AG49" s="7" t="s">
        <v>608</v>
      </c>
      <c r="AH49" s="6">
        <v>0.5</v>
      </c>
      <c r="AK49">
        <f t="shared" si="6"/>
        <v>1</v>
      </c>
      <c r="AL49">
        <f t="shared" si="0"/>
        <v>0</v>
      </c>
      <c r="AM49">
        <f t="shared" si="1"/>
        <v>0</v>
      </c>
      <c r="AN49">
        <f t="shared" si="2"/>
        <v>1</v>
      </c>
      <c r="BF49">
        <v>2025</v>
      </c>
      <c r="BG49" s="35" cm="1">
        <f t="array" ref="BG49">SUMPRODUCT((Y$2:Y$1000="PS")*(F$2:F$1000=BF49)*ISNUMBER(SEARCH("selection",LOWER(Z$2:Z$1000)))*ISNUMBER(SEARCH("integer",LOWER(AA$2:AA$1000))))</f>
        <v>0</v>
      </c>
      <c r="BH49" cm="1">
        <f t="array" ref="BH49">SUMPRODUCT((Y$2:Y$1000="PS")*(F$2:F$1000=BF49)*ISNUMBER(SEARCH("selection",LOWER(Z$2:Z$1000)))*ISNUMBER(SEARCH("data-flow",LOWER(AA$2:AA$1000))))</f>
        <v>0</v>
      </c>
      <c r="BI49" cm="1">
        <f t="array" ref="BI49">SUMPRODUCT((Y$2:Y$1000="PS")*(F$2:F$1000=BF49)*ISNUMBER(SEARCH("selection",LOWER(Z$2:Z$1000)))*ISNUMBER(SEARCH("symbolic",LOWER(AA$2:AA$1000))))</f>
        <v>0</v>
      </c>
      <c r="BJ49" cm="1">
        <f t="array" ref="BJ49">SUMPRODUCT((Y$2:Y$1000="PS")*(F$2:F$1000=BF49)*ISNUMBER(SEARCH("selection",LOWER(Z$2:Z$1000)))*ISNUMBER(SEARCH("dynamyc",LOWER(AA$2:AA$1000))))</f>
        <v>0</v>
      </c>
      <c r="BK49" cm="1">
        <f t="array" ref="BK49">SUMPRODUCT((Y$2:Y$1000="PS")*(F$2:F$1000=BF49)*ISNUMBER(SEARCH("selection",LOWER(Z$2:Z$1000)))*ISNUMBER(SEARCH("graph",LOWER(AA$2:AA$1000))))</f>
        <v>0</v>
      </c>
      <c r="BL49" cm="1">
        <f t="array" ref="BL49">SUMPRODUCT((Y$2:Y$1000="PS")*(F$2:F$1000=BF49)*ISNUMBER(SEARCH("selection",LOWER(Z$2:Z$1000)))*ISNUMBER(SEARCH("textual",LOWER(AA$2:AA$1000))))</f>
        <v>0</v>
      </c>
      <c r="BM49" cm="1">
        <f t="array" ref="BM49">SUMPRODUCT((Y$2:Y$1000="PS")*(F$2:F$1000=BF49)*ISNUMBER(SEARCH("selection",LOWER(Z$2:Z$1000)))*ISNUMBER(SEARCH("sdg",LOWER(AA$2:AA$1000))))</f>
        <v>0</v>
      </c>
      <c r="BN49" cm="1">
        <f t="array" ref="BN49">SUMPRODUCT((Y$2:Y$1000="PS")*(F$2:F$1000=BF49)*ISNUMBER(SEARCH("selection",LOWER(Z$2:Z$1000)))*ISNUMBER(SEARCH("path",LOWER(AA$2:AA$1000))))</f>
        <v>0</v>
      </c>
      <c r="BO49" cm="1">
        <f t="array" ref="BO49">SUMPRODUCT((Y$2:Y$1000="PS")*(F$2:F$1000=BF49)*ISNUMBER(SEARCH("selection",LOWER(Z$2:Z$1000)))*ISNUMBER(SEARCH("mod",LOWER(AA$2:AA$1000))))</f>
        <v>1</v>
      </c>
      <c r="BP49" cm="1">
        <f t="array" ref="BP49">SUMPRODUCT((Y$2:Y$1000="PS")*(F$2:F$1000=BF49)*ISNUMBER(SEARCH("selection",LOWER(Z$2:Z$1000)))*ISNUMBER(SEARCH("firewall",LOWER(AA$2:AA$1000))))</f>
        <v>0</v>
      </c>
      <c r="BQ49" cm="1">
        <f t="array" ref="BQ49">SUMPRODUCT((Y$2:Y$1000="PS")*(F$2:F$1000=BF49)*ISNUMBER(SEARCH("selection",LOWER(Z$2:Z$1000)))*ISNUMBER(SEARCH("cluster",LOWER(AA$2:AA$1000))))</f>
        <v>0</v>
      </c>
      <c r="BR49" cm="1">
        <f t="array" ref="BR49">SUMPRODUCT((Y$2:Y$1000="PS")*(F$2:F$1000=BF49)*ISNUMBER(SEARCH("selection",LOWER(Z$2:Z$1000)))*ISNUMBER(SEARCH("design",LOWER(AA$2:AA$1000))))</f>
        <v>0</v>
      </c>
      <c r="BS49" cm="1">
        <f t="array" ref="BS49">SUMPRODUCT((Y$2:Y$1000="PS")*(F$2:F$1000=BF49)*ISNUMBER(SEARCH("selection",LOWER(Z$2:Z$1000)))*ISNUMBER(SEARCH("hybrid",LOWER(AA$2:AA$1000))))</f>
        <v>0</v>
      </c>
      <c r="BT49" cm="1">
        <f t="array" ref="BT49">SUMPRODUCT((Y$2:Y$1000="PS")*(F$2:F$1000=BF49)*ISNUMBER(SEARCH("selection",LOWER(Z$2:Z$1000)))*ISNUMBER(SEARCH("selection",LOWER(AA$2:AA$1000))))</f>
        <v>0</v>
      </c>
      <c r="BU49" cm="1">
        <f t="array" ref="BU49">SUMPRODUCT((Y$2:Y$1000="PS")*(F$2:F$1000=BF49)*ISNUMBER(SEARCH("selection",LOWER(Z$2:Z$1000)))*ISNUMBER(SEARCH("detection",LOWER(AA$2:AA$1000))))</f>
        <v>0</v>
      </c>
      <c r="BV49" cm="1">
        <f t="array" ref="BV49">SUMPRODUCT((Y$2:Y$1000="PS")*(F$2:F$1000=BF49)*ISNUMBER(SEARCH("selection",LOWER(Z$2:Z$1000)))*ISNUMBER(SEARCH("coverage",LOWER(AA$2:AA$1000))))</f>
        <v>0</v>
      </c>
      <c r="BW49" cm="1">
        <f t="array" ref="BW49">SUMPRODUCT((Y$2:Y$1000="PS")*(F$2:F$1000=BF49)*ISNUMBER(SEARCH("selection",LOWER(Z$2:Z$1000)))*ISNUMBER(SEARCH("change",LOWER(AA$2:AA$1000))))</f>
        <v>0</v>
      </c>
      <c r="BX49" cm="1">
        <f t="array" ref="BX49">SUMPRODUCT((Y$2:Y$1000="PS")*(F$2:F$1000=BF49)*ISNUMBER(SEARCH("selection",LOWER(Z$2:Z$1000)))*ISNUMBER(SEARCH("model",LOWER(AA$2:AA$1000))))</f>
        <v>1</v>
      </c>
      <c r="BY49" cm="1">
        <f t="array" ref="BY49">SUMPRODUCT((Y$2:Y$1000="PS")*(F$2:F$1000=BF49)*ISNUMBER(SEARCH("selection",LOWER(Z$2:Z$1000)))*ISNUMBER(SEARCH("hystory",LOWER(AA$2:AA$1000))))</f>
        <v>0</v>
      </c>
      <c r="BZ49" cm="1">
        <f t="array" ref="BZ49">SUMPRODUCT((Y$2:Y$1000="PS")*(F$2:F$1000=BF49)*ISNUMBER(SEARCH("selection",LOWER(Z$2:Z$1000)))*ISNUMBER(SEARCH("cost-aware",LOWER(AA$2:AA$1000))))</f>
        <v>0</v>
      </c>
      <c r="CA49" cm="1">
        <f t="array" ref="CA49">SUMPRODUCT((Y$2:Y$1000="PS")*(F$2:F$1000=BF49)*ISNUMBER(SEARCH("selection",LOWER(Z$2:Z$1000)))*ISNUMBER(SEARCH("similarity",LOWER(AA$2:AA$1000))))</f>
        <v>0</v>
      </c>
      <c r="CB49" s="35" cm="1">
        <f t="array" ref="CB49">SUMPRODUCT((Y$2:Y$1000="PS")*(F$2:F$1000=BF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row>
    <row r="50" spans="3:80" ht="96" x14ac:dyDescent="0.2">
      <c r="C50" t="s">
        <v>609</v>
      </c>
      <c r="D50" t="s">
        <v>610</v>
      </c>
      <c r="E50" t="s">
        <v>611</v>
      </c>
      <c r="F50">
        <v>2019</v>
      </c>
      <c r="J50" t="s">
        <v>612</v>
      </c>
      <c r="Y50" t="s">
        <v>58</v>
      </c>
      <c r="Z50" s="4" t="s">
        <v>613</v>
      </c>
      <c r="AA50" s="18" t="s">
        <v>614</v>
      </c>
      <c r="AB50" s="18" t="s">
        <v>615</v>
      </c>
      <c r="AC50" s="18"/>
      <c r="AD50" s="18" t="s">
        <v>616</v>
      </c>
      <c r="AE50" s="4" t="s">
        <v>617</v>
      </c>
      <c r="AF50" s="18" t="s">
        <v>618</v>
      </c>
      <c r="AG50" s="18" t="s">
        <v>619</v>
      </c>
      <c r="AH50" s="18">
        <v>0</v>
      </c>
      <c r="AK50">
        <f t="shared" si="6"/>
        <v>1</v>
      </c>
      <c r="AL50">
        <f t="shared" si="0"/>
        <v>0</v>
      </c>
      <c r="AM50">
        <f t="shared" si="1"/>
        <v>0</v>
      </c>
      <c r="AN50">
        <f t="shared" si="2"/>
        <v>1</v>
      </c>
      <c r="BA50" t="s">
        <v>1378</v>
      </c>
    </row>
    <row r="51" spans="3:80" ht="96" x14ac:dyDescent="0.2">
      <c r="C51" t="s">
        <v>620</v>
      </c>
      <c r="D51" t="s">
        <v>621</v>
      </c>
      <c r="E51" t="s">
        <v>622</v>
      </c>
      <c r="F51">
        <v>2022</v>
      </c>
      <c r="J51" t="s">
        <v>623</v>
      </c>
      <c r="Y51" t="s">
        <v>58</v>
      </c>
      <c r="Z51" s="4" t="s">
        <v>470</v>
      </c>
      <c r="AA51" s="18" t="s">
        <v>624</v>
      </c>
      <c r="AB51" s="18" t="s">
        <v>625</v>
      </c>
      <c r="AC51" s="18"/>
      <c r="AD51" s="18" t="s">
        <v>626</v>
      </c>
      <c r="AE51" s="4" t="s">
        <v>627</v>
      </c>
      <c r="AF51" s="18" t="s">
        <v>628</v>
      </c>
      <c r="AG51" s="18" t="s">
        <v>629</v>
      </c>
      <c r="AH51" s="18">
        <v>0</v>
      </c>
      <c r="AK51">
        <f t="shared" si="6"/>
        <v>1</v>
      </c>
      <c r="AL51">
        <f t="shared" si="0"/>
        <v>0</v>
      </c>
      <c r="AM51">
        <f t="shared" si="1"/>
        <v>0</v>
      </c>
      <c r="AN51">
        <f t="shared" si="2"/>
        <v>1</v>
      </c>
      <c r="BA51" t="s">
        <v>1341</v>
      </c>
      <c r="BB51" t="s">
        <v>1342</v>
      </c>
    </row>
    <row r="52" spans="3:80" ht="112" x14ac:dyDescent="0.2">
      <c r="C52" t="s">
        <v>630</v>
      </c>
      <c r="D52" t="s">
        <v>631</v>
      </c>
      <c r="E52" t="s">
        <v>632</v>
      </c>
      <c r="F52">
        <v>2022</v>
      </c>
      <c r="J52" t="s">
        <v>633</v>
      </c>
      <c r="Y52" t="s">
        <v>58</v>
      </c>
      <c r="Z52" s="4" t="s">
        <v>634</v>
      </c>
      <c r="AA52" s="18" t="s">
        <v>635</v>
      </c>
      <c r="AB52" s="18" t="s">
        <v>636</v>
      </c>
      <c r="AC52" s="18" t="s">
        <v>391</v>
      </c>
      <c r="AD52" s="18" t="s">
        <v>637</v>
      </c>
      <c r="AE52" s="4" t="s">
        <v>638</v>
      </c>
      <c r="AF52" s="18" t="s">
        <v>639</v>
      </c>
      <c r="AG52" s="18" t="s">
        <v>640</v>
      </c>
      <c r="AH52" s="18">
        <v>0</v>
      </c>
      <c r="AK52">
        <f t="shared" si="6"/>
        <v>1</v>
      </c>
      <c r="AL52">
        <f t="shared" si="0"/>
        <v>1</v>
      </c>
      <c r="AM52">
        <f t="shared" si="1"/>
        <v>0</v>
      </c>
      <c r="AN52">
        <f t="shared" si="2"/>
        <v>1</v>
      </c>
      <c r="BA52" t="s">
        <v>1379</v>
      </c>
      <c r="BB52" s="35" cm="1">
        <f t="array" ref="BB52">SUMPRODUCT((Y$2:Y$1000="PS")*ISNUMBER(SEARCH("search-based",LOWER(AA$2:AA$1000)))*ISNUMBER(SEARCH("minimization",LOWER(Z$2:Z$1000))))</f>
        <v>2</v>
      </c>
    </row>
    <row r="53" spans="3:80" ht="112" x14ac:dyDescent="0.2">
      <c r="C53" t="s">
        <v>641</v>
      </c>
      <c r="D53" t="s">
        <v>642</v>
      </c>
      <c r="E53" t="s">
        <v>643</v>
      </c>
      <c r="F53">
        <v>2022</v>
      </c>
      <c r="J53" t="s">
        <v>644</v>
      </c>
      <c r="Y53" t="s">
        <v>58</v>
      </c>
      <c r="Z53" s="4" t="s">
        <v>645</v>
      </c>
      <c r="AA53" s="18" t="s">
        <v>646</v>
      </c>
      <c r="AB53" s="18" t="s">
        <v>647</v>
      </c>
      <c r="AC53" s="19"/>
      <c r="AD53" s="18" t="s">
        <v>648</v>
      </c>
      <c r="AE53" s="4" t="s">
        <v>649</v>
      </c>
      <c r="AF53" s="18" t="s">
        <v>650</v>
      </c>
      <c r="AG53" s="18" t="s">
        <v>651</v>
      </c>
      <c r="AH53" s="18">
        <v>0</v>
      </c>
      <c r="AK53">
        <f t="shared" si="6"/>
        <v>1</v>
      </c>
      <c r="AL53">
        <f t="shared" si="0"/>
        <v>0</v>
      </c>
      <c r="AM53">
        <f t="shared" si="1"/>
        <v>0</v>
      </c>
      <c r="AN53">
        <f t="shared" si="2"/>
        <v>1</v>
      </c>
      <c r="BA53" t="s">
        <v>1377</v>
      </c>
      <c r="BB53" s="35" cm="1">
        <f t="array" ref="BB53">SUMPRODUCT((Y$2:Y$1000="PS")*ISNUMBER(SEARCH("minimization",LOWER(Z$2:Z$1000)))*(NOT(ISNUMBER(SEARCH("search-based",LOWER(AA$2:AA$1000))))))</f>
        <v>1</v>
      </c>
    </row>
    <row r="54" spans="3:80" ht="144" x14ac:dyDescent="0.2">
      <c r="C54" t="s">
        <v>652</v>
      </c>
      <c r="D54" t="s">
        <v>653</v>
      </c>
      <c r="E54" t="s">
        <v>654</v>
      </c>
      <c r="F54">
        <v>2023</v>
      </c>
      <c r="J54" t="s">
        <v>655</v>
      </c>
      <c r="Y54" t="s">
        <v>58</v>
      </c>
      <c r="Z54" s="4" t="s">
        <v>656</v>
      </c>
      <c r="AA54" s="18" t="s">
        <v>657</v>
      </c>
      <c r="AB54" s="18" t="s">
        <v>658</v>
      </c>
      <c r="AC54" s="18"/>
      <c r="AD54" s="18" t="s">
        <v>659</v>
      </c>
      <c r="AE54" s="4" t="s">
        <v>660</v>
      </c>
      <c r="AF54" s="18" t="s">
        <v>618</v>
      </c>
      <c r="AG54" s="18" t="s">
        <v>661</v>
      </c>
      <c r="AH54" s="18">
        <v>1</v>
      </c>
      <c r="AK54">
        <f t="shared" si="6"/>
        <v>1</v>
      </c>
      <c r="AL54">
        <f t="shared" si="0"/>
        <v>0</v>
      </c>
      <c r="AM54">
        <f t="shared" si="1"/>
        <v>0</v>
      </c>
      <c r="AN54">
        <f t="shared" si="2"/>
        <v>1</v>
      </c>
    </row>
    <row r="55" spans="3:80" ht="128" x14ac:dyDescent="0.2">
      <c r="C55" t="s">
        <v>662</v>
      </c>
      <c r="D55" t="s">
        <v>663</v>
      </c>
      <c r="E55" t="s">
        <v>664</v>
      </c>
      <c r="F55">
        <v>2022</v>
      </c>
      <c r="J55" t="s">
        <v>665</v>
      </c>
      <c r="Y55" t="s">
        <v>58</v>
      </c>
      <c r="Z55" s="4" t="s">
        <v>645</v>
      </c>
      <c r="AA55" s="18" t="s">
        <v>666</v>
      </c>
      <c r="AB55" s="18" t="s">
        <v>667</v>
      </c>
      <c r="AC55" s="19"/>
      <c r="AD55" s="18" t="s">
        <v>668</v>
      </c>
      <c r="AE55" s="4" t="s">
        <v>669</v>
      </c>
      <c r="AF55" s="18" t="s">
        <v>670</v>
      </c>
      <c r="AG55" s="18" t="s">
        <v>671</v>
      </c>
      <c r="AH55" s="18">
        <v>0.5</v>
      </c>
      <c r="AK55">
        <f t="shared" si="6"/>
        <v>1</v>
      </c>
      <c r="AL55">
        <f t="shared" si="0"/>
        <v>0</v>
      </c>
      <c r="AM55">
        <f t="shared" si="1"/>
        <v>0</v>
      </c>
      <c r="AN55">
        <f t="shared" si="2"/>
        <v>1</v>
      </c>
    </row>
    <row r="56" spans="3:80" ht="160" x14ac:dyDescent="0.2">
      <c r="C56" t="s">
        <v>672</v>
      </c>
      <c r="D56" t="s">
        <v>673</v>
      </c>
      <c r="E56" t="s">
        <v>674</v>
      </c>
      <c r="F56">
        <v>2023</v>
      </c>
      <c r="J56" t="s">
        <v>675</v>
      </c>
      <c r="Y56" t="s">
        <v>58</v>
      </c>
      <c r="Z56" s="4" t="s">
        <v>656</v>
      </c>
      <c r="AA56" s="18" t="s">
        <v>676</v>
      </c>
      <c r="AB56" s="18" t="s">
        <v>61</v>
      </c>
      <c r="AC56" s="18" t="s">
        <v>391</v>
      </c>
      <c r="AD56" s="18" t="s">
        <v>677</v>
      </c>
      <c r="AE56" s="4" t="s">
        <v>678</v>
      </c>
      <c r="AF56" s="18" t="s">
        <v>679</v>
      </c>
      <c r="AG56" s="18" t="s">
        <v>680</v>
      </c>
      <c r="AH56" s="18">
        <v>0.5</v>
      </c>
      <c r="AK56">
        <f t="shared" si="6"/>
        <v>1</v>
      </c>
      <c r="AL56">
        <f t="shared" si="0"/>
        <v>0</v>
      </c>
      <c r="AM56">
        <f t="shared" si="1"/>
        <v>0</v>
      </c>
      <c r="AN56">
        <f t="shared" si="2"/>
        <v>1</v>
      </c>
    </row>
    <row r="57" spans="3:80" ht="112" x14ac:dyDescent="0.2">
      <c r="C57" t="s">
        <v>681</v>
      </c>
      <c r="D57" t="s">
        <v>682</v>
      </c>
      <c r="E57" t="s">
        <v>683</v>
      </c>
      <c r="F57">
        <v>2023</v>
      </c>
      <c r="J57" t="s">
        <v>684</v>
      </c>
      <c r="Y57" t="s">
        <v>58</v>
      </c>
      <c r="Z57" s="4" t="s">
        <v>656</v>
      </c>
      <c r="AA57" s="18" t="s">
        <v>685</v>
      </c>
      <c r="AB57" s="18" t="s">
        <v>686</v>
      </c>
      <c r="AC57" s="19"/>
      <c r="AD57" s="18" t="s">
        <v>687</v>
      </c>
      <c r="AE57" s="4" t="s">
        <v>688</v>
      </c>
      <c r="AF57" s="18" t="s">
        <v>689</v>
      </c>
      <c r="AG57" s="18" t="s">
        <v>690</v>
      </c>
      <c r="AH57" s="18">
        <v>0</v>
      </c>
      <c r="AK57">
        <f t="shared" si="6"/>
        <v>1</v>
      </c>
      <c r="AL57">
        <f t="shared" si="0"/>
        <v>0</v>
      </c>
      <c r="AM57">
        <f t="shared" si="1"/>
        <v>0</v>
      </c>
      <c r="AN57">
        <f t="shared" si="2"/>
        <v>1</v>
      </c>
    </row>
    <row r="58" spans="3:80" x14ac:dyDescent="0.2">
      <c r="C58" t="s">
        <v>691</v>
      </c>
      <c r="D58" t="s">
        <v>692</v>
      </c>
      <c r="E58" t="s">
        <v>693</v>
      </c>
      <c r="F58">
        <v>2019</v>
      </c>
      <c r="J58" t="s">
        <v>694</v>
      </c>
      <c r="Y58" t="s">
        <v>77</v>
      </c>
      <c r="Z58" s="20" t="s">
        <v>695</v>
      </c>
      <c r="AA58" s="20"/>
      <c r="AB58" s="20"/>
      <c r="AC58" s="20"/>
      <c r="AD58" s="20"/>
      <c r="AE58" s="20"/>
      <c r="AF58" s="20"/>
      <c r="AG58" s="20"/>
      <c r="AH58" s="20"/>
      <c r="AK58">
        <f t="shared" si="6"/>
        <v>0</v>
      </c>
      <c r="AL58">
        <f t="shared" si="0"/>
        <v>0</v>
      </c>
      <c r="AM58">
        <f t="shared" si="1"/>
        <v>0</v>
      </c>
      <c r="AN58">
        <f t="shared" si="2"/>
        <v>0</v>
      </c>
    </row>
    <row r="59" spans="3:80" ht="96" x14ac:dyDescent="0.2">
      <c r="C59" t="s">
        <v>696</v>
      </c>
      <c r="D59" t="s">
        <v>673</v>
      </c>
      <c r="E59" t="s">
        <v>697</v>
      </c>
      <c r="F59">
        <v>2023</v>
      </c>
      <c r="J59" t="s">
        <v>698</v>
      </c>
      <c r="Y59" t="s">
        <v>58</v>
      </c>
      <c r="Z59" s="5" t="s">
        <v>699</v>
      </c>
      <c r="AA59" s="21" t="s">
        <v>700</v>
      </c>
      <c r="AB59" s="21" t="s">
        <v>416</v>
      </c>
      <c r="AC59" s="21" t="s">
        <v>116</v>
      </c>
      <c r="AD59" s="21" t="s">
        <v>701</v>
      </c>
      <c r="AE59" s="5" t="s">
        <v>702</v>
      </c>
      <c r="AF59" s="21" t="s">
        <v>703</v>
      </c>
      <c r="AG59" s="21" t="s">
        <v>704</v>
      </c>
      <c r="AH59" s="21">
        <v>0</v>
      </c>
      <c r="AK59">
        <f t="shared" si="6"/>
        <v>1</v>
      </c>
      <c r="AL59">
        <f t="shared" si="0"/>
        <v>0</v>
      </c>
      <c r="AM59">
        <f t="shared" si="1"/>
        <v>0</v>
      </c>
      <c r="AN59">
        <f t="shared" si="2"/>
        <v>1</v>
      </c>
    </row>
    <row r="60" spans="3:80" ht="80" x14ac:dyDescent="0.2">
      <c r="C60" t="s">
        <v>705</v>
      </c>
      <c r="D60" t="s">
        <v>706</v>
      </c>
      <c r="E60" t="s">
        <v>707</v>
      </c>
      <c r="F60">
        <v>2021</v>
      </c>
      <c r="J60" t="s">
        <v>708</v>
      </c>
      <c r="Y60" t="s">
        <v>58</v>
      </c>
      <c r="Z60" s="4" t="s">
        <v>533</v>
      </c>
      <c r="AA60" s="18" t="s">
        <v>709</v>
      </c>
      <c r="AB60" s="18" t="s">
        <v>416</v>
      </c>
      <c r="AC60" s="18" t="s">
        <v>749</v>
      </c>
      <c r="AD60" s="18" t="s">
        <v>710</v>
      </c>
      <c r="AE60" s="4" t="s">
        <v>711</v>
      </c>
      <c r="AF60" s="18" t="s">
        <v>712</v>
      </c>
      <c r="AG60" s="18" t="s">
        <v>619</v>
      </c>
      <c r="AH60" s="18">
        <v>0</v>
      </c>
      <c r="AK60">
        <f t="shared" si="6"/>
        <v>1</v>
      </c>
      <c r="AL60">
        <f t="shared" si="0"/>
        <v>0</v>
      </c>
      <c r="AM60">
        <f t="shared" si="1"/>
        <v>0</v>
      </c>
      <c r="AN60">
        <f t="shared" si="2"/>
        <v>1</v>
      </c>
    </row>
    <row r="61" spans="3:80" ht="80" x14ac:dyDescent="0.2">
      <c r="C61" t="s">
        <v>713</v>
      </c>
      <c r="D61" t="s">
        <v>714</v>
      </c>
      <c r="E61" t="s">
        <v>715</v>
      </c>
      <c r="F61">
        <v>2022</v>
      </c>
      <c r="J61" t="s">
        <v>716</v>
      </c>
      <c r="Y61" t="s">
        <v>58</v>
      </c>
      <c r="Z61" s="5" t="s">
        <v>645</v>
      </c>
      <c r="AA61" s="21" t="s">
        <v>717</v>
      </c>
      <c r="AB61" s="21" t="s">
        <v>718</v>
      </c>
      <c r="AC61" s="21" t="s">
        <v>719</v>
      </c>
      <c r="AD61" s="21" t="s">
        <v>720</v>
      </c>
      <c r="AE61" s="5" t="s">
        <v>721</v>
      </c>
      <c r="AF61" s="21" t="s">
        <v>722</v>
      </c>
      <c r="AG61" s="5" t="s">
        <v>723</v>
      </c>
      <c r="AH61" s="21">
        <v>0</v>
      </c>
      <c r="AK61">
        <f t="shared" si="6"/>
        <v>1</v>
      </c>
      <c r="AL61">
        <f t="shared" si="0"/>
        <v>0</v>
      </c>
      <c r="AM61">
        <f t="shared" si="1"/>
        <v>0</v>
      </c>
      <c r="AN61">
        <f t="shared" si="2"/>
        <v>1</v>
      </c>
    </row>
    <row r="62" spans="3:80" ht="128" x14ac:dyDescent="0.2">
      <c r="C62" t="s">
        <v>724</v>
      </c>
      <c r="D62" t="s">
        <v>725</v>
      </c>
      <c r="E62" t="s">
        <v>726</v>
      </c>
      <c r="F62">
        <v>2024</v>
      </c>
      <c r="J62" t="s">
        <v>727</v>
      </c>
      <c r="Y62" t="s">
        <v>58</v>
      </c>
      <c r="Z62" s="4" t="s">
        <v>728</v>
      </c>
      <c r="AA62" s="18" t="s">
        <v>729</v>
      </c>
      <c r="AB62" s="18" t="s">
        <v>717</v>
      </c>
      <c r="AC62" s="18" t="s">
        <v>719</v>
      </c>
      <c r="AD62" s="18" t="s">
        <v>730</v>
      </c>
      <c r="AE62" s="4" t="s">
        <v>731</v>
      </c>
      <c r="AF62" s="18" t="s">
        <v>732</v>
      </c>
      <c r="AG62" s="18" t="s">
        <v>733</v>
      </c>
      <c r="AH62" s="18">
        <v>0</v>
      </c>
      <c r="AK62">
        <f t="shared" si="6"/>
        <v>1</v>
      </c>
      <c r="AL62">
        <f t="shared" si="0"/>
        <v>0</v>
      </c>
      <c r="AM62">
        <f t="shared" si="1"/>
        <v>1</v>
      </c>
      <c r="AN62">
        <f t="shared" si="2"/>
        <v>0</v>
      </c>
    </row>
    <row r="63" spans="3:80" ht="112" x14ac:dyDescent="0.2">
      <c r="C63" t="s">
        <v>734</v>
      </c>
      <c r="D63" t="s">
        <v>467</v>
      </c>
      <c r="E63" t="s">
        <v>735</v>
      </c>
      <c r="F63">
        <v>2024</v>
      </c>
      <c r="J63" t="s">
        <v>736</v>
      </c>
      <c r="Y63" t="s">
        <v>58</v>
      </c>
      <c r="Z63" s="5" t="s">
        <v>592</v>
      </c>
      <c r="AA63" s="21" t="s">
        <v>61</v>
      </c>
      <c r="AB63" s="21" t="s">
        <v>717</v>
      </c>
      <c r="AC63" s="21" t="s">
        <v>391</v>
      </c>
      <c r="AD63" s="21" t="s">
        <v>737</v>
      </c>
      <c r="AE63" s="5" t="s">
        <v>738</v>
      </c>
      <c r="AF63" s="21" t="s">
        <v>739</v>
      </c>
      <c r="AG63" s="21" t="s">
        <v>740</v>
      </c>
      <c r="AH63" s="21">
        <v>1</v>
      </c>
      <c r="AK63">
        <f t="shared" si="6"/>
        <v>1</v>
      </c>
      <c r="AL63">
        <f t="shared" si="0"/>
        <v>0</v>
      </c>
      <c r="AM63">
        <f t="shared" si="1"/>
        <v>0</v>
      </c>
      <c r="AN63">
        <f t="shared" si="2"/>
        <v>1</v>
      </c>
    </row>
    <row r="64" spans="3:80" ht="144" x14ac:dyDescent="0.2">
      <c r="C64" s="2" t="s">
        <v>741</v>
      </c>
      <c r="D64" t="s">
        <v>530</v>
      </c>
      <c r="E64" t="s">
        <v>742</v>
      </c>
      <c r="F64">
        <v>2015</v>
      </c>
      <c r="J64" t="s">
        <v>743</v>
      </c>
      <c r="Y64" t="s">
        <v>58</v>
      </c>
      <c r="Z64" s="22" t="s">
        <v>744</v>
      </c>
      <c r="AA64" s="23" t="s">
        <v>61</v>
      </c>
      <c r="AB64" s="23" t="s">
        <v>686</v>
      </c>
      <c r="AC64" s="23" t="s">
        <v>116</v>
      </c>
      <c r="AD64" s="23" t="s">
        <v>745</v>
      </c>
      <c r="AE64" s="22" t="s">
        <v>746</v>
      </c>
      <c r="AF64" s="23" t="s">
        <v>747</v>
      </c>
      <c r="AG64" s="23" t="s">
        <v>748</v>
      </c>
      <c r="AH64" s="23">
        <v>0.5</v>
      </c>
      <c r="AK64">
        <f t="shared" si="6"/>
        <v>1</v>
      </c>
      <c r="AL64">
        <f t="shared" si="0"/>
        <v>0</v>
      </c>
      <c r="AM64">
        <f t="shared" si="1"/>
        <v>0</v>
      </c>
      <c r="AN64">
        <f t="shared" si="2"/>
        <v>1</v>
      </c>
    </row>
    <row r="65" spans="1:60" ht="187" x14ac:dyDescent="0.2">
      <c r="A65" s="24">
        <v>9260075</v>
      </c>
      <c r="B65" s="25" t="s">
        <v>34</v>
      </c>
      <c r="C65" s="26" t="s">
        <v>750</v>
      </c>
      <c r="D65" s="26" t="s">
        <v>751</v>
      </c>
      <c r="E65" s="26" t="s">
        <v>752</v>
      </c>
      <c r="F65" s="25">
        <v>2020</v>
      </c>
      <c r="G65" s="27"/>
      <c r="H65" s="27"/>
      <c r="I65" s="27" t="s">
        <v>753</v>
      </c>
      <c r="J65" s="25" t="s">
        <v>754</v>
      </c>
      <c r="K65" s="25" t="s">
        <v>755</v>
      </c>
      <c r="L65" s="25" t="s">
        <v>756</v>
      </c>
      <c r="M65" s="25"/>
      <c r="N65" s="25" t="s">
        <v>400</v>
      </c>
      <c r="O65" s="25"/>
      <c r="P65" s="25"/>
      <c r="Q65" s="25"/>
      <c r="R65" s="25"/>
      <c r="S65" s="25"/>
      <c r="T65" s="25"/>
      <c r="U65" s="25"/>
      <c r="V65" s="25"/>
      <c r="W65" s="25"/>
      <c r="X65" s="25" t="s">
        <v>757</v>
      </c>
      <c r="Y65" s="27" t="s">
        <v>58</v>
      </c>
      <c r="Z65" s="26" t="s">
        <v>758</v>
      </c>
      <c r="AA65" s="26" t="s">
        <v>143</v>
      </c>
      <c r="AB65" s="26" t="s">
        <v>472</v>
      </c>
      <c r="AC65" s="26"/>
      <c r="AD65" s="26" t="s">
        <v>759</v>
      </c>
      <c r="AE65" s="26" t="s">
        <v>760</v>
      </c>
      <c r="AF65" s="26" t="s">
        <v>761</v>
      </c>
      <c r="AG65" s="26" t="s">
        <v>762</v>
      </c>
      <c r="AH65" s="26">
        <v>0</v>
      </c>
      <c r="AI65" s="26"/>
      <c r="AJ65" s="25"/>
      <c r="AK65">
        <f t="shared" si="6"/>
        <v>1</v>
      </c>
      <c r="AL65">
        <f t="shared" si="0"/>
        <v>0</v>
      </c>
      <c r="AM65">
        <f t="shared" si="1"/>
        <v>0</v>
      </c>
      <c r="AN65">
        <f t="shared" si="2"/>
        <v>1</v>
      </c>
    </row>
    <row r="66" spans="1:60" ht="187" x14ac:dyDescent="0.2">
      <c r="A66" s="24">
        <v>8914670</v>
      </c>
      <c r="B66" s="25" t="s">
        <v>34</v>
      </c>
      <c r="C66" s="26" t="s">
        <v>763</v>
      </c>
      <c r="D66" s="26" t="s">
        <v>764</v>
      </c>
      <c r="E66" s="26" t="s">
        <v>765</v>
      </c>
      <c r="F66" s="25">
        <v>2019</v>
      </c>
      <c r="G66" s="27"/>
      <c r="H66" s="27"/>
      <c r="I66" s="27" t="s">
        <v>766</v>
      </c>
      <c r="J66" s="25" t="s">
        <v>767</v>
      </c>
      <c r="K66" s="25" t="s">
        <v>768</v>
      </c>
      <c r="L66" s="25" t="s">
        <v>769</v>
      </c>
      <c r="M66" s="25" t="s">
        <v>770</v>
      </c>
      <c r="N66" s="25" t="s">
        <v>400</v>
      </c>
      <c r="O66" s="25"/>
      <c r="P66" s="25"/>
      <c r="Q66" s="25"/>
      <c r="R66" s="25"/>
      <c r="S66" s="25"/>
      <c r="T66" s="25"/>
      <c r="U66" s="25"/>
      <c r="V66" s="25"/>
      <c r="W66" s="25"/>
      <c r="X66" s="25" t="s">
        <v>771</v>
      </c>
      <c r="Y66" s="27" t="s">
        <v>58</v>
      </c>
      <c r="Z66" s="26" t="s">
        <v>772</v>
      </c>
      <c r="AA66" s="26" t="s">
        <v>415</v>
      </c>
      <c r="AB66" s="26" t="s">
        <v>773</v>
      </c>
      <c r="AC66" s="26" t="s">
        <v>774</v>
      </c>
      <c r="AD66" s="26" t="s">
        <v>47</v>
      </c>
      <c r="AE66" s="26" t="s">
        <v>775</v>
      </c>
      <c r="AF66" s="26" t="s">
        <v>776</v>
      </c>
      <c r="AG66" s="26" t="s">
        <v>66</v>
      </c>
      <c r="AH66" s="26">
        <v>0</v>
      </c>
      <c r="AI66" s="26"/>
      <c r="AJ66" s="25"/>
      <c r="AK66">
        <f t="shared" si="6"/>
        <v>1</v>
      </c>
      <c r="AL66">
        <f t="shared" si="0"/>
        <v>0</v>
      </c>
      <c r="AM66">
        <f t="shared" si="1"/>
        <v>0</v>
      </c>
      <c r="AN66">
        <f t="shared" si="2"/>
        <v>1</v>
      </c>
    </row>
    <row r="67" spans="1:60" ht="221" x14ac:dyDescent="0.2">
      <c r="A67" s="24">
        <v>8305938</v>
      </c>
      <c r="B67" s="25" t="s">
        <v>34</v>
      </c>
      <c r="C67" s="26" t="s">
        <v>777</v>
      </c>
      <c r="D67" s="26" t="s">
        <v>163</v>
      </c>
      <c r="E67" s="26" t="s">
        <v>778</v>
      </c>
      <c r="F67" s="25">
        <v>2017</v>
      </c>
      <c r="G67" s="27"/>
      <c r="H67" s="27"/>
      <c r="I67" s="27" t="s">
        <v>779</v>
      </c>
      <c r="J67" s="25" t="s">
        <v>780</v>
      </c>
      <c r="K67" s="25" t="s">
        <v>781</v>
      </c>
      <c r="L67" s="25" t="s">
        <v>782</v>
      </c>
      <c r="M67" s="25"/>
      <c r="N67" s="25" t="s">
        <v>169</v>
      </c>
      <c r="O67" s="25"/>
      <c r="P67" s="25"/>
      <c r="Q67" s="25"/>
      <c r="R67" s="25"/>
      <c r="S67" s="25"/>
      <c r="T67" s="25"/>
      <c r="U67" s="25"/>
      <c r="V67" s="25"/>
      <c r="W67" s="25"/>
      <c r="X67" s="25" t="s">
        <v>783</v>
      </c>
      <c r="Y67" s="27" t="s">
        <v>58</v>
      </c>
      <c r="Z67" s="26" t="s">
        <v>784</v>
      </c>
      <c r="AA67" s="26" t="s">
        <v>143</v>
      </c>
      <c r="AB67" s="26" t="s">
        <v>785</v>
      </c>
      <c r="AC67" s="26"/>
      <c r="AD67" s="26" t="s">
        <v>786</v>
      </c>
      <c r="AE67" s="26" t="s">
        <v>787</v>
      </c>
      <c r="AF67" s="26" t="s">
        <v>761</v>
      </c>
      <c r="AG67" s="26" t="s">
        <v>788</v>
      </c>
      <c r="AH67" s="26">
        <v>0</v>
      </c>
      <c r="AI67" s="26"/>
      <c r="AJ67" s="25"/>
      <c r="AK67">
        <f t="shared" si="6"/>
        <v>1</v>
      </c>
      <c r="AL67">
        <f t="shared" ref="AL67:AL126" si="8">IF(AND(Y67="PS",ISNUMBER(SEARCH("minimization",Z67))),1,0)</f>
        <v>0</v>
      </c>
      <c r="AM67">
        <f t="shared" ref="AM67:AM126" si="9">IF(AND(Y67="PS",ISNUMBER(SEARCH("selection",Z67))),1,0)</f>
        <v>1</v>
      </c>
      <c r="AN67">
        <f t="shared" ref="AN67:AN126" si="10">IF(AND(Y67="PS",ISNUMBER(SEARCH("prioritization",Z67))),1,0)</f>
        <v>1</v>
      </c>
    </row>
    <row r="68" spans="1:60" ht="153" x14ac:dyDescent="0.2">
      <c r="A68" s="24">
        <v>8453107</v>
      </c>
      <c r="B68" s="25" t="s">
        <v>34</v>
      </c>
      <c r="C68" s="26" t="s">
        <v>789</v>
      </c>
      <c r="D68" s="26" t="s">
        <v>790</v>
      </c>
      <c r="E68" s="26" t="s">
        <v>791</v>
      </c>
      <c r="F68" s="25">
        <v>2018</v>
      </c>
      <c r="G68" s="27"/>
      <c r="H68" s="27"/>
      <c r="I68" s="27" t="s">
        <v>792</v>
      </c>
      <c r="J68" s="25" t="s">
        <v>793</v>
      </c>
      <c r="K68" s="25" t="s">
        <v>794</v>
      </c>
      <c r="L68" s="25" t="s">
        <v>795</v>
      </c>
      <c r="M68" s="25" t="s">
        <v>796</v>
      </c>
      <c r="N68" s="25" t="s">
        <v>75</v>
      </c>
      <c r="O68" s="25"/>
      <c r="P68" s="25"/>
      <c r="Q68" s="25"/>
      <c r="R68" s="25"/>
      <c r="S68" s="25"/>
      <c r="T68" s="25"/>
      <c r="U68" s="25"/>
      <c r="V68" s="25"/>
      <c r="W68" s="25"/>
      <c r="X68" s="25" t="s">
        <v>797</v>
      </c>
      <c r="Y68" s="27" t="s">
        <v>58</v>
      </c>
      <c r="Z68" s="26" t="s">
        <v>1111</v>
      </c>
      <c r="AA68" s="26"/>
      <c r="AB68" s="26"/>
      <c r="AC68" s="26"/>
      <c r="AD68" s="26"/>
      <c r="AE68" s="26"/>
      <c r="AF68" s="26"/>
      <c r="AG68" s="26"/>
      <c r="AH68" s="26"/>
      <c r="AI68" s="26" t="s">
        <v>798</v>
      </c>
      <c r="AJ68" s="25"/>
      <c r="AK68">
        <f t="shared" ref="AK68:AK126" si="11">IF(Y68="PS",1,0)</f>
        <v>1</v>
      </c>
      <c r="AL68">
        <f t="shared" si="8"/>
        <v>0</v>
      </c>
      <c r="AM68">
        <f t="shared" si="9"/>
        <v>0</v>
      </c>
      <c r="AN68">
        <f t="shared" si="10"/>
        <v>1</v>
      </c>
    </row>
    <row r="69" spans="1:60" ht="187" x14ac:dyDescent="0.2">
      <c r="A69" s="24">
        <v>8754416</v>
      </c>
      <c r="B69" s="25" t="s">
        <v>34</v>
      </c>
      <c r="C69" s="26" t="s">
        <v>799</v>
      </c>
      <c r="D69" s="26" t="s">
        <v>800</v>
      </c>
      <c r="E69" s="26" t="s">
        <v>801</v>
      </c>
      <c r="F69" s="25">
        <v>2019</v>
      </c>
      <c r="G69" s="27">
        <v>1</v>
      </c>
      <c r="H69" s="27"/>
      <c r="I69" s="27" t="s">
        <v>802</v>
      </c>
      <c r="J69" s="25" t="s">
        <v>803</v>
      </c>
      <c r="K69" s="25" t="s">
        <v>804</v>
      </c>
      <c r="L69" s="25" t="s">
        <v>805</v>
      </c>
      <c r="M69" s="25" t="s">
        <v>55</v>
      </c>
      <c r="N69" s="25" t="s">
        <v>806</v>
      </c>
      <c r="O69" s="25"/>
      <c r="P69" s="25"/>
      <c r="Q69" s="25"/>
      <c r="R69" s="25"/>
      <c r="S69" s="25"/>
      <c r="T69" s="25"/>
      <c r="U69" s="25"/>
      <c r="V69" s="25"/>
      <c r="W69" s="25"/>
      <c r="X69" s="25" t="s">
        <v>807</v>
      </c>
      <c r="Y69" s="27" t="s">
        <v>58</v>
      </c>
      <c r="Z69" s="26" t="s">
        <v>772</v>
      </c>
      <c r="AA69" s="26" t="s">
        <v>415</v>
      </c>
      <c r="AB69" s="26" t="s">
        <v>808</v>
      </c>
      <c r="AC69" s="26" t="s">
        <v>774</v>
      </c>
      <c r="AD69" s="28" t="s">
        <v>809</v>
      </c>
      <c r="AE69" s="26" t="s">
        <v>810</v>
      </c>
      <c r="AF69" s="26" t="s">
        <v>811</v>
      </c>
      <c r="AG69" s="26" t="s">
        <v>812</v>
      </c>
      <c r="AH69" s="26">
        <v>0.5</v>
      </c>
      <c r="AI69" s="26"/>
      <c r="AJ69" s="25"/>
      <c r="AK69">
        <f t="shared" si="11"/>
        <v>1</v>
      </c>
      <c r="AL69">
        <f t="shared" si="8"/>
        <v>0</v>
      </c>
      <c r="AM69">
        <f t="shared" si="9"/>
        <v>0</v>
      </c>
      <c r="AN69">
        <f t="shared" si="10"/>
        <v>1</v>
      </c>
    </row>
    <row r="70" spans="1:60" ht="170" x14ac:dyDescent="0.2">
      <c r="A70" s="24">
        <v>7582788</v>
      </c>
      <c r="B70" s="25" t="s">
        <v>34</v>
      </c>
      <c r="C70" s="26" t="s">
        <v>813</v>
      </c>
      <c r="D70" s="26" t="s">
        <v>814</v>
      </c>
      <c r="E70" s="26" t="s">
        <v>815</v>
      </c>
      <c r="F70" s="25">
        <v>2016</v>
      </c>
      <c r="G70" s="27"/>
      <c r="H70" s="27"/>
      <c r="I70" s="27" t="s">
        <v>816</v>
      </c>
      <c r="J70" s="25" t="s">
        <v>817</v>
      </c>
      <c r="K70" s="25" t="s">
        <v>818</v>
      </c>
      <c r="L70" s="25"/>
      <c r="M70" s="25"/>
      <c r="N70" s="25" t="s">
        <v>360</v>
      </c>
      <c r="O70" s="25"/>
      <c r="P70" s="25"/>
      <c r="Q70" s="25"/>
      <c r="R70" s="25"/>
      <c r="S70" s="25"/>
      <c r="T70" s="25"/>
      <c r="U70" s="25"/>
      <c r="V70" s="25"/>
      <c r="W70" s="25"/>
      <c r="X70" s="25" t="s">
        <v>819</v>
      </c>
      <c r="Y70" s="27" t="s">
        <v>58</v>
      </c>
      <c r="Z70" s="26" t="s">
        <v>1075</v>
      </c>
      <c r="AA70" s="26"/>
      <c r="AB70" s="26"/>
      <c r="AC70" s="26"/>
      <c r="AD70" s="26"/>
      <c r="AE70" s="26"/>
      <c r="AF70" s="26"/>
      <c r="AG70" s="26"/>
      <c r="AH70" s="26"/>
      <c r="AI70" s="26" t="s">
        <v>798</v>
      </c>
      <c r="AJ70" s="25"/>
      <c r="AK70">
        <f t="shared" si="11"/>
        <v>1</v>
      </c>
      <c r="AL70">
        <f t="shared" si="8"/>
        <v>0</v>
      </c>
      <c r="AM70">
        <f t="shared" si="9"/>
        <v>1</v>
      </c>
      <c r="AN70">
        <f t="shared" si="10"/>
        <v>0</v>
      </c>
      <c r="BF70" t="s">
        <v>1378</v>
      </c>
    </row>
    <row r="71" spans="1:60" ht="153" x14ac:dyDescent="0.2">
      <c r="A71" s="24" t="s">
        <v>820</v>
      </c>
      <c r="B71" s="25" t="s">
        <v>821</v>
      </c>
      <c r="C71" s="26" t="s">
        <v>822</v>
      </c>
      <c r="D71" s="26" t="s">
        <v>823</v>
      </c>
      <c r="E71" s="26" t="s">
        <v>824</v>
      </c>
      <c r="F71" s="25">
        <v>2017</v>
      </c>
      <c r="G71" s="27"/>
      <c r="H71" s="27"/>
      <c r="I71" s="27" t="s">
        <v>825</v>
      </c>
      <c r="J71" s="25" t="s">
        <v>826</v>
      </c>
      <c r="K71" s="25" t="s">
        <v>827</v>
      </c>
      <c r="L71" s="25" t="s">
        <v>820</v>
      </c>
      <c r="M71" s="25"/>
      <c r="N71" s="25"/>
      <c r="O71" s="25"/>
      <c r="P71" s="25">
        <v>9781450344869</v>
      </c>
      <c r="Q71" s="25" t="s">
        <v>828</v>
      </c>
      <c r="R71" s="25" t="s">
        <v>829</v>
      </c>
      <c r="S71" s="29" t="s">
        <v>830</v>
      </c>
      <c r="T71" s="25">
        <v>7</v>
      </c>
      <c r="U71" s="25" t="s">
        <v>831</v>
      </c>
      <c r="V71" s="25" t="s">
        <v>832</v>
      </c>
      <c r="W71" s="25"/>
      <c r="X71" s="25" t="s">
        <v>833</v>
      </c>
      <c r="Y71" s="27" t="s">
        <v>58</v>
      </c>
      <c r="Z71" s="26" t="s">
        <v>834</v>
      </c>
      <c r="AA71" s="26" t="s">
        <v>415</v>
      </c>
      <c r="AB71" s="26" t="s">
        <v>835</v>
      </c>
      <c r="AC71" s="26"/>
      <c r="AD71" s="26" t="s">
        <v>836</v>
      </c>
      <c r="AE71" s="26" t="s">
        <v>837</v>
      </c>
      <c r="AF71" s="26" t="s">
        <v>761</v>
      </c>
      <c r="AG71" s="26" t="s">
        <v>66</v>
      </c>
      <c r="AH71" s="26">
        <v>0</v>
      </c>
      <c r="AI71" s="26"/>
      <c r="AJ71" s="25"/>
      <c r="AK71">
        <f t="shared" si="11"/>
        <v>1</v>
      </c>
      <c r="AL71">
        <f t="shared" si="8"/>
        <v>0</v>
      </c>
      <c r="AM71">
        <f t="shared" si="9"/>
        <v>0</v>
      </c>
      <c r="AN71">
        <f t="shared" si="10"/>
        <v>1</v>
      </c>
      <c r="BF71" t="s">
        <v>1382</v>
      </c>
      <c r="BG71" t="s">
        <v>1379</v>
      </c>
      <c r="BH71" t="s">
        <v>1377</v>
      </c>
    </row>
    <row r="72" spans="1:60" ht="119" x14ac:dyDescent="0.2">
      <c r="A72" s="24" t="s">
        <v>838</v>
      </c>
      <c r="B72" s="25" t="s">
        <v>839</v>
      </c>
      <c r="C72" s="26" t="s">
        <v>840</v>
      </c>
      <c r="D72" s="26"/>
      <c r="E72" s="26" t="s">
        <v>841</v>
      </c>
      <c r="F72" s="25">
        <v>2021</v>
      </c>
      <c r="G72" s="27">
        <v>33</v>
      </c>
      <c r="H72" s="27">
        <v>9</v>
      </c>
      <c r="I72" s="27" t="s">
        <v>842</v>
      </c>
      <c r="J72" s="25" t="s">
        <v>843</v>
      </c>
      <c r="K72" s="25" t="s">
        <v>844</v>
      </c>
      <c r="L72" s="29" t="s">
        <v>845</v>
      </c>
      <c r="M72" s="25" t="s">
        <v>846</v>
      </c>
      <c r="N72" s="25"/>
      <c r="O72" s="25" t="s">
        <v>847</v>
      </c>
      <c r="P72" s="25"/>
      <c r="Q72" s="25"/>
      <c r="R72" s="25"/>
      <c r="S72" s="29" t="s">
        <v>848</v>
      </c>
      <c r="T72" s="25"/>
      <c r="U72" s="25"/>
      <c r="V72" s="25"/>
      <c r="W72" s="25"/>
      <c r="X72" s="25" t="s">
        <v>849</v>
      </c>
      <c r="Y72" s="27" t="s">
        <v>44</v>
      </c>
      <c r="Z72" s="26" t="s">
        <v>850</v>
      </c>
      <c r="AA72" s="30" t="s">
        <v>77</v>
      </c>
      <c r="AB72" s="30"/>
      <c r="AC72" s="30"/>
      <c r="AD72" s="30"/>
      <c r="AE72" s="30"/>
      <c r="AF72" s="30"/>
      <c r="AG72" s="30"/>
      <c r="AH72" s="30"/>
      <c r="AI72" s="26"/>
      <c r="AJ72" s="25"/>
      <c r="AK72">
        <f t="shared" si="11"/>
        <v>0</v>
      </c>
      <c r="AL72">
        <f t="shared" si="8"/>
        <v>0</v>
      </c>
      <c r="AM72">
        <f t="shared" si="9"/>
        <v>0</v>
      </c>
      <c r="AN72">
        <f t="shared" si="10"/>
        <v>0</v>
      </c>
      <c r="BF72">
        <v>2013</v>
      </c>
      <c r="BG72" s="35" cm="1">
        <f t="array" ref="BG72">SUMPRODUCT((Y$2:Y$1000="PS")*(F$2:F$1000=BF72)*ISNUMBER(SEARCH("minimization",LOWER(Z$2:Z$1000)))*ISNUMBER(SEARCH("search-based",LOWER(AA$2:AA$1000))))</f>
        <v>0</v>
      </c>
      <c r="BH72" s="35" cm="1">
        <f t="array" ref="BH72">SUMPRODUCT((Y$2:Y$1000="PS")*(F$2:F$1000=BF72)*ISNUMBER(SEARCH("minimization",LOWER(Z$2:Z$1000)))*(NOT(ISNUMBER(SEARCH("search-based",LOWER(AA$2:AA$1000))))))</f>
        <v>1</v>
      </c>
    </row>
    <row r="73" spans="1:60" ht="204" x14ac:dyDescent="0.2">
      <c r="A73" s="24" t="s">
        <v>851</v>
      </c>
      <c r="B73" s="25" t="s">
        <v>839</v>
      </c>
      <c r="C73" s="26" t="s">
        <v>852</v>
      </c>
      <c r="D73" s="26"/>
      <c r="E73" s="26" t="s">
        <v>853</v>
      </c>
      <c r="F73" s="25">
        <v>2019</v>
      </c>
      <c r="G73" s="27">
        <v>153</v>
      </c>
      <c r="H73" s="27"/>
      <c r="I73" s="27" t="s">
        <v>854</v>
      </c>
      <c r="J73" s="25" t="s">
        <v>855</v>
      </c>
      <c r="K73" s="25" t="s">
        <v>856</v>
      </c>
      <c r="L73" s="29" t="s">
        <v>857</v>
      </c>
      <c r="M73" s="25" t="s">
        <v>858</v>
      </c>
      <c r="N73" s="25"/>
      <c r="O73" s="25" t="s">
        <v>530</v>
      </c>
      <c r="P73" s="25"/>
      <c r="Q73" s="25"/>
      <c r="R73" s="25"/>
      <c r="S73" s="29" t="s">
        <v>859</v>
      </c>
      <c r="T73" s="25"/>
      <c r="U73" s="25"/>
      <c r="V73" s="25"/>
      <c r="W73" s="25"/>
      <c r="X73" s="25" t="s">
        <v>860</v>
      </c>
      <c r="Y73" s="27" t="s">
        <v>58</v>
      </c>
      <c r="Z73" s="26" t="s">
        <v>772</v>
      </c>
      <c r="AA73" s="26" t="s">
        <v>415</v>
      </c>
      <c r="AB73" s="26" t="s">
        <v>773</v>
      </c>
      <c r="AC73" s="26" t="s">
        <v>861</v>
      </c>
      <c r="AD73" s="26" t="s">
        <v>862</v>
      </c>
      <c r="AE73" s="26" t="s">
        <v>863</v>
      </c>
      <c r="AF73" s="26" t="s">
        <v>864</v>
      </c>
      <c r="AG73" s="26" t="s">
        <v>865</v>
      </c>
      <c r="AH73" s="26">
        <v>0</v>
      </c>
      <c r="AI73" s="26"/>
      <c r="AJ73" s="25"/>
      <c r="AK73">
        <f t="shared" si="11"/>
        <v>1</v>
      </c>
      <c r="AL73">
        <f t="shared" si="8"/>
        <v>0</v>
      </c>
      <c r="AM73">
        <f t="shared" si="9"/>
        <v>0</v>
      </c>
      <c r="AN73">
        <f t="shared" si="10"/>
        <v>1</v>
      </c>
      <c r="BF73">
        <v>2014</v>
      </c>
      <c r="BG73" s="35" cm="1">
        <f t="array" ref="BG73">SUMPRODUCT((Y$2:Y$1000="PS")*(F$2:F$1000=BF73)*ISNUMBER(SEARCH("minimization",LOWER(Z$2:Z$1000)))*ISNUMBER(SEARCH("search-based",LOWER(AA$2:AA$1000))))</f>
        <v>0</v>
      </c>
      <c r="BH73" s="35" cm="1">
        <f t="array" ref="BH73">SUMPRODUCT((Y$2:Y$1000="PS")*(F$2:F$1000=BF73)*ISNUMBER(SEARCH("minimization",LOWER(Z$2:Z$1000)))*(NOT(ISNUMBER(SEARCH("search-based",LOWER(AA$2:AA$1000))))))</f>
        <v>0</v>
      </c>
    </row>
    <row r="74" spans="1:60" ht="255" x14ac:dyDescent="0.2">
      <c r="A74" s="24" t="s">
        <v>866</v>
      </c>
      <c r="B74" s="25" t="s">
        <v>839</v>
      </c>
      <c r="C74" s="26" t="s">
        <v>867</v>
      </c>
      <c r="D74" s="26"/>
      <c r="E74" s="26" t="s">
        <v>868</v>
      </c>
      <c r="F74" s="25">
        <v>2018</v>
      </c>
      <c r="G74" s="27">
        <v>135</v>
      </c>
      <c r="H74" s="27"/>
      <c r="I74" s="27" t="s">
        <v>869</v>
      </c>
      <c r="J74" s="25" t="s">
        <v>870</v>
      </c>
      <c r="K74" s="25" t="s">
        <v>871</v>
      </c>
      <c r="L74" s="29" t="s">
        <v>872</v>
      </c>
      <c r="M74" s="25" t="s">
        <v>858</v>
      </c>
      <c r="N74" s="25"/>
      <c r="O74" s="25" t="s">
        <v>530</v>
      </c>
      <c r="P74" s="25"/>
      <c r="Q74" s="25"/>
      <c r="R74" s="25"/>
      <c r="S74" s="29" t="s">
        <v>873</v>
      </c>
      <c r="T74" s="25"/>
      <c r="U74" s="25"/>
      <c r="V74" s="25"/>
      <c r="W74" s="25"/>
      <c r="X74" s="25" t="s">
        <v>874</v>
      </c>
      <c r="Y74" s="27" t="s">
        <v>58</v>
      </c>
      <c r="Z74" s="26" t="s">
        <v>772</v>
      </c>
      <c r="AA74" s="26" t="s">
        <v>415</v>
      </c>
      <c r="AB74" s="26" t="s">
        <v>472</v>
      </c>
      <c r="AC74" s="26"/>
      <c r="AD74" s="26" t="s">
        <v>875</v>
      </c>
      <c r="AE74" s="26" t="s">
        <v>876</v>
      </c>
      <c r="AF74" s="26" t="s">
        <v>877</v>
      </c>
      <c r="AG74" s="26" t="s">
        <v>878</v>
      </c>
      <c r="AH74" s="26">
        <v>0</v>
      </c>
      <c r="AI74" s="26"/>
      <c r="AJ74" s="25"/>
      <c r="AK74">
        <f t="shared" si="11"/>
        <v>1</v>
      </c>
      <c r="AL74">
        <f t="shared" si="8"/>
        <v>0</v>
      </c>
      <c r="AM74">
        <f t="shared" si="9"/>
        <v>0</v>
      </c>
      <c r="AN74">
        <f t="shared" si="10"/>
        <v>1</v>
      </c>
      <c r="BF74">
        <v>2015</v>
      </c>
      <c r="BG74" s="35" cm="1">
        <f t="array" ref="BG74">SUMPRODUCT((Y$2:Y$1000="PS")*(F$2:F$1000=BF74)*ISNUMBER(SEARCH("minimization",LOWER(Z$2:Z$1000)))*ISNUMBER(SEARCH("search-based",LOWER(AA$2:AA$1000))))</f>
        <v>0</v>
      </c>
      <c r="BH74" s="35" cm="1">
        <f t="array" ref="BH74">SUMPRODUCT((Y$2:Y$1000="PS")*(F$2:F$1000=BF74)*ISNUMBER(SEARCH("minimization",LOWER(Z$2:Z$1000)))*(NOT(ISNUMBER(SEARCH("search-based",LOWER(AA$2:AA$1000))))))</f>
        <v>0</v>
      </c>
    </row>
    <row r="75" spans="1:60" ht="119" x14ac:dyDescent="0.2">
      <c r="A75" s="24" t="s">
        <v>879</v>
      </c>
      <c r="B75" s="25" t="s">
        <v>839</v>
      </c>
      <c r="C75" s="26" t="s">
        <v>880</v>
      </c>
      <c r="D75" s="26"/>
      <c r="E75" s="26" t="s">
        <v>881</v>
      </c>
      <c r="F75" s="25">
        <v>2022</v>
      </c>
      <c r="G75" s="27">
        <v>34</v>
      </c>
      <c r="H75" s="27" t="s">
        <v>882</v>
      </c>
      <c r="I75" s="27" t="s">
        <v>883</v>
      </c>
      <c r="J75" s="25" t="s">
        <v>884</v>
      </c>
      <c r="K75" s="25" t="s">
        <v>885</v>
      </c>
      <c r="L75" s="29" t="s">
        <v>886</v>
      </c>
      <c r="M75" s="25" t="s">
        <v>846</v>
      </c>
      <c r="N75" s="25"/>
      <c r="O75" s="25" t="s">
        <v>847</v>
      </c>
      <c r="P75" s="25"/>
      <c r="Q75" s="25"/>
      <c r="R75" s="25"/>
      <c r="S75" s="29" t="s">
        <v>887</v>
      </c>
      <c r="T75" s="25"/>
      <c r="U75" s="25"/>
      <c r="V75" s="25"/>
      <c r="W75" s="25"/>
      <c r="X75" s="25" t="s">
        <v>888</v>
      </c>
      <c r="Y75" s="27" t="s">
        <v>58</v>
      </c>
      <c r="Z75" s="26" t="s">
        <v>850</v>
      </c>
      <c r="AA75" s="26" t="s">
        <v>60</v>
      </c>
      <c r="AB75" s="26" t="s">
        <v>889</v>
      </c>
      <c r="AC75" s="26" t="s">
        <v>774</v>
      </c>
      <c r="AD75" s="26" t="s">
        <v>890</v>
      </c>
      <c r="AE75" s="26" t="s">
        <v>891</v>
      </c>
      <c r="AF75" s="26" t="s">
        <v>892</v>
      </c>
      <c r="AG75" s="26" t="s">
        <v>66</v>
      </c>
      <c r="AH75" s="26">
        <v>0.5</v>
      </c>
      <c r="AI75" s="26"/>
      <c r="AJ75" s="25"/>
      <c r="AK75">
        <f t="shared" si="11"/>
        <v>1</v>
      </c>
      <c r="AL75">
        <f t="shared" si="8"/>
        <v>0</v>
      </c>
      <c r="AM75">
        <f t="shared" si="9"/>
        <v>0</v>
      </c>
      <c r="AN75">
        <f t="shared" si="10"/>
        <v>1</v>
      </c>
      <c r="BF75">
        <v>2016</v>
      </c>
      <c r="BG75" s="35" cm="1">
        <f t="array" ref="BG75">SUMPRODUCT((Y$2:Y$1000="PS")*(F$2:F$1000=BF75)*ISNUMBER(SEARCH("minimization",LOWER(Z$2:Z$1000)))*ISNUMBER(SEARCH("search-based",LOWER(AA$2:AA$1000))))</f>
        <v>0</v>
      </c>
      <c r="BH75" s="35" cm="1">
        <f t="array" ref="BH75">SUMPRODUCT((Y$2:Y$1000="PS")*(F$2:F$1000=BF75)*ISNUMBER(SEARCH("minimization",LOWER(Z$2:Z$1000)))*(NOT(ISNUMBER(SEARCH("search-based",LOWER(AA$2:AA$1000))))))</f>
        <v>0</v>
      </c>
    </row>
    <row r="76" spans="1:60" ht="170" x14ac:dyDescent="0.2">
      <c r="A76" s="24" t="s">
        <v>893</v>
      </c>
      <c r="B76" s="25" t="s">
        <v>839</v>
      </c>
      <c r="C76" s="26" t="s">
        <v>894</v>
      </c>
      <c r="D76" s="26"/>
      <c r="E76" s="26" t="s">
        <v>895</v>
      </c>
      <c r="F76" s="25">
        <v>2020</v>
      </c>
      <c r="G76" s="27">
        <v>163</v>
      </c>
      <c r="H76" s="27"/>
      <c r="I76" s="27" t="s">
        <v>896</v>
      </c>
      <c r="J76" s="25" t="s">
        <v>897</v>
      </c>
      <c r="K76" s="25" t="s">
        <v>898</v>
      </c>
      <c r="L76" s="29" t="s">
        <v>899</v>
      </c>
      <c r="M76" s="25" t="s">
        <v>858</v>
      </c>
      <c r="N76" s="25"/>
      <c r="O76" s="25" t="s">
        <v>530</v>
      </c>
      <c r="P76" s="25"/>
      <c r="Q76" s="25"/>
      <c r="R76" s="25"/>
      <c r="S76" s="29" t="s">
        <v>900</v>
      </c>
      <c r="T76" s="25"/>
      <c r="U76" s="25"/>
      <c r="V76" s="25"/>
      <c r="W76" s="25"/>
      <c r="X76" s="25" t="s">
        <v>901</v>
      </c>
      <c r="Y76" s="27" t="s">
        <v>58</v>
      </c>
      <c r="Z76" s="26" t="s">
        <v>902</v>
      </c>
      <c r="AA76" s="26" t="s">
        <v>415</v>
      </c>
      <c r="AB76" s="26" t="s">
        <v>889</v>
      </c>
      <c r="AC76" s="26" t="s">
        <v>774</v>
      </c>
      <c r="AD76" s="26" t="s">
        <v>875</v>
      </c>
      <c r="AE76" s="26" t="s">
        <v>903</v>
      </c>
      <c r="AF76" s="26" t="s">
        <v>904</v>
      </c>
      <c r="AG76" s="26" t="s">
        <v>66</v>
      </c>
      <c r="AH76" s="26">
        <v>0</v>
      </c>
      <c r="AI76" s="26"/>
      <c r="AJ76" s="25"/>
      <c r="AK76">
        <f t="shared" si="11"/>
        <v>1</v>
      </c>
      <c r="AL76">
        <f t="shared" si="8"/>
        <v>0</v>
      </c>
      <c r="AM76">
        <f t="shared" si="9"/>
        <v>0</v>
      </c>
      <c r="AN76">
        <f t="shared" si="10"/>
        <v>1</v>
      </c>
      <c r="BF76">
        <v>2017</v>
      </c>
      <c r="BG76" s="35" cm="1">
        <f t="array" ref="BG76">SUMPRODUCT((Y$2:Y$1000="PS")*(F$2:F$1000=BF76)*ISNUMBER(SEARCH("minimization",LOWER(Z$2:Z$1000)))*ISNUMBER(SEARCH("search-based",LOWER(AA$2:AA$1000))))</f>
        <v>0</v>
      </c>
      <c r="BH76" s="35" cm="1">
        <f t="array" ref="BH76">SUMPRODUCT((Y$2:Y$1000="PS")*(F$2:F$1000=BF76)*ISNUMBER(SEARCH("minimization",LOWER(Z$2:Z$1000)))*(NOT(ISNUMBER(SEARCH("search-based",LOWER(AA$2:AA$1000))))))</f>
        <v>0</v>
      </c>
    </row>
    <row r="77" spans="1:60" ht="187" x14ac:dyDescent="0.2">
      <c r="A77" s="24" t="s">
        <v>905</v>
      </c>
      <c r="B77" s="25" t="s">
        <v>839</v>
      </c>
      <c r="C77" s="26" t="s">
        <v>906</v>
      </c>
      <c r="D77" s="26"/>
      <c r="E77" s="26" t="s">
        <v>907</v>
      </c>
      <c r="F77" s="25">
        <v>2025</v>
      </c>
      <c r="G77" s="27">
        <v>160</v>
      </c>
      <c r="H77" s="27"/>
      <c r="I77" s="27" t="s">
        <v>908</v>
      </c>
      <c r="J77" s="25" t="s">
        <v>909</v>
      </c>
      <c r="K77" s="25" t="s">
        <v>910</v>
      </c>
      <c r="L77" s="29" t="s">
        <v>911</v>
      </c>
      <c r="M77" s="25" t="s">
        <v>912</v>
      </c>
      <c r="N77" s="25"/>
      <c r="O77" s="25" t="s">
        <v>913</v>
      </c>
      <c r="P77" s="25"/>
      <c r="Q77" s="25"/>
      <c r="R77" s="25"/>
      <c r="S77" s="29" t="s">
        <v>914</v>
      </c>
      <c r="T77" s="25"/>
      <c r="U77" s="25"/>
      <c r="V77" s="25"/>
      <c r="W77" s="25"/>
      <c r="X77" s="25" t="s">
        <v>915</v>
      </c>
      <c r="Y77" s="27" t="s">
        <v>58</v>
      </c>
      <c r="Z77" s="26" t="s">
        <v>916</v>
      </c>
      <c r="AA77" s="26" t="s">
        <v>60</v>
      </c>
      <c r="AB77" s="26" t="s">
        <v>917</v>
      </c>
      <c r="AC77" s="26" t="s">
        <v>774</v>
      </c>
      <c r="AD77" s="26" t="s">
        <v>875</v>
      </c>
      <c r="AE77" s="26" t="s">
        <v>918</v>
      </c>
      <c r="AF77" s="26" t="s">
        <v>919</v>
      </c>
      <c r="AG77" s="26" t="s">
        <v>920</v>
      </c>
      <c r="AH77" s="26">
        <v>0.5</v>
      </c>
      <c r="AI77" s="26"/>
      <c r="AJ77" s="25"/>
      <c r="AK77">
        <f t="shared" si="11"/>
        <v>1</v>
      </c>
      <c r="AL77">
        <f t="shared" si="8"/>
        <v>0</v>
      </c>
      <c r="AM77">
        <f t="shared" si="9"/>
        <v>1</v>
      </c>
      <c r="AN77">
        <f t="shared" si="10"/>
        <v>0</v>
      </c>
      <c r="BF77">
        <v>2018</v>
      </c>
      <c r="BG77" s="35" cm="1">
        <f t="array" ref="BG77">SUMPRODUCT((Y$2:Y$1000="PS")*(F$2:F$1000=BF77)*ISNUMBER(SEARCH("minimization",LOWER(Z$2:Z$1000)))*ISNUMBER(SEARCH("search-based",LOWER(AA$2:AA$1000))))</f>
        <v>0</v>
      </c>
      <c r="BH77" s="35" cm="1">
        <f t="array" ref="BH77">SUMPRODUCT((Y$2:Y$1000="PS")*(F$2:F$1000=BF77)*ISNUMBER(SEARCH("minimization",LOWER(Z$2:Z$1000)))*(NOT(ISNUMBER(SEARCH("search-based",LOWER(AA$2:AA$1000))))))</f>
        <v>0</v>
      </c>
    </row>
    <row r="78" spans="1:60" ht="170" x14ac:dyDescent="0.2">
      <c r="A78" s="24" t="s">
        <v>921</v>
      </c>
      <c r="B78" s="25" t="s">
        <v>839</v>
      </c>
      <c r="C78" s="26" t="s">
        <v>922</v>
      </c>
      <c r="D78" s="26"/>
      <c r="E78" s="26" t="s">
        <v>923</v>
      </c>
      <c r="F78" s="25">
        <v>2020</v>
      </c>
      <c r="G78" s="27">
        <v>169</v>
      </c>
      <c r="H78" s="27"/>
      <c r="I78" s="27" t="s">
        <v>924</v>
      </c>
      <c r="J78" s="25" t="s">
        <v>925</v>
      </c>
      <c r="K78" s="25" t="s">
        <v>926</v>
      </c>
      <c r="L78" s="29" t="s">
        <v>927</v>
      </c>
      <c r="M78" s="25" t="s">
        <v>858</v>
      </c>
      <c r="N78" s="25"/>
      <c r="O78" s="25" t="s">
        <v>530</v>
      </c>
      <c r="P78" s="25"/>
      <c r="Q78" s="25"/>
      <c r="R78" s="25"/>
      <c r="S78" s="29" t="s">
        <v>928</v>
      </c>
      <c r="T78" s="25"/>
      <c r="U78" s="25"/>
      <c r="V78" s="25"/>
      <c r="W78" s="25"/>
      <c r="X78" s="25" t="s">
        <v>929</v>
      </c>
      <c r="Y78" s="27" t="s">
        <v>58</v>
      </c>
      <c r="Z78" s="26" t="s">
        <v>758</v>
      </c>
      <c r="AA78" s="26" t="s">
        <v>415</v>
      </c>
      <c r="AB78" s="26" t="s">
        <v>889</v>
      </c>
      <c r="AC78" s="26" t="s">
        <v>774</v>
      </c>
      <c r="AD78" s="26" t="s">
        <v>930</v>
      </c>
      <c r="AE78" s="26" t="s">
        <v>931</v>
      </c>
      <c r="AF78" s="26" t="s">
        <v>811</v>
      </c>
      <c r="AG78" s="26" t="s">
        <v>932</v>
      </c>
      <c r="AH78" s="26">
        <v>1</v>
      </c>
      <c r="AI78" s="26"/>
      <c r="AJ78" s="25"/>
      <c r="AK78">
        <f t="shared" si="11"/>
        <v>1</v>
      </c>
      <c r="AL78">
        <f t="shared" si="8"/>
        <v>0</v>
      </c>
      <c r="AM78">
        <f t="shared" si="9"/>
        <v>0</v>
      </c>
      <c r="AN78">
        <f t="shared" si="10"/>
        <v>1</v>
      </c>
      <c r="BF78">
        <v>2019</v>
      </c>
      <c r="BG78" s="35" cm="1">
        <f t="array" ref="BG78">SUMPRODUCT((Y$2:Y$1000="PS")*(F$2:F$1000=BF78)*ISNUMBER(SEARCH("minimization",LOWER(Z$2:Z$1000)))*ISNUMBER(SEARCH("search-based",LOWER(AA$2:AA$1000))))</f>
        <v>0</v>
      </c>
      <c r="BH78" s="35" cm="1">
        <f t="array" ref="BH78">SUMPRODUCT((Y$2:Y$1000="PS")*(F$2:F$1000=BF78)*ISNUMBER(SEARCH("minimization",LOWER(Z$2:Z$1000)))*(NOT(ISNUMBER(SEARCH("search-based",LOWER(AA$2:AA$1000))))))</f>
        <v>0</v>
      </c>
    </row>
    <row r="79" spans="1:60" ht="255" x14ac:dyDescent="0.2">
      <c r="A79" s="24" t="s">
        <v>933</v>
      </c>
      <c r="B79" s="25" t="s">
        <v>839</v>
      </c>
      <c r="C79" s="26" t="s">
        <v>934</v>
      </c>
      <c r="D79" s="26"/>
      <c r="E79" s="26" t="s">
        <v>935</v>
      </c>
      <c r="F79" s="25">
        <v>2022</v>
      </c>
      <c r="G79" s="27">
        <v>299</v>
      </c>
      <c r="H79" s="27">
        <v>1</v>
      </c>
      <c r="I79" s="27" t="s">
        <v>936</v>
      </c>
      <c r="J79" s="25" t="s">
        <v>937</v>
      </c>
      <c r="K79" s="25" t="s">
        <v>938</v>
      </c>
      <c r="L79" s="29" t="s">
        <v>939</v>
      </c>
      <c r="M79" s="25" t="s">
        <v>940</v>
      </c>
      <c r="N79" s="25"/>
      <c r="O79" s="25" t="s">
        <v>941</v>
      </c>
      <c r="P79" s="25"/>
      <c r="Q79" s="25"/>
      <c r="R79" s="25"/>
      <c r="S79" s="29" t="s">
        <v>942</v>
      </c>
      <c r="T79" s="25"/>
      <c r="U79" s="25"/>
      <c r="V79" s="25"/>
      <c r="W79" s="25"/>
      <c r="X79" s="25" t="s">
        <v>943</v>
      </c>
      <c r="Y79" s="27" t="s">
        <v>58</v>
      </c>
      <c r="Z79" s="26" t="s">
        <v>1075</v>
      </c>
      <c r="AA79" s="26"/>
      <c r="AB79" s="26"/>
      <c r="AC79" s="26"/>
      <c r="AD79" s="26"/>
      <c r="AE79" s="26"/>
      <c r="AF79" s="26"/>
      <c r="AG79" s="26"/>
      <c r="AH79" s="26"/>
      <c r="AI79" s="26" t="s">
        <v>798</v>
      </c>
      <c r="AJ79" s="25"/>
      <c r="AK79">
        <f t="shared" si="11"/>
        <v>1</v>
      </c>
      <c r="AL79">
        <f t="shared" si="8"/>
        <v>0</v>
      </c>
      <c r="AM79">
        <f t="shared" si="9"/>
        <v>1</v>
      </c>
      <c r="AN79">
        <f t="shared" si="10"/>
        <v>0</v>
      </c>
      <c r="BF79">
        <v>2020</v>
      </c>
      <c r="BG79" s="35" cm="1">
        <f t="array" ref="BG79">SUMPRODUCT((Y$2:Y$1000="PS")*(F$2:F$1000=BF79)*ISNUMBER(SEARCH("minimization",LOWER(Z$2:Z$1000)))*ISNUMBER(SEARCH("search-based",LOWER(AA$2:AA$1000))))</f>
        <v>0</v>
      </c>
      <c r="BH79" s="35" cm="1">
        <f t="array" ref="BH79">SUMPRODUCT((Y$2:Y$1000="PS")*(F$2:F$1000=BF79)*ISNUMBER(SEARCH("minimization",LOWER(Z$2:Z$1000)))*(NOT(ISNUMBER(SEARCH("search-based",LOWER(AA$2:AA$1000))))))</f>
        <v>0</v>
      </c>
    </row>
    <row r="80" spans="1:60" ht="136" x14ac:dyDescent="0.2">
      <c r="A80" s="24" t="s">
        <v>944</v>
      </c>
      <c r="B80" s="25" t="s">
        <v>839</v>
      </c>
      <c r="C80" s="26" t="s">
        <v>945</v>
      </c>
      <c r="D80" s="26"/>
      <c r="E80" s="26" t="s">
        <v>946</v>
      </c>
      <c r="F80" s="25">
        <v>2023</v>
      </c>
      <c r="G80" s="27">
        <v>205</v>
      </c>
      <c r="H80" s="27"/>
      <c r="I80" s="27" t="s">
        <v>947</v>
      </c>
      <c r="J80" s="25" t="s">
        <v>948</v>
      </c>
      <c r="K80" s="25" t="s">
        <v>949</v>
      </c>
      <c r="L80" s="29" t="s">
        <v>950</v>
      </c>
      <c r="M80" s="25" t="s">
        <v>858</v>
      </c>
      <c r="N80" s="25"/>
      <c r="O80" s="25" t="s">
        <v>530</v>
      </c>
      <c r="P80" s="25"/>
      <c r="Q80" s="25"/>
      <c r="R80" s="25"/>
      <c r="S80" s="29" t="s">
        <v>951</v>
      </c>
      <c r="T80" s="25"/>
      <c r="U80" s="25"/>
      <c r="V80" s="25"/>
      <c r="W80" s="25"/>
      <c r="X80" s="25" t="s">
        <v>952</v>
      </c>
      <c r="Y80" s="27" t="s">
        <v>58</v>
      </c>
      <c r="Z80" s="26" t="s">
        <v>953</v>
      </c>
      <c r="AA80" s="26" t="s">
        <v>415</v>
      </c>
      <c r="AB80" s="26" t="s">
        <v>954</v>
      </c>
      <c r="AC80" s="26" t="s">
        <v>861</v>
      </c>
      <c r="AD80" s="26" t="s">
        <v>955</v>
      </c>
      <c r="AE80" s="26" t="s">
        <v>956</v>
      </c>
      <c r="AF80" s="26" t="s">
        <v>957</v>
      </c>
      <c r="AG80" s="26" t="s">
        <v>958</v>
      </c>
      <c r="AH80" s="26">
        <v>1</v>
      </c>
      <c r="AI80" s="26"/>
      <c r="AJ80" s="25"/>
      <c r="AK80">
        <f t="shared" si="11"/>
        <v>1</v>
      </c>
      <c r="AL80">
        <f t="shared" si="8"/>
        <v>0</v>
      </c>
      <c r="AM80">
        <f t="shared" si="9"/>
        <v>1</v>
      </c>
      <c r="AN80">
        <f t="shared" si="10"/>
        <v>0</v>
      </c>
      <c r="BF80">
        <v>2021</v>
      </c>
      <c r="BG80" s="35" cm="1">
        <f t="array" ref="BG80">SUMPRODUCT((Y$2:Y$1000="PS")*(F$2:F$1000=BF80)*ISNUMBER(SEARCH("minimization",LOWER(Z$2:Z$1000)))*ISNUMBER(SEARCH("search-based",LOWER(AA$2:AA$1000))))</f>
        <v>0</v>
      </c>
      <c r="BH80" s="35" cm="1">
        <f t="array" ref="BH80">SUMPRODUCT((Y$2:Y$1000="PS")*(F$2:F$1000=BF80)*ISNUMBER(SEARCH("minimization",LOWER(Z$2:Z$1000)))*(NOT(ISNUMBER(SEARCH("search-based",LOWER(AA$2:AA$1000))))))</f>
        <v>0</v>
      </c>
    </row>
    <row r="81" spans="1:60" ht="187" x14ac:dyDescent="0.2">
      <c r="A81" s="24" t="s">
        <v>959</v>
      </c>
      <c r="B81" s="25" t="s">
        <v>839</v>
      </c>
      <c r="C81" s="26" t="s">
        <v>960</v>
      </c>
      <c r="D81" s="26"/>
      <c r="E81" s="26" t="s">
        <v>961</v>
      </c>
      <c r="F81" s="25">
        <v>2022</v>
      </c>
      <c r="G81" s="27">
        <v>192</v>
      </c>
      <c r="H81" s="27"/>
      <c r="I81" s="27" t="s">
        <v>962</v>
      </c>
      <c r="J81" s="25" t="s">
        <v>963</v>
      </c>
      <c r="K81" s="25" t="s">
        <v>964</v>
      </c>
      <c r="L81" s="29" t="s">
        <v>965</v>
      </c>
      <c r="M81" s="25" t="s">
        <v>858</v>
      </c>
      <c r="N81" s="25"/>
      <c r="O81" s="25" t="s">
        <v>530</v>
      </c>
      <c r="P81" s="25"/>
      <c r="Q81" s="25"/>
      <c r="R81" s="25"/>
      <c r="S81" s="29" t="s">
        <v>966</v>
      </c>
      <c r="T81" s="25"/>
      <c r="U81" s="25"/>
      <c r="V81" s="25"/>
      <c r="W81" s="25"/>
      <c r="X81" s="25" t="s">
        <v>967</v>
      </c>
      <c r="Y81" s="27" t="s">
        <v>58</v>
      </c>
      <c r="Z81" s="26" t="s">
        <v>968</v>
      </c>
      <c r="AA81" s="26" t="s">
        <v>415</v>
      </c>
      <c r="AB81" s="26" t="s">
        <v>969</v>
      </c>
      <c r="AC81" s="26" t="s">
        <v>774</v>
      </c>
      <c r="AD81" s="26" t="s">
        <v>970</v>
      </c>
      <c r="AE81" s="26" t="s">
        <v>971</v>
      </c>
      <c r="AF81" s="26" t="s">
        <v>972</v>
      </c>
      <c r="AG81" s="26" t="s">
        <v>66</v>
      </c>
      <c r="AH81" s="26">
        <v>1</v>
      </c>
      <c r="AI81" s="26"/>
      <c r="AJ81" s="25"/>
      <c r="AK81">
        <f t="shared" si="11"/>
        <v>1</v>
      </c>
      <c r="AL81">
        <f t="shared" si="8"/>
        <v>0</v>
      </c>
      <c r="AM81">
        <f t="shared" si="9"/>
        <v>0</v>
      </c>
      <c r="AN81">
        <f t="shared" si="10"/>
        <v>1</v>
      </c>
      <c r="BF81">
        <v>2022</v>
      </c>
      <c r="BG81" s="35" cm="1">
        <f t="array" ref="BG81">SUMPRODUCT((Y$2:Y$1000="PS")*(F$2:F$1000=BF81)*ISNUMBER(SEARCH("minimization",LOWER(Z$2:Z$1000)))*ISNUMBER(SEARCH("search-based",LOWER(AA$2:AA$1000))))</f>
        <v>1</v>
      </c>
      <c r="BH81" s="35" cm="1">
        <f t="array" ref="BH81">SUMPRODUCT((Y$2:Y$1000="PS")*(F$2:F$1000=BF81)*ISNUMBER(SEARCH("minimization",LOWER(Z$2:Z$1000)))*(NOT(ISNUMBER(SEARCH("search-based",LOWER(AA$2:AA$1000))))))</f>
        <v>0</v>
      </c>
    </row>
    <row r="82" spans="1:60" ht="170" x14ac:dyDescent="0.2">
      <c r="A82" s="24"/>
      <c r="B82" s="25"/>
      <c r="C82" s="26" t="s">
        <v>973</v>
      </c>
      <c r="D82" s="26" t="s">
        <v>974</v>
      </c>
      <c r="E82" s="26" t="s">
        <v>975</v>
      </c>
      <c r="F82" s="25">
        <v>2018</v>
      </c>
      <c r="G82" s="27"/>
      <c r="H82" s="27"/>
      <c r="I82" s="27"/>
      <c r="J82" s="25" t="s">
        <v>976</v>
      </c>
      <c r="K82" s="25"/>
      <c r="L82" s="25"/>
      <c r="M82" s="25"/>
      <c r="N82" s="25"/>
      <c r="O82" s="25"/>
      <c r="P82" s="25"/>
      <c r="Q82" s="25"/>
      <c r="R82" s="25"/>
      <c r="S82" s="25"/>
      <c r="T82" s="25"/>
      <c r="U82" s="25"/>
      <c r="V82" s="25"/>
      <c r="W82" s="25"/>
      <c r="X82" s="25"/>
      <c r="Y82" s="27" t="s">
        <v>77</v>
      </c>
      <c r="Z82" s="26" t="s">
        <v>977</v>
      </c>
      <c r="AA82" s="30" t="s">
        <v>77</v>
      </c>
      <c r="AB82" s="30"/>
      <c r="AC82" s="30"/>
      <c r="AD82" s="30"/>
      <c r="AE82" s="30"/>
      <c r="AF82" s="30"/>
      <c r="AG82" s="30"/>
      <c r="AH82" s="30"/>
      <c r="AI82" s="26"/>
      <c r="AJ82" s="25"/>
      <c r="AK82">
        <f t="shared" si="11"/>
        <v>0</v>
      </c>
      <c r="AL82">
        <f t="shared" si="8"/>
        <v>0</v>
      </c>
      <c r="AM82">
        <f t="shared" si="9"/>
        <v>0</v>
      </c>
      <c r="AN82">
        <f t="shared" si="10"/>
        <v>0</v>
      </c>
      <c r="BF82">
        <v>2023</v>
      </c>
      <c r="BG82" s="35" cm="1">
        <f t="array" ref="BG82">SUMPRODUCT((Y$2:Y$1000="PS")*(F$2:F$1000=BF82)*ISNUMBER(SEARCH("minimization",LOWER(Z$2:Z$1000)))*ISNUMBER(SEARCH("search-based",LOWER(AA$2:AA$1000))))</f>
        <v>0</v>
      </c>
      <c r="BH82" s="35" cm="1">
        <f t="array" ref="BH82">SUMPRODUCT((Y$2:Y$1000="PS")*(F$2:F$1000=BF82)*ISNUMBER(SEARCH("minimization",LOWER(Z$2:Z$1000)))*(NOT(ISNUMBER(SEARCH("search-based",LOWER(AA$2:AA$1000))))))</f>
        <v>0</v>
      </c>
    </row>
    <row r="83" spans="1:60" ht="187" x14ac:dyDescent="0.2">
      <c r="A83" s="24"/>
      <c r="B83" s="25"/>
      <c r="C83" s="26" t="s">
        <v>978</v>
      </c>
      <c r="D83" s="26" t="s">
        <v>979</v>
      </c>
      <c r="E83" s="26" t="s">
        <v>980</v>
      </c>
      <c r="F83" s="25">
        <v>2017</v>
      </c>
      <c r="G83" s="27"/>
      <c r="H83" s="27"/>
      <c r="I83" s="27"/>
      <c r="J83" s="25" t="s">
        <v>981</v>
      </c>
      <c r="K83" s="25"/>
      <c r="L83" s="25"/>
      <c r="M83" s="25"/>
      <c r="N83" s="25"/>
      <c r="O83" s="25"/>
      <c r="P83" s="25"/>
      <c r="Q83" s="25"/>
      <c r="R83" s="25"/>
      <c r="S83" s="25"/>
      <c r="T83" s="25"/>
      <c r="U83" s="25"/>
      <c r="V83" s="25"/>
      <c r="W83" s="25"/>
      <c r="X83" s="25"/>
      <c r="Y83" s="27" t="s">
        <v>58</v>
      </c>
      <c r="Z83" s="26" t="s">
        <v>834</v>
      </c>
      <c r="AA83" s="26" t="s">
        <v>415</v>
      </c>
      <c r="AB83" s="26" t="s">
        <v>573</v>
      </c>
      <c r="AC83" s="26" t="s">
        <v>774</v>
      </c>
      <c r="AD83" s="26" t="s">
        <v>982</v>
      </c>
      <c r="AE83" s="26" t="s">
        <v>983</v>
      </c>
      <c r="AF83" s="26" t="s">
        <v>984</v>
      </c>
      <c r="AG83" s="26" t="s">
        <v>66</v>
      </c>
      <c r="AH83" s="26">
        <v>0</v>
      </c>
      <c r="AI83" s="26"/>
      <c r="AJ83" s="25"/>
      <c r="AK83">
        <f t="shared" si="11"/>
        <v>1</v>
      </c>
      <c r="AL83">
        <f t="shared" si="8"/>
        <v>0</v>
      </c>
      <c r="AM83">
        <f t="shared" si="9"/>
        <v>0</v>
      </c>
      <c r="AN83">
        <f t="shared" si="10"/>
        <v>1</v>
      </c>
      <c r="BF83">
        <v>2024</v>
      </c>
      <c r="BG83" s="35" cm="1">
        <f t="array" ref="BG83">SUMPRODUCT((Y$2:Y$1000="PS")*(F$2:F$1000=BF83)*ISNUMBER(SEARCH("minimization",LOWER(Z$2:Z$1000)))*ISNUMBER(SEARCH("search-based",LOWER(AA$2:AA$1000))))</f>
        <v>1</v>
      </c>
      <c r="BH83" s="35" cm="1">
        <f t="array" ref="BH83">SUMPRODUCT((Y$2:Y$1000="PS")*(F$2:F$1000=BF83)*ISNUMBER(SEARCH("minimization",LOWER(Z$2:Z$1000)))*(NOT(ISNUMBER(SEARCH("search-based",LOWER(AA$2:AA$1000))))))</f>
        <v>0</v>
      </c>
    </row>
    <row r="84" spans="1:60" ht="153" x14ac:dyDescent="0.2">
      <c r="A84" s="24"/>
      <c r="B84" s="25"/>
      <c r="C84" s="26" t="s">
        <v>985</v>
      </c>
      <c r="D84" s="26" t="s">
        <v>986</v>
      </c>
      <c r="E84" s="26" t="s">
        <v>987</v>
      </c>
      <c r="F84" s="25">
        <v>2019</v>
      </c>
      <c r="G84" s="27"/>
      <c r="H84" s="27"/>
      <c r="I84" s="27"/>
      <c r="J84" s="25" t="s">
        <v>988</v>
      </c>
      <c r="K84" s="25"/>
      <c r="L84" s="25"/>
      <c r="M84" s="25"/>
      <c r="N84" s="25"/>
      <c r="O84" s="25"/>
      <c r="P84" s="25"/>
      <c r="Q84" s="25"/>
      <c r="R84" s="25"/>
      <c r="S84" s="25"/>
      <c r="T84" s="25"/>
      <c r="U84" s="25"/>
      <c r="V84" s="25"/>
      <c r="W84" s="25"/>
      <c r="X84" s="25"/>
      <c r="Y84" s="27" t="s">
        <v>58</v>
      </c>
      <c r="Z84" s="26" t="s">
        <v>989</v>
      </c>
      <c r="AA84" s="26" t="s">
        <v>415</v>
      </c>
      <c r="AB84" s="26" t="s">
        <v>990</v>
      </c>
      <c r="AC84" s="26" t="s">
        <v>861</v>
      </c>
      <c r="AD84" s="26" t="s">
        <v>991</v>
      </c>
      <c r="AE84" s="26" t="s">
        <v>992</v>
      </c>
      <c r="AF84" s="26" t="s">
        <v>993</v>
      </c>
      <c r="AG84" s="26" t="s">
        <v>66</v>
      </c>
      <c r="AH84" s="26">
        <v>0</v>
      </c>
      <c r="AI84" s="26"/>
      <c r="AJ84" s="25"/>
      <c r="AK84">
        <f t="shared" si="11"/>
        <v>1</v>
      </c>
      <c r="AL84">
        <f t="shared" si="8"/>
        <v>0</v>
      </c>
      <c r="AM84">
        <f t="shared" si="9"/>
        <v>0</v>
      </c>
      <c r="AN84">
        <f t="shared" si="10"/>
        <v>1</v>
      </c>
      <c r="BF84">
        <v>2025</v>
      </c>
      <c r="BG84" s="35" cm="1">
        <f t="array" ref="BG84">SUMPRODUCT((Y$2:Y$1000="PS")*(F$2:F$1000=BF84)*ISNUMBER(SEARCH("minimization",LOWER(Z$2:Z$1000)))*ISNUMBER(SEARCH("search-based",LOWER(AA$2:AA$1000))))</f>
        <v>0</v>
      </c>
      <c r="BH84" s="35" cm="1">
        <f t="array" ref="BH84">SUMPRODUCT((Y$2:Y$1000="PS")*(F$2:F$1000=BF84)*ISNUMBER(SEARCH("minimization",LOWER(Z$2:Z$1000)))*(NOT(ISNUMBER(SEARCH("search-based",LOWER(AA$2:AA$1000))))))</f>
        <v>0</v>
      </c>
    </row>
    <row r="85" spans="1:60" ht="170" x14ac:dyDescent="0.2">
      <c r="A85" s="24"/>
      <c r="B85" s="25"/>
      <c r="C85" s="26" t="s">
        <v>994</v>
      </c>
      <c r="D85" s="26" t="s">
        <v>995</v>
      </c>
      <c r="E85" s="26" t="s">
        <v>996</v>
      </c>
      <c r="F85" s="25">
        <v>2019</v>
      </c>
      <c r="G85" s="27"/>
      <c r="H85" s="27"/>
      <c r="I85" s="27"/>
      <c r="J85" s="25" t="s">
        <v>997</v>
      </c>
      <c r="K85" s="25"/>
      <c r="L85" s="25"/>
      <c r="M85" s="25"/>
      <c r="N85" s="25"/>
      <c r="O85" s="25"/>
      <c r="P85" s="25"/>
      <c r="Q85" s="25"/>
      <c r="R85" s="25"/>
      <c r="S85" s="25"/>
      <c r="T85" s="25"/>
      <c r="U85" s="25"/>
      <c r="V85" s="25"/>
      <c r="W85" s="25"/>
      <c r="X85" s="25"/>
      <c r="Y85" s="27" t="s">
        <v>58</v>
      </c>
      <c r="Z85" s="26" t="s">
        <v>772</v>
      </c>
      <c r="AA85" s="26" t="s">
        <v>415</v>
      </c>
      <c r="AB85" s="26" t="s">
        <v>998</v>
      </c>
      <c r="AC85" s="26" t="s">
        <v>999</v>
      </c>
      <c r="AD85" s="26" t="s">
        <v>1000</v>
      </c>
      <c r="AE85" s="26" t="s">
        <v>992</v>
      </c>
      <c r="AF85" s="26" t="s">
        <v>1001</v>
      </c>
      <c r="AG85" s="26" t="s">
        <v>66</v>
      </c>
      <c r="AH85" s="26">
        <v>1</v>
      </c>
      <c r="AI85" s="26" t="s">
        <v>1002</v>
      </c>
      <c r="AJ85" s="25"/>
      <c r="AK85">
        <f t="shared" si="11"/>
        <v>1</v>
      </c>
      <c r="AL85">
        <f t="shared" si="8"/>
        <v>0</v>
      </c>
      <c r="AM85">
        <f t="shared" si="9"/>
        <v>0</v>
      </c>
      <c r="AN85">
        <f t="shared" si="10"/>
        <v>1</v>
      </c>
    </row>
    <row r="86" spans="1:60" ht="102" x14ac:dyDescent="0.2">
      <c r="A86" s="24"/>
      <c r="B86" s="25"/>
      <c r="C86" s="26" t="s">
        <v>1003</v>
      </c>
      <c r="D86" s="26" t="s">
        <v>1004</v>
      </c>
      <c r="E86" s="26" t="s">
        <v>1005</v>
      </c>
      <c r="F86" s="25">
        <v>2016</v>
      </c>
      <c r="G86" s="27"/>
      <c r="H86" s="27"/>
      <c r="I86" s="27"/>
      <c r="J86" s="25" t="s">
        <v>1006</v>
      </c>
      <c r="K86" s="25"/>
      <c r="L86" s="25"/>
      <c r="M86" s="25"/>
      <c r="N86" s="25"/>
      <c r="O86" s="25"/>
      <c r="P86" s="25"/>
      <c r="Q86" s="25"/>
      <c r="R86" s="25"/>
      <c r="S86" s="25"/>
      <c r="T86" s="25"/>
      <c r="U86" s="25"/>
      <c r="V86" s="25"/>
      <c r="W86" s="25"/>
      <c r="X86" s="25"/>
      <c r="Y86" s="27" t="s">
        <v>44</v>
      </c>
      <c r="Z86" s="26" t="s">
        <v>1007</v>
      </c>
      <c r="AA86" s="30" t="s">
        <v>44</v>
      </c>
      <c r="AB86" s="30"/>
      <c r="AC86" s="30"/>
      <c r="AD86" s="30"/>
      <c r="AE86" s="30"/>
      <c r="AF86" s="30"/>
      <c r="AG86" s="30"/>
      <c r="AH86" s="30"/>
      <c r="AI86" s="26"/>
      <c r="AJ86" s="25"/>
      <c r="AK86">
        <f t="shared" si="11"/>
        <v>0</v>
      </c>
      <c r="AL86">
        <f t="shared" si="8"/>
        <v>0</v>
      </c>
      <c r="AM86">
        <f t="shared" si="9"/>
        <v>0</v>
      </c>
      <c r="AN86">
        <f t="shared" si="10"/>
        <v>0</v>
      </c>
    </row>
    <row r="87" spans="1:60" ht="136" x14ac:dyDescent="0.2">
      <c r="A87" s="24"/>
      <c r="B87" s="25"/>
      <c r="C87" s="26" t="s">
        <v>1008</v>
      </c>
      <c r="D87" s="26" t="s">
        <v>1009</v>
      </c>
      <c r="E87" s="26" t="s">
        <v>1010</v>
      </c>
      <c r="F87" s="25">
        <v>2018</v>
      </c>
      <c r="G87" s="27"/>
      <c r="H87" s="27"/>
      <c r="I87" s="27"/>
      <c r="J87" s="25" t="s">
        <v>843</v>
      </c>
      <c r="K87" s="25"/>
      <c r="L87" s="25"/>
      <c r="M87" s="25"/>
      <c r="N87" s="25"/>
      <c r="O87" s="25"/>
      <c r="P87" s="25"/>
      <c r="Q87" s="25"/>
      <c r="R87" s="25"/>
      <c r="S87" s="25"/>
      <c r="T87" s="25"/>
      <c r="U87" s="25"/>
      <c r="V87" s="25"/>
      <c r="W87" s="25"/>
      <c r="X87" s="25"/>
      <c r="Y87" s="27" t="s">
        <v>44</v>
      </c>
      <c r="Z87" s="26" t="s">
        <v>850</v>
      </c>
      <c r="AA87" s="30" t="s">
        <v>44</v>
      </c>
      <c r="AB87" s="30"/>
      <c r="AC87" s="30"/>
      <c r="AD87" s="30"/>
      <c r="AE87" s="30"/>
      <c r="AF87" s="30"/>
      <c r="AG87" s="30"/>
      <c r="AH87" s="30"/>
      <c r="AI87" s="26"/>
      <c r="AJ87" s="25"/>
      <c r="AK87">
        <f t="shared" si="11"/>
        <v>0</v>
      </c>
      <c r="AL87">
        <f t="shared" si="8"/>
        <v>0</v>
      </c>
      <c r="AM87">
        <f t="shared" si="9"/>
        <v>0</v>
      </c>
      <c r="AN87">
        <f t="shared" si="10"/>
        <v>0</v>
      </c>
    </row>
    <row r="88" spans="1:60" ht="153" x14ac:dyDescent="0.2">
      <c r="A88" s="24"/>
      <c r="B88" s="25"/>
      <c r="C88" s="26" t="s">
        <v>1011</v>
      </c>
      <c r="D88" s="26" t="s">
        <v>1012</v>
      </c>
      <c r="E88" s="26" t="s">
        <v>1013</v>
      </c>
      <c r="F88" s="25">
        <v>2018</v>
      </c>
      <c r="G88" s="27"/>
      <c r="H88" s="27"/>
      <c r="I88" s="27"/>
      <c r="J88" s="25" t="s">
        <v>1014</v>
      </c>
      <c r="K88" s="25"/>
      <c r="L88" s="25"/>
      <c r="M88" s="25"/>
      <c r="N88" s="25"/>
      <c r="O88" s="25"/>
      <c r="P88" s="25"/>
      <c r="Q88" s="25"/>
      <c r="R88" s="25"/>
      <c r="S88" s="25"/>
      <c r="T88" s="25"/>
      <c r="U88" s="25"/>
      <c r="V88" s="25"/>
      <c r="W88" s="25"/>
      <c r="X88" s="25"/>
      <c r="Y88" s="27" t="s">
        <v>77</v>
      </c>
      <c r="Z88" s="26" t="s">
        <v>977</v>
      </c>
      <c r="AA88" s="30" t="s">
        <v>77</v>
      </c>
      <c r="AB88" s="30"/>
      <c r="AC88" s="30"/>
      <c r="AD88" s="30"/>
      <c r="AE88" s="30"/>
      <c r="AF88" s="30"/>
      <c r="AG88" s="30"/>
      <c r="AH88" s="30"/>
      <c r="AI88" s="26"/>
      <c r="AJ88" s="25"/>
      <c r="AK88">
        <f t="shared" si="11"/>
        <v>0</v>
      </c>
      <c r="AL88">
        <f t="shared" si="8"/>
        <v>0</v>
      </c>
      <c r="AM88">
        <f t="shared" si="9"/>
        <v>0</v>
      </c>
      <c r="AN88">
        <f t="shared" si="10"/>
        <v>0</v>
      </c>
    </row>
    <row r="89" spans="1:60" ht="136" x14ac:dyDescent="0.2">
      <c r="A89" s="24"/>
      <c r="B89" s="25"/>
      <c r="C89" s="26" t="s">
        <v>1015</v>
      </c>
      <c r="D89" s="26" t="s">
        <v>1016</v>
      </c>
      <c r="E89" s="26" t="s">
        <v>1017</v>
      </c>
      <c r="F89" s="25">
        <v>2019</v>
      </c>
      <c r="G89" s="27"/>
      <c r="H89" s="27"/>
      <c r="I89" s="27"/>
      <c r="J89" s="25" t="s">
        <v>1018</v>
      </c>
      <c r="K89" s="25"/>
      <c r="L89" s="25"/>
      <c r="M89" s="25"/>
      <c r="N89" s="25"/>
      <c r="O89" s="25"/>
      <c r="P89" s="25"/>
      <c r="Q89" s="25"/>
      <c r="R89" s="25"/>
      <c r="S89" s="25"/>
      <c r="T89" s="25"/>
      <c r="U89" s="25"/>
      <c r="V89" s="25"/>
      <c r="W89" s="25"/>
      <c r="X89" s="25"/>
      <c r="Y89" s="27" t="s">
        <v>58</v>
      </c>
      <c r="Z89" s="26" t="s">
        <v>772</v>
      </c>
      <c r="AA89" s="26" t="s">
        <v>1019</v>
      </c>
      <c r="AB89" s="26" t="s">
        <v>1020</v>
      </c>
      <c r="AC89" s="26" t="s">
        <v>774</v>
      </c>
      <c r="AD89" s="26" t="s">
        <v>1021</v>
      </c>
      <c r="AE89" s="26" t="s">
        <v>1022</v>
      </c>
      <c r="AF89" s="26" t="s">
        <v>1023</v>
      </c>
      <c r="AG89" s="26" t="s">
        <v>1024</v>
      </c>
      <c r="AH89" s="26">
        <v>0.5</v>
      </c>
      <c r="AI89" s="26" t="s">
        <v>1025</v>
      </c>
      <c r="AJ89" s="25"/>
      <c r="AK89">
        <f t="shared" si="11"/>
        <v>1</v>
      </c>
      <c r="AL89">
        <f t="shared" si="8"/>
        <v>0</v>
      </c>
      <c r="AM89">
        <f t="shared" si="9"/>
        <v>0</v>
      </c>
      <c r="AN89">
        <f t="shared" si="10"/>
        <v>1</v>
      </c>
    </row>
    <row r="90" spans="1:60" ht="153" x14ac:dyDescent="0.2">
      <c r="A90" s="24"/>
      <c r="B90" s="25"/>
      <c r="C90" s="26" t="s">
        <v>1026</v>
      </c>
      <c r="D90" s="26" t="s">
        <v>1027</v>
      </c>
      <c r="E90" s="26" t="s">
        <v>1028</v>
      </c>
      <c r="F90" s="25">
        <v>2019</v>
      </c>
      <c r="G90" s="27"/>
      <c r="H90" s="27"/>
      <c r="I90" s="27"/>
      <c r="J90" s="25" t="s">
        <v>1029</v>
      </c>
      <c r="K90" s="25"/>
      <c r="L90" s="25"/>
      <c r="M90" s="25"/>
      <c r="N90" s="25"/>
      <c r="O90" s="25"/>
      <c r="P90" s="25"/>
      <c r="Q90" s="25"/>
      <c r="R90" s="25"/>
      <c r="S90" s="25"/>
      <c r="T90" s="25"/>
      <c r="U90" s="25"/>
      <c r="V90" s="25"/>
      <c r="W90" s="25"/>
      <c r="X90" s="25"/>
      <c r="Y90" s="27" t="s">
        <v>58</v>
      </c>
      <c r="Z90" s="26" t="s">
        <v>1030</v>
      </c>
      <c r="AA90" s="26" t="s">
        <v>1019</v>
      </c>
      <c r="AB90" s="26" t="s">
        <v>1031</v>
      </c>
      <c r="AC90" s="26" t="s">
        <v>774</v>
      </c>
      <c r="AD90" s="26" t="s">
        <v>1032</v>
      </c>
      <c r="AE90" s="26" t="s">
        <v>1033</v>
      </c>
      <c r="AF90" s="26" t="s">
        <v>919</v>
      </c>
      <c r="AG90" s="26" t="s">
        <v>1034</v>
      </c>
      <c r="AH90" s="26">
        <v>0</v>
      </c>
      <c r="AI90" s="26"/>
      <c r="AJ90" s="25"/>
      <c r="AK90">
        <f t="shared" si="11"/>
        <v>1</v>
      </c>
      <c r="AL90">
        <f t="shared" si="8"/>
        <v>0</v>
      </c>
      <c r="AM90">
        <f t="shared" si="9"/>
        <v>1</v>
      </c>
      <c r="AN90">
        <f t="shared" si="10"/>
        <v>1</v>
      </c>
    </row>
    <row r="91" spans="1:60" ht="153" x14ac:dyDescent="0.2">
      <c r="A91" s="24"/>
      <c r="B91" s="25"/>
      <c r="C91" s="26" t="s">
        <v>1035</v>
      </c>
      <c r="D91" s="26" t="s">
        <v>995</v>
      </c>
      <c r="E91" s="26" t="s">
        <v>1036</v>
      </c>
      <c r="F91" s="25">
        <v>2013</v>
      </c>
      <c r="G91" s="27"/>
      <c r="H91" s="27"/>
      <c r="I91" s="27"/>
      <c r="J91" s="25" t="s">
        <v>271</v>
      </c>
      <c r="K91" s="25"/>
      <c r="L91" s="25"/>
      <c r="M91" s="25"/>
      <c r="N91" s="25"/>
      <c r="O91" s="25"/>
      <c r="P91" s="25"/>
      <c r="Q91" s="25"/>
      <c r="R91" s="25"/>
      <c r="S91" s="25"/>
      <c r="T91" s="25"/>
      <c r="U91" s="25"/>
      <c r="V91" s="25"/>
      <c r="W91" s="25"/>
      <c r="X91" s="25"/>
      <c r="Y91" s="27" t="s">
        <v>58</v>
      </c>
      <c r="Z91" s="26" t="s">
        <v>1037</v>
      </c>
      <c r="AA91" s="26" t="s">
        <v>90</v>
      </c>
      <c r="AB91" s="26" t="s">
        <v>1038</v>
      </c>
      <c r="AC91" s="26" t="s">
        <v>774</v>
      </c>
      <c r="AD91" s="26" t="s">
        <v>1039</v>
      </c>
      <c r="AE91" s="26" t="s">
        <v>1040</v>
      </c>
      <c r="AF91" s="26" t="s">
        <v>1041</v>
      </c>
      <c r="AG91" s="26" t="s">
        <v>66</v>
      </c>
      <c r="AH91" s="26">
        <v>0</v>
      </c>
      <c r="AI91" s="26"/>
      <c r="AJ91" s="25"/>
      <c r="AK91">
        <f t="shared" si="11"/>
        <v>1</v>
      </c>
      <c r="AL91">
        <f t="shared" si="8"/>
        <v>0</v>
      </c>
      <c r="AM91">
        <f t="shared" si="9"/>
        <v>0</v>
      </c>
      <c r="AN91">
        <f t="shared" si="10"/>
        <v>1</v>
      </c>
    </row>
    <row r="92" spans="1:60" ht="289" x14ac:dyDescent="0.2">
      <c r="A92" s="24"/>
      <c r="B92" s="25"/>
      <c r="C92" s="26" t="s">
        <v>1042</v>
      </c>
      <c r="D92" s="26" t="s">
        <v>489</v>
      </c>
      <c r="E92" s="26" t="s">
        <v>1043</v>
      </c>
      <c r="F92" s="25">
        <v>2016</v>
      </c>
      <c r="G92" s="27"/>
      <c r="H92" s="27"/>
      <c r="I92" s="27"/>
      <c r="J92" s="25" t="s">
        <v>1044</v>
      </c>
      <c r="K92" s="25"/>
      <c r="L92" s="25"/>
      <c r="M92" s="25"/>
      <c r="N92" s="25"/>
      <c r="O92" s="25"/>
      <c r="P92" s="25"/>
      <c r="Q92" s="25"/>
      <c r="R92" s="25"/>
      <c r="S92" s="25"/>
      <c r="T92" s="25"/>
      <c r="U92" s="25"/>
      <c r="V92" s="25"/>
      <c r="W92" s="25"/>
      <c r="X92" s="25"/>
      <c r="Y92" s="27" t="s">
        <v>58</v>
      </c>
      <c r="Z92" s="26" t="s">
        <v>1007</v>
      </c>
      <c r="AA92" s="26" t="s">
        <v>415</v>
      </c>
      <c r="AB92" s="26" t="s">
        <v>1045</v>
      </c>
      <c r="AC92" s="26" t="s">
        <v>774</v>
      </c>
      <c r="AD92" s="26" t="s">
        <v>1046</v>
      </c>
      <c r="AE92" s="26" t="s">
        <v>1047</v>
      </c>
      <c r="AF92" s="26" t="s">
        <v>1048</v>
      </c>
      <c r="AG92" s="26" t="s">
        <v>1049</v>
      </c>
      <c r="AH92" s="26">
        <v>0</v>
      </c>
      <c r="AI92" s="26"/>
      <c r="AJ92" s="25"/>
      <c r="AK92">
        <f t="shared" si="11"/>
        <v>1</v>
      </c>
      <c r="AL92">
        <f t="shared" si="8"/>
        <v>0</v>
      </c>
      <c r="AM92">
        <f t="shared" si="9"/>
        <v>0</v>
      </c>
      <c r="AN92">
        <f t="shared" si="10"/>
        <v>1</v>
      </c>
    </row>
    <row r="93" spans="1:60" ht="102" x14ac:dyDescent="0.2">
      <c r="A93" s="24"/>
      <c r="B93" s="25"/>
      <c r="C93" s="26" t="s">
        <v>1050</v>
      </c>
      <c r="D93" s="26" t="s">
        <v>1051</v>
      </c>
      <c r="E93" s="26" t="s">
        <v>1052</v>
      </c>
      <c r="F93" s="25">
        <v>2013</v>
      </c>
      <c r="G93" s="27"/>
      <c r="H93" s="27"/>
      <c r="I93" s="27"/>
      <c r="J93" s="25" t="s">
        <v>1053</v>
      </c>
      <c r="K93" s="25"/>
      <c r="L93" s="25"/>
      <c r="M93" s="25"/>
      <c r="N93" s="25"/>
      <c r="O93" s="25"/>
      <c r="P93" s="25"/>
      <c r="Q93" s="25"/>
      <c r="R93" s="25"/>
      <c r="S93" s="25"/>
      <c r="T93" s="25"/>
      <c r="U93" s="25"/>
      <c r="V93" s="25"/>
      <c r="W93" s="25"/>
      <c r="X93" s="25"/>
      <c r="Y93" s="27" t="s">
        <v>44</v>
      </c>
      <c r="Z93" s="26" t="s">
        <v>1054</v>
      </c>
      <c r="AA93" s="30" t="s">
        <v>1055</v>
      </c>
      <c r="AB93" s="30"/>
      <c r="AC93" s="30"/>
      <c r="AD93" s="30"/>
      <c r="AE93" s="30"/>
      <c r="AF93" s="30"/>
      <c r="AG93" s="30"/>
      <c r="AH93" s="30"/>
      <c r="AI93" s="26"/>
      <c r="AJ93" s="25"/>
      <c r="AK93">
        <f t="shared" si="11"/>
        <v>0</v>
      </c>
      <c r="AL93">
        <f t="shared" si="8"/>
        <v>0</v>
      </c>
      <c r="AM93">
        <f t="shared" si="9"/>
        <v>0</v>
      </c>
      <c r="AN93">
        <f t="shared" si="10"/>
        <v>0</v>
      </c>
    </row>
    <row r="94" spans="1:60" ht="153" x14ac:dyDescent="0.2">
      <c r="A94" s="24"/>
      <c r="B94" s="25"/>
      <c r="C94" s="26" t="s">
        <v>1056</v>
      </c>
      <c r="D94" s="26" t="s">
        <v>1057</v>
      </c>
      <c r="E94" s="26" t="s">
        <v>1058</v>
      </c>
      <c r="F94" s="25">
        <v>2014</v>
      </c>
      <c r="G94" s="27"/>
      <c r="H94" s="27"/>
      <c r="I94" s="27"/>
      <c r="J94" s="25" t="s">
        <v>1059</v>
      </c>
      <c r="K94" s="25"/>
      <c r="L94" s="25"/>
      <c r="M94" s="25"/>
      <c r="N94" s="25"/>
      <c r="O94" s="25"/>
      <c r="P94" s="25"/>
      <c r="Q94" s="25"/>
      <c r="R94" s="25"/>
      <c r="S94" s="25"/>
      <c r="T94" s="25"/>
      <c r="U94" s="25"/>
      <c r="V94" s="25"/>
      <c r="W94" s="25"/>
      <c r="X94" s="25"/>
      <c r="Y94" s="27" t="s">
        <v>58</v>
      </c>
      <c r="Z94" s="26" t="s">
        <v>1060</v>
      </c>
      <c r="AA94" s="26" t="s">
        <v>415</v>
      </c>
      <c r="AB94" s="26" t="s">
        <v>1061</v>
      </c>
      <c r="AC94" s="26" t="s">
        <v>861</v>
      </c>
      <c r="AD94" s="26" t="s">
        <v>1062</v>
      </c>
      <c r="AE94" s="26" t="s">
        <v>1063</v>
      </c>
      <c r="AF94" s="26" t="s">
        <v>1064</v>
      </c>
      <c r="AG94" s="26" t="s">
        <v>1065</v>
      </c>
      <c r="AH94" s="26">
        <v>0</v>
      </c>
      <c r="AI94" s="26"/>
      <c r="AJ94" s="25"/>
      <c r="AK94">
        <f t="shared" si="11"/>
        <v>1</v>
      </c>
      <c r="AL94">
        <f t="shared" si="8"/>
        <v>0</v>
      </c>
      <c r="AM94">
        <f t="shared" si="9"/>
        <v>1</v>
      </c>
      <c r="AN94">
        <f t="shared" si="10"/>
        <v>0</v>
      </c>
    </row>
    <row r="95" spans="1:60" ht="119" x14ac:dyDescent="0.2">
      <c r="A95" s="24"/>
      <c r="B95" s="25"/>
      <c r="C95" s="26" t="s">
        <v>1066</v>
      </c>
      <c r="D95" s="26" t="s">
        <v>1067</v>
      </c>
      <c r="E95" s="26" t="s">
        <v>1068</v>
      </c>
      <c r="F95" s="25">
        <v>2017</v>
      </c>
      <c r="G95" s="27"/>
      <c r="H95" s="27"/>
      <c r="I95" s="27"/>
      <c r="J95" s="25" t="s">
        <v>1069</v>
      </c>
      <c r="K95" s="25"/>
      <c r="L95" s="25"/>
      <c r="M95" s="25"/>
      <c r="N95" s="25"/>
      <c r="O95" s="25"/>
      <c r="P95" s="25"/>
      <c r="Q95" s="25"/>
      <c r="R95" s="25"/>
      <c r="S95" s="25"/>
      <c r="T95" s="25"/>
      <c r="U95" s="25"/>
      <c r="V95" s="25"/>
      <c r="W95" s="25"/>
      <c r="X95" s="25"/>
      <c r="Y95" s="27" t="s">
        <v>77</v>
      </c>
      <c r="Z95" s="26" t="s">
        <v>1070</v>
      </c>
      <c r="AA95" s="30" t="s">
        <v>77</v>
      </c>
      <c r="AB95" s="30"/>
      <c r="AC95" s="30"/>
      <c r="AD95" s="30"/>
      <c r="AE95" s="30"/>
      <c r="AF95" s="30"/>
      <c r="AG95" s="30"/>
      <c r="AH95" s="30"/>
      <c r="AI95" s="26"/>
      <c r="AJ95" s="25"/>
      <c r="AK95">
        <f t="shared" si="11"/>
        <v>0</v>
      </c>
      <c r="AL95">
        <f t="shared" si="8"/>
        <v>0</v>
      </c>
      <c r="AM95">
        <f t="shared" si="9"/>
        <v>0</v>
      </c>
      <c r="AN95">
        <f t="shared" si="10"/>
        <v>0</v>
      </c>
    </row>
    <row r="96" spans="1:60" ht="409.6" x14ac:dyDescent="0.2">
      <c r="A96" s="2">
        <v>42</v>
      </c>
      <c r="B96" s="2"/>
      <c r="C96" s="2" t="s">
        <v>1071</v>
      </c>
      <c r="D96" s="2" t="s">
        <v>1072</v>
      </c>
      <c r="E96" s="2" t="s">
        <v>1073</v>
      </c>
      <c r="F96" s="2">
        <v>2018</v>
      </c>
      <c r="G96" s="2"/>
      <c r="H96" s="2"/>
      <c r="I96" s="2"/>
      <c r="J96" s="2" t="s">
        <v>1074</v>
      </c>
      <c r="K96" s="2"/>
      <c r="L96" s="2"/>
      <c r="M96" s="2"/>
      <c r="N96" s="2"/>
      <c r="O96" s="2"/>
      <c r="P96" s="2"/>
      <c r="Q96" s="2"/>
      <c r="R96" s="2"/>
      <c r="S96" s="2"/>
      <c r="T96" s="2"/>
      <c r="U96" s="2"/>
      <c r="V96" s="2"/>
      <c r="W96" s="2"/>
      <c r="X96" s="2"/>
      <c r="Y96" s="2" t="s">
        <v>58</v>
      </c>
      <c r="Z96" s="2" t="s">
        <v>1075</v>
      </c>
      <c r="AA96" s="2" t="s">
        <v>1019</v>
      </c>
      <c r="AB96" s="2" t="s">
        <v>773</v>
      </c>
      <c r="AC96" s="2" t="s">
        <v>1076</v>
      </c>
      <c r="AD96" s="2" t="s">
        <v>1077</v>
      </c>
      <c r="AE96" s="2" t="s">
        <v>1078</v>
      </c>
      <c r="AF96" s="2" t="s">
        <v>1079</v>
      </c>
      <c r="AG96" s="2" t="s">
        <v>1080</v>
      </c>
      <c r="AH96" s="2">
        <v>0</v>
      </c>
      <c r="AI96" s="31" t="s">
        <v>1081</v>
      </c>
      <c r="AK96">
        <f t="shared" si="11"/>
        <v>1</v>
      </c>
      <c r="AL96">
        <f t="shared" si="8"/>
        <v>0</v>
      </c>
      <c r="AM96">
        <f t="shared" si="9"/>
        <v>1</v>
      </c>
      <c r="AN96">
        <f t="shared" si="10"/>
        <v>0</v>
      </c>
    </row>
    <row r="97" spans="1:40" ht="409.6" x14ac:dyDescent="0.2">
      <c r="A97" s="2">
        <v>128</v>
      </c>
      <c r="B97" s="2"/>
      <c r="C97" s="2" t="s">
        <v>1082</v>
      </c>
      <c r="D97" s="2" t="s">
        <v>1083</v>
      </c>
      <c r="E97" s="2" t="s">
        <v>1084</v>
      </c>
      <c r="F97" s="2">
        <v>2020</v>
      </c>
      <c r="G97" s="2"/>
      <c r="H97" s="2"/>
      <c r="I97" s="2"/>
      <c r="J97" s="2" t="s">
        <v>1085</v>
      </c>
      <c r="K97" s="2"/>
      <c r="L97" s="2"/>
      <c r="M97" s="2"/>
      <c r="N97" s="2"/>
      <c r="O97" s="2"/>
      <c r="P97" s="2"/>
      <c r="Q97" s="2"/>
      <c r="R97" s="2"/>
      <c r="S97" s="2"/>
      <c r="T97" s="2"/>
      <c r="U97" s="2"/>
      <c r="V97" s="2"/>
      <c r="W97" s="2"/>
      <c r="X97" s="2"/>
      <c r="Y97" s="2" t="s">
        <v>58</v>
      </c>
      <c r="Z97" s="2" t="s">
        <v>1086</v>
      </c>
      <c r="AA97" s="2" t="s">
        <v>1087</v>
      </c>
      <c r="AB97" s="2" t="s">
        <v>773</v>
      </c>
      <c r="AC97" s="2" t="s">
        <v>1088</v>
      </c>
      <c r="AD97" s="2" t="s">
        <v>1089</v>
      </c>
      <c r="AE97" s="2" t="s">
        <v>1090</v>
      </c>
      <c r="AF97" s="2" t="s">
        <v>1091</v>
      </c>
      <c r="AG97" s="2" t="s">
        <v>66</v>
      </c>
      <c r="AH97" s="2">
        <v>0</v>
      </c>
      <c r="AI97" s="2"/>
      <c r="AK97">
        <f t="shared" si="11"/>
        <v>1</v>
      </c>
      <c r="AL97">
        <f t="shared" si="8"/>
        <v>0</v>
      </c>
      <c r="AM97">
        <f t="shared" si="9"/>
        <v>1</v>
      </c>
      <c r="AN97">
        <f t="shared" si="10"/>
        <v>1</v>
      </c>
    </row>
    <row r="98" spans="1:40" ht="409.6" x14ac:dyDescent="0.2">
      <c r="A98" s="2">
        <v>10</v>
      </c>
      <c r="B98" s="2"/>
      <c r="C98" s="2" t="s">
        <v>1092</v>
      </c>
      <c r="D98" s="2" t="s">
        <v>1093</v>
      </c>
      <c r="E98" s="2" t="s">
        <v>1094</v>
      </c>
      <c r="F98" s="2">
        <v>2021</v>
      </c>
      <c r="G98" s="2"/>
      <c r="H98" s="2"/>
      <c r="I98" s="2"/>
      <c r="J98" s="2" t="s">
        <v>1095</v>
      </c>
      <c r="K98" s="2"/>
      <c r="L98" s="2"/>
      <c r="M98" s="2"/>
      <c r="N98" s="2"/>
      <c r="O98" s="2"/>
      <c r="P98" s="2"/>
      <c r="Q98" s="2"/>
      <c r="R98" s="2"/>
      <c r="S98" s="2"/>
      <c r="T98" s="2"/>
      <c r="U98" s="2"/>
      <c r="V98" s="2"/>
      <c r="W98" s="2"/>
      <c r="X98" s="2"/>
      <c r="Y98" s="2" t="s">
        <v>77</v>
      </c>
      <c r="Z98" s="2" t="s">
        <v>1096</v>
      </c>
      <c r="AA98" s="31" t="s">
        <v>1097</v>
      </c>
      <c r="AB98" s="31"/>
      <c r="AC98" s="31"/>
      <c r="AD98" s="31"/>
      <c r="AE98" s="31"/>
      <c r="AF98" s="31"/>
      <c r="AG98" s="31"/>
      <c r="AH98" s="31"/>
      <c r="AI98" s="2"/>
      <c r="AK98">
        <f t="shared" si="11"/>
        <v>0</v>
      </c>
      <c r="AL98">
        <f t="shared" si="8"/>
        <v>0</v>
      </c>
      <c r="AM98">
        <f t="shared" si="9"/>
        <v>0</v>
      </c>
      <c r="AN98">
        <f t="shared" si="10"/>
        <v>0</v>
      </c>
    </row>
    <row r="99" spans="1:40" ht="409.6" x14ac:dyDescent="0.2">
      <c r="A99" s="2">
        <v>130</v>
      </c>
      <c r="B99" s="2"/>
      <c r="C99" s="2" t="s">
        <v>1098</v>
      </c>
      <c r="D99" s="2" t="s">
        <v>1099</v>
      </c>
      <c r="E99" s="2" t="s">
        <v>1100</v>
      </c>
      <c r="F99" s="2">
        <v>2013</v>
      </c>
      <c r="G99" s="2"/>
      <c r="H99" s="2"/>
      <c r="I99" s="2"/>
      <c r="J99" s="2" t="s">
        <v>1101</v>
      </c>
      <c r="K99" s="2"/>
      <c r="L99" s="2"/>
      <c r="M99" s="2"/>
      <c r="N99" s="2"/>
      <c r="O99" s="2"/>
      <c r="P99" s="2"/>
      <c r="Q99" s="2"/>
      <c r="R99" s="2"/>
      <c r="S99" s="2"/>
      <c r="T99" s="2"/>
      <c r="U99" s="2"/>
      <c r="V99" s="2"/>
      <c r="W99" s="2"/>
      <c r="X99" s="2"/>
      <c r="Y99" s="2" t="s">
        <v>58</v>
      </c>
      <c r="Z99" s="2" t="s">
        <v>1102</v>
      </c>
      <c r="AA99" s="2" t="s">
        <v>1019</v>
      </c>
      <c r="AB99" s="2" t="s">
        <v>1103</v>
      </c>
      <c r="AC99" s="2"/>
      <c r="AD99" s="2" t="s">
        <v>1104</v>
      </c>
      <c r="AE99" s="2" t="s">
        <v>1105</v>
      </c>
      <c r="AF99" s="2" t="s">
        <v>1106</v>
      </c>
      <c r="AG99" s="2" t="s">
        <v>66</v>
      </c>
      <c r="AH99" s="2">
        <v>0</v>
      </c>
      <c r="AI99" s="2"/>
      <c r="AK99">
        <f t="shared" si="11"/>
        <v>1</v>
      </c>
      <c r="AL99">
        <f t="shared" si="8"/>
        <v>1</v>
      </c>
      <c r="AM99">
        <f t="shared" si="9"/>
        <v>1</v>
      </c>
      <c r="AN99">
        <f t="shared" si="10"/>
        <v>1</v>
      </c>
    </row>
    <row r="100" spans="1:40" ht="409.6" x14ac:dyDescent="0.2">
      <c r="A100" s="2">
        <v>131</v>
      </c>
      <c r="B100" s="2"/>
      <c r="C100" s="2" t="s">
        <v>1107</v>
      </c>
      <c r="D100" s="2" t="s">
        <v>1108</v>
      </c>
      <c r="E100" s="2" t="s">
        <v>1109</v>
      </c>
      <c r="F100" s="2">
        <v>2013</v>
      </c>
      <c r="G100" s="2"/>
      <c r="H100" s="2"/>
      <c r="I100" s="2"/>
      <c r="J100" s="2" t="s">
        <v>1110</v>
      </c>
      <c r="K100" s="2"/>
      <c r="L100" s="2"/>
      <c r="M100" s="2"/>
      <c r="N100" s="2"/>
      <c r="O100" s="2"/>
      <c r="P100" s="2"/>
      <c r="Q100" s="2"/>
      <c r="R100" s="2"/>
      <c r="S100" s="2"/>
      <c r="T100" s="2"/>
      <c r="U100" s="2"/>
      <c r="V100" s="2"/>
      <c r="W100" s="2"/>
      <c r="X100" s="2"/>
      <c r="Y100" s="2" t="s">
        <v>58</v>
      </c>
      <c r="Z100" s="2" t="s">
        <v>1111</v>
      </c>
      <c r="AA100" s="2" t="s">
        <v>415</v>
      </c>
      <c r="AB100" s="2" t="s">
        <v>773</v>
      </c>
      <c r="AC100" s="2" t="s">
        <v>1088</v>
      </c>
      <c r="AD100" s="2" t="s">
        <v>1112</v>
      </c>
      <c r="AE100" s="2" t="s">
        <v>1113</v>
      </c>
      <c r="AF100" s="2" t="s">
        <v>1114</v>
      </c>
      <c r="AG100" s="2" t="s">
        <v>1115</v>
      </c>
      <c r="AH100" s="2">
        <v>0</v>
      </c>
      <c r="AI100" s="2" t="s">
        <v>1116</v>
      </c>
      <c r="AK100">
        <f t="shared" si="11"/>
        <v>1</v>
      </c>
      <c r="AL100">
        <f t="shared" si="8"/>
        <v>0</v>
      </c>
      <c r="AM100">
        <f t="shared" si="9"/>
        <v>0</v>
      </c>
      <c r="AN100">
        <f t="shared" si="10"/>
        <v>1</v>
      </c>
    </row>
    <row r="101" spans="1:40" ht="409.6" x14ac:dyDescent="0.2">
      <c r="A101" s="2">
        <v>132</v>
      </c>
      <c r="B101" s="2"/>
      <c r="C101" s="2" t="s">
        <v>1117</v>
      </c>
      <c r="D101" s="2" t="s">
        <v>1118</v>
      </c>
      <c r="E101" s="2" t="s">
        <v>1119</v>
      </c>
      <c r="F101" s="2">
        <v>2018</v>
      </c>
      <c r="G101" s="2"/>
      <c r="H101" s="2"/>
      <c r="I101" s="2"/>
      <c r="J101" s="2" t="s">
        <v>1120</v>
      </c>
      <c r="K101" s="2"/>
      <c r="L101" s="2"/>
      <c r="M101" s="2"/>
      <c r="N101" s="2"/>
      <c r="O101" s="2"/>
      <c r="P101" s="2"/>
      <c r="Q101" s="2"/>
      <c r="R101" s="2"/>
      <c r="S101" s="2"/>
      <c r="T101" s="2"/>
      <c r="U101" s="2"/>
      <c r="V101" s="2"/>
      <c r="W101" s="2"/>
      <c r="X101" s="2"/>
      <c r="Y101" s="2" t="s">
        <v>58</v>
      </c>
      <c r="Z101" s="2" t="s">
        <v>1111</v>
      </c>
      <c r="AA101" s="2" t="s">
        <v>1121</v>
      </c>
      <c r="AB101" s="2" t="s">
        <v>211</v>
      </c>
      <c r="AC101" s="2"/>
      <c r="AD101" s="2" t="s">
        <v>1112</v>
      </c>
      <c r="AE101" s="2" t="s">
        <v>1122</v>
      </c>
      <c r="AF101" s="2" t="s">
        <v>1123</v>
      </c>
      <c r="AG101" s="2" t="s">
        <v>66</v>
      </c>
      <c r="AH101" s="2">
        <v>0</v>
      </c>
      <c r="AI101" s="2"/>
      <c r="AK101">
        <f t="shared" si="11"/>
        <v>1</v>
      </c>
      <c r="AL101">
        <f t="shared" si="8"/>
        <v>0</v>
      </c>
      <c r="AM101">
        <f t="shared" si="9"/>
        <v>0</v>
      </c>
      <c r="AN101">
        <f t="shared" si="10"/>
        <v>1</v>
      </c>
    </row>
    <row r="102" spans="1:40" ht="409.6" x14ac:dyDescent="0.2">
      <c r="A102" s="2">
        <v>133</v>
      </c>
      <c r="B102" s="2"/>
      <c r="C102" s="2" t="s">
        <v>1124</v>
      </c>
      <c r="D102" s="2" t="s">
        <v>467</v>
      </c>
      <c r="E102" s="2" t="s">
        <v>1125</v>
      </c>
      <c r="F102" s="2">
        <v>2021</v>
      </c>
      <c r="G102" s="2"/>
      <c r="H102" s="2"/>
      <c r="I102" s="2"/>
      <c r="J102" s="2" t="s">
        <v>1126</v>
      </c>
      <c r="K102" s="2"/>
      <c r="L102" s="2"/>
      <c r="M102" s="2"/>
      <c r="N102" s="2"/>
      <c r="O102" s="2"/>
      <c r="P102" s="2"/>
      <c r="Q102" s="2"/>
      <c r="R102" s="2"/>
      <c r="S102" s="2"/>
      <c r="T102" s="2"/>
      <c r="U102" s="2"/>
      <c r="V102" s="2"/>
      <c r="W102" s="2"/>
      <c r="X102" s="2"/>
      <c r="Y102" s="2" t="s">
        <v>58</v>
      </c>
      <c r="Z102" s="2" t="s">
        <v>1111</v>
      </c>
      <c r="AA102" s="2" t="s">
        <v>1127</v>
      </c>
      <c r="AB102" s="2" t="s">
        <v>1128</v>
      </c>
      <c r="AC102" s="2"/>
      <c r="AD102" s="2" t="s">
        <v>1129</v>
      </c>
      <c r="AE102" s="2" t="s">
        <v>1130</v>
      </c>
      <c r="AF102" s="2" t="s">
        <v>1131</v>
      </c>
      <c r="AG102" s="2" t="s">
        <v>1132</v>
      </c>
      <c r="AH102" s="2">
        <v>1</v>
      </c>
      <c r="AI102" s="2" t="s">
        <v>1133</v>
      </c>
      <c r="AK102">
        <f t="shared" si="11"/>
        <v>1</v>
      </c>
      <c r="AL102">
        <f t="shared" si="8"/>
        <v>0</v>
      </c>
      <c r="AM102">
        <f t="shared" si="9"/>
        <v>0</v>
      </c>
      <c r="AN102">
        <f t="shared" si="10"/>
        <v>1</v>
      </c>
    </row>
    <row r="103" spans="1:40" ht="409.6" x14ac:dyDescent="0.2">
      <c r="A103" s="2">
        <v>134</v>
      </c>
      <c r="B103" s="2"/>
      <c r="C103" s="2" t="s">
        <v>1134</v>
      </c>
      <c r="D103" s="2" t="s">
        <v>1135</v>
      </c>
      <c r="E103" s="2" t="s">
        <v>1136</v>
      </c>
      <c r="F103" s="2">
        <v>2020</v>
      </c>
      <c r="G103" s="2"/>
      <c r="H103" s="2"/>
      <c r="I103" s="2"/>
      <c r="J103" s="2" t="s">
        <v>1137</v>
      </c>
      <c r="K103" s="2"/>
      <c r="L103" s="2"/>
      <c r="M103" s="2"/>
      <c r="N103" s="2"/>
      <c r="O103" s="2"/>
      <c r="P103" s="2"/>
      <c r="Q103" s="2"/>
      <c r="R103" s="2"/>
      <c r="S103" s="2"/>
      <c r="T103" s="2"/>
      <c r="U103" s="2"/>
      <c r="V103" s="2"/>
      <c r="W103" s="2"/>
      <c r="X103" s="2"/>
      <c r="Y103" s="2" t="s">
        <v>58</v>
      </c>
      <c r="Z103" s="2" t="s">
        <v>1111</v>
      </c>
      <c r="AA103" s="2" t="s">
        <v>1138</v>
      </c>
      <c r="AB103" s="2" t="s">
        <v>211</v>
      </c>
      <c r="AC103" s="2"/>
      <c r="AD103" s="2" t="s">
        <v>1139</v>
      </c>
      <c r="AE103" s="2" t="s">
        <v>1140</v>
      </c>
      <c r="AF103" s="2" t="s">
        <v>1141</v>
      </c>
      <c r="AG103" s="2" t="s">
        <v>66</v>
      </c>
      <c r="AH103" s="2">
        <v>1</v>
      </c>
      <c r="AI103" s="2" t="s">
        <v>1142</v>
      </c>
      <c r="AK103">
        <f t="shared" si="11"/>
        <v>1</v>
      </c>
      <c r="AL103">
        <f t="shared" si="8"/>
        <v>0</v>
      </c>
      <c r="AM103">
        <f t="shared" si="9"/>
        <v>0</v>
      </c>
      <c r="AN103">
        <f t="shared" si="10"/>
        <v>1</v>
      </c>
    </row>
    <row r="104" spans="1:40" ht="409.6" x14ac:dyDescent="0.2">
      <c r="A104" s="2">
        <v>135</v>
      </c>
      <c r="B104" s="2"/>
      <c r="C104" s="2" t="s">
        <v>1143</v>
      </c>
      <c r="D104" s="2" t="s">
        <v>1144</v>
      </c>
      <c r="E104" s="2" t="s">
        <v>1145</v>
      </c>
      <c r="F104" s="2">
        <v>2022</v>
      </c>
      <c r="G104" s="2"/>
      <c r="H104" s="2"/>
      <c r="I104" s="2"/>
      <c r="J104" s="2" t="s">
        <v>1146</v>
      </c>
      <c r="K104" s="2"/>
      <c r="L104" s="2"/>
      <c r="M104" s="2"/>
      <c r="N104" s="2"/>
      <c r="O104" s="2"/>
      <c r="P104" s="2"/>
      <c r="Q104" s="2"/>
      <c r="R104" s="2"/>
      <c r="S104" s="2"/>
      <c r="T104" s="2"/>
      <c r="U104" s="2"/>
      <c r="V104" s="2"/>
      <c r="W104" s="2"/>
      <c r="X104" s="2"/>
      <c r="Y104" s="2" t="s">
        <v>58</v>
      </c>
      <c r="Z104" s="2" t="s">
        <v>1111</v>
      </c>
      <c r="AA104" s="2" t="s">
        <v>1147</v>
      </c>
      <c r="AB104" s="2" t="s">
        <v>211</v>
      </c>
      <c r="AC104" s="2"/>
      <c r="AD104" s="2" t="s">
        <v>1139</v>
      </c>
      <c r="AE104" s="2" t="s">
        <v>1148</v>
      </c>
      <c r="AF104" s="2" t="s">
        <v>1149</v>
      </c>
      <c r="AG104" s="2" t="s">
        <v>1150</v>
      </c>
      <c r="AH104" s="2">
        <v>1</v>
      </c>
      <c r="AI104" s="2" t="s">
        <v>1142</v>
      </c>
      <c r="AK104">
        <f t="shared" si="11"/>
        <v>1</v>
      </c>
      <c r="AL104">
        <f t="shared" si="8"/>
        <v>0</v>
      </c>
      <c r="AM104">
        <f t="shared" si="9"/>
        <v>0</v>
      </c>
      <c r="AN104">
        <f t="shared" si="10"/>
        <v>1</v>
      </c>
    </row>
    <row r="105" spans="1:40" ht="409.6" x14ac:dyDescent="0.2">
      <c r="A105" s="2">
        <v>136</v>
      </c>
      <c r="B105" s="2"/>
      <c r="C105" s="2" t="s">
        <v>1151</v>
      </c>
      <c r="D105" s="2" t="s">
        <v>1152</v>
      </c>
      <c r="E105" s="2" t="s">
        <v>1153</v>
      </c>
      <c r="F105" s="2">
        <v>2019</v>
      </c>
      <c r="G105" s="2"/>
      <c r="H105" s="2"/>
      <c r="I105" s="2"/>
      <c r="J105" s="2" t="s">
        <v>1154</v>
      </c>
      <c r="K105" s="2"/>
      <c r="L105" s="2"/>
      <c r="M105" s="2"/>
      <c r="N105" s="2"/>
      <c r="O105" s="2"/>
      <c r="P105" s="2"/>
      <c r="Q105" s="2"/>
      <c r="R105" s="2"/>
      <c r="S105" s="2"/>
      <c r="T105" s="2"/>
      <c r="U105" s="2"/>
      <c r="V105" s="2"/>
      <c r="W105" s="2"/>
      <c r="X105" s="2"/>
      <c r="Y105" s="2" t="s">
        <v>58</v>
      </c>
      <c r="Z105" s="2" t="s">
        <v>1111</v>
      </c>
      <c r="AA105" s="2" t="s">
        <v>415</v>
      </c>
      <c r="AB105" s="2" t="s">
        <v>773</v>
      </c>
      <c r="AC105" s="2" t="s">
        <v>1155</v>
      </c>
      <c r="AD105" s="2" t="s">
        <v>1139</v>
      </c>
      <c r="AE105" s="2"/>
      <c r="AF105" s="2" t="s">
        <v>1114</v>
      </c>
      <c r="AG105" s="2" t="s">
        <v>1156</v>
      </c>
      <c r="AH105" s="2">
        <v>0</v>
      </c>
      <c r="AI105" s="2"/>
      <c r="AK105">
        <f t="shared" si="11"/>
        <v>1</v>
      </c>
      <c r="AL105">
        <f t="shared" si="8"/>
        <v>0</v>
      </c>
      <c r="AM105">
        <f t="shared" si="9"/>
        <v>0</v>
      </c>
      <c r="AN105">
        <f t="shared" si="10"/>
        <v>1</v>
      </c>
    </row>
    <row r="106" spans="1:40" ht="409.6" x14ac:dyDescent="0.2">
      <c r="A106" s="2">
        <v>137</v>
      </c>
      <c r="B106" s="2"/>
      <c r="C106" s="2" t="s">
        <v>1157</v>
      </c>
      <c r="D106" s="2" t="s">
        <v>1158</v>
      </c>
      <c r="E106" s="2" t="s">
        <v>1159</v>
      </c>
      <c r="F106" s="2">
        <v>2020</v>
      </c>
      <c r="G106" s="2"/>
      <c r="H106" s="2"/>
      <c r="I106" s="2"/>
      <c r="J106" s="2" t="s">
        <v>1160</v>
      </c>
      <c r="K106" s="2"/>
      <c r="L106" s="2"/>
      <c r="M106" s="2"/>
      <c r="N106" s="2"/>
      <c r="O106" s="2"/>
      <c r="P106" s="2"/>
      <c r="Q106" s="2"/>
      <c r="R106" s="2"/>
      <c r="S106" s="2"/>
      <c r="T106" s="2"/>
      <c r="U106" s="2"/>
      <c r="V106" s="2"/>
      <c r="W106" s="2"/>
      <c r="X106" s="2"/>
      <c r="Y106" s="2" t="s">
        <v>58</v>
      </c>
      <c r="Z106" s="2" t="s">
        <v>1111</v>
      </c>
      <c r="AA106" s="2" t="s">
        <v>1161</v>
      </c>
      <c r="AB106" s="2" t="s">
        <v>91</v>
      </c>
      <c r="AC106" s="2"/>
      <c r="AD106" s="2" t="s">
        <v>1112</v>
      </c>
      <c r="AE106" s="2" t="s">
        <v>1162</v>
      </c>
      <c r="AF106" s="2" t="s">
        <v>1163</v>
      </c>
      <c r="AG106" s="2" t="s">
        <v>66</v>
      </c>
      <c r="AH106" s="2">
        <v>0</v>
      </c>
      <c r="AI106" s="2"/>
      <c r="AK106">
        <f t="shared" si="11"/>
        <v>1</v>
      </c>
      <c r="AL106">
        <f t="shared" si="8"/>
        <v>0</v>
      </c>
      <c r="AM106">
        <f t="shared" si="9"/>
        <v>0</v>
      </c>
      <c r="AN106">
        <f t="shared" si="10"/>
        <v>1</v>
      </c>
    </row>
    <row r="107" spans="1:40" ht="409.6" x14ac:dyDescent="0.2">
      <c r="A107" s="2">
        <v>104</v>
      </c>
      <c r="B107" s="2"/>
      <c r="C107" s="2" t="s">
        <v>1164</v>
      </c>
      <c r="D107" s="2" t="s">
        <v>1165</v>
      </c>
      <c r="E107" s="2" t="s">
        <v>895</v>
      </c>
      <c r="F107" s="2">
        <v>2019</v>
      </c>
      <c r="G107" s="2"/>
      <c r="H107" s="2"/>
      <c r="I107" s="2"/>
      <c r="J107" s="2" t="s">
        <v>1166</v>
      </c>
      <c r="K107" s="2"/>
      <c r="L107" s="2"/>
      <c r="M107" s="2"/>
      <c r="N107" s="2"/>
      <c r="O107" s="2"/>
      <c r="P107" s="2"/>
      <c r="Q107" s="2"/>
      <c r="R107" s="2"/>
      <c r="S107" s="2"/>
      <c r="T107" s="2"/>
      <c r="U107" s="2"/>
      <c r="V107" s="2"/>
      <c r="W107" s="2"/>
      <c r="X107" s="2"/>
      <c r="Y107" s="2" t="s">
        <v>58</v>
      </c>
      <c r="Z107" s="2" t="s">
        <v>1111</v>
      </c>
      <c r="AA107" s="2" t="s">
        <v>415</v>
      </c>
      <c r="AB107" s="2" t="s">
        <v>1167</v>
      </c>
      <c r="AC107" s="2"/>
      <c r="AD107" s="2" t="s">
        <v>1112</v>
      </c>
      <c r="AE107" s="2" t="s">
        <v>1168</v>
      </c>
      <c r="AF107" s="2" t="s">
        <v>1169</v>
      </c>
      <c r="AG107" s="2" t="s">
        <v>66</v>
      </c>
      <c r="AH107" s="2">
        <v>0</v>
      </c>
      <c r="AI107" s="2"/>
      <c r="AK107">
        <f t="shared" si="11"/>
        <v>1</v>
      </c>
      <c r="AL107">
        <f t="shared" si="8"/>
        <v>0</v>
      </c>
      <c r="AM107">
        <f t="shared" si="9"/>
        <v>0</v>
      </c>
      <c r="AN107">
        <f t="shared" si="10"/>
        <v>1</v>
      </c>
    </row>
    <row r="108" spans="1:40" ht="409.6" x14ac:dyDescent="0.2">
      <c r="A108" s="2">
        <v>140</v>
      </c>
      <c r="B108" s="2"/>
      <c r="C108" s="2" t="s">
        <v>1170</v>
      </c>
      <c r="D108" s="2" t="s">
        <v>1171</v>
      </c>
      <c r="E108" s="2" t="s">
        <v>1172</v>
      </c>
      <c r="F108" s="2">
        <v>2018</v>
      </c>
      <c r="G108" s="2"/>
      <c r="H108" s="2"/>
      <c r="I108" s="2"/>
      <c r="J108" s="2" t="s">
        <v>1173</v>
      </c>
      <c r="K108" s="2"/>
      <c r="L108" s="2"/>
      <c r="M108" s="2"/>
      <c r="N108" s="2"/>
      <c r="O108" s="2"/>
      <c r="P108" s="2"/>
      <c r="Q108" s="2"/>
      <c r="R108" s="2"/>
      <c r="S108" s="2"/>
      <c r="T108" s="2"/>
      <c r="U108" s="2"/>
      <c r="V108" s="2"/>
      <c r="W108" s="2"/>
      <c r="X108" s="2"/>
      <c r="Y108" s="2" t="s">
        <v>58</v>
      </c>
      <c r="Z108" s="2" t="s">
        <v>1075</v>
      </c>
      <c r="AA108" s="2" t="s">
        <v>1174</v>
      </c>
      <c r="AB108" s="2" t="s">
        <v>1175</v>
      </c>
      <c r="AC108" s="2" t="s">
        <v>1176</v>
      </c>
      <c r="AD108" s="2" t="s">
        <v>1177</v>
      </c>
      <c r="AE108" s="2" t="s">
        <v>1178</v>
      </c>
      <c r="AF108" s="2"/>
      <c r="AG108" s="2" t="s">
        <v>1179</v>
      </c>
      <c r="AH108" s="2">
        <v>0.5</v>
      </c>
      <c r="AI108" s="2" t="s">
        <v>1180</v>
      </c>
      <c r="AK108">
        <f t="shared" si="11"/>
        <v>1</v>
      </c>
      <c r="AL108">
        <f t="shared" si="8"/>
        <v>0</v>
      </c>
      <c r="AM108">
        <f t="shared" si="9"/>
        <v>1</v>
      </c>
      <c r="AN108">
        <f t="shared" si="10"/>
        <v>0</v>
      </c>
    </row>
    <row r="109" spans="1:40" ht="409.6" x14ac:dyDescent="0.2">
      <c r="A109" s="2">
        <v>141</v>
      </c>
      <c r="B109" s="2"/>
      <c r="C109" s="2" t="s">
        <v>1181</v>
      </c>
      <c r="D109" s="2" t="s">
        <v>1182</v>
      </c>
      <c r="E109" s="2" t="s">
        <v>1183</v>
      </c>
      <c r="F109" s="2">
        <v>2021</v>
      </c>
      <c r="G109" s="2"/>
      <c r="H109" s="2"/>
      <c r="I109" s="2"/>
      <c r="J109" s="2" t="s">
        <v>1184</v>
      </c>
      <c r="K109" s="2"/>
      <c r="L109" s="2"/>
      <c r="M109" s="2"/>
      <c r="N109" s="2"/>
      <c r="O109" s="2"/>
      <c r="P109" s="2"/>
      <c r="Q109" s="2"/>
      <c r="R109" s="2"/>
      <c r="S109" s="2"/>
      <c r="T109" s="2"/>
      <c r="U109" s="2"/>
      <c r="V109" s="2"/>
      <c r="W109" s="2"/>
      <c r="X109" s="2"/>
      <c r="Y109" s="2" t="s">
        <v>58</v>
      </c>
      <c r="Z109" s="2" t="s">
        <v>1075</v>
      </c>
      <c r="AA109" s="2" t="s">
        <v>415</v>
      </c>
      <c r="AB109" s="2" t="s">
        <v>1185</v>
      </c>
      <c r="AC109" s="2" t="s">
        <v>1176</v>
      </c>
      <c r="AD109" s="2" t="s">
        <v>1186</v>
      </c>
      <c r="AE109" s="2" t="s">
        <v>1187</v>
      </c>
      <c r="AF109" s="2" t="s">
        <v>1188</v>
      </c>
      <c r="AG109" s="2" t="s">
        <v>1189</v>
      </c>
      <c r="AH109" s="2">
        <v>1</v>
      </c>
      <c r="AI109" s="2" t="s">
        <v>1190</v>
      </c>
      <c r="AK109">
        <f t="shared" si="11"/>
        <v>1</v>
      </c>
      <c r="AL109">
        <f t="shared" si="8"/>
        <v>0</v>
      </c>
      <c r="AM109">
        <f t="shared" si="9"/>
        <v>1</v>
      </c>
      <c r="AN109">
        <f t="shared" si="10"/>
        <v>0</v>
      </c>
    </row>
    <row r="110" spans="1:40" ht="409.6" x14ac:dyDescent="0.2">
      <c r="A110" s="2">
        <v>142</v>
      </c>
      <c r="B110" s="2"/>
      <c r="C110" s="2" t="s">
        <v>1191</v>
      </c>
      <c r="D110" s="2" t="s">
        <v>1192</v>
      </c>
      <c r="E110" s="2" t="s">
        <v>1193</v>
      </c>
      <c r="F110" s="2">
        <v>2016</v>
      </c>
      <c r="G110" s="2"/>
      <c r="H110" s="2"/>
      <c r="I110" s="2"/>
      <c r="J110" s="2" t="s">
        <v>1194</v>
      </c>
      <c r="K110" s="2"/>
      <c r="L110" s="2"/>
      <c r="M110" s="2"/>
      <c r="N110" s="2"/>
      <c r="O110" s="2"/>
      <c r="P110" s="2"/>
      <c r="Q110" s="2"/>
      <c r="R110" s="2"/>
      <c r="S110" s="2"/>
      <c r="T110" s="2"/>
      <c r="U110" s="2"/>
      <c r="V110" s="2"/>
      <c r="W110" s="2"/>
      <c r="X110" s="2"/>
      <c r="Y110" s="2" t="s">
        <v>58</v>
      </c>
      <c r="Z110" s="2" t="s">
        <v>1075</v>
      </c>
      <c r="AA110" s="2" t="s">
        <v>1195</v>
      </c>
      <c r="AB110" s="2" t="s">
        <v>416</v>
      </c>
      <c r="AC110" s="2"/>
      <c r="AD110" s="2" t="s">
        <v>1196</v>
      </c>
      <c r="AE110" s="2" t="s">
        <v>1197</v>
      </c>
      <c r="AF110" s="2"/>
      <c r="AG110" s="2" t="s">
        <v>1189</v>
      </c>
      <c r="AH110" s="2">
        <v>0</v>
      </c>
      <c r="AI110" s="2"/>
      <c r="AK110">
        <f t="shared" si="11"/>
        <v>1</v>
      </c>
      <c r="AL110">
        <f t="shared" si="8"/>
        <v>0</v>
      </c>
      <c r="AM110">
        <f t="shared" si="9"/>
        <v>1</v>
      </c>
      <c r="AN110">
        <f t="shared" si="10"/>
        <v>0</v>
      </c>
    </row>
    <row r="111" spans="1:40" ht="409.6" x14ac:dyDescent="0.2">
      <c r="A111" s="2">
        <v>143</v>
      </c>
      <c r="B111" s="2"/>
      <c r="C111" s="2" t="s">
        <v>1198</v>
      </c>
      <c r="D111" s="2" t="s">
        <v>1199</v>
      </c>
      <c r="E111" s="2" t="s">
        <v>1200</v>
      </c>
      <c r="F111" s="2">
        <v>2017</v>
      </c>
      <c r="G111" s="2"/>
      <c r="H111" s="2"/>
      <c r="I111" s="2"/>
      <c r="J111" s="2" t="s">
        <v>1201</v>
      </c>
      <c r="K111" s="2"/>
      <c r="L111" s="2"/>
      <c r="M111" s="2"/>
      <c r="N111" s="2"/>
      <c r="O111" s="2"/>
      <c r="P111" s="2"/>
      <c r="Q111" s="2"/>
      <c r="R111" s="2"/>
      <c r="S111" s="2"/>
      <c r="T111" s="2"/>
      <c r="U111" s="2"/>
      <c r="V111" s="2"/>
      <c r="W111" s="2"/>
      <c r="X111" s="2"/>
      <c r="Y111" s="2" t="s">
        <v>58</v>
      </c>
      <c r="Z111" s="2" t="s">
        <v>1075</v>
      </c>
      <c r="AA111" s="2" t="s">
        <v>1202</v>
      </c>
      <c r="AB111" s="2" t="s">
        <v>416</v>
      </c>
      <c r="AC111" s="2"/>
      <c r="AD111" s="2" t="s">
        <v>1203</v>
      </c>
      <c r="AE111" s="2" t="s">
        <v>1204</v>
      </c>
      <c r="AF111" s="2" t="s">
        <v>1205</v>
      </c>
      <c r="AG111" s="2" t="s">
        <v>1189</v>
      </c>
      <c r="AH111" s="2">
        <v>0</v>
      </c>
      <c r="AI111" s="2"/>
      <c r="AK111">
        <f t="shared" si="11"/>
        <v>1</v>
      </c>
      <c r="AL111">
        <f t="shared" si="8"/>
        <v>0</v>
      </c>
      <c r="AM111">
        <f t="shared" si="9"/>
        <v>1</v>
      </c>
      <c r="AN111">
        <f t="shared" si="10"/>
        <v>0</v>
      </c>
    </row>
    <row r="112" spans="1:40" ht="409.6" x14ac:dyDescent="0.2">
      <c r="A112" s="2">
        <v>144</v>
      </c>
      <c r="B112" s="2"/>
      <c r="C112" s="2" t="s">
        <v>1206</v>
      </c>
      <c r="D112" s="2" t="s">
        <v>1207</v>
      </c>
      <c r="E112" s="2" t="s">
        <v>1208</v>
      </c>
      <c r="F112" s="2">
        <v>2018</v>
      </c>
      <c r="G112" s="2"/>
      <c r="H112" s="2"/>
      <c r="I112" s="2"/>
      <c r="J112" s="2" t="s">
        <v>1209</v>
      </c>
      <c r="K112" s="2"/>
      <c r="L112" s="2"/>
      <c r="M112" s="2"/>
      <c r="N112" s="2"/>
      <c r="O112" s="2"/>
      <c r="P112" s="2"/>
      <c r="Q112" s="2"/>
      <c r="R112" s="2"/>
      <c r="S112" s="2"/>
      <c r="T112" s="2"/>
      <c r="U112" s="2"/>
      <c r="V112" s="2"/>
      <c r="W112" s="2"/>
      <c r="X112" s="2"/>
      <c r="Y112" s="2" t="s">
        <v>58</v>
      </c>
      <c r="Z112" s="2" t="s">
        <v>1111</v>
      </c>
      <c r="AA112" s="2" t="s">
        <v>415</v>
      </c>
      <c r="AB112" s="2" t="s">
        <v>61</v>
      </c>
      <c r="AC112" s="2" t="s">
        <v>1210</v>
      </c>
      <c r="AD112" s="2" t="s">
        <v>1211</v>
      </c>
      <c r="AE112" s="2" t="s">
        <v>1212</v>
      </c>
      <c r="AF112" s="2" t="s">
        <v>1213</v>
      </c>
      <c r="AG112" s="2" t="s">
        <v>1214</v>
      </c>
      <c r="AH112" s="2">
        <v>1</v>
      </c>
      <c r="AI112" s="2" t="s">
        <v>1215</v>
      </c>
      <c r="AK112">
        <f t="shared" si="11"/>
        <v>1</v>
      </c>
      <c r="AL112">
        <f t="shared" si="8"/>
        <v>0</v>
      </c>
      <c r="AM112">
        <f t="shared" si="9"/>
        <v>0</v>
      </c>
      <c r="AN112">
        <f t="shared" si="10"/>
        <v>1</v>
      </c>
    </row>
    <row r="113" spans="1:40" ht="409.6" x14ac:dyDescent="0.2">
      <c r="A113" s="2">
        <v>146</v>
      </c>
      <c r="B113" s="2"/>
      <c r="C113" s="2" t="s">
        <v>1216</v>
      </c>
      <c r="D113" s="2" t="s">
        <v>1217</v>
      </c>
      <c r="E113" s="2" t="s">
        <v>1218</v>
      </c>
      <c r="F113" s="2">
        <v>2017</v>
      </c>
      <c r="G113" s="2"/>
      <c r="H113" s="2"/>
      <c r="I113" s="2"/>
      <c r="J113" s="2" t="s">
        <v>1219</v>
      </c>
      <c r="K113" s="2"/>
      <c r="L113" s="2"/>
      <c r="M113" s="2"/>
      <c r="N113" s="2"/>
      <c r="O113" s="2"/>
      <c r="P113" s="2"/>
      <c r="Q113" s="2"/>
      <c r="R113" s="2"/>
      <c r="S113" s="2"/>
      <c r="T113" s="2"/>
      <c r="U113" s="2"/>
      <c r="V113" s="2"/>
      <c r="W113" s="2"/>
      <c r="X113" s="2"/>
      <c r="Y113" s="2" t="s">
        <v>58</v>
      </c>
      <c r="Z113" s="2" t="s">
        <v>1096</v>
      </c>
      <c r="AA113" s="2" t="s">
        <v>1220</v>
      </c>
      <c r="AB113" s="2" t="s">
        <v>1128</v>
      </c>
      <c r="AC113" s="2"/>
      <c r="AD113" s="2"/>
      <c r="AE113" s="2" t="s">
        <v>1221</v>
      </c>
      <c r="AF113" s="2" t="s">
        <v>1222</v>
      </c>
      <c r="AG113" s="2" t="s">
        <v>762</v>
      </c>
      <c r="AH113" s="2">
        <v>0</v>
      </c>
      <c r="AI113" s="2"/>
      <c r="AK113">
        <f t="shared" si="11"/>
        <v>1</v>
      </c>
      <c r="AL113">
        <f t="shared" si="8"/>
        <v>0</v>
      </c>
      <c r="AM113">
        <f t="shared" si="9"/>
        <v>1</v>
      </c>
      <c r="AN113">
        <f t="shared" si="10"/>
        <v>1</v>
      </c>
    </row>
    <row r="114" spans="1:40" ht="409.6" x14ac:dyDescent="0.2">
      <c r="A114" s="2">
        <v>147</v>
      </c>
      <c r="B114" s="2"/>
      <c r="C114" s="2" t="s">
        <v>1223</v>
      </c>
      <c r="D114" s="2" t="s">
        <v>1224</v>
      </c>
      <c r="E114" s="2" t="s">
        <v>1225</v>
      </c>
      <c r="F114" s="2">
        <v>2014</v>
      </c>
      <c r="G114" s="2"/>
      <c r="H114" s="2"/>
      <c r="I114" s="2"/>
      <c r="J114" s="2" t="s">
        <v>1226</v>
      </c>
      <c r="K114" s="2"/>
      <c r="L114" s="2"/>
      <c r="M114" s="2"/>
      <c r="N114" s="2"/>
      <c r="O114" s="2"/>
      <c r="P114" s="2"/>
      <c r="Q114" s="2"/>
      <c r="R114" s="2"/>
      <c r="S114" s="2"/>
      <c r="T114" s="2"/>
      <c r="U114" s="2"/>
      <c r="V114" s="2"/>
      <c r="W114" s="2"/>
      <c r="X114" s="2"/>
      <c r="Y114" s="2" t="s">
        <v>58</v>
      </c>
      <c r="Z114" s="2" t="s">
        <v>1111</v>
      </c>
      <c r="AA114" s="2" t="s">
        <v>1227</v>
      </c>
      <c r="AB114" s="2" t="s">
        <v>91</v>
      </c>
      <c r="AC114" s="2"/>
      <c r="AD114" s="2" t="s">
        <v>1228</v>
      </c>
      <c r="AE114" s="2" t="s">
        <v>1229</v>
      </c>
      <c r="AF114" s="2" t="s">
        <v>1230</v>
      </c>
      <c r="AG114" s="2" t="s">
        <v>1231</v>
      </c>
      <c r="AH114" s="2">
        <v>0</v>
      </c>
      <c r="AI114" s="2"/>
      <c r="AK114">
        <f t="shared" si="11"/>
        <v>1</v>
      </c>
      <c r="AL114">
        <f t="shared" si="8"/>
        <v>0</v>
      </c>
      <c r="AM114">
        <f t="shared" si="9"/>
        <v>0</v>
      </c>
      <c r="AN114">
        <f t="shared" si="10"/>
        <v>1</v>
      </c>
    </row>
    <row r="115" spans="1:40" ht="409.6" x14ac:dyDescent="0.2">
      <c r="A115" s="2">
        <v>148</v>
      </c>
      <c r="B115" s="2"/>
      <c r="C115" s="2" t="s">
        <v>1232</v>
      </c>
      <c r="D115" s="2" t="s">
        <v>1233</v>
      </c>
      <c r="E115" s="2" t="s">
        <v>1234</v>
      </c>
      <c r="F115" s="2">
        <v>2014</v>
      </c>
      <c r="G115" s="2"/>
      <c r="H115" s="2"/>
      <c r="I115" s="2"/>
      <c r="J115" s="2" t="s">
        <v>1235</v>
      </c>
      <c r="K115" s="2"/>
      <c r="L115" s="2"/>
      <c r="M115" s="2"/>
      <c r="N115" s="2"/>
      <c r="O115" s="2"/>
      <c r="P115" s="2"/>
      <c r="Q115" s="2"/>
      <c r="R115" s="2"/>
      <c r="S115" s="2"/>
      <c r="T115" s="2"/>
      <c r="U115" s="2"/>
      <c r="V115" s="2"/>
      <c r="W115" s="2"/>
      <c r="X115" s="2"/>
      <c r="Y115" s="2" t="s">
        <v>58</v>
      </c>
      <c r="Z115" s="2" t="s">
        <v>1236</v>
      </c>
      <c r="AA115" s="2" t="s">
        <v>1237</v>
      </c>
      <c r="AB115" s="2" t="s">
        <v>91</v>
      </c>
      <c r="AC115" s="2"/>
      <c r="AD115" s="2" t="s">
        <v>1238</v>
      </c>
      <c r="AE115" s="2" t="s">
        <v>1239</v>
      </c>
      <c r="AF115" s="2" t="s">
        <v>1240</v>
      </c>
      <c r="AG115" s="2" t="s">
        <v>1241</v>
      </c>
      <c r="AH115" s="2">
        <v>0.5</v>
      </c>
      <c r="AI115" s="2" t="s">
        <v>1242</v>
      </c>
      <c r="AK115">
        <f t="shared" si="11"/>
        <v>1</v>
      </c>
      <c r="AL115">
        <f t="shared" si="8"/>
        <v>0</v>
      </c>
      <c r="AM115">
        <f t="shared" si="9"/>
        <v>1</v>
      </c>
      <c r="AN115">
        <f t="shared" si="10"/>
        <v>1</v>
      </c>
    </row>
    <row r="116" spans="1:40" ht="409.6" x14ac:dyDescent="0.2">
      <c r="A116" s="2">
        <v>149</v>
      </c>
      <c r="B116" s="2"/>
      <c r="C116" s="2" t="s">
        <v>1243</v>
      </c>
      <c r="D116" s="2" t="s">
        <v>1244</v>
      </c>
      <c r="E116" s="2" t="s">
        <v>1245</v>
      </c>
      <c r="F116" s="2">
        <v>2018</v>
      </c>
      <c r="G116" s="2"/>
      <c r="H116" s="2"/>
      <c r="I116" s="2"/>
      <c r="J116" s="2" t="s">
        <v>1246</v>
      </c>
      <c r="K116" s="2"/>
      <c r="L116" s="2"/>
      <c r="M116" s="2"/>
      <c r="N116" s="2"/>
      <c r="O116" s="2"/>
      <c r="P116" s="2"/>
      <c r="Q116" s="2"/>
      <c r="R116" s="2"/>
      <c r="S116" s="2"/>
      <c r="T116" s="2"/>
      <c r="U116" s="2"/>
      <c r="V116" s="2"/>
      <c r="W116" s="2"/>
      <c r="X116" s="2"/>
      <c r="Y116" s="2" t="s">
        <v>58</v>
      </c>
      <c r="Z116" s="2" t="s">
        <v>1247</v>
      </c>
      <c r="AA116" s="2" t="s">
        <v>1248</v>
      </c>
      <c r="AB116" s="2" t="s">
        <v>91</v>
      </c>
      <c r="AC116" s="2"/>
      <c r="AD116" s="2" t="s">
        <v>1139</v>
      </c>
      <c r="AE116" s="2"/>
      <c r="AF116" s="2" t="s">
        <v>1249</v>
      </c>
      <c r="AG116" s="2" t="s">
        <v>66</v>
      </c>
      <c r="AH116" s="2">
        <v>0</v>
      </c>
      <c r="AI116" s="2" t="s">
        <v>1250</v>
      </c>
      <c r="AK116">
        <f t="shared" si="11"/>
        <v>1</v>
      </c>
      <c r="AL116">
        <f t="shared" si="8"/>
        <v>0</v>
      </c>
      <c r="AM116">
        <f t="shared" si="9"/>
        <v>0</v>
      </c>
      <c r="AN116">
        <f t="shared" si="10"/>
        <v>1</v>
      </c>
    </row>
    <row r="117" spans="1:40" ht="409.6" x14ac:dyDescent="0.2">
      <c r="A117" s="2">
        <v>150</v>
      </c>
      <c r="B117" s="2"/>
      <c r="C117" s="2" t="s">
        <v>1251</v>
      </c>
      <c r="D117" s="2" t="s">
        <v>1252</v>
      </c>
      <c r="E117" s="2" t="s">
        <v>1253</v>
      </c>
      <c r="F117" s="2">
        <v>2023</v>
      </c>
      <c r="G117" s="2"/>
      <c r="H117" s="2"/>
      <c r="I117" s="2"/>
      <c r="J117" s="2" t="s">
        <v>1254</v>
      </c>
      <c r="K117" s="2"/>
      <c r="L117" s="2"/>
      <c r="M117" s="2"/>
      <c r="N117" s="2"/>
      <c r="O117" s="2"/>
      <c r="P117" s="2"/>
      <c r="Q117" s="2"/>
      <c r="R117" s="2"/>
      <c r="S117" s="2"/>
      <c r="T117" s="2"/>
      <c r="U117" s="2"/>
      <c r="V117" s="2"/>
      <c r="W117" s="2"/>
      <c r="X117" s="2"/>
      <c r="Y117" s="2" t="s">
        <v>58</v>
      </c>
      <c r="Z117" s="2" t="s">
        <v>1111</v>
      </c>
      <c r="AA117" s="2" t="s">
        <v>1255</v>
      </c>
      <c r="AB117" s="2" t="s">
        <v>1256</v>
      </c>
      <c r="AC117" s="2"/>
      <c r="AD117" s="2" t="s">
        <v>1257</v>
      </c>
      <c r="AE117" s="2" t="s">
        <v>1258</v>
      </c>
      <c r="AF117" s="2" t="s">
        <v>1259</v>
      </c>
      <c r="AG117" s="2" t="s">
        <v>66</v>
      </c>
      <c r="AH117" s="2">
        <v>1</v>
      </c>
      <c r="AI117" s="2" t="s">
        <v>1260</v>
      </c>
      <c r="AK117">
        <f t="shared" si="11"/>
        <v>1</v>
      </c>
      <c r="AL117">
        <f t="shared" si="8"/>
        <v>0</v>
      </c>
      <c r="AM117">
        <f t="shared" si="9"/>
        <v>0</v>
      </c>
      <c r="AN117">
        <f t="shared" si="10"/>
        <v>1</v>
      </c>
    </row>
    <row r="118" spans="1:40" ht="409.6" x14ac:dyDescent="0.2">
      <c r="A118" s="2">
        <v>151</v>
      </c>
      <c r="B118" s="2"/>
      <c r="C118" s="2" t="s">
        <v>1261</v>
      </c>
      <c r="D118" s="2" t="s">
        <v>1262</v>
      </c>
      <c r="E118" s="2" t="s">
        <v>1263</v>
      </c>
      <c r="F118" s="2">
        <v>2014</v>
      </c>
      <c r="G118" s="2"/>
      <c r="H118" s="2"/>
      <c r="I118" s="2"/>
      <c r="J118" s="2" t="s">
        <v>1264</v>
      </c>
      <c r="K118" s="2"/>
      <c r="L118" s="2"/>
      <c r="M118" s="2"/>
      <c r="N118" s="2"/>
      <c r="O118" s="2"/>
      <c r="P118" s="2"/>
      <c r="Q118" s="2"/>
      <c r="R118" s="2"/>
      <c r="S118" s="2"/>
      <c r="T118" s="2"/>
      <c r="U118" s="2"/>
      <c r="V118" s="2"/>
      <c r="W118" s="2"/>
      <c r="X118" s="2"/>
      <c r="Y118" s="2" t="s">
        <v>58</v>
      </c>
      <c r="Z118" s="2" t="s">
        <v>1111</v>
      </c>
      <c r="AA118" s="2" t="s">
        <v>1265</v>
      </c>
      <c r="AB118" s="2" t="s">
        <v>211</v>
      </c>
      <c r="AC118" s="2"/>
      <c r="AD118" s="2" t="s">
        <v>1112</v>
      </c>
      <c r="AE118" s="2" t="s">
        <v>1266</v>
      </c>
      <c r="AF118" s="2" t="s">
        <v>1267</v>
      </c>
      <c r="AG118" s="2" t="s">
        <v>66</v>
      </c>
      <c r="AH118" s="2">
        <v>0</v>
      </c>
      <c r="AI118" s="2" t="s">
        <v>1268</v>
      </c>
      <c r="AK118">
        <f t="shared" si="11"/>
        <v>1</v>
      </c>
      <c r="AL118">
        <f t="shared" si="8"/>
        <v>0</v>
      </c>
      <c r="AM118">
        <f t="shared" si="9"/>
        <v>0</v>
      </c>
      <c r="AN118">
        <f t="shared" si="10"/>
        <v>1</v>
      </c>
    </row>
    <row r="119" spans="1:40" ht="409.6" x14ac:dyDescent="0.2">
      <c r="A119" s="2">
        <v>152</v>
      </c>
      <c r="B119" s="2"/>
      <c r="C119" s="2" t="s">
        <v>1269</v>
      </c>
      <c r="D119" s="2" t="s">
        <v>1270</v>
      </c>
      <c r="E119" s="2" t="s">
        <v>1271</v>
      </c>
      <c r="F119" s="2">
        <v>2015</v>
      </c>
      <c r="G119" s="2"/>
      <c r="H119" s="2"/>
      <c r="I119" s="2"/>
      <c r="J119" s="2" t="s">
        <v>1272</v>
      </c>
      <c r="K119" s="2"/>
      <c r="L119" s="2"/>
      <c r="M119" s="2"/>
      <c r="N119" s="2"/>
      <c r="O119" s="2"/>
      <c r="P119" s="2"/>
      <c r="Q119" s="2"/>
      <c r="R119" s="2"/>
      <c r="S119" s="2"/>
      <c r="T119" s="2"/>
      <c r="U119" s="2"/>
      <c r="V119" s="2"/>
      <c r="W119" s="2"/>
      <c r="X119" s="2"/>
      <c r="Y119" s="2" t="s">
        <v>58</v>
      </c>
      <c r="Z119" s="2" t="s">
        <v>1111</v>
      </c>
      <c r="AA119" s="2" t="s">
        <v>415</v>
      </c>
      <c r="AB119" s="2" t="s">
        <v>61</v>
      </c>
      <c r="AC119" s="2" t="s">
        <v>1273</v>
      </c>
      <c r="AD119" s="2" t="s">
        <v>1274</v>
      </c>
      <c r="AE119" s="2" t="s">
        <v>1275</v>
      </c>
      <c r="AF119" s="2" t="s">
        <v>1114</v>
      </c>
      <c r="AG119" s="2" t="s">
        <v>1276</v>
      </c>
      <c r="AH119" s="2">
        <v>0.5</v>
      </c>
      <c r="AI119" s="2" t="s">
        <v>1277</v>
      </c>
      <c r="AK119">
        <f t="shared" si="11"/>
        <v>1</v>
      </c>
      <c r="AL119">
        <f t="shared" si="8"/>
        <v>0</v>
      </c>
      <c r="AM119">
        <f t="shared" si="9"/>
        <v>0</v>
      </c>
      <c r="AN119">
        <f t="shared" si="10"/>
        <v>1</v>
      </c>
    </row>
    <row r="120" spans="1:40" ht="409.6" x14ac:dyDescent="0.2">
      <c r="A120" s="2">
        <v>154</v>
      </c>
      <c r="B120" s="2"/>
      <c r="C120" s="2" t="s">
        <v>1278</v>
      </c>
      <c r="D120" s="2" t="s">
        <v>1279</v>
      </c>
      <c r="E120" s="2" t="s">
        <v>1280</v>
      </c>
      <c r="F120" s="2">
        <v>2021</v>
      </c>
      <c r="G120" s="2"/>
      <c r="H120" s="2"/>
      <c r="I120" s="2"/>
      <c r="J120" s="2" t="s">
        <v>1281</v>
      </c>
      <c r="K120" s="2"/>
      <c r="L120" s="2"/>
      <c r="M120" s="2"/>
      <c r="N120" s="2"/>
      <c r="O120" s="2"/>
      <c r="P120" s="2"/>
      <c r="Q120" s="2"/>
      <c r="R120" s="2"/>
      <c r="S120" s="2"/>
      <c r="T120" s="2"/>
      <c r="U120" s="2"/>
      <c r="V120" s="2"/>
      <c r="W120" s="2"/>
      <c r="X120" s="2"/>
      <c r="Y120" s="2" t="s">
        <v>58</v>
      </c>
      <c r="Z120" s="2" t="s">
        <v>1111</v>
      </c>
      <c r="AA120" s="2" t="s">
        <v>114</v>
      </c>
      <c r="AB120" s="2" t="s">
        <v>1282</v>
      </c>
      <c r="AC120" s="2"/>
      <c r="AD120" s="2" t="s">
        <v>1283</v>
      </c>
      <c r="AE120" s="2" t="s">
        <v>1284</v>
      </c>
      <c r="AF120" s="2" t="s">
        <v>1285</v>
      </c>
      <c r="AG120" s="2" t="s">
        <v>1286</v>
      </c>
      <c r="AH120" s="2">
        <v>0</v>
      </c>
      <c r="AI120" s="2" t="s">
        <v>1287</v>
      </c>
      <c r="AK120">
        <f t="shared" si="11"/>
        <v>1</v>
      </c>
      <c r="AL120">
        <f t="shared" si="8"/>
        <v>0</v>
      </c>
      <c r="AM120">
        <f t="shared" si="9"/>
        <v>0</v>
      </c>
      <c r="AN120">
        <f t="shared" si="10"/>
        <v>1</v>
      </c>
    </row>
    <row r="121" spans="1:40" ht="409.6" x14ac:dyDescent="0.2">
      <c r="A121" s="2">
        <v>155</v>
      </c>
      <c r="B121" s="2"/>
      <c r="C121" s="2" t="s">
        <v>1288</v>
      </c>
      <c r="D121" s="2" t="s">
        <v>1289</v>
      </c>
      <c r="E121" s="2" t="s">
        <v>1290</v>
      </c>
      <c r="F121" s="2">
        <v>2024</v>
      </c>
      <c r="G121" s="2"/>
      <c r="H121" s="2"/>
      <c r="I121" s="2"/>
      <c r="J121" s="2" t="s">
        <v>1291</v>
      </c>
      <c r="K121" s="2"/>
      <c r="L121" s="2"/>
      <c r="M121" s="2"/>
      <c r="N121" s="2"/>
      <c r="O121" s="2"/>
      <c r="P121" s="2"/>
      <c r="Q121" s="2"/>
      <c r="R121" s="2"/>
      <c r="S121" s="2"/>
      <c r="T121" s="2"/>
      <c r="U121" s="2"/>
      <c r="V121" s="2"/>
      <c r="W121" s="2"/>
      <c r="X121" s="2"/>
      <c r="Y121" s="2" t="s">
        <v>58</v>
      </c>
      <c r="Z121" s="2" t="s">
        <v>1111</v>
      </c>
      <c r="AA121" s="2" t="s">
        <v>114</v>
      </c>
      <c r="AB121" s="2" t="s">
        <v>1292</v>
      </c>
      <c r="AC121" s="2"/>
      <c r="AD121" s="2" t="s">
        <v>1293</v>
      </c>
      <c r="AE121" s="2" t="s">
        <v>1294</v>
      </c>
      <c r="AF121" s="2" t="s">
        <v>1295</v>
      </c>
      <c r="AG121" s="2" t="s">
        <v>1296</v>
      </c>
      <c r="AH121" s="2">
        <v>0</v>
      </c>
      <c r="AI121" s="2" t="s">
        <v>1297</v>
      </c>
      <c r="AK121">
        <f t="shared" si="11"/>
        <v>1</v>
      </c>
      <c r="AL121">
        <f t="shared" si="8"/>
        <v>0</v>
      </c>
      <c r="AM121">
        <f t="shared" si="9"/>
        <v>0</v>
      </c>
      <c r="AN121">
        <f t="shared" si="10"/>
        <v>1</v>
      </c>
    </row>
    <row r="122" spans="1:40" ht="409.6" x14ac:dyDescent="0.2">
      <c r="A122" s="2">
        <v>156</v>
      </c>
      <c r="B122" s="2"/>
      <c r="C122" s="2" t="s">
        <v>1298</v>
      </c>
      <c r="D122" s="2" t="s">
        <v>1299</v>
      </c>
      <c r="E122" s="2" t="s">
        <v>1300</v>
      </c>
      <c r="F122" s="2">
        <v>2022</v>
      </c>
      <c r="G122" s="2"/>
      <c r="H122" s="2"/>
      <c r="I122" s="2"/>
      <c r="J122" s="2" t="s">
        <v>1301</v>
      </c>
      <c r="K122" s="2"/>
      <c r="L122" s="2"/>
      <c r="M122" s="2"/>
      <c r="N122" s="2"/>
      <c r="O122" s="2"/>
      <c r="P122" s="2"/>
      <c r="Q122" s="2"/>
      <c r="R122" s="2"/>
      <c r="S122" s="2"/>
      <c r="T122" s="2"/>
      <c r="U122" s="2"/>
      <c r="V122" s="2"/>
      <c r="W122" s="2"/>
      <c r="X122" s="2"/>
      <c r="Y122" s="2" t="s">
        <v>58</v>
      </c>
      <c r="Z122" s="2" t="s">
        <v>1111</v>
      </c>
      <c r="AA122" s="2" t="s">
        <v>1302</v>
      </c>
      <c r="AB122" s="2" t="s">
        <v>416</v>
      </c>
      <c r="AC122" s="2"/>
      <c r="AD122" s="2" t="s">
        <v>1303</v>
      </c>
      <c r="AE122" s="2" t="s">
        <v>1304</v>
      </c>
      <c r="AF122" s="2" t="s">
        <v>1249</v>
      </c>
      <c r="AG122" s="2" t="s">
        <v>1276</v>
      </c>
      <c r="AH122" s="2">
        <v>0</v>
      </c>
      <c r="AI122" s="2" t="s">
        <v>1305</v>
      </c>
      <c r="AK122">
        <f t="shared" si="11"/>
        <v>1</v>
      </c>
      <c r="AL122">
        <f t="shared" si="8"/>
        <v>0</v>
      </c>
      <c r="AM122">
        <f t="shared" si="9"/>
        <v>0</v>
      </c>
      <c r="AN122">
        <f t="shared" si="10"/>
        <v>1</v>
      </c>
    </row>
    <row r="123" spans="1:40" ht="409.6" x14ac:dyDescent="0.2">
      <c r="A123" s="2">
        <v>158</v>
      </c>
      <c r="B123" s="2"/>
      <c r="C123" s="2" t="s">
        <v>1306</v>
      </c>
      <c r="D123" s="2" t="s">
        <v>1307</v>
      </c>
      <c r="E123" s="2" t="s">
        <v>1308</v>
      </c>
      <c r="F123" s="2">
        <v>2020</v>
      </c>
      <c r="G123" s="2"/>
      <c r="H123" s="2"/>
      <c r="I123" s="2"/>
      <c r="J123" s="2" t="s">
        <v>1309</v>
      </c>
      <c r="K123" s="2"/>
      <c r="L123" s="2"/>
      <c r="M123" s="2"/>
      <c r="N123" s="2"/>
      <c r="O123" s="2"/>
      <c r="P123" s="2"/>
      <c r="Q123" s="2"/>
      <c r="R123" s="2"/>
      <c r="S123" s="2"/>
      <c r="T123" s="2"/>
      <c r="U123" s="2"/>
      <c r="V123" s="2"/>
      <c r="W123" s="2"/>
      <c r="X123" s="2"/>
      <c r="Y123" s="2" t="s">
        <v>58</v>
      </c>
      <c r="Z123" s="2" t="s">
        <v>1075</v>
      </c>
      <c r="AA123" s="2" t="s">
        <v>1310</v>
      </c>
      <c r="AB123" s="2" t="s">
        <v>61</v>
      </c>
      <c r="AC123" s="2" t="s">
        <v>1210</v>
      </c>
      <c r="AD123" s="2" t="s">
        <v>1311</v>
      </c>
      <c r="AE123" s="2" t="s">
        <v>1312</v>
      </c>
      <c r="AF123" s="2"/>
      <c r="AG123" s="2" t="s">
        <v>1313</v>
      </c>
      <c r="AH123" s="2">
        <v>1</v>
      </c>
      <c r="AI123" s="2"/>
      <c r="AK123">
        <f t="shared" si="11"/>
        <v>1</v>
      </c>
      <c r="AL123">
        <f t="shared" si="8"/>
        <v>0</v>
      </c>
      <c r="AM123">
        <f t="shared" si="9"/>
        <v>1</v>
      </c>
      <c r="AN123">
        <f t="shared" si="10"/>
        <v>0</v>
      </c>
    </row>
    <row r="124" spans="1:40" ht="409.6" x14ac:dyDescent="0.2">
      <c r="A124" s="2">
        <v>159</v>
      </c>
      <c r="B124" s="2"/>
      <c r="C124" s="2" t="s">
        <v>1314</v>
      </c>
      <c r="D124" s="2" t="s">
        <v>467</v>
      </c>
      <c r="E124" s="2" t="s">
        <v>1315</v>
      </c>
      <c r="F124" s="2">
        <v>2015</v>
      </c>
      <c r="G124" s="2"/>
      <c r="H124" s="2"/>
      <c r="I124" s="2"/>
      <c r="J124" s="2" t="s">
        <v>1316</v>
      </c>
      <c r="K124" s="2"/>
      <c r="L124" s="2"/>
      <c r="M124" s="2"/>
      <c r="N124" s="2"/>
      <c r="O124" s="2"/>
      <c r="P124" s="2"/>
      <c r="Q124" s="2"/>
      <c r="R124" s="2"/>
      <c r="S124" s="2"/>
      <c r="T124" s="2"/>
      <c r="U124" s="2"/>
      <c r="V124" s="2"/>
      <c r="W124" s="2"/>
      <c r="X124" s="2"/>
      <c r="Y124" s="2" t="s">
        <v>58</v>
      </c>
      <c r="Z124" s="2" t="s">
        <v>1111</v>
      </c>
      <c r="AA124" s="2" t="s">
        <v>1317</v>
      </c>
      <c r="AB124" s="2" t="s">
        <v>61</v>
      </c>
      <c r="AC124" s="2" t="s">
        <v>1273</v>
      </c>
      <c r="AD124" s="2" t="s">
        <v>1112</v>
      </c>
      <c r="AE124" s="2" t="s">
        <v>1318</v>
      </c>
      <c r="AF124" s="2" t="s">
        <v>1249</v>
      </c>
      <c r="AG124" s="2" t="s">
        <v>66</v>
      </c>
      <c r="AH124" s="2">
        <v>0</v>
      </c>
      <c r="AI124" s="2"/>
      <c r="AK124">
        <f t="shared" si="11"/>
        <v>1</v>
      </c>
      <c r="AL124">
        <f t="shared" si="8"/>
        <v>0</v>
      </c>
      <c r="AM124">
        <f t="shared" si="9"/>
        <v>0</v>
      </c>
      <c r="AN124">
        <f t="shared" si="10"/>
        <v>1</v>
      </c>
    </row>
    <row r="125" spans="1:40" ht="409.6" x14ac:dyDescent="0.2">
      <c r="A125" s="2">
        <v>160</v>
      </c>
      <c r="B125" s="2"/>
      <c r="C125" s="2" t="s">
        <v>1319</v>
      </c>
      <c r="D125" s="2" t="s">
        <v>510</v>
      </c>
      <c r="E125" s="2" t="s">
        <v>1320</v>
      </c>
      <c r="F125" s="2">
        <v>2016</v>
      </c>
      <c r="G125" s="2"/>
      <c r="H125" s="2"/>
      <c r="I125" s="2"/>
      <c r="J125" s="2" t="s">
        <v>1321</v>
      </c>
      <c r="K125" s="2"/>
      <c r="L125" s="2"/>
      <c r="M125" s="2"/>
      <c r="N125" s="2"/>
      <c r="O125" s="2"/>
      <c r="P125" s="2"/>
      <c r="Q125" s="2"/>
      <c r="R125" s="2"/>
      <c r="S125" s="2"/>
      <c r="T125" s="2"/>
      <c r="U125" s="2"/>
      <c r="V125" s="2"/>
      <c r="W125" s="2"/>
      <c r="X125" s="2"/>
      <c r="Y125" s="2" t="s">
        <v>58</v>
      </c>
      <c r="Z125" s="2" t="s">
        <v>1111</v>
      </c>
      <c r="AA125" s="2" t="s">
        <v>1322</v>
      </c>
      <c r="AB125" s="2" t="s">
        <v>1323</v>
      </c>
      <c r="AC125" s="2"/>
      <c r="AD125" s="2" t="s">
        <v>1112</v>
      </c>
      <c r="AE125" s="2" t="s">
        <v>1324</v>
      </c>
      <c r="AF125" s="2"/>
      <c r="AG125" s="2" t="s">
        <v>66</v>
      </c>
      <c r="AH125" s="2">
        <v>0.5</v>
      </c>
      <c r="AI125" s="2" t="s">
        <v>1325</v>
      </c>
      <c r="AK125">
        <f t="shared" si="11"/>
        <v>1</v>
      </c>
      <c r="AL125">
        <f t="shared" si="8"/>
        <v>0</v>
      </c>
      <c r="AM125">
        <f t="shared" si="9"/>
        <v>0</v>
      </c>
      <c r="AN125">
        <f t="shared" si="10"/>
        <v>1</v>
      </c>
    </row>
    <row r="126" spans="1:40" ht="409.6" x14ac:dyDescent="0.2">
      <c r="A126" s="2">
        <v>161</v>
      </c>
      <c r="B126" s="2"/>
      <c r="C126" s="2" t="s">
        <v>1326</v>
      </c>
      <c r="D126" s="2" t="s">
        <v>467</v>
      </c>
      <c r="E126" s="2" t="s">
        <v>1327</v>
      </c>
      <c r="F126" s="2">
        <v>2022</v>
      </c>
      <c r="G126" s="2"/>
      <c r="H126" s="2"/>
      <c r="I126" s="2"/>
      <c r="J126" s="2" t="s">
        <v>1328</v>
      </c>
      <c r="K126" s="2"/>
      <c r="L126" s="2"/>
      <c r="M126" s="2"/>
      <c r="N126" s="2"/>
      <c r="O126" s="2"/>
      <c r="P126" s="2"/>
      <c r="Q126" s="2"/>
      <c r="R126" s="2"/>
      <c r="S126" s="2"/>
      <c r="T126" s="2"/>
      <c r="U126" s="2"/>
      <c r="V126" s="2"/>
      <c r="W126" s="2"/>
      <c r="X126" s="2"/>
      <c r="Y126" s="2" t="s">
        <v>58</v>
      </c>
      <c r="Z126" s="2" t="s">
        <v>1111</v>
      </c>
      <c r="AA126" s="2" t="s">
        <v>415</v>
      </c>
      <c r="AB126" s="2" t="s">
        <v>1329</v>
      </c>
      <c r="AC126" s="2"/>
      <c r="AD126" s="2" t="s">
        <v>1112</v>
      </c>
      <c r="AE126" s="2" t="s">
        <v>1330</v>
      </c>
      <c r="AF126" s="2" t="s">
        <v>1249</v>
      </c>
      <c r="AG126" s="2" t="s">
        <v>1331</v>
      </c>
      <c r="AH126" s="2">
        <v>1</v>
      </c>
      <c r="AI126" s="2" t="s">
        <v>1332</v>
      </c>
      <c r="AK126">
        <f t="shared" si="11"/>
        <v>1</v>
      </c>
      <c r="AL126">
        <f t="shared" si="8"/>
        <v>0</v>
      </c>
      <c r="AM126">
        <f t="shared" si="9"/>
        <v>0</v>
      </c>
      <c r="AN126">
        <f t="shared" si="10"/>
        <v>1</v>
      </c>
    </row>
  </sheetData>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x14ac:dyDescent="0.2"/>
  <sheetData>
    <row r="1" spans="1:5" x14ac:dyDescent="0.2">
      <c r="A1" s="33"/>
      <c r="B1" s="33"/>
      <c r="C1" s="33"/>
      <c r="D1" s="33"/>
      <c r="E1"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2025-10-26T16:05:01Z</dcterms:modified>
</cp:coreProperties>
</file>