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xr:revisionPtr revIDLastSave="0" documentId="13_ncr:1_{12C0D9A4-7E94-45AD-AC11-32EAE565D2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51" i="1"/>
  <c r="E12" i="1" s="1"/>
  <c r="B50" i="1"/>
  <c r="D12" i="1" s="1"/>
  <c r="B49" i="1"/>
  <c r="C12" i="1" s="1"/>
  <c r="B48" i="1"/>
  <c r="B12" i="1" s="1"/>
  <c r="B24" i="1"/>
  <c r="B23" i="1"/>
  <c r="E13" i="1"/>
  <c r="D13" i="1"/>
  <c r="C13" i="1"/>
  <c r="B13" i="1"/>
  <c r="D9" i="1"/>
  <c r="E9" i="1"/>
  <c r="C9" i="1"/>
  <c r="B9" i="1"/>
  <c r="B14" i="1" l="1"/>
  <c r="B26" i="1"/>
  <c r="B10" i="1" s="1"/>
  <c r="B43" i="1"/>
  <c r="E8" i="1" s="1"/>
  <c r="E10" i="1" s="1"/>
  <c r="B42" i="1"/>
  <c r="D8" i="1" s="1"/>
  <c r="D10" i="1" s="1"/>
  <c r="B41" i="1"/>
  <c r="C8" i="1" s="1"/>
  <c r="C10" i="1" s="1"/>
  <c r="E14" i="1"/>
  <c r="D14" i="1"/>
  <c r="C14" i="1"/>
  <c r="E16" i="1" l="1"/>
  <c r="D16" i="1"/>
  <c r="F14" i="1"/>
  <c r="C16" i="1"/>
  <c r="F10" i="1"/>
  <c r="B16" i="1"/>
  <c r="B17" i="1" s="1"/>
  <c r="B19" i="1" l="1"/>
  <c r="C17" i="1"/>
  <c r="D17" i="1" s="1"/>
  <c r="E17" i="1" s="1"/>
  <c r="F16" i="1"/>
</calcChain>
</file>

<file path=xl/sharedStrings.xml><?xml version="1.0" encoding="utf-8"?>
<sst xmlns="http://schemas.openxmlformats.org/spreadsheetml/2006/main" count="47" uniqueCount="44">
  <si>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</si>
  <si>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</si>
  <si>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</si>
  <si>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</si>
  <si>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</si>
  <si>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</si>
  <si>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</si>
  <si>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</si>
  <si>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</si>
  <si>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</si>
  <si>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</si>
  <si>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Assumptions</t>
  </si>
  <si>
    <t>Created by: A.Afeltra, A. Giametta, R. Squillante</t>
  </si>
  <si>
    <t>Date:03/11/2022</t>
  </si>
  <si>
    <t>Financial Analysis for GreenLeaf</t>
  </si>
  <si>
    <t>Total project costs (all applied in year 0)</t>
  </si>
  <si>
    <t>Assume the project is completed in about 3 months</t>
  </si>
  <si>
    <t>Incrase the quality of monitoring</t>
  </si>
  <si>
    <t>Google Maps API</t>
  </si>
  <si>
    <t>Maintenance costs (after year 0)</t>
  </si>
  <si>
    <t>Discounted life cycle ROI</t>
  </si>
  <si>
    <t>Total costs year 1</t>
  </si>
  <si>
    <t>Total costs year 2</t>
  </si>
  <si>
    <t>Total costs year 3</t>
  </si>
  <si>
    <t>PM ( 50 hours, 20 euro/hour)</t>
  </si>
  <si>
    <t>Staff ( 50 hours, 15 euro/hour)</t>
  </si>
  <si>
    <t>Benefits from adopting trees (600 trees, 55 euro/tree) (year 1)</t>
  </si>
  <si>
    <t>Benefits from adopting trees (1800 trees, 55 euro/tree) (year 2)</t>
  </si>
  <si>
    <t>Benefits from adopting trees (5400 trees, 55 euro/tree) (year 3)</t>
  </si>
  <si>
    <t>IoT Devices (200 devices, 20 euro/device) (year 0)</t>
  </si>
  <si>
    <t>Benefits from adopting trees (200 trees, 55 euro/tree) (year 0)</t>
  </si>
  <si>
    <t>IoT Devices (600 devices, 20 euro/device) (year 1)</t>
  </si>
  <si>
    <t>IoT Devices (1800 devices, 20 euro/device) (year 2)</t>
  </si>
  <si>
    <t>IoT Devices (5400 devices, 20 euro/device) (year 3)</t>
  </si>
  <si>
    <t>Trees (600 trees, 10euro/tree) (year 1)</t>
  </si>
  <si>
    <t>Trees (1800 trees,10euro/tree) (year 2)</t>
  </si>
  <si>
    <t>Trees (5400 trees,10euro/tree) (year 3)</t>
  </si>
  <si>
    <t>Trees (200 trees, 10euro/tree) (year 0)</t>
  </si>
  <si>
    <t>IoT devices management cost (200 devices, 5 euro/device) (year 0)</t>
  </si>
  <si>
    <t>IoT devices management cost (800 devices, 5 euro/device) (year 1)</t>
  </si>
  <si>
    <t>IoT devices management cost (2600 devices, 5 euro/device) (year 2)</t>
  </si>
  <si>
    <t>IoT devices management cost (8000 devices, 5 euro/device) (year 3)</t>
  </si>
  <si>
    <t>Total costs year 0</t>
  </si>
  <si>
    <t>Payback in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</si>
</sst>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0" fontId="6" fillId="0" borderId="0" xfId="2" applyNumberFormat="1" applyFont="1"/>
    <xf numFmtId="0" fontId="6" fillId="0" borderId="0" xfId="0" applyFont="1"/>
    <xf numFmtId="0" fontId="3" fillId="0" borderId="0" xfId="0" applyFont="1"/>
    <xf numFmtId="166" fontId="0" fillId="0" borderId="0" xfId="0" applyNumberFormat="1"/>
    <xf numFmtId="166" fontId="3" fillId="0" borderId="0" xfId="2" applyNumberFormat="1" applyFont="1"/>
    <xf numFmtId="9" fontId="0" fillId="0" borderId="0" xfId="0" applyNumberFormat="1"/>
    <xf numFmtId="166" fontId="2" fillId="0" borderId="0" xfId="0" applyNumberFormat="1" applyFont="1"/>
    <xf numFmtId="166" fontId="3" fillId="0" borderId="0" xfId="0" applyNumberFormat="1" applyFont="1"/>
    <xf numFmtId="166" fontId="6" fillId="0" borderId="0" xfId="0" applyNumberFormat="1" applyFont="1"/>
    <xf numFmtId="166" fontId="2" fillId="0" borderId="0" xfId="1" applyNumberFormat="1" applyFont="1"/>
    <xf numFmtId="166" fontId="6" fillId="0" borderId="0" xfId="1" applyNumberFormat="1" applyFont="1"/>
    <xf numFmtId="0" fontId="2" fillId="0" borderId="0" xfId="0" applyFont="1" applyAlignment="1"/>
    <xf numFmtId="0" fontId="1" fillId="0" borderId="0" xfId="0" applyFont="1"/>
    <xf numFmtId="166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596265</xdr:colOff>
      <xdr:row>17</xdr:row>
      <xdr:rowOff>5715</xdr:rowOff>
    </xdr:from>
    <xdr:to>
      <xdr:col>2</xdr:col>
      <xdr:colOff>596265</xdr:colOff>
      <xdr:row>18</xdr:row>
      <xdr:rowOff>135255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762625" y="3099435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1676400</xdr:colOff>
      <xdr:row>18</xdr:row>
      <xdr:rowOff>83818</xdr:rowOff>
    </xdr:from>
    <xdr:to>
      <xdr:col>1</xdr:col>
      <xdr:colOff>365760</xdr:colOff>
      <xdr:row>18</xdr:row>
      <xdr:rowOff>99059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 flipV="1">
          <a:off x="1676400" y="3345178"/>
          <a:ext cx="1813560" cy="152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workbookViewId="0">
      <selection activeCell="B38" sqref="B38"/>
    </sheetView>
  </sheetViews>
  <sheetFormatPr defaultRowHeight="13.2" x14ac:dyDescent="0.25"/>
  <cols>
    <col min="1" max="1" width="62.109375" customWidth="1"/>
    <col min="2" max="2" width="13.21875" customWidth="1"/>
    <col min="3" max="3" width="13.6640625" customWidth="1"/>
    <col min="4" max="4" width="12" customWidth="1"/>
    <col min="5" max="5" width="13.21875" customWidth="1"/>
    <col min="6" max="6" width="11.6640625" bestFit="1" customWidth="1"/>
  </cols>
  <sheetData>
    <row r="1" spans="1:7" ht="22.8" x14ac:dyDescent="0.4">
      <c r="A1" s="25" t="s">
        <v>14</v>
      </c>
      <c r="B1" s="25"/>
      <c r="C1" s="25"/>
      <c r="D1" s="25"/>
      <c r="E1" s="25"/>
      <c r="F1" s="25"/>
      <c r="G1" s="25"/>
    </row>
    <row r="2" spans="1:7" ht="22.8" x14ac:dyDescent="0.4">
      <c r="A2" s="8" t="s">
        <v>12</v>
      </c>
      <c r="B2" s="8"/>
      <c r="C2" s="8" t="s">
        <v>13</v>
      </c>
      <c r="D2" s="7"/>
      <c r="E2" s="7"/>
      <c r="F2" s="7"/>
      <c r="G2" s="7"/>
    </row>
    <row r="3" spans="1:7" x14ac:dyDescent="0.25">
      <c r="A3" s="6"/>
      <c r="B3" s="6"/>
      <c r="C3" s="6"/>
      <c r="D3" s="6"/>
      <c r="E3" s="6"/>
      <c r="F3" s="6"/>
      <c r="G3" s="6"/>
    </row>
    <row r="4" spans="1:7" x14ac:dyDescent="0.25">
      <c r="A4" s="1" t="s">
        <v>0</v>
      </c>
      <c r="B4" s="9">
        <v>0.08</v>
      </c>
    </row>
    <row r="5" spans="1:7" x14ac:dyDescent="0.25">
      <c r="A5" s="1"/>
      <c r="B5" s="4"/>
    </row>
    <row r="6" spans="1:7" x14ac:dyDescent="0.25">
      <c r="A6" s="12" t="s">
        <v>16</v>
      </c>
      <c r="D6" s="1" t="s">
        <v>8</v>
      </c>
      <c r="F6" s="1"/>
    </row>
    <row r="7" spans="1:7" x14ac:dyDescent="0.25">
      <c r="B7" s="10">
        <v>0</v>
      </c>
      <c r="C7" s="11">
        <v>1</v>
      </c>
      <c r="D7" s="11">
        <v>2</v>
      </c>
      <c r="E7" s="11">
        <v>3</v>
      </c>
      <c r="F7" s="1" t="s">
        <v>10</v>
      </c>
    </row>
    <row r="8" spans="1:7" x14ac:dyDescent="0.25">
      <c r="A8" t="s">
        <v>1</v>
      </c>
      <c r="B8" s="18">
        <f>B40</f>
        <v>14250</v>
      </c>
      <c r="C8" s="18">
        <f>B41</f>
        <v>25000</v>
      </c>
      <c r="D8" s="18">
        <f>B42</f>
        <v>70000</v>
      </c>
      <c r="E8" s="18">
        <f>B43</f>
        <v>205000</v>
      </c>
    </row>
    <row r="9" spans="1:7" x14ac:dyDescent="0.25">
      <c r="A9" t="s">
        <v>2</v>
      </c>
      <c r="B9" s="5">
        <f>ROUND(1/(1+$B$4)^B$7,2)</f>
        <v>1</v>
      </c>
      <c r="C9" s="5">
        <f>ROUND(1/(1+$B$4)^C$7,2)</f>
        <v>0.93</v>
      </c>
      <c r="D9" s="5">
        <f>ROUND(1/(1+$B$4)^D$7,2)</f>
        <v>0.86</v>
      </c>
      <c r="E9" s="5">
        <f>ROUND(1/(1+$B$4)^E$7,2)</f>
        <v>0.79</v>
      </c>
    </row>
    <row r="10" spans="1:7" x14ac:dyDescent="0.25">
      <c r="A10" s="1" t="s">
        <v>3</v>
      </c>
      <c r="B10" s="19">
        <f>B8*B9</f>
        <v>14250</v>
      </c>
      <c r="C10" s="19">
        <f>C8*C9</f>
        <v>23250</v>
      </c>
      <c r="D10" s="19">
        <f>D8*D9</f>
        <v>60200</v>
      </c>
      <c r="E10" s="19">
        <f>E8*E9</f>
        <v>161950</v>
      </c>
      <c r="F10" s="16">
        <f>SUM(B10:E10)</f>
        <v>259650</v>
      </c>
    </row>
    <row r="12" spans="1:7" x14ac:dyDescent="0.25">
      <c r="A12" t="s">
        <v>4</v>
      </c>
      <c r="B12" s="20">
        <f>B48</f>
        <v>11000</v>
      </c>
      <c r="C12" s="20">
        <f>B49</f>
        <v>33000</v>
      </c>
      <c r="D12" s="20">
        <f>B50</f>
        <v>99000</v>
      </c>
      <c r="E12" s="20">
        <f>B51</f>
        <v>297000</v>
      </c>
    </row>
    <row r="13" spans="1:7" x14ac:dyDescent="0.25">
      <c r="A13" t="s">
        <v>2</v>
      </c>
      <c r="B13" s="5">
        <f>ROUND(1/(1+$B$4)^B$7,2)</f>
        <v>1</v>
      </c>
      <c r="C13" s="5">
        <f>ROUND(1/(1+$B$4)^C$7,2)</f>
        <v>0.93</v>
      </c>
      <c r="D13" s="5">
        <f>ROUND(1/(1+$B$4)^D$7,2)</f>
        <v>0.86</v>
      </c>
      <c r="E13" s="5">
        <f>ROUND(1/(1+$B$4)^E$7,2)</f>
        <v>0.79</v>
      </c>
    </row>
    <row r="14" spans="1:7" x14ac:dyDescent="0.25">
      <c r="A14" s="1" t="s">
        <v>5</v>
      </c>
      <c r="B14" s="19">
        <f>B12*B13</f>
        <v>11000</v>
      </c>
      <c r="C14" s="19">
        <f>C12*C13</f>
        <v>30690</v>
      </c>
      <c r="D14" s="19">
        <f>D12*D13</f>
        <v>85140</v>
      </c>
      <c r="E14" s="19">
        <f>E12*E13</f>
        <v>234630</v>
      </c>
      <c r="F14" s="19">
        <f>SUM(B14:E14)</f>
        <v>361460</v>
      </c>
    </row>
    <row r="16" spans="1:7" x14ac:dyDescent="0.25">
      <c r="A16" t="s">
        <v>6</v>
      </c>
      <c r="B16" s="13">
        <f>B14-B10</f>
        <v>-3250</v>
      </c>
      <c r="C16" s="13">
        <f>C14-C10</f>
        <v>7440</v>
      </c>
      <c r="D16" s="13">
        <f>D14-D10</f>
        <v>24940</v>
      </c>
      <c r="E16" s="13">
        <f>E14-E10</f>
        <v>72680</v>
      </c>
      <c r="F16" s="16">
        <f>F14-F10</f>
        <v>101810</v>
      </c>
      <c r="G16" s="2" t="s">
        <v>9</v>
      </c>
    </row>
    <row r="17" spans="1:6" x14ac:dyDescent="0.25">
      <c r="A17" t="s">
        <v>7</v>
      </c>
      <c r="B17" s="13">
        <f>B16</f>
        <v>-3250</v>
      </c>
      <c r="C17" s="13">
        <f>B17+C16</f>
        <v>4190</v>
      </c>
      <c r="D17" s="13">
        <f>C17+D16</f>
        <v>29130</v>
      </c>
      <c r="E17" s="17">
        <f>D17+E16</f>
        <v>101810</v>
      </c>
      <c r="F17" s="13"/>
    </row>
    <row r="19" spans="1:6" x14ac:dyDescent="0.25">
      <c r="A19" s="1" t="s">
        <v>20</v>
      </c>
      <c r="B19" s="3">
        <f>(F14-F10)/F10</f>
        <v>0.39210475640284997</v>
      </c>
    </row>
    <row r="20" spans="1:6" x14ac:dyDescent="0.25">
      <c r="B20" s="26" t="s">
        <v>43</v>
      </c>
      <c r="C20" s="26"/>
      <c r="D20" s="26"/>
      <c r="E20" s="21"/>
      <c r="F20" s="21"/>
    </row>
    <row r="21" spans="1:6" x14ac:dyDescent="0.25">
      <c r="A21" s="1" t="s">
        <v>11</v>
      </c>
    </row>
    <row r="22" spans="1:6" x14ac:dyDescent="0.25">
      <c r="A22" s="1" t="s">
        <v>1</v>
      </c>
      <c r="B22" s="1"/>
    </row>
    <row r="23" spans="1:6" x14ac:dyDescent="0.25">
      <c r="A23" s="22" t="s">
        <v>24</v>
      </c>
      <c r="B23" s="13">
        <f>50*20*3</f>
        <v>3000</v>
      </c>
    </row>
    <row r="24" spans="1:6" x14ac:dyDescent="0.25">
      <c r="A24" s="22" t="s">
        <v>25</v>
      </c>
      <c r="B24" s="14">
        <f>50*15*5</f>
        <v>3750</v>
      </c>
    </row>
    <row r="25" spans="1:6" x14ac:dyDescent="0.25">
      <c r="A25" s="12" t="s">
        <v>18</v>
      </c>
      <c r="B25" s="13">
        <v>500</v>
      </c>
      <c r="F25" s="24"/>
    </row>
    <row r="26" spans="1:6" x14ac:dyDescent="0.25">
      <c r="A26" s="12" t="s">
        <v>15</v>
      </c>
      <c r="B26" s="13">
        <f>SUM(B23:B25)</f>
        <v>7250</v>
      </c>
    </row>
    <row r="27" spans="1:6" x14ac:dyDescent="0.25">
      <c r="A27" s="12" t="s">
        <v>19</v>
      </c>
      <c r="B27" s="13">
        <v>3000</v>
      </c>
    </row>
    <row r="28" spans="1:6" x14ac:dyDescent="0.25">
      <c r="A28" s="22" t="s">
        <v>29</v>
      </c>
      <c r="B28" s="13">
        <f>200*20</f>
        <v>4000</v>
      </c>
    </row>
    <row r="29" spans="1:6" x14ac:dyDescent="0.25">
      <c r="A29" s="22" t="s">
        <v>31</v>
      </c>
      <c r="B29" s="13">
        <f>600*20</f>
        <v>12000</v>
      </c>
    </row>
    <row r="30" spans="1:6" x14ac:dyDescent="0.25">
      <c r="A30" s="22" t="s">
        <v>32</v>
      </c>
      <c r="B30" s="13">
        <f>1800*20</f>
        <v>36000</v>
      </c>
    </row>
    <row r="31" spans="1:6" x14ac:dyDescent="0.25">
      <c r="A31" s="22" t="s">
        <v>33</v>
      </c>
      <c r="B31" s="13">
        <f>5400*20</f>
        <v>108000</v>
      </c>
    </row>
    <row r="32" spans="1:6" x14ac:dyDescent="0.25">
      <c r="A32" s="22" t="s">
        <v>37</v>
      </c>
      <c r="B32" s="13">
        <f>200*10</f>
        <v>2000</v>
      </c>
    </row>
    <row r="33" spans="1:6" x14ac:dyDescent="0.25">
      <c r="A33" s="22" t="s">
        <v>34</v>
      </c>
      <c r="B33" s="13">
        <f>600*10</f>
        <v>6000</v>
      </c>
    </row>
    <row r="34" spans="1:6" x14ac:dyDescent="0.25">
      <c r="A34" s="22" t="s">
        <v>35</v>
      </c>
      <c r="B34" s="13">
        <f>1800*10</f>
        <v>18000</v>
      </c>
      <c r="F34" s="24"/>
    </row>
    <row r="35" spans="1:6" x14ac:dyDescent="0.25">
      <c r="A35" s="22" t="s">
        <v>36</v>
      </c>
      <c r="B35" s="13">
        <f>5400*10</f>
        <v>54000</v>
      </c>
    </row>
    <row r="36" spans="1:6" x14ac:dyDescent="0.25">
      <c r="A36" s="22" t="s">
        <v>38</v>
      </c>
      <c r="B36" s="13">
        <f>200*5</f>
        <v>1000</v>
      </c>
    </row>
    <row r="37" spans="1:6" x14ac:dyDescent="0.25">
      <c r="A37" s="22" t="s">
        <v>39</v>
      </c>
      <c r="B37" s="13">
        <f>800*5</f>
        <v>4000</v>
      </c>
    </row>
    <row r="38" spans="1:6" x14ac:dyDescent="0.25">
      <c r="A38" s="22" t="s">
        <v>40</v>
      </c>
      <c r="B38" s="13">
        <f>2600*5</f>
        <v>13000</v>
      </c>
    </row>
    <row r="39" spans="1:6" x14ac:dyDescent="0.25">
      <c r="A39" s="22" t="s">
        <v>41</v>
      </c>
      <c r="B39" s="13">
        <f>8000*5</f>
        <v>40000</v>
      </c>
    </row>
    <row r="40" spans="1:6" x14ac:dyDescent="0.25">
      <c r="A40" s="22" t="s">
        <v>42</v>
      </c>
      <c r="B40" s="13">
        <f>B26+B28+B32+B36</f>
        <v>14250</v>
      </c>
    </row>
    <row r="41" spans="1:6" x14ac:dyDescent="0.25">
      <c r="A41" s="22" t="s">
        <v>21</v>
      </c>
      <c r="B41" s="13">
        <f>B27+B29+B33+B37</f>
        <v>25000</v>
      </c>
    </row>
    <row r="42" spans="1:6" x14ac:dyDescent="0.25">
      <c r="A42" s="22" t="s">
        <v>22</v>
      </c>
      <c r="B42" s="13">
        <f>B27+B30+B34+B38</f>
        <v>70000</v>
      </c>
    </row>
    <row r="43" spans="1:6" x14ac:dyDescent="0.25">
      <c r="A43" s="22" t="s">
        <v>23</v>
      </c>
      <c r="B43" s="13">
        <f>B27+B31+B35+B39</f>
        <v>205000</v>
      </c>
    </row>
    <row r="44" spans="1:6" x14ac:dyDescent="0.25">
      <c r="A44" s="12"/>
      <c r="B44" s="13"/>
    </row>
    <row r="45" spans="1:6" x14ac:dyDescent="0.25">
      <c r="A45" s="1" t="s">
        <v>4</v>
      </c>
    </row>
    <row r="47" spans="1:6" x14ac:dyDescent="0.25">
      <c r="A47" s="12" t="s">
        <v>17</v>
      </c>
      <c r="B47" s="15">
        <v>0.5</v>
      </c>
    </row>
    <row r="48" spans="1:6" x14ac:dyDescent="0.25">
      <c r="A48" s="22" t="s">
        <v>30</v>
      </c>
      <c r="B48" s="13">
        <f>200*55</f>
        <v>11000</v>
      </c>
    </row>
    <row r="49" spans="1:2" x14ac:dyDescent="0.25">
      <c r="A49" s="22" t="s">
        <v>26</v>
      </c>
      <c r="B49" s="13">
        <f>600*55</f>
        <v>33000</v>
      </c>
    </row>
    <row r="50" spans="1:2" x14ac:dyDescent="0.25">
      <c r="A50" s="22" t="s">
        <v>27</v>
      </c>
      <c r="B50" s="23">
        <f>1800*55</f>
        <v>99000</v>
      </c>
    </row>
    <row r="51" spans="1:2" x14ac:dyDescent="0.25">
      <c r="A51" s="22" t="s">
        <v>28</v>
      </c>
      <c r="B51" s="23">
        <f>5400*55</f>
        <v>297000</v>
      </c>
    </row>
  </sheetData>
  <mergeCells count="2">
    <mergeCell ref="A1:G1"/>
    <mergeCell ref="B20:D20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Angelo Afeltra</cp:lastModifiedBy>
  <cp:lastPrinted>2005-03-27T16:41:45Z</cp:lastPrinted>
  <dcterms:created xsi:type="dcterms:W3CDTF">2003-02-20T16:30:31Z</dcterms:created>
  <dcterms:modified xsi:type="dcterms:W3CDTF">2022-11-04T11:05:01Z</dcterms:modified>
</cp:coreProperties>
</file>