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sosgroup-my.sharepoint.com/personal/gr_anupama_ipsos_com/Documents/Desktop/"/>
    </mc:Choice>
  </mc:AlternateContent>
  <xr:revisionPtr revIDLastSave="10082" documentId="8_{B0D6E6A2-F5AE-4BF4-9E10-19E5AD011FF1}" xr6:coauthVersionLast="47" xr6:coauthVersionMax="47" xr10:uidLastSave="{CCC68E03-EB34-46E8-A28A-D3D9826C71A1}"/>
  <bookViews>
    <workbookView xWindow="-110" yWindow="-110" windowWidth="19420" windowHeight="10300" tabRatio="903" activeTab="5" xr2:uid="{8D310B7B-6F5C-4A4A-B908-13152F057DBF}"/>
  </bookViews>
  <sheets>
    <sheet name="Data" sheetId="1" r:id="rId1"/>
    <sheet name="Exploration" sheetId="2" r:id="rId2"/>
    <sheet name="Simple Model" sheetId="3" r:id="rId3"/>
    <sheet name="Ad_Stock n Dim Effect" sheetId="4" r:id="rId4"/>
    <sheet name="Automate Ad_Stock n Dim Effect" sheetId="8" r:id="rId5"/>
    <sheet name="Simulator &amp; optimising(solver)" sheetId="5" r:id="rId6"/>
  </sheets>
  <definedNames>
    <definedName name="_xlnm._FilterDatabase" localSheetId="4" hidden="1">'Automate Ad_Stock n Dim Effect'!$M$3:$P$33</definedName>
    <definedName name="solver_adj" localSheetId="4" hidden="1">'Automate Ad_Stock n Dim Effect'!$L$11:$N$11</definedName>
    <definedName name="solver_adj" localSheetId="5" hidden="1">'Simulator &amp; optimising(solver)'!$A$34:$C$34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'Automate Ad_Stock n Dim Effect'!$L$11:$N$11</definedName>
    <definedName name="solver_lhs1" localSheetId="5" hidden="1">'Simulator &amp; optimising(solver)'!$A$34</definedName>
    <definedName name="solver_lhs2" localSheetId="4" hidden="1">'Automate Ad_Stock n Dim Effect'!$L$11:$N$11</definedName>
    <definedName name="solver_lhs2" localSheetId="5" hidden="1">'Simulator &amp; optimising(solver)'!$B$34</definedName>
    <definedName name="solver_lhs3" localSheetId="4" hidden="1">'Automate Ad_Stock n Dim Effect'!$O$11</definedName>
    <definedName name="solver_lhs3" localSheetId="5" hidden="1">'Simulator &amp; optimising(solver)'!$C$34</definedName>
    <definedName name="solver_lhs4" localSheetId="5" hidden="1">'Simulator &amp; optimising(solver)'!$D$34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3</definedName>
    <definedName name="solver_num" localSheetId="5" hidden="1">4</definedName>
    <definedName name="solver_nwt" localSheetId="4" hidden="1">1</definedName>
    <definedName name="solver_nwt" localSheetId="5" hidden="1">1</definedName>
    <definedName name="solver_opt" localSheetId="4" hidden="1">'Automate Ad_Stock n Dim Effect'!$M$5</definedName>
    <definedName name="solver_opt" localSheetId="5" hidden="1">'Simulator &amp; optimising(solver)'!$F$34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1</definedName>
    <definedName name="solver_rel1" localSheetId="5" hidden="1">3</definedName>
    <definedName name="solver_rel2" localSheetId="4" hidden="1">3</definedName>
    <definedName name="solver_rel2" localSheetId="5" hidden="1">3</definedName>
    <definedName name="solver_rel3" localSheetId="4" hidden="1">2</definedName>
    <definedName name="solver_rel3" localSheetId="5" hidden="1">3</definedName>
    <definedName name="solver_rel4" localSheetId="5" hidden="1">2</definedName>
    <definedName name="solver_rhs1" localSheetId="4" hidden="1">100</definedName>
    <definedName name="solver_rhs1" localSheetId="5" hidden="1">1</definedName>
    <definedName name="solver_rhs2" localSheetId="4" hidden="1">0.001</definedName>
    <definedName name="solver_rhs2" localSheetId="5" hidden="1">1</definedName>
    <definedName name="solver_rhs3" localSheetId="4" hidden="1">100</definedName>
    <definedName name="solver_rhs3" localSheetId="5" hidden="1">1</definedName>
    <definedName name="solver_rhs4" localSheetId="5" hidden="1">100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2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8" l="1"/>
  <c r="E34" i="5"/>
  <c r="J4" i="8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D34" i="5"/>
  <c r="E16" i="5"/>
  <c r="E15" i="5" s="1"/>
  <c r="D16" i="5"/>
  <c r="D15" i="5" s="1"/>
  <c r="C16" i="5"/>
  <c r="C15" i="5" s="1"/>
  <c r="F20" i="5"/>
  <c r="XFD1048550" i="5" a="1"/>
  <c r="XFD1048550" i="5" s="1"/>
  <c r="XFD1048551" i="5" a="1"/>
  <c r="XFD1048551" i="5" s="1"/>
  <c r="XFD1048552" i="5" a="1"/>
  <c r="XFD1048552" i="5" s="1"/>
  <c r="XFD1048553" i="5" a="1"/>
  <c r="XFD1048553" i="5" s="1"/>
  <c r="XFD1048554" i="5" a="1"/>
  <c r="XFD1048554" i="5" s="1"/>
  <c r="XFD1048555" i="5" a="1"/>
  <c r="XFD1048555" i="5" s="1"/>
  <c r="XFD1048556" i="5" a="1"/>
  <c r="XFD1048556" i="5" s="1"/>
  <c r="XFD1048557" i="5" a="1"/>
  <c r="XFD1048557" i="5" s="1"/>
  <c r="XFD1048558" i="5" a="1"/>
  <c r="XFD1048558" i="5" s="1"/>
  <c r="XFD1048559" i="5" a="1"/>
  <c r="XFD1048559" i="5" s="1"/>
  <c r="XFD1048560" i="5" a="1"/>
  <c r="XFD1048560" i="5" s="1"/>
  <c r="XFD1048561" i="5" a="1"/>
  <c r="XFD1048561" i="5" s="1"/>
  <c r="XFD1048562" i="5" a="1"/>
  <c r="XFD1048562" i="5" s="1"/>
  <c r="XFD1048563" i="5" a="1"/>
  <c r="XFD1048563" i="5" s="1"/>
  <c r="XFD1048564" i="5" a="1"/>
  <c r="XFD1048564" i="5" s="1"/>
  <c r="XFD1048565" i="5" a="1"/>
  <c r="XFD1048565" i="5" s="1"/>
  <c r="XFD1048566" i="5" a="1"/>
  <c r="XFD1048566" i="5"/>
  <c r="XFD1048567" i="5" a="1"/>
  <c r="XFD1048567" i="5"/>
  <c r="XFD1048568" i="5" a="1"/>
  <c r="XFD1048568" i="5" s="1"/>
  <c r="XFD1048569" i="5" a="1"/>
  <c r="XFD1048569" i="5" s="1"/>
  <c r="XFD1048570" i="5" a="1"/>
  <c r="XFD1048570" i="5" s="1"/>
  <c r="XFD1048571" i="5" a="1"/>
  <c r="XFD1048571" i="5"/>
  <c r="XFD1048572" i="5" a="1"/>
  <c r="XFD1048572" i="5"/>
  <c r="XFD1048573" i="5" a="1"/>
  <c r="XFD1048573" i="5"/>
  <c r="XFD1048574" i="5" a="1"/>
  <c r="XFD1048574" i="5" s="1"/>
  <c r="XFD1048575" i="5" a="1"/>
  <c r="XFD1048575" i="5" s="1"/>
  <c r="C27" i="5"/>
  <c r="L35" i="5"/>
  <c r="L36" i="5"/>
  <c r="L37" i="5"/>
  <c r="K37" i="5"/>
  <c r="M37" i="5" s="1"/>
  <c r="K36" i="5"/>
  <c r="M36" i="5" s="1"/>
  <c r="K35" i="5"/>
  <c r="L27" i="5"/>
  <c r="L29" i="5"/>
  <c r="L24" i="5"/>
  <c r="L26" i="5"/>
  <c r="L28" i="5"/>
  <c r="L25" i="5"/>
  <c r="L31" i="5"/>
  <c r="L30" i="5"/>
  <c r="L34" i="5"/>
  <c r="L32" i="5"/>
  <c r="L33" i="5"/>
  <c r="K27" i="5"/>
  <c r="K29" i="5"/>
  <c r="K24" i="5"/>
  <c r="K26" i="5"/>
  <c r="K28" i="5"/>
  <c r="K25" i="5"/>
  <c r="K31" i="5"/>
  <c r="K30" i="5"/>
  <c r="K34" i="5"/>
  <c r="K32" i="5"/>
  <c r="K33" i="5"/>
  <c r="F15" i="5"/>
  <c r="E46" i="4"/>
  <c r="F46" i="4"/>
  <c r="G46" i="4"/>
  <c r="E47" i="4"/>
  <c r="F47" i="4"/>
  <c r="G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E53" i="4"/>
  <c r="F53" i="4"/>
  <c r="G53" i="4"/>
  <c r="E54" i="4"/>
  <c r="F54" i="4"/>
  <c r="G54" i="4"/>
  <c r="E55" i="4"/>
  <c r="F55" i="4"/>
  <c r="G55" i="4"/>
  <c r="E56" i="4"/>
  <c r="F56" i="4"/>
  <c r="G56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F45" i="4"/>
  <c r="G45" i="4"/>
  <c r="E45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4" i="4"/>
  <c r="J4" i="4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4" i="4"/>
  <c r="H5" i="4" s="1"/>
  <c r="C25" i="3"/>
  <c r="C24" i="3"/>
  <c r="C23" i="3"/>
  <c r="B25" i="3"/>
  <c r="B24" i="3"/>
  <c r="B23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4" i="3"/>
  <c r="B15" i="3" a="1"/>
  <c r="B15" i="3" s="1"/>
  <c r="B4" i="3" a="1"/>
  <c r="B4" i="3" s="1"/>
  <c r="T4" i="2"/>
  <c r="T3" i="2"/>
  <c r="T2" i="2"/>
  <c r="M3" i="8" l="1" a="1"/>
  <c r="P5" i="8" s="1"/>
  <c r="M35" i="5"/>
  <c r="F34" i="5"/>
  <c r="C28" i="5"/>
  <c r="C29" i="5" s="1"/>
  <c r="M26" i="5"/>
  <c r="M24" i="5"/>
  <c r="M29" i="5"/>
  <c r="M27" i="5"/>
  <c r="M33" i="5"/>
  <c r="M32" i="5"/>
  <c r="M34" i="5"/>
  <c r="M25" i="5"/>
  <c r="M30" i="5"/>
  <c r="M31" i="5"/>
  <c r="M28" i="5"/>
  <c r="Y14" i="4"/>
  <c r="Y26" i="4"/>
  <c r="L45" i="4" a="1"/>
  <c r="Y32" i="4"/>
  <c r="Y29" i="4"/>
  <c r="Y17" i="4"/>
  <c r="Y5" i="4"/>
  <c r="Y23" i="4"/>
  <c r="Y4" i="4"/>
  <c r="Y16" i="4"/>
  <c r="Y25" i="4"/>
  <c r="Y13" i="4"/>
  <c r="Y24" i="4"/>
  <c r="Y12" i="4"/>
  <c r="Y30" i="4"/>
  <c r="Y18" i="4"/>
  <c r="Y28" i="4"/>
  <c r="Y22" i="4"/>
  <c r="Y10" i="4"/>
  <c r="Y31" i="4"/>
  <c r="Y19" i="4"/>
  <c r="Y7" i="4"/>
  <c r="Y27" i="4"/>
  <c r="Y11" i="4"/>
  <c r="Y15" i="4"/>
  <c r="Y33" i="4"/>
  <c r="Y21" i="4"/>
  <c r="Y9" i="4"/>
  <c r="Y20" i="4"/>
  <c r="Y8" i="4"/>
  <c r="Y6" i="4"/>
  <c r="H6" i="4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J16" i="3"/>
  <c r="H30" i="3"/>
  <c r="J30" i="3" s="1"/>
  <c r="H18" i="3"/>
  <c r="J18" i="3" s="1"/>
  <c r="H6" i="3"/>
  <c r="J6" i="3" s="1"/>
  <c r="I24" i="3"/>
  <c r="K24" i="3" s="1"/>
  <c r="I12" i="3"/>
  <c r="K12" i="3" s="1"/>
  <c r="H29" i="3"/>
  <c r="J29" i="3" s="1"/>
  <c r="H17" i="3"/>
  <c r="J17" i="3" s="1"/>
  <c r="H5" i="3"/>
  <c r="J5" i="3" s="1"/>
  <c r="I23" i="3"/>
  <c r="K23" i="3" s="1"/>
  <c r="I11" i="3"/>
  <c r="K11" i="3" s="1"/>
  <c r="I32" i="3"/>
  <c r="K32" i="3" s="1"/>
  <c r="I31" i="3"/>
  <c r="K31" i="3" s="1"/>
  <c r="I7" i="3"/>
  <c r="K7" i="3" s="1"/>
  <c r="H4" i="3"/>
  <c r="J4" i="3" s="1"/>
  <c r="H22" i="3"/>
  <c r="J22" i="3" s="1"/>
  <c r="H10" i="3"/>
  <c r="J10" i="3" s="1"/>
  <c r="I28" i="3"/>
  <c r="I16" i="3"/>
  <c r="K28" i="3"/>
  <c r="K16" i="3"/>
  <c r="H33" i="3"/>
  <c r="J33" i="3" s="1"/>
  <c r="H21" i="3"/>
  <c r="J21" i="3" s="1"/>
  <c r="H9" i="3"/>
  <c r="J9" i="3" s="1"/>
  <c r="I27" i="3"/>
  <c r="K27" i="3" s="1"/>
  <c r="I15" i="3"/>
  <c r="K15" i="3" s="1"/>
  <c r="H32" i="3"/>
  <c r="J32" i="3" s="1"/>
  <c r="H20" i="3"/>
  <c r="J20" i="3" s="1"/>
  <c r="H8" i="3"/>
  <c r="J8" i="3" s="1"/>
  <c r="I26" i="3"/>
  <c r="K26" i="3" s="1"/>
  <c r="I14" i="3"/>
  <c r="K14" i="3" s="1"/>
  <c r="H31" i="3"/>
  <c r="J31" i="3" s="1"/>
  <c r="H19" i="3"/>
  <c r="J19" i="3" s="1"/>
  <c r="H7" i="3"/>
  <c r="J7" i="3" s="1"/>
  <c r="I25" i="3"/>
  <c r="K25" i="3" s="1"/>
  <c r="I13" i="3"/>
  <c r="K13" i="3" s="1"/>
  <c r="H28" i="3"/>
  <c r="J28" i="3" s="1"/>
  <c r="H16" i="3"/>
  <c r="I4" i="3"/>
  <c r="K4" i="3" s="1"/>
  <c r="I22" i="3"/>
  <c r="K22" i="3" s="1"/>
  <c r="I10" i="3"/>
  <c r="K10" i="3" s="1"/>
  <c r="K19" i="3"/>
  <c r="H26" i="3"/>
  <c r="J26" i="3" s="1"/>
  <c r="H13" i="3"/>
  <c r="J13" i="3" s="1"/>
  <c r="H27" i="3"/>
  <c r="J27" i="3" s="1"/>
  <c r="H15" i="3"/>
  <c r="J15" i="3" s="1"/>
  <c r="I33" i="3"/>
  <c r="K33" i="3" s="1"/>
  <c r="I21" i="3"/>
  <c r="K21" i="3" s="1"/>
  <c r="I9" i="3"/>
  <c r="K9" i="3" s="1"/>
  <c r="I19" i="3"/>
  <c r="H14" i="3"/>
  <c r="J14" i="3" s="1"/>
  <c r="I8" i="3"/>
  <c r="K8" i="3" s="1"/>
  <c r="H24" i="3"/>
  <c r="J24" i="3" s="1"/>
  <c r="H12" i="3"/>
  <c r="J12" i="3" s="1"/>
  <c r="I30" i="3"/>
  <c r="K30" i="3" s="1"/>
  <c r="I18" i="3"/>
  <c r="K18" i="3" s="1"/>
  <c r="I6" i="3"/>
  <c r="K6" i="3" s="1"/>
  <c r="I20" i="3"/>
  <c r="K20" i="3" s="1"/>
  <c r="H25" i="3"/>
  <c r="J25" i="3" s="1"/>
  <c r="H23" i="3"/>
  <c r="J23" i="3" s="1"/>
  <c r="H11" i="3"/>
  <c r="J11" i="3" s="1"/>
  <c r="I29" i="3"/>
  <c r="K29" i="3" s="1"/>
  <c r="I17" i="3"/>
  <c r="K17" i="3" s="1"/>
  <c r="I5" i="3"/>
  <c r="K5" i="3" s="1"/>
  <c r="B20" i="3"/>
  <c r="B9" i="3"/>
  <c r="P3" i="8" l="1"/>
  <c r="O5" i="8"/>
  <c r="P6" i="8"/>
  <c r="M7" i="8"/>
  <c r="M5" i="8"/>
  <c r="M4" i="8"/>
  <c r="N4" i="8"/>
  <c r="N7" i="8"/>
  <c r="M3" i="8"/>
  <c r="O4" i="8"/>
  <c r="M6" i="8"/>
  <c r="O7" i="8"/>
  <c r="N6" i="8"/>
  <c r="P4" i="8"/>
  <c r="N3" i="8"/>
  <c r="P7" i="8"/>
  <c r="O3" i="8"/>
  <c r="O6" i="8"/>
  <c r="N5" i="8"/>
  <c r="L45" i="4"/>
  <c r="H46" i="4" s="1"/>
  <c r="Y34" i="4" a="1"/>
  <c r="Y34" i="4" s="1"/>
  <c r="M4" i="4" a="1"/>
  <c r="J34" i="3"/>
  <c r="K34" i="3"/>
  <c r="P11" i="8" l="1"/>
  <c r="Q11" i="8" s="1"/>
  <c r="H66" i="4"/>
  <c r="H54" i="4"/>
  <c r="H65" i="4"/>
  <c r="H53" i="4"/>
  <c r="H64" i="4"/>
  <c r="H73" i="4"/>
  <c r="H61" i="4"/>
  <c r="H49" i="4"/>
  <c r="H72" i="4"/>
  <c r="H60" i="4"/>
  <c r="H52" i="4"/>
  <c r="H48" i="4"/>
  <c r="H69" i="4"/>
  <c r="H45" i="4"/>
  <c r="H71" i="4"/>
  <c r="H57" i="4"/>
  <c r="H63" i="4"/>
  <c r="H59" i="4"/>
  <c r="H68" i="4"/>
  <c r="H51" i="4"/>
  <c r="H47" i="4"/>
  <c r="H56" i="4"/>
  <c r="H74" i="4"/>
  <c r="H70" i="4"/>
  <c r="H67" i="4"/>
  <c r="H62" i="4"/>
  <c r="H58" i="4"/>
  <c r="H55" i="4"/>
  <c r="H50" i="4"/>
  <c r="M4" i="4"/>
  <c r="V5" i="4" s="1"/>
  <c r="X5" i="4" s="1"/>
  <c r="M9" i="4"/>
  <c r="V28" i="4" l="1"/>
  <c r="X28" i="4" s="1"/>
  <c r="V8" i="4"/>
  <c r="X8" i="4" s="1"/>
  <c r="V19" i="4"/>
  <c r="X19" i="4" s="1"/>
  <c r="V26" i="4"/>
  <c r="X26" i="4" s="1"/>
  <c r="V31" i="4"/>
  <c r="X31" i="4" s="1"/>
  <c r="V14" i="4"/>
  <c r="X14" i="4" s="1"/>
  <c r="V13" i="4"/>
  <c r="X13" i="4" s="1"/>
  <c r="V32" i="4"/>
  <c r="X32" i="4" s="1"/>
  <c r="V10" i="4"/>
  <c r="X10" i="4" s="1"/>
  <c r="V20" i="4"/>
  <c r="X20" i="4" s="1"/>
  <c r="V16" i="4"/>
  <c r="X16" i="4" s="1"/>
  <c r="V22" i="4"/>
  <c r="X22" i="4" s="1"/>
  <c r="V30" i="4"/>
  <c r="X30" i="4" s="1"/>
  <c r="V33" i="4"/>
  <c r="X33" i="4" s="1"/>
  <c r="V21" i="4"/>
  <c r="X21" i="4" s="1"/>
  <c r="V25" i="4"/>
  <c r="X25" i="4" s="1"/>
  <c r="V9" i="4"/>
  <c r="X9" i="4" s="1"/>
  <c r="V29" i="4"/>
  <c r="X29" i="4" s="1"/>
  <c r="V11" i="4"/>
  <c r="X11" i="4" s="1"/>
  <c r="V27" i="4"/>
  <c r="X27" i="4" s="1"/>
  <c r="V18" i="4"/>
  <c r="X18" i="4" s="1"/>
  <c r="V15" i="4"/>
  <c r="X15" i="4" s="1"/>
  <c r="V6" i="4"/>
  <c r="X6" i="4" s="1"/>
  <c r="V24" i="4"/>
  <c r="X24" i="4" s="1"/>
  <c r="V12" i="4"/>
  <c r="X12" i="4" s="1"/>
  <c r="V17" i="4"/>
  <c r="X17" i="4" s="1"/>
  <c r="V7" i="4"/>
  <c r="X7" i="4" s="1"/>
  <c r="V23" i="4"/>
  <c r="X23" i="4" s="1"/>
  <c r="V4" i="4"/>
  <c r="X4" i="4" s="1"/>
  <c r="X34" i="4" l="1" a="1"/>
  <c r="X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<sst xmlns="http://schemas.openxmlformats.org/spreadsheetml/2006/main" count="294" uniqueCount="99">
  <si>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</si>
  <si>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</si>
  <si>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</si>
  <si>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</si>
  <si>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</si>
  <si>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</si>
  <si>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</si>
  <si>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</si>
  <si>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</si>
  <si>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</si>
  <si>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</si>
  <si>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</si>
  <si>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</si>
  <si>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</si>
  <si>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</si>
  <si>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</si>
  <si>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</si>
  <si>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</si>
  <si>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</si>
  <si>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</si>
  <si>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</si>
  <si>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</si>
  <si>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</si>
  <si>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</si>
  <si>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</si>
  <si>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</si>
  <si>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</si>
  <si>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</si>
  <si>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</si>
  <si>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</si>
  <si>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</si>
  <si>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</si>
  <si>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</si>
  <si>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</si>
  <si>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</si>
  <si>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</si>
  <si>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FB Ads</t>
  </si>
  <si>
    <t>Tactic</t>
  </si>
  <si>
    <t>Correlation with Sales</t>
  </si>
  <si>
    <t>Coefficients</t>
  </si>
  <si>
    <t>R^2</t>
  </si>
  <si>
    <t>Intercept</t>
  </si>
  <si>
    <t>RMSE</t>
  </si>
  <si>
    <t>y=intercept+b1*radio+b2*TV+b3*Fb</t>
  </si>
  <si>
    <t>With Radio</t>
  </si>
  <si>
    <t>Without Radio</t>
  </si>
  <si>
    <t>Sales</t>
  </si>
  <si>
    <t>Predicted With Radio</t>
  </si>
  <si>
    <t>Predicted without Radio</t>
  </si>
  <si>
    <t>Error With Radio</t>
  </si>
  <si>
    <t>Error Without Radio</t>
  </si>
  <si>
    <t>MAE</t>
  </si>
  <si>
    <t>Model 1</t>
  </si>
  <si>
    <t>Model 2</t>
  </si>
  <si>
    <t>RMSE (Root Mean Square Error)</t>
  </si>
  <si>
    <t>MAE (Mean Absolute Error)</t>
  </si>
  <si>
    <t>We observe that R^2 value is greater for model 1. Also, RMSE and MAE is lower for Model 1</t>
  </si>
  <si>
    <t>So, we can conclude Model 1 is a better fit</t>
  </si>
  <si>
    <t>FB_Trans</t>
  </si>
  <si>
    <t>alpha</t>
  </si>
  <si>
    <t>beta</t>
  </si>
  <si>
    <t>TV_Trans</t>
  </si>
  <si>
    <t>Radio_Trans</t>
  </si>
  <si>
    <t>Alpha</t>
  </si>
  <si>
    <t>Beta</t>
  </si>
  <si>
    <t>Predictions without Transformation</t>
  </si>
  <si>
    <t>Predictions with transformation</t>
  </si>
  <si>
    <t>Error model 3</t>
  </si>
  <si>
    <t>Error model 1</t>
  </si>
  <si>
    <t>Model 3</t>
  </si>
  <si>
    <t>Testing the model</t>
  </si>
  <si>
    <t xml:space="preserve">Ad stock(t) </t>
  </si>
  <si>
    <t>Adstock(t-1)* beta + Spend(t)</t>
  </si>
  <si>
    <t>Diminishing Effect</t>
  </si>
  <si>
    <t>Adstock(t) ^ alpha</t>
  </si>
  <si>
    <t>Transformed Variable</t>
  </si>
  <si>
    <t>(Adstock(t-1)* beta + Spend(t) ) ^ alpha</t>
  </si>
  <si>
    <t>Formula</t>
  </si>
  <si>
    <t>DATA</t>
  </si>
  <si>
    <t>DIMINISHING CURVES</t>
  </si>
  <si>
    <t>FB Trans1</t>
  </si>
  <si>
    <t>TV Trans1</t>
  </si>
  <si>
    <t>Radio Trans 1</t>
  </si>
  <si>
    <t>Week</t>
  </si>
  <si>
    <t>Predicted</t>
  </si>
  <si>
    <t>Transformed</t>
  </si>
  <si>
    <t>Averages</t>
  </si>
  <si>
    <t>Input</t>
  </si>
  <si>
    <t>Contribution</t>
  </si>
  <si>
    <t>Adstock(t-1)</t>
  </si>
  <si>
    <t>coefficient * Transformed</t>
  </si>
  <si>
    <t>Future Spend</t>
  </si>
  <si>
    <t>Cost</t>
  </si>
  <si>
    <t>CPO</t>
  </si>
  <si>
    <t>Simulator</t>
  </si>
  <si>
    <t>Predicted Sales</t>
  </si>
  <si>
    <t>Cost/Sales</t>
  </si>
  <si>
    <t>Radio+TV+FB</t>
  </si>
  <si>
    <t>Optimising using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</si>
</sst>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yyyy\-mm\-dd"/>
    <numFmt numFmtId="166" formatCode="0.0000"/>
  </numFmts>
  <fonts count="11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16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4" borderId="1" xfId="0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  <xf numFmtId="1" fontId="0" fillId="0" borderId="0" xfId="0" applyNumberFormat="1"/>
    <xf numFmtId="1" fontId="0" fillId="0" borderId="1" xfId="0" applyNumberFormat="1" applyBorder="1"/>
    <xf numFmtId="0" fontId="6" fillId="0" borderId="2" xfId="0" applyFont="1" applyBorder="1"/>
    <xf numFmtId="165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ill="1" applyBorder="1"/>
    <xf numFmtId="0" fontId="7" fillId="0" borderId="0" xfId="0" applyFont="1"/>
    <xf numFmtId="0" fontId="7" fillId="0" borderId="1" xfId="0" applyFont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8" fillId="8" borderId="3" xfId="0" applyFont="1" applyFill="1" applyBorder="1"/>
    <xf numFmtId="166" fontId="6" fillId="0" borderId="0" xfId="0" applyNumberFormat="1" applyFont="1"/>
    <xf numFmtId="166" fontId="0" fillId="0" borderId="1" xfId="0" applyNumberFormat="1" applyBorder="1"/>
    <xf numFmtId="0" fontId="8" fillId="0" borderId="1" xfId="0" applyFont="1" applyBorder="1"/>
    <xf numFmtId="0" fontId="9" fillId="0" borderId="0" xfId="0" applyFont="1"/>
    <xf numFmtId="0" fontId="5" fillId="0" borderId="4" xfId="0" applyFont="1" applyBorder="1"/>
    <xf numFmtId="165" fontId="10" fillId="0" borderId="0" xfId="0" applyNumberFormat="1" applyFont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3" borderId="5" xfId="0" applyFont="1" applyFill="1" applyBorder="1"/>
    <xf numFmtId="0" fontId="5" fillId="4" borderId="5" xfId="0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0" borderId="0" xfId="0" applyAlignment="1">
      <alignment wrapText="1"/>
    </xf>
    <xf numFmtId="0" fontId="0" fillId="6" borderId="1" xfId="0" applyFill="1" applyBorder="1"/>
    <xf numFmtId="0" fontId="0" fillId="6" borderId="6" xfId="0" applyFill="1" applyBorder="1"/>
    <xf numFmtId="2" fontId="0" fillId="0" borderId="1" xfId="0" applyNumberFormat="1" applyBorder="1"/>
    <xf numFmtId="0" fontId="0" fillId="10" borderId="1" xfId="0" applyFill="1" applyBorder="1"/>
    <xf numFmtId="0" fontId="6" fillId="0" borderId="1" xfId="0" applyFont="1" applyBorder="1"/>
    <xf numFmtId="2" fontId="6" fillId="0" borderId="1" xfId="0" applyNumberFormat="1" applyFont="1" applyBorder="1"/>
    <xf numFmtId="0" fontId="5" fillId="9" borderId="1" xfId="0" applyFont="1" applyFill="1" applyBorder="1"/>
    <xf numFmtId="0" fontId="8" fillId="3" borderId="0" xfId="0" applyFont="1" applyFill="1"/>
    <xf numFmtId="0" fontId="0" fillId="3" borderId="0" xfId="0" applyFill="1"/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Data!$B$2:$B$31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7-4729-A7D2-5C087B1F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898207"/>
        <c:axId val="828893407"/>
      </c:lineChart>
      <c:catAx>
        <c:axId val="82889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93407"/>
        <c:crosses val="autoZero"/>
        <c:auto val="1"/>
        <c:lblAlgn val="ctr"/>
        <c:lblOffset val="100"/>
        <c:noMultiLvlLbl val="0"/>
      </c:catAx>
      <c:valAx>
        <c:axId val="8288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9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0710417048674241"/>
          <c:y val="3.6138614152779719E-2"/>
          <c:w val="6.2714771359368926E-2"/>
          <c:h val="6.3074230841902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Media Tactics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13615526621164E-2"/>
          <c:y val="0.14408953435330382"/>
          <c:w val="0.90868638447337879"/>
          <c:h val="0.71497814494873546"/>
        </c:manualLayout>
      </c:layout>
      <c:lineChart>
        <c:grouping val="standard"/>
        <c:varyColors val="0"/>
        <c:ser>
          <c:idx val="1"/>
          <c:order val="1"/>
          <c:tx>
            <c:strRef>
              <c:f>Data!$C$1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C-4D91-869C-23F4793EFAF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Data!$D$2:$D$31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C-4D91-869C-23F4793EFAF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</c:strCache>
            </c:strRef>
          </c:cat>
          <c:val>
            <c:numRef>
              <c:f>Data!$E$2:$E$31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5C-4D91-869C-23F4793EF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8898207"/>
        <c:axId val="8288934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Data!$A$2:$A$31</c15:sqref>
                        </c15:formulaRef>
                      </c:ext>
                    </c:extLst>
                    <c:strCache>
                      <c:ptCount val="30"/>
                      <c:pt idx="0">
                        <c:v>Week 1</c:v>
                      </c:pt>
                      <c:pt idx="1">
                        <c:v>Week 2</c:v>
                      </c:pt>
                      <c:pt idx="2">
                        <c:v>Week 3</c:v>
                      </c:pt>
                      <c:pt idx="3">
                        <c:v>Week 4</c:v>
                      </c:pt>
                      <c:pt idx="4">
                        <c:v>Week 5</c:v>
                      </c:pt>
                      <c:pt idx="5">
                        <c:v>Week 6</c:v>
                      </c:pt>
                      <c:pt idx="6">
                        <c:v>Week 7</c:v>
                      </c:pt>
                      <c:pt idx="7">
                        <c:v>Week 8</c:v>
                      </c:pt>
                      <c:pt idx="8">
                        <c:v>Week 9</c:v>
                      </c:pt>
                      <c:pt idx="9">
                        <c:v>Week 10</c:v>
                      </c:pt>
                      <c:pt idx="10">
                        <c:v>Week 11</c:v>
                      </c:pt>
                      <c:pt idx="11">
                        <c:v>Week 12</c:v>
                      </c:pt>
                      <c:pt idx="12">
                        <c:v>Week 13</c:v>
                      </c:pt>
                      <c:pt idx="13">
                        <c:v>Week 14</c:v>
                      </c:pt>
                      <c:pt idx="14">
                        <c:v>Week 15</c:v>
                      </c:pt>
                      <c:pt idx="15">
                        <c:v>Week 16</c:v>
                      </c:pt>
                      <c:pt idx="16">
                        <c:v>Week 17</c:v>
                      </c:pt>
                      <c:pt idx="17">
                        <c:v>Week 18</c:v>
                      </c:pt>
                      <c:pt idx="18">
                        <c:v>Week 19</c:v>
                      </c:pt>
                      <c:pt idx="19">
                        <c:v>Week 20</c:v>
                      </c:pt>
                      <c:pt idx="20">
                        <c:v>Week 21</c:v>
                      </c:pt>
                      <c:pt idx="21">
                        <c:v>Week 22</c:v>
                      </c:pt>
                      <c:pt idx="22">
                        <c:v>Week 23</c:v>
                      </c:pt>
                      <c:pt idx="23">
                        <c:v>Week 24</c:v>
                      </c:pt>
                      <c:pt idx="24">
                        <c:v>Week 25</c:v>
                      </c:pt>
                      <c:pt idx="25">
                        <c:v>Week 26</c:v>
                      </c:pt>
                      <c:pt idx="26">
                        <c:v>Week 27</c:v>
                      </c:pt>
                      <c:pt idx="27">
                        <c:v>Week 28</c:v>
                      </c:pt>
                      <c:pt idx="28">
                        <c:v>Week 29</c:v>
                      </c:pt>
                      <c:pt idx="29">
                        <c:v>Week 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22.1</c:v>
                      </c:pt>
                      <c:pt idx="1">
                        <c:v>10.4</c:v>
                      </c:pt>
                      <c:pt idx="2">
                        <c:v>9.3000000000000007</c:v>
                      </c:pt>
                      <c:pt idx="3">
                        <c:v>18.5</c:v>
                      </c:pt>
                      <c:pt idx="4">
                        <c:v>12.9</c:v>
                      </c:pt>
                      <c:pt idx="5">
                        <c:v>7.2</c:v>
                      </c:pt>
                      <c:pt idx="6">
                        <c:v>11.8</c:v>
                      </c:pt>
                      <c:pt idx="7">
                        <c:v>13.2</c:v>
                      </c:pt>
                      <c:pt idx="8">
                        <c:v>4.8</c:v>
                      </c:pt>
                      <c:pt idx="9">
                        <c:v>10.6</c:v>
                      </c:pt>
                      <c:pt idx="10">
                        <c:v>8.6</c:v>
                      </c:pt>
                      <c:pt idx="11">
                        <c:v>17.399999999999999</c:v>
                      </c:pt>
                      <c:pt idx="12">
                        <c:v>9.1999999999999993</c:v>
                      </c:pt>
                      <c:pt idx="13">
                        <c:v>9.6999999999999993</c:v>
                      </c:pt>
                      <c:pt idx="14">
                        <c:v>19</c:v>
                      </c:pt>
                      <c:pt idx="15">
                        <c:v>22.4</c:v>
                      </c:pt>
                      <c:pt idx="16">
                        <c:v>12.5</c:v>
                      </c:pt>
                      <c:pt idx="17">
                        <c:v>24.4</c:v>
                      </c:pt>
                      <c:pt idx="18">
                        <c:v>11.3</c:v>
                      </c:pt>
                      <c:pt idx="19">
                        <c:v>14.6</c:v>
                      </c:pt>
                      <c:pt idx="20">
                        <c:v>18</c:v>
                      </c:pt>
                      <c:pt idx="21">
                        <c:v>12.5</c:v>
                      </c:pt>
                      <c:pt idx="22">
                        <c:v>5.6</c:v>
                      </c:pt>
                      <c:pt idx="23">
                        <c:v>15.5</c:v>
                      </c:pt>
                      <c:pt idx="24">
                        <c:v>9.6999999999999993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15.9</c:v>
                      </c:pt>
                      <c:pt idx="28">
                        <c:v>18.899999999999999</c:v>
                      </c:pt>
                      <c:pt idx="29">
                        <c:v>10.5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5C-4D91-869C-23F4793EFAF4}"/>
                  </c:ext>
                </c:extLst>
              </c15:ser>
            </c15:filteredLineSeries>
          </c:ext>
        </c:extLst>
      </c:lineChart>
      <c:catAx>
        <c:axId val="82889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93407"/>
        <c:crosses val="autoZero"/>
        <c:auto val="1"/>
        <c:lblAlgn val="ctr"/>
        <c:lblOffset val="100"/>
        <c:noMultiLvlLbl val="0"/>
      </c:catAx>
      <c:valAx>
        <c:axId val="828893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9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721871904779809"/>
          <c:y val="3.2221788581176129E-2"/>
          <c:w val="0.1615881399793313"/>
          <c:h val="5.7328193838491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Sales wrt To FB ads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30370192809690671"/>
          <c:y val="5.397489773982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1018325883893529E-2"/>
                  <c:y val="-0.2681063953661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xVal>
          <c:yVal>
            <c:numRef>
              <c:f>Data!$B$2:$B$31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F2-457F-B604-AAA86C8F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03967"/>
        <c:axId val="8289073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1.1709003093208659E-2"/>
                        <c:y val="-0.4043474179556129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Data!$C$1:$C$31</c15:sqref>
                        </c15:formulaRef>
                      </c:ext>
                    </c:extLst>
                    <c:strCache>
                      <c:ptCount val="31"/>
                      <c:pt idx="0">
                        <c:v>FB</c:v>
                      </c:pt>
                      <c:pt idx="1">
                        <c:v>230.1</c:v>
                      </c:pt>
                      <c:pt idx="2">
                        <c:v>44.5</c:v>
                      </c:pt>
                      <c:pt idx="3">
                        <c:v>17.2</c:v>
                      </c:pt>
                      <c:pt idx="4">
                        <c:v>151.5</c:v>
                      </c:pt>
                      <c:pt idx="5">
                        <c:v>180.8</c:v>
                      </c:pt>
                      <c:pt idx="6">
                        <c:v>8.7</c:v>
                      </c:pt>
                      <c:pt idx="7">
                        <c:v>57.5</c:v>
                      </c:pt>
                      <c:pt idx="8">
                        <c:v>120.2</c:v>
                      </c:pt>
                      <c:pt idx="9">
                        <c:v>8.6</c:v>
                      </c:pt>
                      <c:pt idx="10">
                        <c:v>199.8</c:v>
                      </c:pt>
                      <c:pt idx="11">
                        <c:v>66.1</c:v>
                      </c:pt>
                      <c:pt idx="12">
                        <c:v>214.7</c:v>
                      </c:pt>
                      <c:pt idx="13">
                        <c:v>23.8</c:v>
                      </c:pt>
                      <c:pt idx="14">
                        <c:v>97.5</c:v>
                      </c:pt>
                      <c:pt idx="15">
                        <c:v>204.1</c:v>
                      </c:pt>
                      <c:pt idx="16">
                        <c:v>195.4</c:v>
                      </c:pt>
                      <c:pt idx="17">
                        <c:v>67.8</c:v>
                      </c:pt>
                      <c:pt idx="18">
                        <c:v>281.4</c:v>
                      </c:pt>
                      <c:pt idx="19">
                        <c:v>69.2</c:v>
                      </c:pt>
                      <c:pt idx="20">
                        <c:v>147.3</c:v>
                      </c:pt>
                      <c:pt idx="21">
                        <c:v>218.4</c:v>
                      </c:pt>
                      <c:pt idx="22">
                        <c:v>237.4</c:v>
                      </c:pt>
                      <c:pt idx="23">
                        <c:v>13.2</c:v>
                      </c:pt>
                      <c:pt idx="24">
                        <c:v>228.3</c:v>
                      </c:pt>
                      <c:pt idx="25">
                        <c:v>62.3</c:v>
                      </c:pt>
                      <c:pt idx="26">
                        <c:v>262.9</c:v>
                      </c:pt>
                      <c:pt idx="27">
                        <c:v>142.9</c:v>
                      </c:pt>
                      <c:pt idx="28">
                        <c:v>240.1</c:v>
                      </c:pt>
                      <c:pt idx="29">
                        <c:v>248.8</c:v>
                      </c:pt>
                      <c:pt idx="30">
                        <c:v>70.6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Data!$B$1:$B$31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 formatCode="General">
                        <c:v>0</c:v>
                      </c:pt>
                      <c:pt idx="1">
                        <c:v>22.1</c:v>
                      </c:pt>
                      <c:pt idx="2">
                        <c:v>10.4</c:v>
                      </c:pt>
                      <c:pt idx="3">
                        <c:v>9.3000000000000007</c:v>
                      </c:pt>
                      <c:pt idx="4">
                        <c:v>18.5</c:v>
                      </c:pt>
                      <c:pt idx="5">
                        <c:v>12.9</c:v>
                      </c:pt>
                      <c:pt idx="6">
                        <c:v>7.2</c:v>
                      </c:pt>
                      <c:pt idx="7">
                        <c:v>11.8</c:v>
                      </c:pt>
                      <c:pt idx="8">
                        <c:v>13.2</c:v>
                      </c:pt>
                      <c:pt idx="9">
                        <c:v>4.8</c:v>
                      </c:pt>
                      <c:pt idx="10">
                        <c:v>10.6</c:v>
                      </c:pt>
                      <c:pt idx="11">
                        <c:v>8.6</c:v>
                      </c:pt>
                      <c:pt idx="12">
                        <c:v>17.399999999999999</c:v>
                      </c:pt>
                      <c:pt idx="13">
                        <c:v>9.1999999999999993</c:v>
                      </c:pt>
                      <c:pt idx="14">
                        <c:v>9.6999999999999993</c:v>
                      </c:pt>
                      <c:pt idx="15">
                        <c:v>19</c:v>
                      </c:pt>
                      <c:pt idx="16">
                        <c:v>22.4</c:v>
                      </c:pt>
                      <c:pt idx="17">
                        <c:v>12.5</c:v>
                      </c:pt>
                      <c:pt idx="18">
                        <c:v>24.4</c:v>
                      </c:pt>
                      <c:pt idx="19">
                        <c:v>11.3</c:v>
                      </c:pt>
                      <c:pt idx="20">
                        <c:v>14.6</c:v>
                      </c:pt>
                      <c:pt idx="21">
                        <c:v>18</c:v>
                      </c:pt>
                      <c:pt idx="22">
                        <c:v>12.5</c:v>
                      </c:pt>
                      <c:pt idx="23">
                        <c:v>5.6</c:v>
                      </c:pt>
                      <c:pt idx="24">
                        <c:v>15.5</c:v>
                      </c:pt>
                      <c:pt idx="25">
                        <c:v>9.6999999999999993</c:v>
                      </c:pt>
                      <c:pt idx="26">
                        <c:v>12</c:v>
                      </c:pt>
                      <c:pt idx="27">
                        <c:v>15</c:v>
                      </c:pt>
                      <c:pt idx="28">
                        <c:v>15.9</c:v>
                      </c:pt>
                      <c:pt idx="29">
                        <c:v>18.899999999999999</c:v>
                      </c:pt>
                      <c:pt idx="30">
                        <c:v>10.5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7F2-457F-B604-AAA86C8F5CFA}"/>
                  </c:ext>
                </c:extLst>
              </c15:ser>
            </c15:filteredScatterSeries>
          </c:ext>
        </c:extLst>
      </c:scatterChart>
      <c:valAx>
        <c:axId val="82890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FB</a:t>
                </a:r>
                <a:r>
                  <a:rPr lang="en-IN" baseline="0"/>
                  <a:t> 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7327"/>
        <c:crosses val="autoZero"/>
        <c:crossBetween val="midCat"/>
      </c:valAx>
      <c:valAx>
        <c:axId val="8289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Sales wrt to TV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30370192809690671"/>
          <c:y val="5.397489773982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881799976272571"/>
                  <c:y val="-0.35171030762646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Data!$D$2:$D$31</c:f>
              <c:numCache>
                <c:formatCode>General</c:formatCode>
                <c:ptCount val="3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xVal>
          <c:yVal>
            <c:numRef>
              <c:f>Data!$B$2:$B$31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3-4DDC-8866-2E99FFD56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03967"/>
        <c:axId val="8289073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1.1709003093208659E-2"/>
                        <c:y val="-0.4043474179556129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Data!$C$1:$C$31</c15:sqref>
                        </c15:formulaRef>
                      </c:ext>
                    </c:extLst>
                    <c:strCache>
                      <c:ptCount val="31"/>
                      <c:pt idx="0">
                        <c:v>FB</c:v>
                      </c:pt>
                      <c:pt idx="1">
                        <c:v>230.1</c:v>
                      </c:pt>
                      <c:pt idx="2">
                        <c:v>44.5</c:v>
                      </c:pt>
                      <c:pt idx="3">
                        <c:v>17.2</c:v>
                      </c:pt>
                      <c:pt idx="4">
                        <c:v>151.5</c:v>
                      </c:pt>
                      <c:pt idx="5">
                        <c:v>180.8</c:v>
                      </c:pt>
                      <c:pt idx="6">
                        <c:v>8.7</c:v>
                      </c:pt>
                      <c:pt idx="7">
                        <c:v>57.5</c:v>
                      </c:pt>
                      <c:pt idx="8">
                        <c:v>120.2</c:v>
                      </c:pt>
                      <c:pt idx="9">
                        <c:v>8.6</c:v>
                      </c:pt>
                      <c:pt idx="10">
                        <c:v>199.8</c:v>
                      </c:pt>
                      <c:pt idx="11">
                        <c:v>66.1</c:v>
                      </c:pt>
                      <c:pt idx="12">
                        <c:v>214.7</c:v>
                      </c:pt>
                      <c:pt idx="13">
                        <c:v>23.8</c:v>
                      </c:pt>
                      <c:pt idx="14">
                        <c:v>97.5</c:v>
                      </c:pt>
                      <c:pt idx="15">
                        <c:v>204.1</c:v>
                      </c:pt>
                      <c:pt idx="16">
                        <c:v>195.4</c:v>
                      </c:pt>
                      <c:pt idx="17">
                        <c:v>67.8</c:v>
                      </c:pt>
                      <c:pt idx="18">
                        <c:v>281.4</c:v>
                      </c:pt>
                      <c:pt idx="19">
                        <c:v>69.2</c:v>
                      </c:pt>
                      <c:pt idx="20">
                        <c:v>147.3</c:v>
                      </c:pt>
                      <c:pt idx="21">
                        <c:v>218.4</c:v>
                      </c:pt>
                      <c:pt idx="22">
                        <c:v>237.4</c:v>
                      </c:pt>
                      <c:pt idx="23">
                        <c:v>13.2</c:v>
                      </c:pt>
                      <c:pt idx="24">
                        <c:v>228.3</c:v>
                      </c:pt>
                      <c:pt idx="25">
                        <c:v>62.3</c:v>
                      </c:pt>
                      <c:pt idx="26">
                        <c:v>262.9</c:v>
                      </c:pt>
                      <c:pt idx="27">
                        <c:v>142.9</c:v>
                      </c:pt>
                      <c:pt idx="28">
                        <c:v>240.1</c:v>
                      </c:pt>
                      <c:pt idx="29">
                        <c:v>248.8</c:v>
                      </c:pt>
                      <c:pt idx="30">
                        <c:v>70.6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Data!$B$1:$B$31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 formatCode="General">
                        <c:v>0</c:v>
                      </c:pt>
                      <c:pt idx="1">
                        <c:v>22.1</c:v>
                      </c:pt>
                      <c:pt idx="2">
                        <c:v>10.4</c:v>
                      </c:pt>
                      <c:pt idx="3">
                        <c:v>9.3000000000000007</c:v>
                      </c:pt>
                      <c:pt idx="4">
                        <c:v>18.5</c:v>
                      </c:pt>
                      <c:pt idx="5">
                        <c:v>12.9</c:v>
                      </c:pt>
                      <c:pt idx="6">
                        <c:v>7.2</c:v>
                      </c:pt>
                      <c:pt idx="7">
                        <c:v>11.8</c:v>
                      </c:pt>
                      <c:pt idx="8">
                        <c:v>13.2</c:v>
                      </c:pt>
                      <c:pt idx="9">
                        <c:v>4.8</c:v>
                      </c:pt>
                      <c:pt idx="10">
                        <c:v>10.6</c:v>
                      </c:pt>
                      <c:pt idx="11">
                        <c:v>8.6</c:v>
                      </c:pt>
                      <c:pt idx="12">
                        <c:v>17.399999999999999</c:v>
                      </c:pt>
                      <c:pt idx="13">
                        <c:v>9.1999999999999993</c:v>
                      </c:pt>
                      <c:pt idx="14">
                        <c:v>9.6999999999999993</c:v>
                      </c:pt>
                      <c:pt idx="15">
                        <c:v>19</c:v>
                      </c:pt>
                      <c:pt idx="16">
                        <c:v>22.4</c:v>
                      </c:pt>
                      <c:pt idx="17">
                        <c:v>12.5</c:v>
                      </c:pt>
                      <c:pt idx="18">
                        <c:v>24.4</c:v>
                      </c:pt>
                      <c:pt idx="19">
                        <c:v>11.3</c:v>
                      </c:pt>
                      <c:pt idx="20">
                        <c:v>14.6</c:v>
                      </c:pt>
                      <c:pt idx="21">
                        <c:v>18</c:v>
                      </c:pt>
                      <c:pt idx="22">
                        <c:v>12.5</c:v>
                      </c:pt>
                      <c:pt idx="23">
                        <c:v>5.6</c:v>
                      </c:pt>
                      <c:pt idx="24">
                        <c:v>15.5</c:v>
                      </c:pt>
                      <c:pt idx="25">
                        <c:v>9.6999999999999993</c:v>
                      </c:pt>
                      <c:pt idx="26">
                        <c:v>12</c:v>
                      </c:pt>
                      <c:pt idx="27">
                        <c:v>15</c:v>
                      </c:pt>
                      <c:pt idx="28">
                        <c:v>15.9</c:v>
                      </c:pt>
                      <c:pt idx="29">
                        <c:v>18.899999999999999</c:v>
                      </c:pt>
                      <c:pt idx="30">
                        <c:v>10.5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CA3-4DDC-8866-2E99FFD560CF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0"/>
                  <c:trendlineLbl>
                    <c:layout>
                      <c:manualLayout>
                        <c:x val="4.1018325883893529E-2"/>
                        <c:y val="-0.268106395366195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230.1</c:v>
                      </c:pt>
                      <c:pt idx="1">
                        <c:v>44.5</c:v>
                      </c:pt>
                      <c:pt idx="2">
                        <c:v>17.2</c:v>
                      </c:pt>
                      <c:pt idx="3">
                        <c:v>151.5</c:v>
                      </c:pt>
                      <c:pt idx="4">
                        <c:v>180.8</c:v>
                      </c:pt>
                      <c:pt idx="5">
                        <c:v>8.6999999999999993</c:v>
                      </c:pt>
                      <c:pt idx="6">
                        <c:v>57.5</c:v>
                      </c:pt>
                      <c:pt idx="7">
                        <c:v>120.2</c:v>
                      </c:pt>
                      <c:pt idx="8">
                        <c:v>8.6</c:v>
                      </c:pt>
                      <c:pt idx="9">
                        <c:v>199.8</c:v>
                      </c:pt>
                      <c:pt idx="10">
                        <c:v>66.099999999999994</c:v>
                      </c:pt>
                      <c:pt idx="11">
                        <c:v>214.7</c:v>
                      </c:pt>
                      <c:pt idx="12">
                        <c:v>23.8</c:v>
                      </c:pt>
                      <c:pt idx="13">
                        <c:v>97.5</c:v>
                      </c:pt>
                      <c:pt idx="14">
                        <c:v>204.1</c:v>
                      </c:pt>
                      <c:pt idx="15">
                        <c:v>195.4</c:v>
                      </c:pt>
                      <c:pt idx="16">
                        <c:v>67.8</c:v>
                      </c:pt>
                      <c:pt idx="17">
                        <c:v>281.39999999999998</c:v>
                      </c:pt>
                      <c:pt idx="18">
                        <c:v>69.2</c:v>
                      </c:pt>
                      <c:pt idx="19">
                        <c:v>147.30000000000001</c:v>
                      </c:pt>
                      <c:pt idx="20">
                        <c:v>218.4</c:v>
                      </c:pt>
                      <c:pt idx="21">
                        <c:v>237.4</c:v>
                      </c:pt>
                      <c:pt idx="22">
                        <c:v>13.2</c:v>
                      </c:pt>
                      <c:pt idx="23">
                        <c:v>228.3</c:v>
                      </c:pt>
                      <c:pt idx="24">
                        <c:v>62.3</c:v>
                      </c:pt>
                      <c:pt idx="25">
                        <c:v>262.89999999999998</c:v>
                      </c:pt>
                      <c:pt idx="26">
                        <c:v>142.9</c:v>
                      </c:pt>
                      <c:pt idx="27">
                        <c:v>240.1</c:v>
                      </c:pt>
                      <c:pt idx="28">
                        <c:v>248.8</c:v>
                      </c:pt>
                      <c:pt idx="29">
                        <c:v>70.599999999999994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22.1</c:v>
                      </c:pt>
                      <c:pt idx="1">
                        <c:v>10.4</c:v>
                      </c:pt>
                      <c:pt idx="2">
                        <c:v>9.3000000000000007</c:v>
                      </c:pt>
                      <c:pt idx="3">
                        <c:v>18.5</c:v>
                      </c:pt>
                      <c:pt idx="4">
                        <c:v>12.9</c:v>
                      </c:pt>
                      <c:pt idx="5">
                        <c:v>7.2</c:v>
                      </c:pt>
                      <c:pt idx="6">
                        <c:v>11.8</c:v>
                      </c:pt>
                      <c:pt idx="7">
                        <c:v>13.2</c:v>
                      </c:pt>
                      <c:pt idx="8">
                        <c:v>4.8</c:v>
                      </c:pt>
                      <c:pt idx="9">
                        <c:v>10.6</c:v>
                      </c:pt>
                      <c:pt idx="10">
                        <c:v>8.6</c:v>
                      </c:pt>
                      <c:pt idx="11">
                        <c:v>17.399999999999999</c:v>
                      </c:pt>
                      <c:pt idx="12">
                        <c:v>9.1999999999999993</c:v>
                      </c:pt>
                      <c:pt idx="13">
                        <c:v>9.6999999999999993</c:v>
                      </c:pt>
                      <c:pt idx="14">
                        <c:v>19</c:v>
                      </c:pt>
                      <c:pt idx="15">
                        <c:v>22.4</c:v>
                      </c:pt>
                      <c:pt idx="16">
                        <c:v>12.5</c:v>
                      </c:pt>
                      <c:pt idx="17">
                        <c:v>24.4</c:v>
                      </c:pt>
                      <c:pt idx="18">
                        <c:v>11.3</c:v>
                      </c:pt>
                      <c:pt idx="19">
                        <c:v>14.6</c:v>
                      </c:pt>
                      <c:pt idx="20">
                        <c:v>18</c:v>
                      </c:pt>
                      <c:pt idx="21">
                        <c:v>12.5</c:v>
                      </c:pt>
                      <c:pt idx="22">
                        <c:v>5.6</c:v>
                      </c:pt>
                      <c:pt idx="23">
                        <c:v>15.5</c:v>
                      </c:pt>
                      <c:pt idx="24">
                        <c:v>9.6999999999999993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15.9</c:v>
                      </c:pt>
                      <c:pt idx="28">
                        <c:v>18.899999999999999</c:v>
                      </c:pt>
                      <c:pt idx="29">
                        <c:v>10.5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A3-4DDC-8866-2E99FFD560CF}"/>
                  </c:ext>
                </c:extLst>
              </c15:ser>
            </c15:filteredScatterSeries>
          </c:ext>
        </c:extLst>
      </c:scatterChart>
      <c:valAx>
        <c:axId val="82890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TV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7327"/>
        <c:crosses val="autoZero"/>
        <c:crossBetween val="midCat"/>
      </c:valAx>
      <c:valAx>
        <c:axId val="8289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Sales wrt to Radio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30370192809690671"/>
          <c:y val="5.3974897739826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2.6061250450503049E-2"/>
                  <c:y val="-0.41402028035708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Data!$E$2:$E$31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</c:numCache>
            </c:numRef>
          </c:xVal>
          <c:yVal>
            <c:numRef>
              <c:f>Data!$B$2:$B$31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12-45FD-98A4-21982118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03967"/>
        <c:axId val="8289073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1.1709003093208659E-2"/>
                        <c:y val="-0.4043474179556129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Data!$C$1:$C$31</c15:sqref>
                        </c15:formulaRef>
                      </c:ext>
                    </c:extLst>
                    <c:strCache>
                      <c:ptCount val="31"/>
                      <c:pt idx="0">
                        <c:v>FB</c:v>
                      </c:pt>
                      <c:pt idx="1">
                        <c:v>230.1</c:v>
                      </c:pt>
                      <c:pt idx="2">
                        <c:v>44.5</c:v>
                      </c:pt>
                      <c:pt idx="3">
                        <c:v>17.2</c:v>
                      </c:pt>
                      <c:pt idx="4">
                        <c:v>151.5</c:v>
                      </c:pt>
                      <c:pt idx="5">
                        <c:v>180.8</c:v>
                      </c:pt>
                      <c:pt idx="6">
                        <c:v>8.7</c:v>
                      </c:pt>
                      <c:pt idx="7">
                        <c:v>57.5</c:v>
                      </c:pt>
                      <c:pt idx="8">
                        <c:v>120.2</c:v>
                      </c:pt>
                      <c:pt idx="9">
                        <c:v>8.6</c:v>
                      </c:pt>
                      <c:pt idx="10">
                        <c:v>199.8</c:v>
                      </c:pt>
                      <c:pt idx="11">
                        <c:v>66.1</c:v>
                      </c:pt>
                      <c:pt idx="12">
                        <c:v>214.7</c:v>
                      </c:pt>
                      <c:pt idx="13">
                        <c:v>23.8</c:v>
                      </c:pt>
                      <c:pt idx="14">
                        <c:v>97.5</c:v>
                      </c:pt>
                      <c:pt idx="15">
                        <c:v>204.1</c:v>
                      </c:pt>
                      <c:pt idx="16">
                        <c:v>195.4</c:v>
                      </c:pt>
                      <c:pt idx="17">
                        <c:v>67.8</c:v>
                      </c:pt>
                      <c:pt idx="18">
                        <c:v>281.4</c:v>
                      </c:pt>
                      <c:pt idx="19">
                        <c:v>69.2</c:v>
                      </c:pt>
                      <c:pt idx="20">
                        <c:v>147.3</c:v>
                      </c:pt>
                      <c:pt idx="21">
                        <c:v>218.4</c:v>
                      </c:pt>
                      <c:pt idx="22">
                        <c:v>237.4</c:v>
                      </c:pt>
                      <c:pt idx="23">
                        <c:v>13.2</c:v>
                      </c:pt>
                      <c:pt idx="24">
                        <c:v>228.3</c:v>
                      </c:pt>
                      <c:pt idx="25">
                        <c:v>62.3</c:v>
                      </c:pt>
                      <c:pt idx="26">
                        <c:v>262.9</c:v>
                      </c:pt>
                      <c:pt idx="27">
                        <c:v>142.9</c:v>
                      </c:pt>
                      <c:pt idx="28">
                        <c:v>240.1</c:v>
                      </c:pt>
                      <c:pt idx="29">
                        <c:v>248.8</c:v>
                      </c:pt>
                      <c:pt idx="30">
                        <c:v>70.6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Data!$B$1:$B$31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 formatCode="General">
                        <c:v>0</c:v>
                      </c:pt>
                      <c:pt idx="1">
                        <c:v>22.1</c:v>
                      </c:pt>
                      <c:pt idx="2">
                        <c:v>10.4</c:v>
                      </c:pt>
                      <c:pt idx="3">
                        <c:v>9.3000000000000007</c:v>
                      </c:pt>
                      <c:pt idx="4">
                        <c:v>18.5</c:v>
                      </c:pt>
                      <c:pt idx="5">
                        <c:v>12.9</c:v>
                      </c:pt>
                      <c:pt idx="6">
                        <c:v>7.2</c:v>
                      </c:pt>
                      <c:pt idx="7">
                        <c:v>11.8</c:v>
                      </c:pt>
                      <c:pt idx="8">
                        <c:v>13.2</c:v>
                      </c:pt>
                      <c:pt idx="9">
                        <c:v>4.8</c:v>
                      </c:pt>
                      <c:pt idx="10">
                        <c:v>10.6</c:v>
                      </c:pt>
                      <c:pt idx="11">
                        <c:v>8.6</c:v>
                      </c:pt>
                      <c:pt idx="12">
                        <c:v>17.399999999999999</c:v>
                      </c:pt>
                      <c:pt idx="13">
                        <c:v>9.1999999999999993</c:v>
                      </c:pt>
                      <c:pt idx="14">
                        <c:v>9.6999999999999993</c:v>
                      </c:pt>
                      <c:pt idx="15">
                        <c:v>19</c:v>
                      </c:pt>
                      <c:pt idx="16">
                        <c:v>22.4</c:v>
                      </c:pt>
                      <c:pt idx="17">
                        <c:v>12.5</c:v>
                      </c:pt>
                      <c:pt idx="18">
                        <c:v>24.4</c:v>
                      </c:pt>
                      <c:pt idx="19">
                        <c:v>11.3</c:v>
                      </c:pt>
                      <c:pt idx="20">
                        <c:v>14.6</c:v>
                      </c:pt>
                      <c:pt idx="21">
                        <c:v>18</c:v>
                      </c:pt>
                      <c:pt idx="22">
                        <c:v>12.5</c:v>
                      </c:pt>
                      <c:pt idx="23">
                        <c:v>5.6</c:v>
                      </c:pt>
                      <c:pt idx="24">
                        <c:v>15.5</c:v>
                      </c:pt>
                      <c:pt idx="25">
                        <c:v>9.6999999999999993</c:v>
                      </c:pt>
                      <c:pt idx="26">
                        <c:v>12</c:v>
                      </c:pt>
                      <c:pt idx="27">
                        <c:v>15</c:v>
                      </c:pt>
                      <c:pt idx="28">
                        <c:v>15.9</c:v>
                      </c:pt>
                      <c:pt idx="29">
                        <c:v>18.899999999999999</c:v>
                      </c:pt>
                      <c:pt idx="30">
                        <c:v>10.5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012-45FD-98A4-21982118546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0"/>
                  <c:trendlineLbl>
                    <c:layout>
                      <c:manualLayout>
                        <c:x val="4.1018325883893529E-2"/>
                        <c:y val="-0.2681063953661959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Data!$C$2:$C$31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230.1</c:v>
                      </c:pt>
                      <c:pt idx="1">
                        <c:v>44.5</c:v>
                      </c:pt>
                      <c:pt idx="2">
                        <c:v>17.2</c:v>
                      </c:pt>
                      <c:pt idx="3">
                        <c:v>151.5</c:v>
                      </c:pt>
                      <c:pt idx="4">
                        <c:v>180.8</c:v>
                      </c:pt>
                      <c:pt idx="5">
                        <c:v>8.6999999999999993</c:v>
                      </c:pt>
                      <c:pt idx="6">
                        <c:v>57.5</c:v>
                      </c:pt>
                      <c:pt idx="7">
                        <c:v>120.2</c:v>
                      </c:pt>
                      <c:pt idx="8">
                        <c:v>8.6</c:v>
                      </c:pt>
                      <c:pt idx="9">
                        <c:v>199.8</c:v>
                      </c:pt>
                      <c:pt idx="10">
                        <c:v>66.099999999999994</c:v>
                      </c:pt>
                      <c:pt idx="11">
                        <c:v>214.7</c:v>
                      </c:pt>
                      <c:pt idx="12">
                        <c:v>23.8</c:v>
                      </c:pt>
                      <c:pt idx="13">
                        <c:v>97.5</c:v>
                      </c:pt>
                      <c:pt idx="14">
                        <c:v>204.1</c:v>
                      </c:pt>
                      <c:pt idx="15">
                        <c:v>195.4</c:v>
                      </c:pt>
                      <c:pt idx="16">
                        <c:v>67.8</c:v>
                      </c:pt>
                      <c:pt idx="17">
                        <c:v>281.39999999999998</c:v>
                      </c:pt>
                      <c:pt idx="18">
                        <c:v>69.2</c:v>
                      </c:pt>
                      <c:pt idx="19">
                        <c:v>147.30000000000001</c:v>
                      </c:pt>
                      <c:pt idx="20">
                        <c:v>218.4</c:v>
                      </c:pt>
                      <c:pt idx="21">
                        <c:v>237.4</c:v>
                      </c:pt>
                      <c:pt idx="22">
                        <c:v>13.2</c:v>
                      </c:pt>
                      <c:pt idx="23">
                        <c:v>228.3</c:v>
                      </c:pt>
                      <c:pt idx="24">
                        <c:v>62.3</c:v>
                      </c:pt>
                      <c:pt idx="25">
                        <c:v>262.89999999999998</c:v>
                      </c:pt>
                      <c:pt idx="26">
                        <c:v>142.9</c:v>
                      </c:pt>
                      <c:pt idx="27">
                        <c:v>240.1</c:v>
                      </c:pt>
                      <c:pt idx="28">
                        <c:v>248.8</c:v>
                      </c:pt>
                      <c:pt idx="29">
                        <c:v>70.599999999999994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22.1</c:v>
                      </c:pt>
                      <c:pt idx="1">
                        <c:v>10.4</c:v>
                      </c:pt>
                      <c:pt idx="2">
                        <c:v>9.3000000000000007</c:v>
                      </c:pt>
                      <c:pt idx="3">
                        <c:v>18.5</c:v>
                      </c:pt>
                      <c:pt idx="4">
                        <c:v>12.9</c:v>
                      </c:pt>
                      <c:pt idx="5">
                        <c:v>7.2</c:v>
                      </c:pt>
                      <c:pt idx="6">
                        <c:v>11.8</c:v>
                      </c:pt>
                      <c:pt idx="7">
                        <c:v>13.2</c:v>
                      </c:pt>
                      <c:pt idx="8">
                        <c:v>4.8</c:v>
                      </c:pt>
                      <c:pt idx="9">
                        <c:v>10.6</c:v>
                      </c:pt>
                      <c:pt idx="10">
                        <c:v>8.6</c:v>
                      </c:pt>
                      <c:pt idx="11">
                        <c:v>17.399999999999999</c:v>
                      </c:pt>
                      <c:pt idx="12">
                        <c:v>9.1999999999999993</c:v>
                      </c:pt>
                      <c:pt idx="13">
                        <c:v>9.6999999999999993</c:v>
                      </c:pt>
                      <c:pt idx="14">
                        <c:v>19</c:v>
                      </c:pt>
                      <c:pt idx="15">
                        <c:v>22.4</c:v>
                      </c:pt>
                      <c:pt idx="16">
                        <c:v>12.5</c:v>
                      </c:pt>
                      <c:pt idx="17">
                        <c:v>24.4</c:v>
                      </c:pt>
                      <c:pt idx="18">
                        <c:v>11.3</c:v>
                      </c:pt>
                      <c:pt idx="19">
                        <c:v>14.6</c:v>
                      </c:pt>
                      <c:pt idx="20">
                        <c:v>18</c:v>
                      </c:pt>
                      <c:pt idx="21">
                        <c:v>12.5</c:v>
                      </c:pt>
                      <c:pt idx="22">
                        <c:v>5.6</c:v>
                      </c:pt>
                      <c:pt idx="23">
                        <c:v>15.5</c:v>
                      </c:pt>
                      <c:pt idx="24">
                        <c:v>9.6999999999999993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15.9</c:v>
                      </c:pt>
                      <c:pt idx="28">
                        <c:v>18.899999999999999</c:v>
                      </c:pt>
                      <c:pt idx="29">
                        <c:v>10.5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012-45FD-98A4-21982118546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0"/>
                  <c:trendlineLbl>
                    <c:layout>
                      <c:manualLayout>
                        <c:x val="0.13881799976272571"/>
                        <c:y val="-0.35171030762646921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Data!$D$2:$D$31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37.799999999999997</c:v>
                      </c:pt>
                      <c:pt idx="1">
                        <c:v>39.299999999999997</c:v>
                      </c:pt>
                      <c:pt idx="2">
                        <c:v>45.9</c:v>
                      </c:pt>
                      <c:pt idx="3">
                        <c:v>41.3</c:v>
                      </c:pt>
                      <c:pt idx="4">
                        <c:v>10.8</c:v>
                      </c:pt>
                      <c:pt idx="5">
                        <c:v>48.9</c:v>
                      </c:pt>
                      <c:pt idx="6">
                        <c:v>32.799999999999997</c:v>
                      </c:pt>
                      <c:pt idx="7">
                        <c:v>19.600000000000001</c:v>
                      </c:pt>
                      <c:pt idx="8">
                        <c:v>2.1</c:v>
                      </c:pt>
                      <c:pt idx="9">
                        <c:v>2.6</c:v>
                      </c:pt>
                      <c:pt idx="10">
                        <c:v>5.8</c:v>
                      </c:pt>
                      <c:pt idx="11">
                        <c:v>24</c:v>
                      </c:pt>
                      <c:pt idx="12">
                        <c:v>35.1</c:v>
                      </c:pt>
                      <c:pt idx="13">
                        <c:v>7.6</c:v>
                      </c:pt>
                      <c:pt idx="14">
                        <c:v>32.9</c:v>
                      </c:pt>
                      <c:pt idx="15">
                        <c:v>47.7</c:v>
                      </c:pt>
                      <c:pt idx="16">
                        <c:v>36.6</c:v>
                      </c:pt>
                      <c:pt idx="17">
                        <c:v>39.6</c:v>
                      </c:pt>
                      <c:pt idx="18">
                        <c:v>20.5</c:v>
                      </c:pt>
                      <c:pt idx="19">
                        <c:v>23.9</c:v>
                      </c:pt>
                      <c:pt idx="20">
                        <c:v>27.7</c:v>
                      </c:pt>
                      <c:pt idx="21">
                        <c:v>5.0999999999999996</c:v>
                      </c:pt>
                      <c:pt idx="22">
                        <c:v>15.9</c:v>
                      </c:pt>
                      <c:pt idx="23">
                        <c:v>16.899999999999999</c:v>
                      </c:pt>
                      <c:pt idx="24">
                        <c:v>12.6</c:v>
                      </c:pt>
                      <c:pt idx="25">
                        <c:v>3.5</c:v>
                      </c:pt>
                      <c:pt idx="26">
                        <c:v>29.3</c:v>
                      </c:pt>
                      <c:pt idx="27">
                        <c:v>16.7</c:v>
                      </c:pt>
                      <c:pt idx="28">
                        <c:v>27.1</c:v>
                      </c:pt>
                      <c:pt idx="29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22.1</c:v>
                      </c:pt>
                      <c:pt idx="1">
                        <c:v>10.4</c:v>
                      </c:pt>
                      <c:pt idx="2">
                        <c:v>9.3000000000000007</c:v>
                      </c:pt>
                      <c:pt idx="3">
                        <c:v>18.5</c:v>
                      </c:pt>
                      <c:pt idx="4">
                        <c:v>12.9</c:v>
                      </c:pt>
                      <c:pt idx="5">
                        <c:v>7.2</c:v>
                      </c:pt>
                      <c:pt idx="6">
                        <c:v>11.8</c:v>
                      </c:pt>
                      <c:pt idx="7">
                        <c:v>13.2</c:v>
                      </c:pt>
                      <c:pt idx="8">
                        <c:v>4.8</c:v>
                      </c:pt>
                      <c:pt idx="9">
                        <c:v>10.6</c:v>
                      </c:pt>
                      <c:pt idx="10">
                        <c:v>8.6</c:v>
                      </c:pt>
                      <c:pt idx="11">
                        <c:v>17.399999999999999</c:v>
                      </c:pt>
                      <c:pt idx="12">
                        <c:v>9.1999999999999993</c:v>
                      </c:pt>
                      <c:pt idx="13">
                        <c:v>9.6999999999999993</c:v>
                      </c:pt>
                      <c:pt idx="14">
                        <c:v>19</c:v>
                      </c:pt>
                      <c:pt idx="15">
                        <c:v>22.4</c:v>
                      </c:pt>
                      <c:pt idx="16">
                        <c:v>12.5</c:v>
                      </c:pt>
                      <c:pt idx="17">
                        <c:v>24.4</c:v>
                      </c:pt>
                      <c:pt idx="18">
                        <c:v>11.3</c:v>
                      </c:pt>
                      <c:pt idx="19">
                        <c:v>14.6</c:v>
                      </c:pt>
                      <c:pt idx="20">
                        <c:v>18</c:v>
                      </c:pt>
                      <c:pt idx="21">
                        <c:v>12.5</c:v>
                      </c:pt>
                      <c:pt idx="22">
                        <c:v>5.6</c:v>
                      </c:pt>
                      <c:pt idx="23">
                        <c:v>15.5</c:v>
                      </c:pt>
                      <c:pt idx="24">
                        <c:v>9.6999999999999993</c:v>
                      </c:pt>
                      <c:pt idx="25">
                        <c:v>12</c:v>
                      </c:pt>
                      <c:pt idx="26">
                        <c:v>15</c:v>
                      </c:pt>
                      <c:pt idx="27">
                        <c:v>15.9</c:v>
                      </c:pt>
                      <c:pt idx="28">
                        <c:v>18.899999999999999</c:v>
                      </c:pt>
                      <c:pt idx="29">
                        <c:v>10.5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012-45FD-98A4-219821185467}"/>
                  </c:ext>
                </c:extLst>
              </c15:ser>
            </c15:filteredScatterSeries>
          </c:ext>
        </c:extLst>
      </c:scatterChart>
      <c:valAx>
        <c:axId val="82890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7327"/>
        <c:crosses val="autoZero"/>
        <c:crossBetween val="midCat"/>
      </c:valAx>
      <c:valAx>
        <c:axId val="8289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</a:t>
            </a:r>
            <a:r>
              <a:rPr lang="en-IN" baseline="0"/>
              <a:t> Check of Model with Transformed Variables</a:t>
            </a:r>
          </a:p>
        </c:rich>
      </c:tx>
      <c:layout>
        <c:manualLayout>
          <c:xMode val="edge"/>
          <c:yMode val="edge"/>
          <c:x val="0.1012084426946631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'Ad_Stock n Dim Effect'!$U$3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'Ad_Stock n Dim Effect'!$U$4:$U$33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E-4EBA-A61E-D9FDEF1A34ED}"/>
            </c:ext>
          </c:extLst>
        </c:ser>
        <c:ser>
          <c:idx val="1"/>
          <c:order val="1"/>
          <c:tx>
            <c:strRef>
              <c:f>'Ad_Stock n Dim Effect'!$V$3</c:f>
              <c:strCache>
                <c:ptCount val="1"/>
                <c:pt idx="0">
                  <c:v>Predictions with transformation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'Ad_Stock n Dim Effect'!$V$4:$V$33</c:f>
              <c:numCache>
                <c:formatCode>General</c:formatCode>
                <c:ptCount val="30"/>
                <c:pt idx="0">
                  <c:v>21.681207125753648</c:v>
                </c:pt>
                <c:pt idx="1">
                  <c:v>12.43536376865806</c:v>
                </c:pt>
                <c:pt idx="2">
                  <c:v>10.690534481517217</c:v>
                </c:pt>
                <c:pt idx="3">
                  <c:v>17.725427627863063</c:v>
                </c:pt>
                <c:pt idx="4">
                  <c:v>12.956318034671565</c:v>
                </c:pt>
                <c:pt idx="5">
                  <c:v>9.8427312315368045</c:v>
                </c:pt>
                <c:pt idx="6">
                  <c:v>12.196024717802727</c:v>
                </c:pt>
                <c:pt idx="7">
                  <c:v>13.190276198003348</c:v>
                </c:pt>
                <c:pt idx="8">
                  <c:v>2.1994750732673589</c:v>
                </c:pt>
                <c:pt idx="9">
                  <c:v>12.138138229828577</c:v>
                </c:pt>
                <c:pt idx="10">
                  <c:v>7.1034731770535036</c:v>
                </c:pt>
                <c:pt idx="11">
                  <c:v>17.418963331936933</c:v>
                </c:pt>
                <c:pt idx="12">
                  <c:v>9.5811930717002411</c:v>
                </c:pt>
                <c:pt idx="13">
                  <c:v>9.6675058831477401</c:v>
                </c:pt>
                <c:pt idx="14">
                  <c:v>18.092420166365965</c:v>
                </c:pt>
                <c:pt idx="15">
                  <c:v>20.620349414560053</c:v>
                </c:pt>
                <c:pt idx="16">
                  <c:v>12.242929822222115</c:v>
                </c:pt>
                <c:pt idx="17">
                  <c:v>21.488243901142177</c:v>
                </c:pt>
                <c:pt idx="18">
                  <c:v>10.72687318788763</c:v>
                </c:pt>
                <c:pt idx="19">
                  <c:v>14.890653510350432</c:v>
                </c:pt>
                <c:pt idx="20">
                  <c:v>17.634517658123901</c:v>
                </c:pt>
                <c:pt idx="21">
                  <c:v>14.114663856548695</c:v>
                </c:pt>
                <c:pt idx="22">
                  <c:v>4.6896671174499946</c:v>
                </c:pt>
                <c:pt idx="23">
                  <c:v>16.010650134285171</c:v>
                </c:pt>
                <c:pt idx="24">
                  <c:v>8.6072818182283992</c:v>
                </c:pt>
                <c:pt idx="25">
                  <c:v>14.469995673567007</c:v>
                </c:pt>
                <c:pt idx="26">
                  <c:v>15.751539712424716</c:v>
                </c:pt>
                <c:pt idx="27">
                  <c:v>16.808687191982383</c:v>
                </c:pt>
                <c:pt idx="28">
                  <c:v>18.95639027450617</c:v>
                </c:pt>
                <c:pt idx="29">
                  <c:v>9.5685046076143738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4EBA-A61E-D9FDEF1A3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266672"/>
        <c:axId val="1223275792"/>
      </c:lineChart>
      <c:catAx>
        <c:axId val="122326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Weeks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49636679790026245"/>
              <c:y val="0.77645778652668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75792"/>
        <c:crosses val="autoZero"/>
        <c:auto val="1"/>
        <c:lblAlgn val="ctr"/>
        <c:lblOffset val="100"/>
        <c:noMultiLvlLbl val="0"/>
      </c:catAx>
      <c:valAx>
        <c:axId val="12232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6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Check of Model without Transformed Variables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'Ad_Stock n Dim Effect'!$U$3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'Ad_Stock n Dim Effect'!$U$4:$U$33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3-438D-95FA-AC8D35570893}"/>
            </c:ext>
          </c:extLst>
        </c:ser>
        <c:ser>
          <c:idx val="1"/>
          <c:order val="1"/>
          <c:tx>
            <c:strRef>
              <c:f>'Ad_Stock n Dim Effect'!$W$3</c:f>
              <c:strCache>
                <c:ptCount val="1"/>
                <c:pt idx="0">
                  <c:v>Predictions without Transformation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'Ad_Stock n Dim Effect'!$W$4:$W$33</c:f>
              <c:numCache>
                <c:formatCode>General</c:formatCode>
                <c:ptCount val="30"/>
                <c:pt idx="0">
                  <c:v>19.868695537966516</c:v>
                </c:pt>
                <c:pt idx="1">
                  <c:v>12.023643722269336</c:v>
                </c:pt>
                <c:pt idx="2">
                  <c:v>11.612294947447406</c:v>
                </c:pt>
                <c:pt idx="3">
                  <c:v>17.124567550753131</c:v>
                </c:pt>
                <c:pt idx="4">
                  <c:v>12.42746307520984</c:v>
                </c:pt>
                <c:pt idx="5">
                  <c:v>11.706541513334765</c:v>
                </c:pt>
                <c:pt idx="6">
                  <c:v>11.743260091650576</c:v>
                </c:pt>
                <c:pt idx="7">
                  <c:v>12.251637846893717</c:v>
                </c:pt>
                <c:pt idx="8">
                  <c:v>3.806890682930669</c:v>
                </c:pt>
                <c:pt idx="9">
                  <c:v>12.38218916295901</c:v>
                </c:pt>
                <c:pt idx="10">
                  <c:v>6.7670746254223317</c:v>
                </c:pt>
                <c:pt idx="11">
                  <c:v>17.646781909589848</c:v>
                </c:pt>
                <c:pt idx="12">
                  <c:v>9.8377359030277738</c:v>
                </c:pt>
                <c:pt idx="13">
                  <c:v>8.9003200448185105</c:v>
                </c:pt>
                <c:pt idx="14">
                  <c:v>18.129514791176963</c:v>
                </c:pt>
                <c:pt idx="15">
                  <c:v>20.534942354590012</c:v>
                </c:pt>
                <c:pt idx="16">
                  <c:v>11.265243669657041</c:v>
                </c:pt>
                <c:pt idx="17">
                  <c:v>22.855827395593256</c:v>
                </c:pt>
                <c:pt idx="18">
                  <c:v>9.9411185337415233</c:v>
                </c:pt>
                <c:pt idx="19">
                  <c:v>14.219243598460508</c:v>
                </c:pt>
                <c:pt idx="20">
                  <c:v>17.619622242937922</c:v>
                </c:pt>
                <c:pt idx="21">
                  <c:v>14.577038429549626</c:v>
                </c:pt>
                <c:pt idx="22">
                  <c:v>5.842087898005409</c:v>
                </c:pt>
                <c:pt idx="23">
                  <c:v>16.447574865680053</c:v>
                </c:pt>
                <c:pt idx="24">
                  <c:v>8.052768420999417</c:v>
                </c:pt>
                <c:pt idx="25">
                  <c:v>15.516223391616327</c:v>
                </c:pt>
                <c:pt idx="26">
                  <c:v>15.210479853263733</c:v>
                </c:pt>
                <c:pt idx="27">
                  <c:v>17.016858508158283</c:v>
                </c:pt>
                <c:pt idx="28">
                  <c:v>19.485019486761967</c:v>
                </c:pt>
                <c:pt idx="29">
                  <c:v>8.6873399455344344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3-438D-95FA-AC8D3557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252752"/>
        <c:axId val="1223260432"/>
      </c:lineChart>
      <c:catAx>
        <c:axId val="122325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60432"/>
        <c:crosses val="autoZero"/>
        <c:auto val="1"/>
        <c:lblAlgn val="ctr"/>
        <c:lblOffset val="100"/>
        <c:noMultiLvlLbl val="0"/>
      </c:catAx>
      <c:valAx>
        <c:axId val="12232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25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Diminishing</a:t>
            </a:r>
            <a:r>
              <a:rPr lang="en-US" baseline="0"/>
              <a:t> Curve For FB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'Ad_Stock n Dim Effect'!$E$44</c:f>
              <c:strCache>
                <c:ptCount val="1"/>
                <c:pt idx="0">
                  <c:v>FB Trans1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5.5982064741907263E-3"/>
                  <c:y val="-9.3009259259259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'Ad_Stock n Dim Effect'!$B$45:$B$74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</c:numCache>
            </c:numRef>
          </c:xVal>
          <c:yVal>
            <c:numRef>
              <c:f>'Ad_Stock n Dim Effect'!$E$45:$E$74</c:f>
              <c:numCache>
                <c:formatCode>General</c:formatCode>
                <c:ptCount val="30"/>
                <c:pt idx="0">
                  <c:v>15.169047432189011</c:v>
                </c:pt>
                <c:pt idx="1">
                  <c:v>6.6708320320631671</c:v>
                </c:pt>
                <c:pt idx="2">
                  <c:v>4.1472882706655438</c:v>
                </c:pt>
                <c:pt idx="3">
                  <c:v>12.308533625091171</c:v>
                </c:pt>
                <c:pt idx="4">
                  <c:v>13.446189051177289</c:v>
                </c:pt>
                <c:pt idx="5">
                  <c:v>2.9495762407505248</c:v>
                </c:pt>
                <c:pt idx="6">
                  <c:v>7.5828754440515507</c:v>
                </c:pt>
                <c:pt idx="7">
                  <c:v>10.963576058932597</c:v>
                </c:pt>
                <c:pt idx="8">
                  <c:v>2.9325756597230361</c:v>
                </c:pt>
                <c:pt idx="9">
                  <c:v>14.135062787267696</c:v>
                </c:pt>
                <c:pt idx="10">
                  <c:v>8.1301906496711371</c:v>
                </c:pt>
                <c:pt idx="11">
                  <c:v>14.652644812456213</c:v>
                </c:pt>
                <c:pt idx="12">
                  <c:v>4.8785243670601872</c:v>
                </c:pt>
                <c:pt idx="13">
                  <c:v>9.8742088290657488</c:v>
                </c:pt>
                <c:pt idx="14">
                  <c:v>14.286357128393508</c:v>
                </c:pt>
                <c:pt idx="15">
                  <c:v>13.978555004005242</c:v>
                </c:pt>
                <c:pt idx="16">
                  <c:v>8.2340755400955601</c:v>
                </c:pt>
                <c:pt idx="17">
                  <c:v>16.774981371077583</c:v>
                </c:pt>
                <c:pt idx="18">
                  <c:v>8.3186537372341682</c:v>
                </c:pt>
                <c:pt idx="19">
                  <c:v>12.136721138759018</c:v>
                </c:pt>
                <c:pt idx="20">
                  <c:v>14.778362561528933</c:v>
                </c:pt>
                <c:pt idx="21">
                  <c:v>15.407790237409127</c:v>
                </c:pt>
                <c:pt idx="22">
                  <c:v>3.6331804249169899</c:v>
                </c:pt>
                <c:pt idx="23">
                  <c:v>15.109599597606815</c:v>
                </c:pt>
                <c:pt idx="24">
                  <c:v>7.893034904268446</c:v>
                </c:pt>
                <c:pt idx="25">
                  <c:v>16.214191315017842</c:v>
                </c:pt>
                <c:pt idx="26">
                  <c:v>11.954078801814886</c:v>
                </c:pt>
                <c:pt idx="27">
                  <c:v>15.495160534825059</c:v>
                </c:pt>
                <c:pt idx="28">
                  <c:v>15.773395322504284</c:v>
                </c:pt>
                <c:pt idx="29">
                  <c:v>8.402380615040002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9-4A0D-96BC-D4C5C223B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918399"/>
        <c:axId val="827918879"/>
      </c:scatterChart>
      <c:valAx>
        <c:axId val="82791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FB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18879"/>
        <c:crosses val="autoZero"/>
        <c:crossBetween val="midCat"/>
      </c:valAx>
      <c:valAx>
        <c:axId val="8279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Transformed FB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1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11140</xdr:colOff>
      <xdr:row>17</xdr:row>
      <xdr:rowOff>178245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52359-8D82-4BF6-8B4F-02ED47AA6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27067</xdr:rowOff>
    </xdr:from>
    <xdr:to>
      <xdr:col>17</xdr:col>
      <xdr:colOff>11140</xdr:colOff>
      <xdr:row>37</xdr:row>
      <xdr:rowOff>167104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B0651-29F0-4915-87DC-B6637F8E2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3343</xdr:colOff>
      <xdr:row>7</xdr:row>
      <xdr:rowOff>15374</xdr:rowOff>
    </xdr:from>
    <xdr:to>
      <xdr:col>25</xdr:col>
      <xdr:colOff>11141</xdr:colOff>
      <xdr:row>24</xdr:row>
      <xdr:rowOff>11140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181F696-2301-21CD-2DD3-B11DF1ACE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24</xdr:row>
      <xdr:rowOff>11140</xdr:rowOff>
    </xdr:from>
    <xdr:to>
      <xdr:col>25</xdr:col>
      <xdr:colOff>7798</xdr:colOff>
      <xdr:row>41</xdr:row>
      <xdr:rowOff>6907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CF377B-4A2B-4D2D-B5F2-A79328FBF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41</xdr:row>
      <xdr:rowOff>0</xdr:rowOff>
    </xdr:from>
    <xdr:to>
      <xdr:col>25</xdr:col>
      <xdr:colOff>7798</xdr:colOff>
      <xdr:row>57</xdr:row>
      <xdr:rowOff>185152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CDFD183-C3C2-4796-8E15-2E56E9D1A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</xdr:row>
      <xdr:rowOff>0</xdr:rowOff>
    </xdr:from>
    <xdr:to>
      <xdr:col>33</xdr:col>
      <xdr:colOff>321481</xdr:colOff>
      <xdr:row>16</xdr:row>
      <xdr:rowOff>6445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F847EF-17CB-4250-87E4-0113B63CE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17</xdr:row>
      <xdr:rowOff>0</xdr:rowOff>
    </xdr:from>
    <xdr:to>
      <xdr:col>33</xdr:col>
      <xdr:colOff>321481</xdr:colOff>
      <xdr:row>30</xdr:row>
      <xdr:rowOff>117712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925CD8-0579-435B-B02F-22A354F5D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2843</xdr:colOff>
      <xdr:row>50</xdr:row>
      <xdr:rowOff>196946</xdr:rowOff>
    </xdr:from>
    <xdr:to>
      <xdr:col>17</xdr:col>
      <xdr:colOff>0</xdr:colOff>
      <xdr:row>66</xdr:row>
      <xdr:rowOff>9478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BA000-E367-E129-B51B-0D4AA45BC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25673E-0BF3-42EF-8E1F-C6DC44D5A750}">
  <we:reference id="wa104100404" version="3.0.0.1" store="en-US" storeType="OMEX"/>
  <we:alternateReferences>
    <we:reference id="WA104100404" version="3.0.0.1" store="WA104100404" storeType="OMEX"/>
  </we:alternateReferences>
  <we:properties>
    <we:property name="MCpbPApRBxUQQA4JIClZDA==" value="&quot;Ug==&quot;"/>
    <we:property name="MCpbPApRBxUQQAwKMg==" value="&quot;&quot;"/>
    <we:property name="MCpbPApRBxUQQDAHNBJVEDw3WSU=" value="&quot;U20GeA==&quot;"/>
    <we:property name="MCpbPApRBxUQQDAHNBJVEDwgQC4=" value="&quot;U20GeVYB&quot;"/>
    <we:property name="MCpbPApRBxUQQDAHNBJVEDwiRDo=" value="&quot;Ug==&quot;"/>
    <we:property name="MCpbPApRBxUQQDAHNBJVEDwiVSo=" value="&quot;U20GeVc=&quot;"/>
    <we:property name="MCpbPApRBxUQQDAHNBJVEDwkVzk=" value="&quot;U20GeVYAQ0s=&quot;"/>
    <we:property name="MCpbPApRBxUQQDAHNBJVEDwlUyg=" value="&quot;U20GeVYAQ0s=&quot;"/>
    <we:property name="MCpbPApRBxUQQDAHNBJVEDwmWC4=" value="&quot;JBFx&quot;"/>
    <we:property name="MCpbPApRBxUQQDAHNBJVEDwqRi0=" value="&quot;UA==&quot;"/>
    <we:property name="MCpbPApRBxUQQDAHNBJVEDwqRiA=" value="&quot;Ug==&quot;"/>
    <we:property name="MCpbPApRBxUQQDAHNBJVEDwqRjo=" value="&quot;U20PcA==&quot;"/>
    <we:property name="MCpbPApRBxUQQDAHNBJVEDwtQjs=" value="&quot;UQ==&quot;"/>
    <we:property name="MCpbPApRBxUQQDAHNBJVEDwtUy4=" value="&quot;Ug==&quot;"/>
    <we:property name="MCpbPApRBxUQQDAHNBJVEDwuRD0=" value="&quot;U20GflM=&quot;"/>
    <we:property name="MCpbPApRBxUQQDAHNBJVEDwuRSU=" value="&quot;Uw==&quot;"/>
    <we:property name="MCpbPApRBxUQQDAHNBJVEDwuUz0=" value="&quot;UQ==&quot;"/>
    <we:property name="MCpbPApRBxUQQDAHNBJVEDwuWCA=" value="&quot;UHM=&quot;"/>
    <we:property name="MCpbPApRBxUQQDAHNBJVEDwvRj0=" value="&quot;Uw==&quot;"/>
    <we:property name="MCpbPApRBxUQQDAHNBJVEDwvRjk=" value="&quot;Uw==&quot;"/>
    <we:property name="MCpbPApRBxUQQDAHNBJVEDwwQig=" value="&quot;Uw==&quot;"/>
    <we:property name="MCpbPApRBxUQQDAHNBJVEDwwRTM=" value="&quot;UnMG&quot;"/>
    <we:property name="MCpbPApRBxUQQDAHNBJVEDwwVSU=" value="&quot;Ug==&quot;"/>
    <we:property name="MCpbPApRBxUQQDAHNBJVEDwwWSo=" value="&quot;Uw==&quot;"/>
    <we:property name="MCpbPApRBxUQQDAHNBJVEDwxRS0=" value="&quot;Uw==&quot;"/>
    <we:property name="MCpbPApRBxUQQDAHNBJVEDwxUzo=" value="&quot;Vg==&quot;"/>
    <we:property name="MCpbPApRBxUQQDAHNBJVEDwxVD8=" value="&quot;Ug==&quot;"/>
    <we:property name="MCpbPApRBxUQQDAHNBJVEDwxWjE=" value="&quot;Uw==&quot;"/>
    <we:property name="MCpbPApRBxUQQDAHNBJVEDwzRCw=" value="&quot;U20GeVYAQ0s=&quot;"/>
    <we:property name="UniqueID" value="&quot;20248191726716061049&quot;"/>
  </we:properties>
  <we:bindings>
    <we:binding id="refEdit" type="matrix" appref="{7743991A-04DC-4509-B6B3-A2932DBF9750}"/>
    <we:binding id="Worker" type="matrix" appref="{5211B402-0DBB-49BC-A9EE-B5AE2AA43FDA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0367-8A79-484B-B8D4-C25B38DF0B4B}">
  <dimension ref="A1:F31"/>
  <sheetViews>
    <sheetView workbookViewId="0">
      <selection activeCell="F9" sqref="F9"/>
    </sheetView>
  </sheetViews>
  <sheetFormatPr defaultRowHeight="14.5" x14ac:dyDescent="0.35"/>
  <cols>
    <col min="1" max="1" width="8.54296875" bestFit="1" customWidth="1"/>
    <col min="2" max="2" width="5.1796875" bestFit="1" customWidth="1"/>
    <col min="3" max="3" width="6.26953125" bestFit="1" customWidth="1"/>
    <col min="4" max="4" width="5.1796875" bestFit="1" customWidth="1"/>
    <col min="5" max="5" width="6" bestFit="1" customWidth="1"/>
    <col min="6" max="6" width="10.0898437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5" x14ac:dyDescent="0.35">
      <c r="A2" s="3" t="s">
        <v>6</v>
      </c>
      <c r="B2" s="4">
        <v>22.1</v>
      </c>
      <c r="C2" s="5">
        <v>230.1</v>
      </c>
      <c r="D2" s="5">
        <v>37.799999999999997</v>
      </c>
      <c r="E2" s="5">
        <v>69.2</v>
      </c>
      <c r="F2" s="6">
        <v>43831</v>
      </c>
    </row>
    <row r="3" spans="1:6" ht="15.5" x14ac:dyDescent="0.35">
      <c r="A3" s="3" t="s">
        <v>7</v>
      </c>
      <c r="B3" s="4">
        <v>10.4</v>
      </c>
      <c r="C3" s="5">
        <v>44.5</v>
      </c>
      <c r="D3" s="5">
        <v>39.299999999999997</v>
      </c>
      <c r="E3" s="5">
        <v>45.1</v>
      </c>
      <c r="F3" s="6">
        <v>43832</v>
      </c>
    </row>
    <row r="4" spans="1:6" ht="15.5" x14ac:dyDescent="0.35">
      <c r="A4" s="3" t="s">
        <v>8</v>
      </c>
      <c r="B4" s="4">
        <v>9.3000000000000007</v>
      </c>
      <c r="C4" s="5">
        <v>17.2</v>
      </c>
      <c r="D4" s="5">
        <v>45.9</v>
      </c>
      <c r="E4" s="5">
        <v>69.3</v>
      </c>
      <c r="F4" s="6">
        <v>43833</v>
      </c>
    </row>
    <row r="5" spans="1:6" ht="15.5" x14ac:dyDescent="0.35">
      <c r="A5" s="3" t="s">
        <v>9</v>
      </c>
      <c r="B5" s="4">
        <v>18.5</v>
      </c>
      <c r="C5" s="5">
        <v>151.5</v>
      </c>
      <c r="D5" s="5">
        <v>41.3</v>
      </c>
      <c r="E5" s="5">
        <v>58.5</v>
      </c>
      <c r="F5" s="6">
        <v>43834</v>
      </c>
    </row>
    <row r="6" spans="1:6" ht="15.5" x14ac:dyDescent="0.35">
      <c r="A6" s="3" t="s">
        <v>10</v>
      </c>
      <c r="B6" s="4">
        <v>12.9</v>
      </c>
      <c r="C6" s="5">
        <v>180.8</v>
      </c>
      <c r="D6" s="5">
        <v>10.8</v>
      </c>
      <c r="E6" s="5">
        <v>58.4</v>
      </c>
      <c r="F6" s="6">
        <v>43835</v>
      </c>
    </row>
    <row r="7" spans="1:6" ht="15.5" x14ac:dyDescent="0.35">
      <c r="A7" s="3" t="s">
        <v>11</v>
      </c>
      <c r="B7" s="4">
        <v>7.2</v>
      </c>
      <c r="C7" s="5">
        <v>8.6999999999999993</v>
      </c>
      <c r="D7" s="5">
        <v>48.9</v>
      </c>
      <c r="E7" s="5">
        <v>75</v>
      </c>
      <c r="F7" s="6">
        <v>43836</v>
      </c>
    </row>
    <row r="8" spans="1:6" ht="15.5" x14ac:dyDescent="0.35">
      <c r="A8" s="3" t="s">
        <v>12</v>
      </c>
      <c r="B8" s="4">
        <v>11.8</v>
      </c>
      <c r="C8" s="5">
        <v>57.5</v>
      </c>
      <c r="D8" s="5">
        <v>32.799999999999997</v>
      </c>
      <c r="E8" s="5">
        <v>23.5</v>
      </c>
      <c r="F8" s="6">
        <v>43837</v>
      </c>
    </row>
    <row r="9" spans="1:6" ht="15.5" x14ac:dyDescent="0.35">
      <c r="A9" s="3" t="s">
        <v>13</v>
      </c>
      <c r="B9" s="4">
        <v>13.2</v>
      </c>
      <c r="C9" s="5">
        <v>120.2</v>
      </c>
      <c r="D9" s="5">
        <v>19.600000000000001</v>
      </c>
      <c r="E9" s="5">
        <v>11.6</v>
      </c>
      <c r="F9" s="6">
        <v>43838</v>
      </c>
    </row>
    <row r="10" spans="1:6" ht="15.5" x14ac:dyDescent="0.35">
      <c r="A10" s="3" t="s">
        <v>14</v>
      </c>
      <c r="B10" s="4">
        <v>4.8</v>
      </c>
      <c r="C10" s="5">
        <v>8.6</v>
      </c>
      <c r="D10" s="5">
        <v>2.1</v>
      </c>
      <c r="E10" s="5">
        <v>1</v>
      </c>
      <c r="F10" s="6">
        <v>43839</v>
      </c>
    </row>
    <row r="11" spans="1:6" ht="15.5" x14ac:dyDescent="0.35">
      <c r="A11" s="3" t="s">
        <v>15</v>
      </c>
      <c r="B11" s="4">
        <v>10.6</v>
      </c>
      <c r="C11" s="5">
        <v>199.8</v>
      </c>
      <c r="D11" s="5">
        <v>2.6</v>
      </c>
      <c r="E11" s="5">
        <v>21.2</v>
      </c>
      <c r="F11" s="6">
        <v>43840</v>
      </c>
    </row>
    <row r="12" spans="1:6" ht="15.5" x14ac:dyDescent="0.35">
      <c r="A12" s="3" t="s">
        <v>16</v>
      </c>
      <c r="B12" s="4">
        <v>8.6</v>
      </c>
      <c r="C12" s="5">
        <v>66.099999999999994</v>
      </c>
      <c r="D12" s="5">
        <v>5.8</v>
      </c>
      <c r="E12" s="5">
        <v>24.2</v>
      </c>
      <c r="F12" s="6">
        <v>43841</v>
      </c>
    </row>
    <row r="13" spans="1:6" ht="15.5" x14ac:dyDescent="0.35">
      <c r="A13" s="3" t="s">
        <v>17</v>
      </c>
      <c r="B13" s="4">
        <v>17.399999999999999</v>
      </c>
      <c r="C13" s="5">
        <v>214.7</v>
      </c>
      <c r="D13" s="5">
        <v>24</v>
      </c>
      <c r="E13" s="5">
        <v>4</v>
      </c>
      <c r="F13" s="6">
        <v>43842</v>
      </c>
    </row>
    <row r="14" spans="1:6" ht="15.5" x14ac:dyDescent="0.35">
      <c r="A14" s="3" t="s">
        <v>18</v>
      </c>
      <c r="B14" s="4">
        <v>9.1999999999999993</v>
      </c>
      <c r="C14" s="5">
        <v>23.8</v>
      </c>
      <c r="D14" s="5">
        <v>35.1</v>
      </c>
      <c r="E14" s="5">
        <v>65.900000000000006</v>
      </c>
      <c r="F14" s="6">
        <v>43843</v>
      </c>
    </row>
    <row r="15" spans="1:6" ht="15.5" x14ac:dyDescent="0.35">
      <c r="A15" s="3" t="s">
        <v>19</v>
      </c>
      <c r="B15" s="4">
        <v>9.6999999999999993</v>
      </c>
      <c r="C15" s="5">
        <v>97.5</v>
      </c>
      <c r="D15" s="5">
        <v>7.6</v>
      </c>
      <c r="E15" s="5">
        <v>7.2</v>
      </c>
      <c r="F15" s="6">
        <v>43844</v>
      </c>
    </row>
    <row r="16" spans="1:6" ht="15.5" x14ac:dyDescent="0.35">
      <c r="A16" s="3" t="s">
        <v>20</v>
      </c>
      <c r="B16" s="4">
        <v>19</v>
      </c>
      <c r="C16" s="5">
        <v>204.1</v>
      </c>
      <c r="D16" s="5">
        <v>32.9</v>
      </c>
      <c r="E16" s="5">
        <v>46</v>
      </c>
      <c r="F16" s="6">
        <v>43845</v>
      </c>
    </row>
    <row r="17" spans="1:6" ht="15.5" x14ac:dyDescent="0.35">
      <c r="A17" s="3" t="s">
        <v>21</v>
      </c>
      <c r="B17" s="4">
        <v>22.4</v>
      </c>
      <c r="C17" s="5">
        <v>195.4</v>
      </c>
      <c r="D17" s="5">
        <v>47.7</v>
      </c>
      <c r="E17" s="5">
        <v>52.9</v>
      </c>
      <c r="F17" s="6">
        <v>43846</v>
      </c>
    </row>
    <row r="18" spans="1:6" ht="15.5" x14ac:dyDescent="0.35">
      <c r="A18" s="3" t="s">
        <v>22</v>
      </c>
      <c r="B18" s="4">
        <v>12.5</v>
      </c>
      <c r="C18" s="5">
        <v>67.8</v>
      </c>
      <c r="D18" s="5">
        <v>36.6</v>
      </c>
      <c r="E18" s="5">
        <v>114</v>
      </c>
      <c r="F18" s="6">
        <v>43847</v>
      </c>
    </row>
    <row r="19" spans="1:6" ht="15.5" x14ac:dyDescent="0.35">
      <c r="A19" s="3" t="s">
        <v>23</v>
      </c>
      <c r="B19" s="4">
        <v>24.4</v>
      </c>
      <c r="C19" s="5">
        <v>281.39999999999998</v>
      </c>
      <c r="D19" s="5">
        <v>39.6</v>
      </c>
      <c r="E19" s="5">
        <v>55.8</v>
      </c>
      <c r="F19" s="6">
        <v>43848</v>
      </c>
    </row>
    <row r="20" spans="1:6" ht="15.5" x14ac:dyDescent="0.35">
      <c r="A20" s="3" t="s">
        <v>24</v>
      </c>
      <c r="B20" s="4">
        <v>11.3</v>
      </c>
      <c r="C20" s="5">
        <v>69.2</v>
      </c>
      <c r="D20" s="5">
        <v>20.5</v>
      </c>
      <c r="E20" s="5">
        <v>18.3</v>
      </c>
      <c r="F20" s="6">
        <v>43849</v>
      </c>
    </row>
    <row r="21" spans="1:6" ht="15.5" x14ac:dyDescent="0.35">
      <c r="A21" s="3" t="s">
        <v>25</v>
      </c>
      <c r="B21" s="4">
        <v>14.6</v>
      </c>
      <c r="C21" s="5">
        <v>147.30000000000001</v>
      </c>
      <c r="D21" s="5">
        <v>23.9</v>
      </c>
      <c r="E21" s="5">
        <v>19.100000000000001</v>
      </c>
      <c r="F21" s="6">
        <v>43850</v>
      </c>
    </row>
    <row r="22" spans="1:6" ht="15.5" x14ac:dyDescent="0.35">
      <c r="A22" s="3" t="s">
        <v>26</v>
      </c>
      <c r="B22" s="4">
        <v>18</v>
      </c>
      <c r="C22" s="5">
        <v>218.4</v>
      </c>
      <c r="D22" s="5">
        <v>27.7</v>
      </c>
      <c r="E22" s="5">
        <v>53.4</v>
      </c>
      <c r="F22" s="6">
        <v>43851</v>
      </c>
    </row>
    <row r="23" spans="1:6" ht="15.5" x14ac:dyDescent="0.35">
      <c r="A23" s="3" t="s">
        <v>27</v>
      </c>
      <c r="B23" s="4">
        <v>12.5</v>
      </c>
      <c r="C23" s="5">
        <v>237.4</v>
      </c>
      <c r="D23" s="5">
        <v>5.0999999999999996</v>
      </c>
      <c r="E23" s="5">
        <v>23.5</v>
      </c>
      <c r="F23" s="6">
        <v>43852</v>
      </c>
    </row>
    <row r="24" spans="1:6" ht="15.5" x14ac:dyDescent="0.35">
      <c r="A24" s="3" t="s">
        <v>28</v>
      </c>
      <c r="B24" s="4">
        <v>5.6</v>
      </c>
      <c r="C24" s="5">
        <v>13.2</v>
      </c>
      <c r="D24" s="5">
        <v>15.9</v>
      </c>
      <c r="E24" s="5">
        <v>49.6</v>
      </c>
      <c r="F24" s="6">
        <v>43853</v>
      </c>
    </row>
    <row r="25" spans="1:6" ht="15.5" x14ac:dyDescent="0.35">
      <c r="A25" s="3" t="s">
        <v>29</v>
      </c>
      <c r="B25" s="4">
        <v>15.5</v>
      </c>
      <c r="C25" s="5">
        <v>228.3</v>
      </c>
      <c r="D25" s="5">
        <v>16.899999999999999</v>
      </c>
      <c r="E25" s="5">
        <v>26.2</v>
      </c>
      <c r="F25" s="6">
        <v>43854</v>
      </c>
    </row>
    <row r="26" spans="1:6" ht="15.5" x14ac:dyDescent="0.35">
      <c r="A26" s="3" t="s">
        <v>30</v>
      </c>
      <c r="B26" s="4">
        <v>9.6999999999999993</v>
      </c>
      <c r="C26" s="5">
        <v>62.3</v>
      </c>
      <c r="D26" s="5">
        <v>12.6</v>
      </c>
      <c r="E26" s="5">
        <v>18.3</v>
      </c>
      <c r="F26" s="6">
        <v>43855</v>
      </c>
    </row>
    <row r="27" spans="1:6" ht="15.5" x14ac:dyDescent="0.35">
      <c r="A27" s="3" t="s">
        <v>31</v>
      </c>
      <c r="B27" s="4">
        <v>12</v>
      </c>
      <c r="C27" s="5">
        <v>262.89999999999998</v>
      </c>
      <c r="D27" s="5">
        <v>3.5</v>
      </c>
      <c r="E27" s="5">
        <v>19.5</v>
      </c>
      <c r="F27" s="6">
        <v>43856</v>
      </c>
    </row>
    <row r="28" spans="1:6" ht="15.5" x14ac:dyDescent="0.35">
      <c r="A28" s="3" t="s">
        <v>32</v>
      </c>
      <c r="B28" s="4">
        <v>15</v>
      </c>
      <c r="C28" s="5">
        <v>142.9</v>
      </c>
      <c r="D28" s="5">
        <v>29.3</v>
      </c>
      <c r="E28" s="5">
        <v>12.6</v>
      </c>
      <c r="F28" s="6">
        <v>43857</v>
      </c>
    </row>
    <row r="29" spans="1:6" ht="15.5" x14ac:dyDescent="0.35">
      <c r="A29" s="3" t="s">
        <v>33</v>
      </c>
      <c r="B29" s="4">
        <v>15.9</v>
      </c>
      <c r="C29" s="5">
        <v>240.1</v>
      </c>
      <c r="D29" s="5">
        <v>16.7</v>
      </c>
      <c r="E29" s="5">
        <v>22.9</v>
      </c>
      <c r="F29" s="6">
        <v>43858</v>
      </c>
    </row>
    <row r="30" spans="1:6" ht="15.5" x14ac:dyDescent="0.35">
      <c r="A30" s="3" t="s">
        <v>34</v>
      </c>
      <c r="B30" s="4">
        <v>18.899999999999999</v>
      </c>
      <c r="C30" s="5">
        <v>248.8</v>
      </c>
      <c r="D30" s="5">
        <v>27.1</v>
      </c>
      <c r="E30" s="5">
        <v>22.9</v>
      </c>
      <c r="F30" s="6">
        <v>43859</v>
      </c>
    </row>
    <row r="31" spans="1:6" ht="15.5" x14ac:dyDescent="0.35">
      <c r="A31" s="3" t="s">
        <v>35</v>
      </c>
      <c r="B31" s="4">
        <v>10.5</v>
      </c>
      <c r="C31" s="5">
        <v>70.599999999999994</v>
      </c>
      <c r="D31" s="5">
        <v>16</v>
      </c>
      <c r="E31" s="5">
        <v>40.799999999999997</v>
      </c>
      <c r="F31" s="6">
        <v>43860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F827-28F0-43B2-A8B3-7DC749B7EFE9}">
  <dimension ref="S1:T4"/>
  <sheetViews>
    <sheetView topLeftCell="B1" zoomScale="39" workbookViewId="0">
      <selection activeCell="T4" sqref="T4"/>
    </sheetView>
  </sheetViews>
  <sheetFormatPr defaultRowHeight="14.5" x14ac:dyDescent="0.35"/>
  <cols>
    <col min="19" max="19" width="12.453125" bestFit="1" customWidth="1"/>
    <col min="20" max="20" width="24.453125" bestFit="1" customWidth="1"/>
  </cols>
  <sheetData>
    <row r="1" spans="19:20" ht="18.5" x14ac:dyDescent="0.45">
      <c r="S1" s="7" t="s">
        <v>37</v>
      </c>
      <c r="T1" s="7" t="s">
        <v>38</v>
      </c>
    </row>
    <row r="2" spans="19:20" ht="18.5" x14ac:dyDescent="0.45">
      <c r="S2" s="7" t="s">
        <v>36</v>
      </c>
      <c r="T2" s="8">
        <f>CORREL(Data!B2:B31,Data!C2:C31)</f>
        <v>0.78771317196585988</v>
      </c>
    </row>
    <row r="3" spans="19:20" ht="18.5" x14ac:dyDescent="0.45">
      <c r="S3" s="7" t="s">
        <v>3</v>
      </c>
      <c r="T3" s="8">
        <f>CORREL(Data!B2:B31,Data!D2:D31)</f>
        <v>0.42365070518932457</v>
      </c>
    </row>
    <row r="4" spans="19:20" ht="18.5" x14ac:dyDescent="0.45">
      <c r="S4" s="7" t="s">
        <v>4</v>
      </c>
      <c r="T4" s="8">
        <f>CORREL(Data!B2:B31,Data!E2:E31)</f>
        <v>0.14246190900653324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E5AF-1EA3-4BB8-9F96-F41EE5715AE7}">
  <dimension ref="A1:K123"/>
  <sheetViews>
    <sheetView workbookViewId="0">
      <selection activeCell="B3" sqref="B3"/>
    </sheetView>
  </sheetViews>
  <sheetFormatPr defaultRowHeight="14.5" x14ac:dyDescent="0.35"/>
  <cols>
    <col min="1" max="1" width="26.81640625" style="13" bestFit="1" customWidth="1"/>
    <col min="2" max="5" width="11.81640625" bestFit="1" customWidth="1"/>
    <col min="7" max="7" width="5.36328125" bestFit="1" customWidth="1"/>
    <col min="8" max="8" width="18.54296875" bestFit="1" customWidth="1"/>
    <col min="9" max="9" width="21.08984375" bestFit="1" customWidth="1"/>
    <col min="10" max="10" width="14.26953125" bestFit="1" customWidth="1"/>
    <col min="11" max="11" width="17.08984375" bestFit="1" customWidth="1"/>
  </cols>
  <sheetData>
    <row r="1" spans="1:11" x14ac:dyDescent="0.35">
      <c r="A1" s="13" t="s">
        <v>52</v>
      </c>
      <c r="G1" s="13" t="s">
        <v>43</v>
      </c>
    </row>
    <row r="2" spans="1:11" s="13" customFormat="1" x14ac:dyDescent="0.35">
      <c r="A2" s="13" t="s">
        <v>44</v>
      </c>
      <c r="B2"/>
      <c r="C2"/>
      <c r="D2"/>
      <c r="E2"/>
      <c r="H2"/>
      <c r="I2"/>
      <c r="J2"/>
      <c r="K2"/>
    </row>
    <row r="3" spans="1:11" x14ac:dyDescent="0.35">
      <c r="A3" s="11"/>
      <c r="B3" s="12" t="s">
        <v>4</v>
      </c>
      <c r="C3" s="12" t="s">
        <v>3</v>
      </c>
      <c r="D3" s="12" t="s">
        <v>2</v>
      </c>
      <c r="E3" s="12" t="s">
        <v>41</v>
      </c>
      <c r="G3" s="11" t="s">
        <v>46</v>
      </c>
      <c r="H3" s="11" t="s">
        <v>47</v>
      </c>
      <c r="I3" s="11" t="s">
        <v>48</v>
      </c>
      <c r="J3" s="11" t="s">
        <v>49</v>
      </c>
      <c r="K3" s="11" t="s">
        <v>50</v>
      </c>
    </row>
    <row r="4" spans="1:11" x14ac:dyDescent="0.35">
      <c r="A4" s="12" t="s">
        <v>39</v>
      </c>
      <c r="B4" s="10" cm="1">
        <f t="array" ref="B4:E8">LINEST(Data!B2:B31,Data!C2:E31,TRUE,TRUE)</f>
        <v>-1.889218729218994E-2</v>
      </c>
      <c r="C4" s="10">
        <v>0.19856923152114436</v>
      </c>
      <c r="D4" s="10">
        <v>4.632654836595191E-2</v>
      </c>
      <c r="E4" s="10">
        <v>3.0103791680812693</v>
      </c>
      <c r="G4" s="15">
        <f>Data!B2</f>
        <v>22.1</v>
      </c>
      <c r="H4" s="9">
        <f>$E$4+$D$4*Data!C2+'Simple Model'!$C$4*Data!D2+'Simple Model'!$B$4*Data!E2</f>
        <v>19.868695537966516</v>
      </c>
      <c r="I4" s="9">
        <f>$D$15+$C$15*Data!C2+'Simple Model'!$B$15*Data!D2</f>
        <v>20.214743095896491</v>
      </c>
      <c r="J4" s="9">
        <f>ABS(G4-H4)</f>
        <v>2.231304462033485</v>
      </c>
      <c r="K4" s="9">
        <f>ABS(G4-I4)</f>
        <v>1.8852569041035103</v>
      </c>
    </row>
    <row r="5" spans="1:11" x14ac:dyDescent="0.35">
      <c r="A5" s="12"/>
      <c r="B5" s="10">
        <v>1.6657337283001738E-2</v>
      </c>
      <c r="C5" s="10">
        <v>2.9829918493957625E-2</v>
      </c>
      <c r="D5" s="10">
        <v>3.7134523843503973E-3</v>
      </c>
      <c r="E5" s="10">
        <v>0.87932973260070157</v>
      </c>
      <c r="G5" s="15">
        <f>Data!B3</f>
        <v>10.4</v>
      </c>
      <c r="H5" s="9">
        <f>$E$4+$D$4*Data!C3+'Simple Model'!$C$4*Data!D3+'Simple Model'!$B$4*Data!E3</f>
        <v>12.023643722269336</v>
      </c>
      <c r="I5" s="9">
        <f>$D$15+$C$15*Data!C3+'Simple Model'!$B$15*Data!D3</f>
        <v>11.788951725798267</v>
      </c>
      <c r="J5" s="9">
        <f t="shared" ref="J5:J33" si="0">ABS(G5-H5)</f>
        <v>1.6236437222693354</v>
      </c>
      <c r="K5" s="9">
        <f t="shared" ref="K5:K33" si="1">ABS(G5-I5)</f>
        <v>1.3889517257982664</v>
      </c>
    </row>
    <row r="6" spans="1:11" x14ac:dyDescent="0.35">
      <c r="A6" s="12" t="s">
        <v>40</v>
      </c>
      <c r="B6" s="10">
        <v>0.88686701088504127</v>
      </c>
      <c r="C6" s="10">
        <v>1.7592219015689858</v>
      </c>
      <c r="D6" s="10" t="e">
        <v>#N/A</v>
      </c>
      <c r="E6" s="10" t="e">
        <v>#N/A</v>
      </c>
      <c r="G6" s="15">
        <f>Data!B4</f>
        <v>9.3000000000000007</v>
      </c>
      <c r="H6" s="9">
        <f>$E$4+$D$4*Data!C4+'Simple Model'!$C$4*Data!D4+'Simple Model'!$B$4*Data!E4</f>
        <v>11.612294947447406</v>
      </c>
      <c r="I6" s="9">
        <f>$D$15+$C$15*Data!C4+'Simple Model'!$B$15*Data!D4</f>
        <v>11.677504440348599</v>
      </c>
      <c r="J6" s="9">
        <f t="shared" si="0"/>
        <v>2.3122949474474055</v>
      </c>
      <c r="K6" s="9">
        <f t="shared" si="1"/>
        <v>2.3775044403485985</v>
      </c>
    </row>
    <row r="7" spans="1:11" x14ac:dyDescent="0.35">
      <c r="A7" s="12"/>
      <c r="B7" s="10">
        <v>67.939341310901554</v>
      </c>
      <c r="C7" s="10">
        <v>26</v>
      </c>
      <c r="D7" s="10" t="e">
        <v>#N/A</v>
      </c>
      <c r="E7" s="10" t="e">
        <v>#N/A</v>
      </c>
      <c r="G7" s="15">
        <f>Data!B5</f>
        <v>18.5</v>
      </c>
      <c r="H7" s="9">
        <f>$E$4+$D$4*Data!C5+'Simple Model'!$C$4*Data!D5+'Simple Model'!$B$4*Data!E5</f>
        <v>17.124567550753131</v>
      </c>
      <c r="I7" s="9">
        <f>$D$15+$C$15*Data!C5+'Simple Model'!$B$15*Data!D5</f>
        <v>17.152998948961198</v>
      </c>
      <c r="J7" s="9">
        <f t="shared" si="0"/>
        <v>1.375432449246869</v>
      </c>
      <c r="K7" s="9">
        <f t="shared" si="1"/>
        <v>1.3470010510388022</v>
      </c>
    </row>
    <row r="8" spans="1:11" x14ac:dyDescent="0.35">
      <c r="A8" s="12"/>
      <c r="B8" s="10">
        <v>630.7885958270399</v>
      </c>
      <c r="C8" s="10">
        <v>80.466404172959955</v>
      </c>
      <c r="D8" s="10" t="e">
        <v>#N/A</v>
      </c>
      <c r="E8" s="10" t="e">
        <v>#N/A</v>
      </c>
      <c r="G8" s="15">
        <f>Data!B6</f>
        <v>12.9</v>
      </c>
      <c r="H8" s="9">
        <f>$E$4+$D$4*Data!C6+'Simple Model'!$C$4*Data!D6+'Simple Model'!$B$4*Data!E6</f>
        <v>12.42746307520984</v>
      </c>
      <c r="I8" s="9">
        <f>$D$15+$C$15*Data!C6+'Simple Model'!$B$15*Data!D6</f>
        <v>13.132447632768992</v>
      </c>
      <c r="J8" s="9">
        <f t="shared" si="0"/>
        <v>0.47253692479016074</v>
      </c>
      <c r="K8" s="9">
        <f t="shared" si="1"/>
        <v>0.2324476327689915</v>
      </c>
    </row>
    <row r="9" spans="1:11" x14ac:dyDescent="0.35">
      <c r="A9" s="11" t="s">
        <v>42</v>
      </c>
      <c r="B9" s="9">
        <f>C6</f>
        <v>1.7592219015689858</v>
      </c>
      <c r="C9" s="9"/>
      <c r="D9" s="9"/>
      <c r="E9" s="9"/>
      <c r="G9" s="15">
        <f>Data!B7</f>
        <v>7.2</v>
      </c>
      <c r="H9" s="9">
        <f>$E$4+$D$4*Data!C7+'Simple Model'!$C$4*Data!D7+'Simple Model'!$B$4*Data!E7</f>
        <v>11.706541513334765</v>
      </c>
      <c r="I9" s="9">
        <f>$D$15+$C$15*Data!C7+'Simple Model'!$B$15*Data!D7</f>
        <v>11.809895654696151</v>
      </c>
      <c r="J9" s="9">
        <f t="shared" si="0"/>
        <v>4.5065415133347644</v>
      </c>
      <c r="K9" s="9">
        <f t="shared" si="1"/>
        <v>4.6098956546961505</v>
      </c>
    </row>
    <row r="10" spans="1:11" x14ac:dyDescent="0.35">
      <c r="G10" s="15">
        <f>Data!B8</f>
        <v>11.8</v>
      </c>
      <c r="H10" s="9">
        <f>$E$4+$D$4*Data!C8+'Simple Model'!$C$4*Data!D8+'Simple Model'!$B$4*Data!E8</f>
        <v>11.743260091650576</v>
      </c>
      <c r="I10" s="9">
        <f>$D$15+$C$15*Data!C8+'Simple Model'!$B$15*Data!D8</f>
        <v>11.248460517135086</v>
      </c>
      <c r="J10" s="9">
        <f t="shared" si="0"/>
        <v>5.6739908349424439E-2</v>
      </c>
      <c r="K10" s="9">
        <f t="shared" si="1"/>
        <v>0.55153948286491428</v>
      </c>
    </row>
    <row r="11" spans="1:11" x14ac:dyDescent="0.35">
      <c r="G11" s="15">
        <f>Data!B9</f>
        <v>13.2</v>
      </c>
      <c r="H11" s="9">
        <f>$E$4+$D$4*Data!C9+'Simple Model'!$C$4*Data!D9+'Simple Model'!$B$4*Data!E9</f>
        <v>12.251637846893717</v>
      </c>
      <c r="I11" s="9">
        <f>$D$15+$C$15*Data!C9+'Simple Model'!$B$15*Data!D9</f>
        <v>11.850649791733913</v>
      </c>
      <c r="J11" s="9">
        <f t="shared" si="0"/>
        <v>0.94836215310628269</v>
      </c>
      <c r="K11" s="9">
        <f t="shared" si="1"/>
        <v>1.3493502082660864</v>
      </c>
    </row>
    <row r="12" spans="1:11" x14ac:dyDescent="0.35">
      <c r="A12" s="13" t="s">
        <v>53</v>
      </c>
      <c r="G12" s="15">
        <f>Data!B10</f>
        <v>4.8</v>
      </c>
      <c r="H12" s="9">
        <f>$E$4+$D$4*Data!C10+'Simple Model'!$C$4*Data!D10+'Simple Model'!$B$4*Data!E10</f>
        <v>3.806890682930669</v>
      </c>
      <c r="I12" s="9">
        <f>$D$15+$C$15*Data!C10+'Simple Model'!$B$15*Data!D10</f>
        <v>3.5307152811308047</v>
      </c>
      <c r="J12" s="9">
        <f t="shared" si="0"/>
        <v>0.99310931706933081</v>
      </c>
      <c r="K12" s="9">
        <f t="shared" si="1"/>
        <v>1.2692847188691951</v>
      </c>
    </row>
    <row r="13" spans="1:11" x14ac:dyDescent="0.35">
      <c r="A13" s="13" t="s">
        <v>45</v>
      </c>
      <c r="G13" s="15">
        <f>Data!B11</f>
        <v>10.6</v>
      </c>
      <c r="H13" s="9">
        <f>$E$4+$D$4*Data!C11+'Simple Model'!$C$4*Data!D11+'Simple Model'!$B$4*Data!E11</f>
        <v>12.38218916295901</v>
      </c>
      <c r="I13" s="9">
        <f>$D$15+$C$15*Data!C11+'Simple Model'!$B$15*Data!D11</f>
        <v>12.572346102153853</v>
      </c>
      <c r="J13" s="9">
        <f t="shared" si="0"/>
        <v>1.7821891629590105</v>
      </c>
      <c r="K13" s="9">
        <f t="shared" si="1"/>
        <v>1.9723461021538533</v>
      </c>
    </row>
    <row r="14" spans="1:11" x14ac:dyDescent="0.35">
      <c r="A14" s="11"/>
      <c r="B14" s="12" t="s">
        <v>3</v>
      </c>
      <c r="C14" s="12" t="s">
        <v>2</v>
      </c>
      <c r="D14" s="12" t="s">
        <v>41</v>
      </c>
      <c r="G14" s="15">
        <f>Data!B12</f>
        <v>8.6</v>
      </c>
      <c r="H14" s="9">
        <f>$E$4+$D$4*Data!C12+'Simple Model'!$C$4*Data!D12+'Simple Model'!$B$4*Data!E12</f>
        <v>6.7670746254223317</v>
      </c>
      <c r="I14" s="9">
        <f>$D$15+$C$15*Data!C12+'Simple Model'!$B$15*Data!D12</f>
        <v>6.8774197878595231</v>
      </c>
      <c r="J14" s="9">
        <f t="shared" si="0"/>
        <v>1.8329253745776679</v>
      </c>
      <c r="K14" s="9">
        <f t="shared" si="1"/>
        <v>1.7225802121404765</v>
      </c>
    </row>
    <row r="15" spans="1:11" x14ac:dyDescent="0.35">
      <c r="A15" s="12" t="s">
        <v>39</v>
      </c>
      <c r="B15" s="10" cm="1">
        <f t="array" ref="B15:D19">LINEST(Data!B2:B31,Data!C2:D31,1,1)</f>
        <v>0.17680550689962371</v>
      </c>
      <c r="C15" s="10">
        <v>4.6826506629567138E-2</v>
      </c>
      <c r="D15" s="10">
        <v>2.7567157596273173</v>
      </c>
      <c r="G15" s="15">
        <f>Data!B13</f>
        <v>17.399999999999999</v>
      </c>
      <c r="H15" s="9">
        <f>$E$4+$D$4*Data!C13+'Simple Model'!$C$4*Data!D13+'Simple Model'!$B$4*Data!E13</f>
        <v>17.646781909589848</v>
      </c>
      <c r="I15" s="9">
        <f>$D$15+$C$15*Data!C13+'Simple Model'!$B$15*Data!D13</f>
        <v>17.053698898586351</v>
      </c>
      <c r="J15" s="9">
        <f t="shared" si="0"/>
        <v>0.24678190958984914</v>
      </c>
      <c r="K15" s="9">
        <f t="shared" si="1"/>
        <v>0.34630110141364767</v>
      </c>
    </row>
    <row r="16" spans="1:11" x14ac:dyDescent="0.35">
      <c r="A16" s="12"/>
      <c r="B16" s="10">
        <v>2.2959326691868325E-2</v>
      </c>
      <c r="C16" s="10">
        <v>3.7066950627304748E-3</v>
      </c>
      <c r="D16" s="10">
        <v>0.85490823689019757</v>
      </c>
      <c r="G16" s="15">
        <f>Data!B14</f>
        <v>9.1999999999999993</v>
      </c>
      <c r="H16" s="9">
        <f>$E$4+$D$4*Data!C14+'Simple Model'!$C$4*Data!D14+'Simple Model'!$B$4*Data!E14</f>
        <v>9.8377359030277738</v>
      </c>
      <c r="I16" s="9">
        <f>$D$15+$C$15*Data!C14+'Simple Model'!$B$15*Data!D14</f>
        <v>10.077059909587808</v>
      </c>
      <c r="J16" s="9">
        <f t="shared" si="0"/>
        <v>0.6377359030277745</v>
      </c>
      <c r="K16" s="9">
        <f t="shared" si="1"/>
        <v>0.87705990958780866</v>
      </c>
    </row>
    <row r="17" spans="1:11" x14ac:dyDescent="0.35">
      <c r="A17" s="12" t="s">
        <v>40</v>
      </c>
      <c r="B17" s="10">
        <v>0.88126983132357672</v>
      </c>
      <c r="C17" s="10">
        <v>1.7685255013601271</v>
      </c>
      <c r="D17" s="10" t="e">
        <v>#N/A</v>
      </c>
      <c r="G17" s="15">
        <f>Data!B15</f>
        <v>9.6999999999999993</v>
      </c>
      <c r="H17" s="9">
        <f>$E$4+$D$4*Data!C15+'Simple Model'!$C$4*Data!D15+'Simple Model'!$B$4*Data!E15</f>
        <v>8.9003200448185105</v>
      </c>
      <c r="I17" s="9">
        <f>$D$15+$C$15*Data!C15+'Simple Model'!$B$15*Data!D15</f>
        <v>8.6660220084472535</v>
      </c>
      <c r="J17" s="9">
        <f t="shared" si="0"/>
        <v>0.79967995518148882</v>
      </c>
      <c r="K17" s="9">
        <f t="shared" si="1"/>
        <v>1.0339779915527458</v>
      </c>
    </row>
    <row r="18" spans="1:11" x14ac:dyDescent="0.35">
      <c r="A18" s="12"/>
      <c r="B18" s="10">
        <v>100.20319903100373</v>
      </c>
      <c r="C18" s="10">
        <v>27</v>
      </c>
      <c r="D18" s="10" t="e">
        <v>#N/A</v>
      </c>
      <c r="G18" s="15">
        <f>Data!B16</f>
        <v>19</v>
      </c>
      <c r="H18" s="9">
        <f>$E$4+$D$4*Data!C16+'Simple Model'!$C$4*Data!D16+'Simple Model'!$B$4*Data!E16</f>
        <v>18.129514791176963</v>
      </c>
      <c r="I18" s="9">
        <f>$D$15+$C$15*Data!C16+'Simple Model'!$B$15*Data!D16</f>
        <v>18.130906939719591</v>
      </c>
      <c r="J18" s="9">
        <f t="shared" si="0"/>
        <v>0.87048520882303748</v>
      </c>
      <c r="K18" s="9">
        <f t="shared" si="1"/>
        <v>0.86909306028040945</v>
      </c>
    </row>
    <row r="19" spans="1:11" x14ac:dyDescent="0.35">
      <c r="A19" s="12"/>
      <c r="B19" s="10">
        <v>626.80757387805045</v>
      </c>
      <c r="C19" s="10">
        <v>84.447426121949405</v>
      </c>
      <c r="D19" s="10" t="e">
        <v>#N/A</v>
      </c>
      <c r="G19" s="15">
        <f>Data!B17</f>
        <v>22.4</v>
      </c>
      <c r="H19" s="9">
        <f>$E$4+$D$4*Data!C17+'Simple Model'!$C$4*Data!D17+'Simple Model'!$B$4*Data!E17</f>
        <v>20.534942354590012</v>
      </c>
      <c r="I19" s="9">
        <f>$D$15+$C$15*Data!C17+'Simple Model'!$B$15*Data!D17</f>
        <v>20.340237834156788</v>
      </c>
      <c r="J19" s="9">
        <f t="shared" si="0"/>
        <v>1.865057645409987</v>
      </c>
      <c r="K19" s="9">
        <f t="shared" si="1"/>
        <v>2.0597621658432104</v>
      </c>
    </row>
    <row r="20" spans="1:11" x14ac:dyDescent="0.35">
      <c r="A20" s="11" t="s">
        <v>42</v>
      </c>
      <c r="B20" s="9">
        <f>C17</f>
        <v>1.7685255013601271</v>
      </c>
      <c r="C20" s="9"/>
      <c r="D20" s="9"/>
      <c r="G20" s="15">
        <f>Data!B18</f>
        <v>12.5</v>
      </c>
      <c r="H20" s="9">
        <f>$E$4+$D$4*Data!C18+'Simple Model'!$C$4*Data!D18+'Simple Model'!$B$4*Data!E18</f>
        <v>11.265243669657041</v>
      </c>
      <c r="I20" s="9">
        <f>$D$15+$C$15*Data!C18+'Simple Model'!$B$15*Data!D18</f>
        <v>12.402634461638197</v>
      </c>
      <c r="J20" s="9">
        <f t="shared" si="0"/>
        <v>1.2347563303429592</v>
      </c>
      <c r="K20" s="9">
        <f t="shared" si="1"/>
        <v>9.7365538361803061E-2</v>
      </c>
    </row>
    <row r="21" spans="1:11" x14ac:dyDescent="0.35">
      <c r="G21" s="15">
        <f>Data!B19</f>
        <v>24.4</v>
      </c>
      <c r="H21" s="9">
        <f>$E$4+$D$4*Data!C19+'Simple Model'!$C$4*Data!D19+'Simple Model'!$B$4*Data!E19</f>
        <v>22.855827395593256</v>
      </c>
      <c r="I21" s="9">
        <f>$D$15+$C$15*Data!C19+'Simple Model'!$B$15*Data!D19</f>
        <v>22.935192798412608</v>
      </c>
      <c r="J21" s="9">
        <f t="shared" si="0"/>
        <v>1.544172604406743</v>
      </c>
      <c r="K21" s="9">
        <f t="shared" si="1"/>
        <v>1.4648072015873908</v>
      </c>
    </row>
    <row r="22" spans="1:11" x14ac:dyDescent="0.35">
      <c r="A22" s="11"/>
      <c r="B22" s="11" t="s">
        <v>52</v>
      </c>
      <c r="C22" s="11" t="s">
        <v>53</v>
      </c>
      <c r="G22" s="15">
        <f>Data!B20</f>
        <v>11.3</v>
      </c>
      <c r="H22" s="9">
        <f>$E$4+$D$4*Data!C20+'Simple Model'!$C$4*Data!D20+'Simple Model'!$B$4*Data!E20</f>
        <v>9.9411185337415233</v>
      </c>
      <c r="I22" s="9">
        <f>$D$15+$C$15*Data!C20+'Simple Model'!$B$15*Data!D20</f>
        <v>9.6216229098356489</v>
      </c>
      <c r="J22" s="9">
        <f t="shared" si="0"/>
        <v>1.3588814662584774</v>
      </c>
      <c r="K22" s="9">
        <f t="shared" si="1"/>
        <v>1.6783770901643518</v>
      </c>
    </row>
    <row r="23" spans="1:11" x14ac:dyDescent="0.35">
      <c r="A23" s="11" t="s">
        <v>40</v>
      </c>
      <c r="B23" s="9">
        <f>B6</f>
        <v>0.88686701088504127</v>
      </c>
      <c r="C23" s="9">
        <f>B17</f>
        <v>0.88126983132357672</v>
      </c>
      <c r="G23" s="15">
        <f>Data!B21</f>
        <v>14.6</v>
      </c>
      <c r="H23" s="9">
        <f>$E$4+$D$4*Data!C21+'Simple Model'!$C$4*Data!D21+'Simple Model'!$B$4*Data!E21</f>
        <v>14.219243598460508</v>
      </c>
      <c r="I23" s="9">
        <f>$D$15+$C$15*Data!C21+'Simple Model'!$B$15*Data!D21</f>
        <v>13.879911801063564</v>
      </c>
      <c r="J23" s="9">
        <f t="shared" si="0"/>
        <v>0.38075640153949131</v>
      </c>
      <c r="K23" s="9">
        <f t="shared" si="1"/>
        <v>0.72008819893643583</v>
      </c>
    </row>
    <row r="24" spans="1:11" x14ac:dyDescent="0.35">
      <c r="A24" s="11" t="s">
        <v>54</v>
      </c>
      <c r="B24" s="9">
        <f>B9</f>
        <v>1.7592219015689858</v>
      </c>
      <c r="C24" s="9">
        <f>B20</f>
        <v>1.7685255013601271</v>
      </c>
      <c r="G24" s="15">
        <f>Data!B22</f>
        <v>18</v>
      </c>
      <c r="H24" s="9">
        <f>$E$4+$D$4*Data!C22+'Simple Model'!$C$4*Data!D22+'Simple Model'!$B$4*Data!E22</f>
        <v>17.619622242937922</v>
      </c>
      <c r="I24" s="9">
        <f>$D$15+$C$15*Data!C22+'Simple Model'!$B$15*Data!D22</f>
        <v>17.881137348644359</v>
      </c>
      <c r="J24" s="9">
        <f t="shared" si="0"/>
        <v>0.3803777570620781</v>
      </c>
      <c r="K24" s="9">
        <f t="shared" si="1"/>
        <v>0.11886265135564145</v>
      </c>
    </row>
    <row r="25" spans="1:11" x14ac:dyDescent="0.35">
      <c r="A25" s="11" t="s">
        <v>55</v>
      </c>
      <c r="B25" s="9">
        <f>J34</f>
        <v>1.3202979727775728</v>
      </c>
      <c r="C25" s="9">
        <f>K34</f>
        <v>1.3527807279982544</v>
      </c>
      <c r="G25" s="15">
        <f>Data!B23</f>
        <v>12.5</v>
      </c>
      <c r="H25" s="9">
        <f>$E$4+$D$4*Data!C23+'Simple Model'!$C$4*Data!D23+'Simple Model'!$B$4*Data!E23</f>
        <v>14.577038429549626</v>
      </c>
      <c r="I25" s="9">
        <f>$D$15+$C$15*Data!C23+'Simple Model'!$B$15*Data!D23</f>
        <v>14.775036518674638</v>
      </c>
      <c r="J25" s="9">
        <f t="shared" si="0"/>
        <v>2.077038429549626</v>
      </c>
      <c r="K25" s="9">
        <f t="shared" si="1"/>
        <v>2.2750365186746375</v>
      </c>
    </row>
    <row r="26" spans="1:11" x14ac:dyDescent="0.35">
      <c r="G26" s="15">
        <f>Data!B24</f>
        <v>5.6</v>
      </c>
      <c r="H26" s="9">
        <f>$E$4+$D$4*Data!C24+'Simple Model'!$C$4*Data!D24+'Simple Model'!$B$4*Data!E24</f>
        <v>5.842087898005409</v>
      </c>
      <c r="I26" s="9">
        <f>$D$15+$C$15*Data!C24+'Simple Model'!$B$15*Data!D24</f>
        <v>6.1860332068416204</v>
      </c>
      <c r="J26" s="9">
        <f t="shared" si="0"/>
        <v>0.24208789800540931</v>
      </c>
      <c r="K26" s="9">
        <f t="shared" si="1"/>
        <v>0.58603320684162075</v>
      </c>
    </row>
    <row r="27" spans="1:11" x14ac:dyDescent="0.35">
      <c r="G27" s="15">
        <f>Data!B25</f>
        <v>15.5</v>
      </c>
      <c r="H27" s="9">
        <f>$E$4+$D$4*Data!C25+'Simple Model'!$C$4*Data!D25+'Simple Model'!$B$4*Data!E25</f>
        <v>16.447574865680053</v>
      </c>
      <c r="I27" s="9">
        <f>$D$15+$C$15*Data!C25+'Simple Model'!$B$15*Data!D25</f>
        <v>16.435220289761133</v>
      </c>
      <c r="J27" s="9">
        <f t="shared" si="0"/>
        <v>0.94757486568005334</v>
      </c>
      <c r="K27" s="9">
        <f t="shared" si="1"/>
        <v>0.93522028976113347</v>
      </c>
    </row>
    <row r="28" spans="1:11" x14ac:dyDescent="0.35">
      <c r="A28" s="13" t="s">
        <v>56</v>
      </c>
      <c r="G28" s="15">
        <f>Data!B26</f>
        <v>9.6999999999999993</v>
      </c>
      <c r="H28" s="9">
        <f>$E$4+$D$4*Data!C26+'Simple Model'!$C$4*Data!D26+'Simple Model'!$B$4*Data!E26</f>
        <v>8.052768420999417</v>
      </c>
      <c r="I28" s="9">
        <f>$D$15+$C$15*Data!C26+'Simple Model'!$B$15*Data!D26</f>
        <v>7.9017565095846081</v>
      </c>
      <c r="J28" s="9">
        <f t="shared" si="0"/>
        <v>1.6472315790005823</v>
      </c>
      <c r="K28" s="9">
        <f t="shared" si="1"/>
        <v>1.7982434904153912</v>
      </c>
    </row>
    <row r="29" spans="1:11" x14ac:dyDescent="0.35">
      <c r="A29" s="13" t="s">
        <v>57</v>
      </c>
      <c r="G29" s="15">
        <f>Data!B27</f>
        <v>12</v>
      </c>
      <c r="H29" s="9">
        <f>$E$4+$D$4*Data!C27+'Simple Model'!$C$4*Data!D27+'Simple Model'!$B$4*Data!E27</f>
        <v>15.516223391616327</v>
      </c>
      <c r="I29" s="9">
        <f>$D$15+$C$15*Data!C27+'Simple Model'!$B$15*Data!D27</f>
        <v>15.6862236266892</v>
      </c>
      <c r="J29" s="9">
        <f t="shared" si="0"/>
        <v>3.516223391616327</v>
      </c>
      <c r="K29" s="9">
        <f t="shared" si="1"/>
        <v>3.6862236266892001</v>
      </c>
    </row>
    <row r="30" spans="1:11" x14ac:dyDescent="0.35">
      <c r="G30" s="15">
        <f>Data!B28</f>
        <v>15</v>
      </c>
      <c r="H30" s="9">
        <f>$E$4+$D$4*Data!C28+'Simple Model'!$C$4*Data!D28+'Simple Model'!$B$4*Data!E28</f>
        <v>15.210479853263733</v>
      </c>
      <c r="I30" s="9">
        <f>$D$15+$C$15*Data!C28+'Simple Model'!$B$15*Data!D28</f>
        <v>14.628624909151437</v>
      </c>
      <c r="J30" s="9">
        <f t="shared" si="0"/>
        <v>0.21047985326373286</v>
      </c>
      <c r="K30" s="9">
        <f t="shared" si="1"/>
        <v>0.37137509084856291</v>
      </c>
    </row>
    <row r="31" spans="1:11" x14ac:dyDescent="0.35">
      <c r="G31" s="15">
        <f>Data!B29</f>
        <v>15.9</v>
      </c>
      <c r="H31" s="9">
        <f>$E$4+$D$4*Data!C29+'Simple Model'!$C$4*Data!D29+'Simple Model'!$B$4*Data!E29</f>
        <v>17.016858508158283</v>
      </c>
      <c r="I31" s="9">
        <f>$D$15+$C$15*Data!C29+'Simple Model'!$B$15*Data!D29</f>
        <v>16.952411966610104</v>
      </c>
      <c r="J31" s="9">
        <f t="shared" si="0"/>
        <v>1.1168585081582822</v>
      </c>
      <c r="K31" s="9">
        <f t="shared" si="1"/>
        <v>1.0524119666101033</v>
      </c>
    </row>
    <row r="32" spans="1:11" x14ac:dyDescent="0.35">
      <c r="G32" s="15">
        <f>Data!B30</f>
        <v>18.899999999999999</v>
      </c>
      <c r="H32" s="9">
        <f>$E$4+$D$4*Data!C30+'Simple Model'!$C$4*Data!D30+'Simple Model'!$B$4*Data!E30</f>
        <v>19.485019486761967</v>
      </c>
      <c r="I32" s="9">
        <f>$D$15+$C$15*Data!C30+'Simple Model'!$B$15*Data!D30</f>
        <v>19.198579846043426</v>
      </c>
      <c r="J32" s="9">
        <f t="shared" si="0"/>
        <v>0.58501948676196847</v>
      </c>
      <c r="K32" s="9">
        <f t="shared" si="1"/>
        <v>0.29857984604342747</v>
      </c>
    </row>
    <row r="33" spans="7:11" x14ac:dyDescent="0.35">
      <c r="G33" s="15">
        <f>Data!B31</f>
        <v>10.5</v>
      </c>
      <c r="H33" s="9">
        <f>$E$4+$D$4*Data!C31+'Simple Model'!$C$4*Data!D31+'Simple Model'!$B$4*Data!E31</f>
        <v>8.6873399455344344</v>
      </c>
      <c r="I33" s="9">
        <f>$D$15+$C$15*Data!C31+'Simple Model'!$B$15*Data!D31</f>
        <v>8.8915552380687366</v>
      </c>
      <c r="J33" s="9">
        <f t="shared" si="0"/>
        <v>1.8126600544655656</v>
      </c>
      <c r="K33" s="9">
        <f t="shared" si="1"/>
        <v>1.6084447619312634</v>
      </c>
    </row>
    <row r="34" spans="7:11" x14ac:dyDescent="0.35">
      <c r="G34" s="14"/>
      <c r="I34" s="13" t="s">
        <v>51</v>
      </c>
      <c r="J34" s="16">
        <f>AVERAGE(J4:J33)</f>
        <v>1.3202979727775728</v>
      </c>
      <c r="K34" s="16">
        <f>AVERAGE(K4:K33)</f>
        <v>1.3527807279982544</v>
      </c>
    </row>
    <row r="35" spans="7:11" x14ac:dyDescent="0.35">
      <c r="G35" s="14"/>
    </row>
    <row r="36" spans="7:11" x14ac:dyDescent="0.35">
      <c r="G36" s="14"/>
    </row>
    <row r="37" spans="7:11" x14ac:dyDescent="0.35">
      <c r="G37" s="14"/>
    </row>
    <row r="38" spans="7:11" x14ac:dyDescent="0.35">
      <c r="G38" s="14"/>
    </row>
    <row r="39" spans="7:11" x14ac:dyDescent="0.35">
      <c r="G39" s="14"/>
    </row>
    <row r="40" spans="7:11" x14ac:dyDescent="0.35">
      <c r="G40" s="14"/>
    </row>
    <row r="41" spans="7:11" x14ac:dyDescent="0.35">
      <c r="G41" s="14"/>
    </row>
    <row r="42" spans="7:11" x14ac:dyDescent="0.35">
      <c r="G42" s="14"/>
    </row>
    <row r="43" spans="7:11" x14ac:dyDescent="0.35">
      <c r="G43" s="14"/>
    </row>
    <row r="44" spans="7:11" x14ac:dyDescent="0.35">
      <c r="G44" s="14"/>
    </row>
    <row r="45" spans="7:11" x14ac:dyDescent="0.35">
      <c r="G45" s="14"/>
    </row>
    <row r="46" spans="7:11" x14ac:dyDescent="0.35">
      <c r="G46" s="14"/>
    </row>
    <row r="47" spans="7:11" x14ac:dyDescent="0.35">
      <c r="G47" s="14"/>
    </row>
    <row r="48" spans="7:11" x14ac:dyDescent="0.35">
      <c r="G48" s="14"/>
    </row>
    <row r="49" spans="7:7" x14ac:dyDescent="0.35">
      <c r="G49" s="14"/>
    </row>
    <row r="50" spans="7:7" x14ac:dyDescent="0.35">
      <c r="G50" s="14"/>
    </row>
    <row r="51" spans="7:7" x14ac:dyDescent="0.35">
      <c r="G51" s="14"/>
    </row>
    <row r="52" spans="7:7" x14ac:dyDescent="0.35">
      <c r="G52" s="14"/>
    </row>
    <row r="53" spans="7:7" x14ac:dyDescent="0.35">
      <c r="G53" s="14"/>
    </row>
    <row r="54" spans="7:7" x14ac:dyDescent="0.35">
      <c r="G54" s="14"/>
    </row>
    <row r="55" spans="7:7" x14ac:dyDescent="0.35">
      <c r="G55" s="14"/>
    </row>
    <row r="56" spans="7:7" x14ac:dyDescent="0.35">
      <c r="G56" s="14"/>
    </row>
    <row r="57" spans="7:7" x14ac:dyDescent="0.35">
      <c r="G57" s="14"/>
    </row>
    <row r="58" spans="7:7" x14ac:dyDescent="0.35">
      <c r="G58" s="14"/>
    </row>
    <row r="59" spans="7:7" x14ac:dyDescent="0.35">
      <c r="G59" s="14"/>
    </row>
    <row r="60" spans="7:7" x14ac:dyDescent="0.35">
      <c r="G60" s="14"/>
    </row>
    <row r="61" spans="7:7" x14ac:dyDescent="0.35">
      <c r="G61" s="14"/>
    </row>
    <row r="62" spans="7:7" x14ac:dyDescent="0.35">
      <c r="G62" s="14"/>
    </row>
    <row r="63" spans="7:7" x14ac:dyDescent="0.35">
      <c r="G63" s="14"/>
    </row>
    <row r="64" spans="7:7" x14ac:dyDescent="0.35">
      <c r="G64" s="14"/>
    </row>
    <row r="65" spans="7:7" x14ac:dyDescent="0.35">
      <c r="G65" s="14"/>
    </row>
    <row r="66" spans="7:7" x14ac:dyDescent="0.35">
      <c r="G66" s="14"/>
    </row>
    <row r="67" spans="7:7" x14ac:dyDescent="0.35">
      <c r="G67" s="14"/>
    </row>
    <row r="68" spans="7:7" x14ac:dyDescent="0.35">
      <c r="G68" s="14"/>
    </row>
    <row r="69" spans="7:7" x14ac:dyDescent="0.35">
      <c r="G69" s="14"/>
    </row>
    <row r="70" spans="7:7" x14ac:dyDescent="0.35">
      <c r="G70" s="14"/>
    </row>
    <row r="71" spans="7:7" x14ac:dyDescent="0.35">
      <c r="G71" s="14"/>
    </row>
    <row r="72" spans="7:7" x14ac:dyDescent="0.35">
      <c r="G72" s="14"/>
    </row>
    <row r="73" spans="7:7" x14ac:dyDescent="0.35">
      <c r="G73" s="14"/>
    </row>
    <row r="74" spans="7:7" x14ac:dyDescent="0.35">
      <c r="G74" s="14"/>
    </row>
    <row r="75" spans="7:7" x14ac:dyDescent="0.35">
      <c r="G75" s="14"/>
    </row>
    <row r="76" spans="7:7" x14ac:dyDescent="0.35">
      <c r="G76" s="14"/>
    </row>
    <row r="77" spans="7:7" x14ac:dyDescent="0.35">
      <c r="G77" s="14"/>
    </row>
    <row r="78" spans="7:7" x14ac:dyDescent="0.35">
      <c r="G78" s="14"/>
    </row>
    <row r="79" spans="7:7" x14ac:dyDescent="0.35">
      <c r="G79" s="14"/>
    </row>
    <row r="80" spans="7:7" x14ac:dyDescent="0.35">
      <c r="G80" s="14"/>
    </row>
    <row r="81" spans="7:7" x14ac:dyDescent="0.35">
      <c r="G81" s="14"/>
    </row>
    <row r="82" spans="7:7" x14ac:dyDescent="0.35">
      <c r="G82" s="14"/>
    </row>
    <row r="83" spans="7:7" x14ac:dyDescent="0.35">
      <c r="G83" s="14"/>
    </row>
    <row r="84" spans="7:7" x14ac:dyDescent="0.35">
      <c r="G84" s="14"/>
    </row>
    <row r="85" spans="7:7" x14ac:dyDescent="0.35">
      <c r="G85" s="14"/>
    </row>
    <row r="86" spans="7:7" x14ac:dyDescent="0.35">
      <c r="G86" s="14"/>
    </row>
    <row r="87" spans="7:7" x14ac:dyDescent="0.35">
      <c r="G87" s="14"/>
    </row>
    <row r="88" spans="7:7" x14ac:dyDescent="0.35">
      <c r="G88" s="14"/>
    </row>
    <row r="89" spans="7:7" x14ac:dyDescent="0.35">
      <c r="G89" s="14"/>
    </row>
    <row r="90" spans="7:7" x14ac:dyDescent="0.35">
      <c r="G90" s="14"/>
    </row>
    <row r="91" spans="7:7" x14ac:dyDescent="0.35">
      <c r="G91" s="14"/>
    </row>
    <row r="92" spans="7:7" x14ac:dyDescent="0.35">
      <c r="G92" s="14"/>
    </row>
    <row r="93" spans="7:7" x14ac:dyDescent="0.35">
      <c r="G93" s="14"/>
    </row>
    <row r="94" spans="7:7" x14ac:dyDescent="0.35">
      <c r="G94" s="14"/>
    </row>
    <row r="95" spans="7:7" x14ac:dyDescent="0.35">
      <c r="G95" s="14"/>
    </row>
    <row r="96" spans="7:7" x14ac:dyDescent="0.35">
      <c r="G96" s="14"/>
    </row>
    <row r="97" spans="7:7" x14ac:dyDescent="0.35">
      <c r="G97" s="14"/>
    </row>
    <row r="98" spans="7:7" x14ac:dyDescent="0.35">
      <c r="G98" s="14"/>
    </row>
    <row r="99" spans="7:7" x14ac:dyDescent="0.35">
      <c r="G99" s="14"/>
    </row>
    <row r="100" spans="7:7" x14ac:dyDescent="0.35">
      <c r="G100" s="14"/>
    </row>
    <row r="101" spans="7:7" x14ac:dyDescent="0.35">
      <c r="G101" s="14"/>
    </row>
    <row r="102" spans="7:7" x14ac:dyDescent="0.35">
      <c r="G102" s="14"/>
    </row>
    <row r="103" spans="7:7" x14ac:dyDescent="0.35">
      <c r="G103" s="14"/>
    </row>
    <row r="104" spans="7:7" x14ac:dyDescent="0.35">
      <c r="G104" s="14"/>
    </row>
    <row r="105" spans="7:7" x14ac:dyDescent="0.35">
      <c r="G105" s="14"/>
    </row>
    <row r="106" spans="7:7" x14ac:dyDescent="0.35">
      <c r="G106" s="14"/>
    </row>
    <row r="107" spans="7:7" x14ac:dyDescent="0.35">
      <c r="G107" s="14"/>
    </row>
    <row r="108" spans="7:7" x14ac:dyDescent="0.35">
      <c r="G108" s="14"/>
    </row>
    <row r="109" spans="7:7" x14ac:dyDescent="0.35">
      <c r="G109" s="14"/>
    </row>
    <row r="110" spans="7:7" x14ac:dyDescent="0.35">
      <c r="G110" s="14"/>
    </row>
    <row r="111" spans="7:7" x14ac:dyDescent="0.35">
      <c r="G111" s="14"/>
    </row>
    <row r="112" spans="7:7" x14ac:dyDescent="0.35">
      <c r="G112" s="14"/>
    </row>
    <row r="113" spans="7:7" x14ac:dyDescent="0.35">
      <c r="G113" s="14"/>
    </row>
    <row r="114" spans="7:7" x14ac:dyDescent="0.35">
      <c r="G114" s="14"/>
    </row>
    <row r="115" spans="7:7" x14ac:dyDescent="0.35">
      <c r="G115" s="14"/>
    </row>
    <row r="116" spans="7:7" x14ac:dyDescent="0.35">
      <c r="G116" s="14"/>
    </row>
    <row r="117" spans="7:7" x14ac:dyDescent="0.35">
      <c r="G117" s="14"/>
    </row>
    <row r="118" spans="7:7" x14ac:dyDescent="0.35">
      <c r="G118" s="14"/>
    </row>
    <row r="119" spans="7:7" x14ac:dyDescent="0.35">
      <c r="G119" s="14"/>
    </row>
    <row r="120" spans="7:7" x14ac:dyDescent="0.35">
      <c r="G120" s="14"/>
    </row>
    <row r="121" spans="7:7" x14ac:dyDescent="0.35">
      <c r="G121" s="14"/>
    </row>
    <row r="122" spans="7:7" x14ac:dyDescent="0.35">
      <c r="G122" s="14"/>
    </row>
    <row r="123" spans="7:7" x14ac:dyDescent="0.35">
      <c r="G1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92A7-11D2-481F-B3EE-C796AC1E1544}">
  <dimension ref="A1:AB74"/>
  <sheetViews>
    <sheetView topLeftCell="A37" zoomScale="67" workbookViewId="0">
      <selection activeCell="I45" sqref="I45"/>
    </sheetView>
  </sheetViews>
  <sheetFormatPr defaultRowHeight="14.5" x14ac:dyDescent="0.35"/>
  <cols>
    <col min="1" max="1" width="21.26953125" bestFit="1" customWidth="1"/>
    <col min="2" max="3" width="11.81640625" bestFit="1" customWidth="1"/>
    <col min="4" max="4" width="12.453125" bestFit="1" customWidth="1"/>
    <col min="5" max="5" width="14.1796875" bestFit="1" customWidth="1"/>
    <col min="6" max="6" width="14.90625" bestFit="1" customWidth="1"/>
    <col min="7" max="7" width="17.1796875" bestFit="1" customWidth="1"/>
    <col min="8" max="9" width="11.81640625" bestFit="1" customWidth="1"/>
    <col min="10" max="10" width="12.26953125" bestFit="1" customWidth="1"/>
    <col min="12" max="12" width="10.6328125" bestFit="1" customWidth="1"/>
    <col min="13" max="13" width="12.453125" bestFit="1" customWidth="1"/>
    <col min="14" max="16" width="11.81640625" bestFit="1" customWidth="1"/>
    <col min="22" max="22" width="31.453125" bestFit="1" customWidth="1"/>
    <col min="23" max="23" width="31.1796875" bestFit="1" customWidth="1"/>
    <col min="24" max="25" width="12.453125" bestFit="1" customWidth="1"/>
  </cols>
  <sheetData>
    <row r="1" spans="1:28" x14ac:dyDescent="0.35">
      <c r="G1" s="12" t="s">
        <v>59</v>
      </c>
      <c r="H1" s="10">
        <v>0.5</v>
      </c>
      <c r="I1" s="10">
        <v>0.9</v>
      </c>
      <c r="J1" s="10">
        <v>0.9</v>
      </c>
    </row>
    <row r="2" spans="1:28" ht="16" x14ac:dyDescent="0.4">
      <c r="A2" s="13" t="s">
        <v>78</v>
      </c>
      <c r="G2" s="12" t="s">
        <v>60</v>
      </c>
      <c r="H2" s="10">
        <v>0.2</v>
      </c>
      <c r="I2" s="10">
        <v>0.1</v>
      </c>
      <c r="J2" s="10">
        <v>0.4</v>
      </c>
      <c r="L2" s="30" t="s">
        <v>69</v>
      </c>
      <c r="U2" s="52" t="s">
        <v>70</v>
      </c>
      <c r="V2" s="52"/>
      <c r="W2" s="52"/>
      <c r="X2" s="52"/>
      <c r="Y2" s="52"/>
    </row>
    <row r="3" spans="1:28" ht="15.5" x14ac:dyDescent="0.35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1"/>
      <c r="H3" s="26" t="s">
        <v>58</v>
      </c>
      <c r="I3" s="26" t="s">
        <v>61</v>
      </c>
      <c r="J3" s="26" t="s">
        <v>62</v>
      </c>
      <c r="L3" s="9"/>
      <c r="M3" s="22" t="s">
        <v>4</v>
      </c>
      <c r="N3" s="22" t="s">
        <v>3</v>
      </c>
      <c r="O3" s="22" t="s">
        <v>2</v>
      </c>
      <c r="P3" s="22" t="s">
        <v>41</v>
      </c>
      <c r="U3" s="29" t="s">
        <v>46</v>
      </c>
      <c r="V3" s="29" t="s">
        <v>66</v>
      </c>
      <c r="W3" s="11" t="s">
        <v>65</v>
      </c>
      <c r="X3" s="11" t="s">
        <v>67</v>
      </c>
      <c r="Y3" s="11" t="s">
        <v>68</v>
      </c>
      <c r="AA3" s="31"/>
      <c r="AB3" s="14"/>
    </row>
    <row r="4" spans="1:28" ht="15.5" x14ac:dyDescent="0.35">
      <c r="A4" s="17" t="s">
        <v>6</v>
      </c>
      <c r="B4" s="18">
        <v>22.1</v>
      </c>
      <c r="C4" s="19">
        <v>230.1</v>
      </c>
      <c r="D4" s="19">
        <v>37.799999999999997</v>
      </c>
      <c r="E4" s="19">
        <v>69.2</v>
      </c>
      <c r="F4" s="5"/>
      <c r="H4" s="9">
        <f>C4^H1</f>
        <v>15.169047432189011</v>
      </c>
      <c r="I4" s="9">
        <f>D4*I1</f>
        <v>34.019999999999996</v>
      </c>
      <c r="J4" s="9">
        <f>E4^J1</f>
        <v>45.299716598300492</v>
      </c>
      <c r="L4" s="9" t="s">
        <v>39</v>
      </c>
      <c r="M4" s="9" cm="1">
        <f t="array" ref="M4:P8">LINEST(B4:B33,H4:J33,1,1)</f>
        <v>-2.9137311350106138E-2</v>
      </c>
      <c r="N4" s="9">
        <v>0.29900606631019971</v>
      </c>
      <c r="O4" s="9">
        <v>0.96058943825435539</v>
      </c>
      <c r="P4" s="9">
        <v>-1.7422940552632031</v>
      </c>
      <c r="U4" s="15">
        <f t="shared" ref="U4:U33" si="0">B4</f>
        <v>22.1</v>
      </c>
      <c r="V4" s="9">
        <f t="shared" ref="V4:V33" si="1">$P$4+$O$4*H4+$N$4*I4+$M$4*J4</f>
        <v>21.681207125753648</v>
      </c>
      <c r="W4" s="9">
        <f>'Simple Model'!H4</f>
        <v>19.868695537966516</v>
      </c>
      <c r="X4" s="28">
        <f>(V4-U4)</f>
        <v>-0.41879287424635336</v>
      </c>
      <c r="Y4" s="28">
        <f>W4-U4</f>
        <v>-2.231304462033485</v>
      </c>
    </row>
    <row r="5" spans="1:28" ht="15.5" x14ac:dyDescent="0.35">
      <c r="A5" s="17" t="s">
        <v>7</v>
      </c>
      <c r="B5" s="18">
        <v>10.4</v>
      </c>
      <c r="C5" s="19">
        <v>44.5</v>
      </c>
      <c r="D5" s="19">
        <v>39.299999999999997</v>
      </c>
      <c r="E5" s="19">
        <v>45.1</v>
      </c>
      <c r="F5" s="5"/>
      <c r="H5" s="9">
        <f>(H4*$H$2+C5)^$H$1</f>
        <v>6.8944767376819689</v>
      </c>
      <c r="I5" s="9">
        <f>(I4*$I$2+D5)^$I$1</f>
        <v>29.336168712456114</v>
      </c>
      <c r="J5" s="9">
        <f>(J4*$J$2+E5)^$J$1</f>
        <v>41.760754974594015</v>
      </c>
      <c r="L5" s="9"/>
      <c r="M5" s="9">
        <v>2.1309394702860543E-2</v>
      </c>
      <c r="N5" s="9">
        <v>3.6001398179640542E-2</v>
      </c>
      <c r="O5" s="9">
        <v>6.1913595548685578E-2</v>
      </c>
      <c r="P5" s="9">
        <v>0.98218689469097531</v>
      </c>
      <c r="U5" s="15">
        <f t="shared" si="0"/>
        <v>10.4</v>
      </c>
      <c r="V5" s="9">
        <f t="shared" si="1"/>
        <v>12.43536376865806</v>
      </c>
      <c r="W5" s="9">
        <f>'Simple Model'!H5</f>
        <v>12.023643722269336</v>
      </c>
      <c r="X5" s="28">
        <f t="shared" ref="X5:X33" si="2">(V5-U5)</f>
        <v>2.0353637686580601</v>
      </c>
      <c r="Y5" s="28">
        <f t="shared" ref="Y5:Y33" si="3">W5-U5</f>
        <v>1.6236437222693354</v>
      </c>
    </row>
    <row r="6" spans="1:28" ht="15.5" x14ac:dyDescent="0.35">
      <c r="A6" s="17" t="s">
        <v>8</v>
      </c>
      <c r="B6" s="18">
        <v>9.3000000000000007</v>
      </c>
      <c r="C6" s="19">
        <v>17.2</v>
      </c>
      <c r="D6" s="19">
        <v>45.9</v>
      </c>
      <c r="E6" s="19">
        <v>69.3</v>
      </c>
      <c r="F6" s="5"/>
      <c r="H6" s="9">
        <f t="shared" ref="H6:H33" si="4">(H5*$H$2+C6)^$H$1</f>
        <v>4.3103242740583214</v>
      </c>
      <c r="I6" s="9">
        <f t="shared" ref="I6:I33" si="5">(I5*$I$2+D6)^$I$1</f>
        <v>33.10144878644396</v>
      </c>
      <c r="J6" s="9">
        <f t="shared" ref="J6:J33" si="6">(J5*$J$2+E6)^$J$1</f>
        <v>55.089414663122945</v>
      </c>
      <c r="L6" s="20" t="s">
        <v>40</v>
      </c>
      <c r="M6" s="20">
        <v>0.92710716590122078</v>
      </c>
      <c r="N6" s="9">
        <v>1.4121096154462165</v>
      </c>
      <c r="O6" s="9" t="e">
        <v>#N/A</v>
      </c>
      <c r="P6" s="9" t="e">
        <v>#N/A</v>
      </c>
      <c r="U6" s="15">
        <f t="shared" si="0"/>
        <v>9.3000000000000007</v>
      </c>
      <c r="V6" s="9">
        <f t="shared" si="1"/>
        <v>10.690534481517217</v>
      </c>
      <c r="W6" s="9">
        <f>'Simple Model'!H6</f>
        <v>11.612294947447406</v>
      </c>
      <c r="X6" s="28">
        <f t="shared" si="2"/>
        <v>1.390534481517216</v>
      </c>
      <c r="Y6" s="28">
        <f t="shared" si="3"/>
        <v>2.3122949474474055</v>
      </c>
    </row>
    <row r="7" spans="1:28" ht="15.5" x14ac:dyDescent="0.35">
      <c r="A7" s="17" t="s">
        <v>9</v>
      </c>
      <c r="B7" s="18">
        <v>18.5</v>
      </c>
      <c r="C7" s="19">
        <v>151.5</v>
      </c>
      <c r="D7" s="19">
        <v>41.3</v>
      </c>
      <c r="E7" s="19">
        <v>58.5</v>
      </c>
      <c r="F7" s="5"/>
      <c r="H7" s="9">
        <f t="shared" si="4"/>
        <v>12.343502941013611</v>
      </c>
      <c r="I7" s="9">
        <f t="shared" si="5"/>
        <v>30.513376679651991</v>
      </c>
      <c r="J7" s="9">
        <f t="shared" si="6"/>
        <v>51.926603169293422</v>
      </c>
      <c r="L7" s="9"/>
      <c r="M7" s="9">
        <v>110.22933695039963</v>
      </c>
      <c r="N7" s="9">
        <v>26</v>
      </c>
      <c r="O7" s="9" t="e">
        <v>#N/A</v>
      </c>
      <c r="P7" s="9" t="e">
        <v>#N/A</v>
      </c>
      <c r="U7" s="15">
        <f t="shared" si="0"/>
        <v>18.5</v>
      </c>
      <c r="V7" s="9">
        <f t="shared" si="1"/>
        <v>17.725427627863063</v>
      </c>
      <c r="W7" s="9">
        <f>'Simple Model'!H7</f>
        <v>17.124567550753131</v>
      </c>
      <c r="X7" s="28">
        <f t="shared" si="2"/>
        <v>-0.7745723721369373</v>
      </c>
      <c r="Y7" s="28">
        <f t="shared" si="3"/>
        <v>-1.375432449246869</v>
      </c>
    </row>
    <row r="8" spans="1:28" ht="15.5" x14ac:dyDescent="0.35">
      <c r="A8" s="17" t="s">
        <v>10</v>
      </c>
      <c r="B8" s="18">
        <v>12.9</v>
      </c>
      <c r="C8" s="19">
        <v>180.8</v>
      </c>
      <c r="D8" s="19">
        <v>10.8</v>
      </c>
      <c r="E8" s="19">
        <v>58.4</v>
      </c>
      <c r="F8" s="5"/>
      <c r="H8" s="9">
        <f t="shared" si="4"/>
        <v>13.53767707504514</v>
      </c>
      <c r="I8" s="9">
        <f t="shared" si="5"/>
        <v>10.649826803539083</v>
      </c>
      <c r="J8" s="9">
        <f t="shared" si="6"/>
        <v>51.133762081223416</v>
      </c>
      <c r="L8" s="9"/>
      <c r="M8" s="9">
        <v>659.40960728307266</v>
      </c>
      <c r="N8" s="9">
        <v>51.845392716927194</v>
      </c>
      <c r="O8" s="9" t="e">
        <v>#N/A</v>
      </c>
      <c r="P8" s="9" t="e">
        <v>#N/A</v>
      </c>
      <c r="U8" s="15">
        <f t="shared" si="0"/>
        <v>12.9</v>
      </c>
      <c r="V8" s="9">
        <f t="shared" si="1"/>
        <v>12.956318034671565</v>
      </c>
      <c r="W8" s="9">
        <f>'Simple Model'!H8</f>
        <v>12.42746307520984</v>
      </c>
      <c r="X8" s="28">
        <f t="shared" si="2"/>
        <v>5.6318034671564376E-2</v>
      </c>
      <c r="Y8" s="28">
        <f t="shared" si="3"/>
        <v>-0.47253692479016074</v>
      </c>
    </row>
    <row r="9" spans="1:28" ht="15.5" x14ac:dyDescent="0.35">
      <c r="A9" s="17" t="s">
        <v>11</v>
      </c>
      <c r="B9" s="18">
        <v>7.2</v>
      </c>
      <c r="C9" s="19">
        <v>8.6999999999999993</v>
      </c>
      <c r="D9" s="19">
        <v>48.9</v>
      </c>
      <c r="E9" s="19">
        <v>75</v>
      </c>
      <c r="F9" s="5"/>
      <c r="H9" s="9">
        <f t="shared" si="4"/>
        <v>3.3775043175411379</v>
      </c>
      <c r="I9" s="9">
        <f t="shared" si="5"/>
        <v>33.790853937617364</v>
      </c>
      <c r="J9" s="9">
        <f t="shared" si="6"/>
        <v>60.507985114129745</v>
      </c>
      <c r="L9" s="20" t="s">
        <v>42</v>
      </c>
      <c r="M9" s="20">
        <f>N6</f>
        <v>1.4121096154462165</v>
      </c>
      <c r="N9" s="9"/>
      <c r="O9" s="9"/>
      <c r="P9" s="9"/>
      <c r="U9" s="15">
        <f t="shared" si="0"/>
        <v>7.2</v>
      </c>
      <c r="V9" s="9">
        <f t="shared" si="1"/>
        <v>9.8427312315368045</v>
      </c>
      <c r="W9" s="9">
        <f>'Simple Model'!H9</f>
        <v>11.706541513334765</v>
      </c>
      <c r="X9" s="28">
        <f t="shared" si="2"/>
        <v>2.6427312315368043</v>
      </c>
      <c r="Y9" s="28">
        <f t="shared" si="3"/>
        <v>4.5065415133347644</v>
      </c>
    </row>
    <row r="10" spans="1:28" ht="15.5" x14ac:dyDescent="0.35">
      <c r="A10" s="17" t="s">
        <v>12</v>
      </c>
      <c r="B10" s="18">
        <v>11.8</v>
      </c>
      <c r="C10" s="19">
        <v>57.5</v>
      </c>
      <c r="D10" s="19">
        <v>32.799999999999997</v>
      </c>
      <c r="E10" s="19">
        <v>23.5</v>
      </c>
      <c r="F10" s="5"/>
      <c r="H10" s="9">
        <f t="shared" si="4"/>
        <v>7.6272865990146341</v>
      </c>
      <c r="I10" s="9">
        <f t="shared" si="5"/>
        <v>25.270383067896923</v>
      </c>
      <c r="J10" s="9">
        <f t="shared" si="6"/>
        <v>32.411021058976509</v>
      </c>
      <c r="U10" s="15">
        <f t="shared" si="0"/>
        <v>11.8</v>
      </c>
      <c r="V10" s="9">
        <f t="shared" si="1"/>
        <v>12.196024717802727</v>
      </c>
      <c r="W10" s="9">
        <f>'Simple Model'!H10</f>
        <v>11.743260091650576</v>
      </c>
      <c r="X10" s="28">
        <f t="shared" si="2"/>
        <v>0.3960247178027263</v>
      </c>
      <c r="Y10" s="28">
        <f t="shared" si="3"/>
        <v>-5.6739908349424439E-2</v>
      </c>
    </row>
    <row r="11" spans="1:28" ht="15.5" x14ac:dyDescent="0.35">
      <c r="A11" s="17" t="s">
        <v>13</v>
      </c>
      <c r="B11" s="18">
        <v>13.2</v>
      </c>
      <c r="C11" s="19">
        <v>120.2</v>
      </c>
      <c r="D11" s="19">
        <v>19.600000000000001</v>
      </c>
      <c r="E11" s="19">
        <v>11.6</v>
      </c>
      <c r="F11" s="5"/>
      <c r="H11" s="9">
        <f t="shared" si="4"/>
        <v>11.03292605430685</v>
      </c>
      <c r="I11" s="9">
        <f t="shared" si="5"/>
        <v>16.234202501273565</v>
      </c>
      <c r="J11" s="9">
        <f t="shared" si="6"/>
        <v>17.835105335792388</v>
      </c>
      <c r="U11" s="15">
        <f t="shared" si="0"/>
        <v>13.2</v>
      </c>
      <c r="V11" s="9">
        <f t="shared" si="1"/>
        <v>13.190276198003348</v>
      </c>
      <c r="W11" s="9">
        <f>'Simple Model'!H11</f>
        <v>12.251637846893717</v>
      </c>
      <c r="X11" s="28">
        <f t="shared" si="2"/>
        <v>-9.7238019966514599E-3</v>
      </c>
      <c r="Y11" s="28">
        <f t="shared" si="3"/>
        <v>-0.94836215310628269</v>
      </c>
    </row>
    <row r="12" spans="1:28" ht="15.5" x14ac:dyDescent="0.35">
      <c r="A12" s="17" t="s">
        <v>14</v>
      </c>
      <c r="B12" s="18">
        <v>4.8</v>
      </c>
      <c r="C12" s="19">
        <v>8.6</v>
      </c>
      <c r="D12" s="19">
        <v>2.1</v>
      </c>
      <c r="E12" s="19">
        <v>1</v>
      </c>
      <c r="F12" s="5"/>
      <c r="H12" s="9">
        <f t="shared" si="4"/>
        <v>3.2873371002775742</v>
      </c>
      <c r="I12" s="9">
        <f t="shared" si="5"/>
        <v>3.2647343652772323</v>
      </c>
      <c r="J12" s="9">
        <f t="shared" si="6"/>
        <v>6.5959260200013903</v>
      </c>
      <c r="L12" s="49" t="s">
        <v>2</v>
      </c>
      <c r="M12" s="49"/>
      <c r="N12" s="50" t="s">
        <v>3</v>
      </c>
      <c r="O12" s="50"/>
      <c r="P12" s="51" t="s">
        <v>4</v>
      </c>
      <c r="Q12" s="51"/>
      <c r="R12" s="11"/>
      <c r="S12" s="11"/>
      <c r="U12" s="15">
        <f t="shared" si="0"/>
        <v>4.8</v>
      </c>
      <c r="V12" s="9">
        <f t="shared" si="1"/>
        <v>2.1994750732673589</v>
      </c>
      <c r="W12" s="9">
        <f>'Simple Model'!H12</f>
        <v>3.806890682930669</v>
      </c>
      <c r="X12" s="28">
        <f t="shared" si="2"/>
        <v>-2.6005249267326409</v>
      </c>
      <c r="Y12" s="28">
        <f t="shared" si="3"/>
        <v>-0.99310931706933081</v>
      </c>
    </row>
    <row r="13" spans="1:28" ht="15.5" x14ac:dyDescent="0.35">
      <c r="A13" s="17" t="s">
        <v>15</v>
      </c>
      <c r="B13" s="18">
        <v>10.6</v>
      </c>
      <c r="C13" s="19">
        <v>199.8</v>
      </c>
      <c r="D13" s="19">
        <v>2.6</v>
      </c>
      <c r="E13" s="19">
        <v>21.2</v>
      </c>
      <c r="F13" s="5"/>
      <c r="H13" s="9">
        <f t="shared" si="4"/>
        <v>14.158300301238688</v>
      </c>
      <c r="I13" s="9">
        <f t="shared" si="5"/>
        <v>2.6285129907967479</v>
      </c>
      <c r="J13" s="9">
        <f t="shared" si="6"/>
        <v>17.359967481457879</v>
      </c>
      <c r="L13" s="23" t="s">
        <v>63</v>
      </c>
      <c r="M13" s="23" t="s">
        <v>64</v>
      </c>
      <c r="N13" s="24" t="s">
        <v>63</v>
      </c>
      <c r="O13" s="24" t="s">
        <v>64</v>
      </c>
      <c r="P13" s="25" t="s">
        <v>63</v>
      </c>
      <c r="Q13" s="25" t="s">
        <v>64</v>
      </c>
      <c r="R13" s="11" t="s">
        <v>40</v>
      </c>
      <c r="S13" s="11" t="s">
        <v>42</v>
      </c>
      <c r="U13" s="15">
        <f t="shared" si="0"/>
        <v>10.6</v>
      </c>
      <c r="V13" s="9">
        <f t="shared" si="1"/>
        <v>12.138138229828577</v>
      </c>
      <c r="W13" s="9">
        <f>'Simple Model'!H13</f>
        <v>12.38218916295901</v>
      </c>
      <c r="X13" s="28">
        <f t="shared" si="2"/>
        <v>1.5381382298285775</v>
      </c>
      <c r="Y13" s="28">
        <f t="shared" si="3"/>
        <v>1.7821891629590105</v>
      </c>
    </row>
    <row r="14" spans="1:28" ht="15.5" x14ac:dyDescent="0.35">
      <c r="A14" s="17" t="s">
        <v>16</v>
      </c>
      <c r="B14" s="18">
        <v>8.6</v>
      </c>
      <c r="C14" s="19">
        <v>66.099999999999994</v>
      </c>
      <c r="D14" s="19">
        <v>5.8</v>
      </c>
      <c r="E14" s="19">
        <v>24.2</v>
      </c>
      <c r="F14" s="5"/>
      <c r="H14" s="9">
        <f t="shared" si="4"/>
        <v>8.3025092628823813</v>
      </c>
      <c r="I14" s="9">
        <f t="shared" si="5"/>
        <v>5.0630151270235517</v>
      </c>
      <c r="J14" s="9">
        <f t="shared" si="6"/>
        <v>22.081917774992888</v>
      </c>
      <c r="L14" s="9">
        <v>1</v>
      </c>
      <c r="M14" s="9">
        <v>0.1</v>
      </c>
      <c r="N14" s="9">
        <v>1</v>
      </c>
      <c r="O14" s="9">
        <v>0.1</v>
      </c>
      <c r="P14" s="9">
        <v>1</v>
      </c>
      <c r="Q14" s="9">
        <v>0.1</v>
      </c>
      <c r="R14" s="9">
        <v>0.88542776165022719</v>
      </c>
      <c r="S14" s="9">
        <v>1.7703767242233595</v>
      </c>
      <c r="U14" s="15">
        <f t="shared" si="0"/>
        <v>8.6</v>
      </c>
      <c r="V14" s="9">
        <f t="shared" si="1"/>
        <v>7.1034731770535036</v>
      </c>
      <c r="W14" s="9">
        <f>'Simple Model'!H14</f>
        <v>6.7670746254223317</v>
      </c>
      <c r="X14" s="28">
        <f t="shared" si="2"/>
        <v>-1.4965268229464961</v>
      </c>
      <c r="Y14" s="28">
        <f t="shared" si="3"/>
        <v>-1.8329253745776679</v>
      </c>
    </row>
    <row r="15" spans="1:28" ht="15.5" x14ac:dyDescent="0.35">
      <c r="A15" s="17" t="s">
        <v>17</v>
      </c>
      <c r="B15" s="18">
        <v>17.399999999999999</v>
      </c>
      <c r="C15" s="19">
        <v>214.7</v>
      </c>
      <c r="D15" s="19">
        <v>24</v>
      </c>
      <c r="E15" s="19">
        <v>4</v>
      </c>
      <c r="F15" s="5"/>
      <c r="H15" s="9">
        <f t="shared" si="4"/>
        <v>14.709197865708941</v>
      </c>
      <c r="I15" s="9">
        <f t="shared" si="5"/>
        <v>17.797130922395748</v>
      </c>
      <c r="J15" s="9">
        <f t="shared" si="6"/>
        <v>9.9423324625144307</v>
      </c>
      <c r="L15" s="9">
        <v>0.5</v>
      </c>
      <c r="M15" s="9">
        <v>0.1</v>
      </c>
      <c r="N15" s="9">
        <v>1</v>
      </c>
      <c r="O15" s="9">
        <v>0.1</v>
      </c>
      <c r="P15" s="9">
        <v>1</v>
      </c>
      <c r="Q15" s="9">
        <v>0.1</v>
      </c>
      <c r="R15" s="9">
        <v>0.91518866663151666</v>
      </c>
      <c r="S15" s="9">
        <v>1.5231859944385877</v>
      </c>
      <c r="U15" s="15">
        <f t="shared" si="0"/>
        <v>17.399999999999999</v>
      </c>
      <c r="V15" s="9">
        <f t="shared" si="1"/>
        <v>17.418963331936933</v>
      </c>
      <c r="W15" s="9">
        <f>'Simple Model'!H15</f>
        <v>17.646781909589848</v>
      </c>
      <c r="X15" s="28">
        <f t="shared" si="2"/>
        <v>1.8963331936934225E-2</v>
      </c>
      <c r="Y15" s="28">
        <f t="shared" si="3"/>
        <v>0.24678190958984914</v>
      </c>
    </row>
    <row r="16" spans="1:28" ht="15.5" x14ac:dyDescent="0.35">
      <c r="A16" s="17" t="s">
        <v>18</v>
      </c>
      <c r="B16" s="18">
        <v>9.1999999999999993</v>
      </c>
      <c r="C16" s="19">
        <v>23.8</v>
      </c>
      <c r="D16" s="19">
        <v>35.1</v>
      </c>
      <c r="E16" s="19">
        <v>65.900000000000006</v>
      </c>
      <c r="F16" s="5"/>
      <c r="H16" s="9">
        <f t="shared" si="4"/>
        <v>5.1712512579782652</v>
      </c>
      <c r="I16" s="9">
        <f t="shared" si="5"/>
        <v>25.710396861836024</v>
      </c>
      <c r="J16" s="9">
        <f t="shared" si="6"/>
        <v>45.698342820394409</v>
      </c>
      <c r="L16" s="9">
        <v>0.5</v>
      </c>
      <c r="M16" s="9">
        <v>0.2</v>
      </c>
      <c r="N16" s="9">
        <v>1</v>
      </c>
      <c r="O16" s="9">
        <v>0.1</v>
      </c>
      <c r="P16" s="9">
        <v>1</v>
      </c>
      <c r="Q16" s="9">
        <v>0.1</v>
      </c>
      <c r="R16" s="9">
        <v>0.91528028771677028</v>
      </c>
      <c r="S16" s="9">
        <v>1.5223630285741829</v>
      </c>
      <c r="U16" s="15">
        <f t="shared" si="0"/>
        <v>9.1999999999999993</v>
      </c>
      <c r="V16" s="9">
        <f t="shared" si="1"/>
        <v>9.5811930717002411</v>
      </c>
      <c r="W16" s="9">
        <f>'Simple Model'!H16</f>
        <v>9.8377359030277738</v>
      </c>
      <c r="X16" s="28">
        <f t="shared" si="2"/>
        <v>0.38119307170024186</v>
      </c>
      <c r="Y16" s="28">
        <f t="shared" si="3"/>
        <v>0.6377359030277745</v>
      </c>
    </row>
    <row r="17" spans="1:25" ht="15.5" x14ac:dyDescent="0.35">
      <c r="A17" s="17" t="s">
        <v>19</v>
      </c>
      <c r="B17" s="18">
        <v>9.6999999999999993</v>
      </c>
      <c r="C17" s="19">
        <v>97.5</v>
      </c>
      <c r="D17" s="19">
        <v>7.6</v>
      </c>
      <c r="E17" s="19">
        <v>7.2</v>
      </c>
      <c r="F17" s="5"/>
      <c r="H17" s="9">
        <f t="shared" si="4"/>
        <v>9.9264419734160363</v>
      </c>
      <c r="I17" s="9">
        <f t="shared" si="5"/>
        <v>8.065453914210698</v>
      </c>
      <c r="J17" s="9">
        <f t="shared" si="6"/>
        <v>18.431866349590624</v>
      </c>
      <c r="L17" s="9">
        <v>0.5</v>
      </c>
      <c r="M17" s="9">
        <v>0.2</v>
      </c>
      <c r="N17" s="9">
        <v>0.5</v>
      </c>
      <c r="O17" s="9">
        <v>0.5</v>
      </c>
      <c r="P17" s="9">
        <v>1</v>
      </c>
      <c r="Q17" s="9">
        <v>0.1</v>
      </c>
      <c r="R17" s="9">
        <v>0.82327723696049959</v>
      </c>
      <c r="S17" s="9">
        <v>2.1987317045695285</v>
      </c>
      <c r="U17" s="15">
        <f t="shared" si="0"/>
        <v>9.6999999999999993</v>
      </c>
      <c r="V17" s="9">
        <f t="shared" si="1"/>
        <v>9.6675058831477401</v>
      </c>
      <c r="W17" s="9">
        <f>'Simple Model'!H17</f>
        <v>8.9003200448185105</v>
      </c>
      <c r="X17" s="28">
        <f t="shared" si="2"/>
        <v>-3.2494116852259225E-2</v>
      </c>
      <c r="Y17" s="28">
        <f t="shared" si="3"/>
        <v>-0.79967995518148882</v>
      </c>
    </row>
    <row r="18" spans="1:25" ht="15.5" x14ac:dyDescent="0.35">
      <c r="A18" s="17" t="s">
        <v>20</v>
      </c>
      <c r="B18" s="18">
        <v>19</v>
      </c>
      <c r="C18" s="19">
        <v>204.1</v>
      </c>
      <c r="D18" s="19">
        <v>32.9</v>
      </c>
      <c r="E18" s="19">
        <v>46</v>
      </c>
      <c r="F18" s="5"/>
      <c r="H18" s="9">
        <f t="shared" si="4"/>
        <v>14.35567094895544</v>
      </c>
      <c r="I18" s="9">
        <f t="shared" si="5"/>
        <v>23.71061502901825</v>
      </c>
      <c r="J18" s="9">
        <f t="shared" si="6"/>
        <v>35.858126649381084</v>
      </c>
      <c r="L18" s="9">
        <v>0.5</v>
      </c>
      <c r="M18" s="9">
        <v>0.2</v>
      </c>
      <c r="N18" s="9">
        <v>1</v>
      </c>
      <c r="O18" s="9">
        <v>0.1</v>
      </c>
      <c r="P18" s="9">
        <v>0.9</v>
      </c>
      <c r="Q18" s="9">
        <v>0.1</v>
      </c>
      <c r="R18" s="9">
        <v>0.91531112746174603</v>
      </c>
      <c r="S18" s="9">
        <v>1.5220859173818495</v>
      </c>
      <c r="U18" s="15">
        <f t="shared" si="0"/>
        <v>19</v>
      </c>
      <c r="V18" s="9">
        <f t="shared" si="1"/>
        <v>18.092420166365965</v>
      </c>
      <c r="W18" s="9">
        <f>'Simple Model'!H18</f>
        <v>18.129514791176963</v>
      </c>
      <c r="X18" s="28">
        <f t="shared" si="2"/>
        <v>-0.90757983363403483</v>
      </c>
      <c r="Y18" s="28">
        <f t="shared" si="3"/>
        <v>-0.87048520882303748</v>
      </c>
    </row>
    <row r="19" spans="1:25" ht="15.5" x14ac:dyDescent="0.35">
      <c r="A19" s="17" t="s">
        <v>21</v>
      </c>
      <c r="B19" s="18">
        <v>22.4</v>
      </c>
      <c r="C19" s="19">
        <v>195.4</v>
      </c>
      <c r="D19" s="19">
        <v>47.7</v>
      </c>
      <c r="E19" s="19">
        <v>52.9</v>
      </c>
      <c r="F19" s="5"/>
      <c r="H19" s="9">
        <f t="shared" si="4"/>
        <v>14.080878317412983</v>
      </c>
      <c r="I19" s="9">
        <f t="shared" si="5"/>
        <v>33.855413199667105</v>
      </c>
      <c r="J19" s="9">
        <f t="shared" si="6"/>
        <v>44.145234675628352</v>
      </c>
      <c r="L19" s="9">
        <v>0.5</v>
      </c>
      <c r="M19" s="9">
        <v>0.2</v>
      </c>
      <c r="N19" s="9">
        <v>1</v>
      </c>
      <c r="O19" s="9">
        <v>0.1</v>
      </c>
      <c r="P19" s="9">
        <v>0.9</v>
      </c>
      <c r="Q19" s="9">
        <v>0.4</v>
      </c>
      <c r="R19" s="9">
        <v>0.91645386278176388</v>
      </c>
      <c r="S19" s="9">
        <v>1.5117820333728997</v>
      </c>
      <c r="U19" s="15">
        <f t="shared" si="0"/>
        <v>22.4</v>
      </c>
      <c r="V19" s="9">
        <f t="shared" si="1"/>
        <v>20.620349414560053</v>
      </c>
      <c r="W19" s="9">
        <f>'Simple Model'!H19</f>
        <v>20.534942354590012</v>
      </c>
      <c r="X19" s="28">
        <f t="shared" si="2"/>
        <v>-1.7796505854399456</v>
      </c>
      <c r="Y19" s="28">
        <f t="shared" si="3"/>
        <v>-1.865057645409987</v>
      </c>
    </row>
    <row r="20" spans="1:25" ht="15.5" x14ac:dyDescent="0.35">
      <c r="A20" s="17" t="s">
        <v>22</v>
      </c>
      <c r="B20" s="18">
        <v>12.5</v>
      </c>
      <c r="C20" s="19">
        <v>67.8</v>
      </c>
      <c r="D20" s="19">
        <v>36.6</v>
      </c>
      <c r="E20" s="19">
        <v>114</v>
      </c>
      <c r="F20" s="5"/>
      <c r="H20" s="9">
        <f t="shared" si="4"/>
        <v>8.4033431242263692</v>
      </c>
      <c r="I20" s="9">
        <f t="shared" si="5"/>
        <v>27.651117127442699</v>
      </c>
      <c r="J20" s="9">
        <f t="shared" si="6"/>
        <v>80.817015226236435</v>
      </c>
      <c r="L20" s="20">
        <v>0.5</v>
      </c>
      <c r="M20" s="20">
        <v>0.2</v>
      </c>
      <c r="N20" s="20">
        <v>0.9</v>
      </c>
      <c r="O20" s="20">
        <v>0.1</v>
      </c>
      <c r="P20" s="20">
        <v>0.9</v>
      </c>
      <c r="Q20" s="20">
        <v>0.4</v>
      </c>
      <c r="R20" s="20">
        <v>0.92710716590122078</v>
      </c>
      <c r="S20" s="20">
        <v>1.4121096154462165</v>
      </c>
      <c r="U20" s="15">
        <f t="shared" si="0"/>
        <v>12.5</v>
      </c>
      <c r="V20" s="9">
        <f t="shared" si="1"/>
        <v>12.242929822222115</v>
      </c>
      <c r="W20" s="9">
        <f>'Simple Model'!H20</f>
        <v>11.265243669657041</v>
      </c>
      <c r="X20" s="28">
        <f t="shared" si="2"/>
        <v>-0.25707017777788543</v>
      </c>
      <c r="Y20" s="28">
        <f t="shared" si="3"/>
        <v>-1.2347563303429592</v>
      </c>
    </row>
    <row r="21" spans="1:25" ht="15.5" x14ac:dyDescent="0.35">
      <c r="A21" s="17" t="s">
        <v>23</v>
      </c>
      <c r="B21" s="18">
        <v>24.4</v>
      </c>
      <c r="C21" s="19">
        <v>281.39999999999998</v>
      </c>
      <c r="D21" s="19">
        <v>39.6</v>
      </c>
      <c r="E21" s="19">
        <v>55.8</v>
      </c>
      <c r="F21" s="5"/>
      <c r="H21" s="9">
        <f t="shared" si="4"/>
        <v>16.825001296429228</v>
      </c>
      <c r="I21" s="9">
        <f t="shared" si="5"/>
        <v>29.127789027511469</v>
      </c>
      <c r="J21" s="9">
        <f t="shared" si="6"/>
        <v>56.311517053683097</v>
      </c>
      <c r="L21" s="9">
        <v>0.6</v>
      </c>
      <c r="M21" s="9">
        <v>0.2</v>
      </c>
      <c r="N21" s="9">
        <v>0.9</v>
      </c>
      <c r="O21" s="9">
        <v>0.1</v>
      </c>
      <c r="P21" s="9">
        <v>0.9</v>
      </c>
      <c r="Q21" s="9">
        <v>0.4</v>
      </c>
      <c r="R21" s="9">
        <v>0.92475504857929713</v>
      </c>
      <c r="S21" s="9">
        <v>1.4347118167172646</v>
      </c>
      <c r="U21" s="15">
        <f t="shared" si="0"/>
        <v>24.4</v>
      </c>
      <c r="V21" s="9">
        <f t="shared" si="1"/>
        <v>21.488243901142177</v>
      </c>
      <c r="W21" s="9">
        <f>'Simple Model'!H21</f>
        <v>22.855827395593256</v>
      </c>
      <c r="X21" s="28">
        <f t="shared" si="2"/>
        <v>-2.9117560988578219</v>
      </c>
      <c r="Y21" s="28">
        <f t="shared" si="3"/>
        <v>-1.544172604406743</v>
      </c>
    </row>
    <row r="22" spans="1:25" ht="15.5" x14ac:dyDescent="0.35">
      <c r="A22" s="17" t="s">
        <v>24</v>
      </c>
      <c r="B22" s="18">
        <v>11.3</v>
      </c>
      <c r="C22" s="19">
        <v>69.2</v>
      </c>
      <c r="D22" s="19">
        <v>20.5</v>
      </c>
      <c r="E22" s="19">
        <v>18.3</v>
      </c>
      <c r="F22" s="5"/>
      <c r="H22" s="9">
        <f t="shared" si="4"/>
        <v>8.5185092744731961</v>
      </c>
      <c r="I22" s="9">
        <f t="shared" si="5"/>
        <v>17.080778761063129</v>
      </c>
      <c r="J22" s="9">
        <f t="shared" si="6"/>
        <v>28.17278686343835</v>
      </c>
      <c r="U22" s="15">
        <f t="shared" si="0"/>
        <v>11.3</v>
      </c>
      <c r="V22" s="9">
        <f t="shared" si="1"/>
        <v>10.72687318788763</v>
      </c>
      <c r="W22" s="9">
        <f>'Simple Model'!H22</f>
        <v>9.9411185337415233</v>
      </c>
      <c r="X22" s="28">
        <f t="shared" si="2"/>
        <v>-0.57312681211237049</v>
      </c>
      <c r="Y22" s="28">
        <f t="shared" si="3"/>
        <v>-1.3588814662584774</v>
      </c>
    </row>
    <row r="23" spans="1:25" ht="15.5" x14ac:dyDescent="0.35">
      <c r="A23" s="17" t="s">
        <v>25</v>
      </c>
      <c r="B23" s="18">
        <v>14.6</v>
      </c>
      <c r="C23" s="19">
        <v>147.30000000000001</v>
      </c>
      <c r="D23" s="19">
        <v>23.9</v>
      </c>
      <c r="E23" s="19">
        <v>19.100000000000001</v>
      </c>
      <c r="F23" s="5"/>
      <c r="H23" s="9">
        <f t="shared" si="4"/>
        <v>12.206707248676633</v>
      </c>
      <c r="I23" s="9">
        <f t="shared" si="5"/>
        <v>18.515663682210956</v>
      </c>
      <c r="J23" s="9">
        <f t="shared" si="6"/>
        <v>21.586832378281642</v>
      </c>
      <c r="U23" s="15">
        <f t="shared" si="0"/>
        <v>14.6</v>
      </c>
      <c r="V23" s="9">
        <f t="shared" si="1"/>
        <v>14.890653510350432</v>
      </c>
      <c r="W23" s="9">
        <f>'Simple Model'!H23</f>
        <v>14.219243598460508</v>
      </c>
      <c r="X23" s="28">
        <f t="shared" si="2"/>
        <v>0.29065351035043285</v>
      </c>
      <c r="Y23" s="28">
        <f t="shared" si="3"/>
        <v>-0.38075640153949131</v>
      </c>
    </row>
    <row r="24" spans="1:25" ht="15.5" x14ac:dyDescent="0.35">
      <c r="A24" s="17" t="s">
        <v>26</v>
      </c>
      <c r="B24" s="18">
        <v>18</v>
      </c>
      <c r="C24" s="19">
        <v>218.4</v>
      </c>
      <c r="D24" s="19">
        <v>27.7</v>
      </c>
      <c r="E24" s="19">
        <v>53.4</v>
      </c>
      <c r="F24" s="5"/>
      <c r="H24" s="9">
        <f t="shared" si="4"/>
        <v>14.860731524717595</v>
      </c>
      <c r="I24" s="9">
        <f t="shared" si="5"/>
        <v>21.063108014408691</v>
      </c>
      <c r="J24" s="9">
        <f t="shared" si="6"/>
        <v>41.055507533675907</v>
      </c>
      <c r="U24" s="15">
        <f t="shared" si="0"/>
        <v>18</v>
      </c>
      <c r="V24" s="9">
        <f t="shared" si="1"/>
        <v>17.634517658123901</v>
      </c>
      <c r="W24" s="9">
        <f>'Simple Model'!H24</f>
        <v>17.619622242937922</v>
      </c>
      <c r="X24" s="28">
        <f t="shared" si="2"/>
        <v>-0.36548234187609907</v>
      </c>
      <c r="Y24" s="28">
        <f t="shared" si="3"/>
        <v>-0.3803777570620781</v>
      </c>
    </row>
    <row r="25" spans="1:25" ht="15.5" x14ac:dyDescent="0.35">
      <c r="A25" s="17" t="s">
        <v>27</v>
      </c>
      <c r="B25" s="18">
        <v>12.5</v>
      </c>
      <c r="C25" s="19">
        <v>237.4</v>
      </c>
      <c r="D25" s="19">
        <v>5.0999999999999996</v>
      </c>
      <c r="E25" s="19">
        <v>23.5</v>
      </c>
      <c r="F25" s="5"/>
      <c r="H25" s="9">
        <f t="shared" si="4"/>
        <v>15.503939702699554</v>
      </c>
      <c r="I25" s="9">
        <f t="shared" si="5"/>
        <v>5.9148221425147893</v>
      </c>
      <c r="J25" s="9">
        <f t="shared" si="6"/>
        <v>27.611693818432851</v>
      </c>
      <c r="U25" s="15">
        <f t="shared" si="0"/>
        <v>12.5</v>
      </c>
      <c r="V25" s="9">
        <f t="shared" si="1"/>
        <v>14.114663856548695</v>
      </c>
      <c r="W25" s="9">
        <f>'Simple Model'!H25</f>
        <v>14.577038429549626</v>
      </c>
      <c r="X25" s="28">
        <f t="shared" si="2"/>
        <v>1.6146638565486953</v>
      </c>
      <c r="Y25" s="28">
        <f t="shared" si="3"/>
        <v>2.077038429549626</v>
      </c>
    </row>
    <row r="26" spans="1:25" ht="15.5" x14ac:dyDescent="0.35">
      <c r="A26" s="17" t="s">
        <v>28</v>
      </c>
      <c r="B26" s="18">
        <v>5.6</v>
      </c>
      <c r="C26" s="19">
        <v>13.2</v>
      </c>
      <c r="D26" s="19">
        <v>15.9</v>
      </c>
      <c r="E26" s="19">
        <v>49.6</v>
      </c>
      <c r="F26" s="5"/>
      <c r="H26" s="9">
        <f t="shared" si="4"/>
        <v>4.0374234284429358</v>
      </c>
      <c r="I26" s="9">
        <f t="shared" si="5"/>
        <v>12.460449851477241</v>
      </c>
      <c r="J26" s="9">
        <f t="shared" si="6"/>
        <v>40.226608792826305</v>
      </c>
      <c r="U26" s="15">
        <f t="shared" si="0"/>
        <v>5.6</v>
      </c>
      <c r="V26" s="9">
        <f t="shared" si="1"/>
        <v>4.6896671174499946</v>
      </c>
      <c r="W26" s="9">
        <f>'Simple Model'!H26</f>
        <v>5.842087898005409</v>
      </c>
      <c r="X26" s="28">
        <f t="shared" si="2"/>
        <v>-0.910332882550005</v>
      </c>
      <c r="Y26" s="28">
        <f t="shared" si="3"/>
        <v>0.24208789800540931</v>
      </c>
    </row>
    <row r="27" spans="1:25" ht="15.5" x14ac:dyDescent="0.35">
      <c r="A27" s="17" t="s">
        <v>29</v>
      </c>
      <c r="B27" s="18">
        <v>15.5</v>
      </c>
      <c r="C27" s="19">
        <v>228.3</v>
      </c>
      <c r="D27" s="19">
        <v>16.899999999999999</v>
      </c>
      <c r="E27" s="19">
        <v>26.2</v>
      </c>
      <c r="F27" s="5"/>
      <c r="H27" s="9">
        <f t="shared" si="4"/>
        <v>15.136296927772282</v>
      </c>
      <c r="I27" s="9">
        <f t="shared" si="5"/>
        <v>13.580125543600547</v>
      </c>
      <c r="J27" s="9">
        <f t="shared" si="6"/>
        <v>29.081704971351158</v>
      </c>
      <c r="U27" s="15">
        <f t="shared" si="0"/>
        <v>15.5</v>
      </c>
      <c r="V27" s="9">
        <f t="shared" si="1"/>
        <v>16.010650134285171</v>
      </c>
      <c r="W27" s="9">
        <f>'Simple Model'!H27</f>
        <v>16.447574865680053</v>
      </c>
      <c r="X27" s="28">
        <f t="shared" si="2"/>
        <v>0.51065013428517148</v>
      </c>
      <c r="Y27" s="28">
        <f t="shared" si="3"/>
        <v>0.94757486568005334</v>
      </c>
    </row>
    <row r="28" spans="1:25" ht="15.5" x14ac:dyDescent="0.35">
      <c r="A28" s="17" t="s">
        <v>30</v>
      </c>
      <c r="B28" s="18">
        <v>9.6999999999999993</v>
      </c>
      <c r="C28" s="19">
        <v>62.3</v>
      </c>
      <c r="D28" s="19">
        <v>12.6</v>
      </c>
      <c r="E28" s="19">
        <v>18.3</v>
      </c>
      <c r="F28" s="5"/>
      <c r="H28" s="9">
        <f t="shared" si="4"/>
        <v>8.0825280318446442</v>
      </c>
      <c r="I28" s="9">
        <f t="shared" si="5"/>
        <v>10.723615311881465</v>
      </c>
      <c r="J28" s="9">
        <f t="shared" si="6"/>
        <v>21.307429908777987</v>
      </c>
      <c r="U28" s="15">
        <f t="shared" si="0"/>
        <v>9.6999999999999993</v>
      </c>
      <c r="V28" s="9">
        <f t="shared" si="1"/>
        <v>8.6072818182283992</v>
      </c>
      <c r="W28" s="9">
        <f>'Simple Model'!H28</f>
        <v>8.052768420999417</v>
      </c>
      <c r="X28" s="28">
        <f t="shared" si="2"/>
        <v>-1.0927181817716001</v>
      </c>
      <c r="Y28" s="28">
        <f t="shared" si="3"/>
        <v>-1.6472315790005823</v>
      </c>
    </row>
    <row r="29" spans="1:25" ht="15.5" x14ac:dyDescent="0.35">
      <c r="A29" s="17" t="s">
        <v>31</v>
      </c>
      <c r="B29" s="18">
        <v>12</v>
      </c>
      <c r="C29" s="19">
        <v>262.89999999999998</v>
      </c>
      <c r="D29" s="19">
        <v>3.5</v>
      </c>
      <c r="E29" s="19">
        <v>19.5</v>
      </c>
      <c r="F29" s="5"/>
      <c r="H29" s="9">
        <f t="shared" si="4"/>
        <v>16.263963403991319</v>
      </c>
      <c r="I29" s="9">
        <f t="shared" si="5"/>
        <v>3.9275932593384417</v>
      </c>
      <c r="J29" s="9">
        <f t="shared" si="6"/>
        <v>20.079956750653189</v>
      </c>
      <c r="U29" s="15">
        <f t="shared" si="0"/>
        <v>12</v>
      </c>
      <c r="V29" s="9">
        <f t="shared" si="1"/>
        <v>14.469995673567007</v>
      </c>
      <c r="W29" s="9">
        <f>'Simple Model'!H29</f>
        <v>15.516223391616327</v>
      </c>
      <c r="X29" s="28">
        <f t="shared" si="2"/>
        <v>2.4699956735670074</v>
      </c>
      <c r="Y29" s="28">
        <f t="shared" si="3"/>
        <v>3.516223391616327</v>
      </c>
    </row>
    <row r="30" spans="1:25" ht="15.5" x14ac:dyDescent="0.35">
      <c r="A30" s="17" t="s">
        <v>32</v>
      </c>
      <c r="B30" s="18">
        <v>15</v>
      </c>
      <c r="C30" s="19">
        <v>142.9</v>
      </c>
      <c r="D30" s="19">
        <v>29.3</v>
      </c>
      <c r="E30" s="19">
        <v>12.6</v>
      </c>
      <c r="F30" s="5"/>
      <c r="H30" s="9">
        <f t="shared" si="4"/>
        <v>12.089366926386106</v>
      </c>
      <c r="I30" s="9">
        <f t="shared" si="5"/>
        <v>21.15365915270203</v>
      </c>
      <c r="J30" s="9">
        <f t="shared" si="6"/>
        <v>15.243576284695916</v>
      </c>
      <c r="U30" s="15">
        <f t="shared" si="0"/>
        <v>15</v>
      </c>
      <c r="V30" s="9">
        <f t="shared" si="1"/>
        <v>15.751539712424716</v>
      </c>
      <c r="W30" s="9">
        <f>'Simple Model'!H30</f>
        <v>15.210479853263733</v>
      </c>
      <c r="X30" s="28">
        <f t="shared" si="2"/>
        <v>0.75153971242471584</v>
      </c>
      <c r="Y30" s="28">
        <f t="shared" si="3"/>
        <v>0.21047985326373286</v>
      </c>
    </row>
    <row r="31" spans="1:25" ht="15.5" x14ac:dyDescent="0.35">
      <c r="A31" s="17" t="s">
        <v>33</v>
      </c>
      <c r="B31" s="18">
        <v>15.9</v>
      </c>
      <c r="C31" s="19">
        <v>240.1</v>
      </c>
      <c r="D31" s="19">
        <v>16.7</v>
      </c>
      <c r="E31" s="19">
        <v>22.9</v>
      </c>
      <c r="F31" s="5"/>
      <c r="H31" s="9">
        <f t="shared" si="4"/>
        <v>15.572985371638838</v>
      </c>
      <c r="I31" s="9">
        <f t="shared" si="5"/>
        <v>14.030120526794384</v>
      </c>
      <c r="J31" s="9">
        <f t="shared" si="6"/>
        <v>20.707304258971675</v>
      </c>
      <c r="U31" s="15">
        <f t="shared" si="0"/>
        <v>15.9</v>
      </c>
      <c r="V31" s="9">
        <f t="shared" si="1"/>
        <v>16.808687191982383</v>
      </c>
      <c r="W31" s="9">
        <f>'Simple Model'!H31</f>
        <v>17.016858508158283</v>
      </c>
      <c r="X31" s="28">
        <f t="shared" si="2"/>
        <v>0.90868719198238246</v>
      </c>
      <c r="Y31" s="28">
        <f t="shared" si="3"/>
        <v>1.1168585081582822</v>
      </c>
    </row>
    <row r="32" spans="1:25" ht="15.5" x14ac:dyDescent="0.35">
      <c r="A32" s="17" t="s">
        <v>34</v>
      </c>
      <c r="B32" s="18">
        <v>18.899999999999999</v>
      </c>
      <c r="C32" s="19">
        <v>248.8</v>
      </c>
      <c r="D32" s="19">
        <v>27.1</v>
      </c>
      <c r="E32" s="19">
        <v>22.9</v>
      </c>
      <c r="F32" s="5"/>
      <c r="H32" s="9">
        <f t="shared" si="4"/>
        <v>15.871817699127211</v>
      </c>
      <c r="I32" s="9">
        <f t="shared" si="5"/>
        <v>20.389270181310273</v>
      </c>
      <c r="J32" s="9">
        <f t="shared" si="6"/>
        <v>22.106761396770413</v>
      </c>
      <c r="U32" s="15">
        <f t="shared" si="0"/>
        <v>18.899999999999999</v>
      </c>
      <c r="V32" s="9">
        <f t="shared" si="1"/>
        <v>18.95639027450617</v>
      </c>
      <c r="W32" s="9">
        <f>'Simple Model'!H32</f>
        <v>19.485019486761967</v>
      </c>
      <c r="X32" s="28">
        <f t="shared" si="2"/>
        <v>5.6390274506171068E-2</v>
      </c>
      <c r="Y32" s="28">
        <f t="shared" si="3"/>
        <v>0.58501948676196847</v>
      </c>
    </row>
    <row r="33" spans="1:25" ht="15.5" x14ac:dyDescent="0.35">
      <c r="A33" s="17" t="s">
        <v>35</v>
      </c>
      <c r="B33" s="18">
        <v>10.5</v>
      </c>
      <c r="C33" s="19">
        <v>70.599999999999994</v>
      </c>
      <c r="D33" s="19">
        <v>16</v>
      </c>
      <c r="E33" s="19">
        <v>40.799999999999997</v>
      </c>
      <c r="F33" s="5"/>
      <c r="H33" s="9">
        <f t="shared" si="4"/>
        <v>8.5892004016570382</v>
      </c>
      <c r="I33" s="9">
        <f t="shared" si="5"/>
        <v>13.507955814298331</v>
      </c>
      <c r="J33" s="9">
        <f t="shared" si="6"/>
        <v>33.594632194023937</v>
      </c>
      <c r="U33" s="15">
        <f t="shared" si="0"/>
        <v>10.5</v>
      </c>
      <c r="V33" s="9">
        <f t="shared" si="1"/>
        <v>9.5685046076143738</v>
      </c>
      <c r="W33" s="9">
        <f>'Simple Model'!H33</f>
        <v>8.6873399455344344</v>
      </c>
      <c r="X33" s="28">
        <f t="shared" si="2"/>
        <v>-0.93149539238562618</v>
      </c>
      <c r="Y33" s="28">
        <f t="shared" si="3"/>
        <v>-1.8126600544655656</v>
      </c>
    </row>
    <row r="34" spans="1:25" x14ac:dyDescent="0.35">
      <c r="W34" s="13" t="s">
        <v>51</v>
      </c>
      <c r="X34" s="27" cm="1">
        <f t="array" ref="X34">AVERAGE(ABS(X4:X33))</f>
        <v>1.0041231480877808</v>
      </c>
      <c r="Y34" s="27" cm="1">
        <f t="array" ref="Y34">AVERAGE(ABS(Y4:Y33))</f>
        <v>1.3202979727775728</v>
      </c>
    </row>
    <row r="35" spans="1:25" ht="15.5" x14ac:dyDescent="0.35">
      <c r="A35" s="33"/>
      <c r="B35" s="11" t="s">
        <v>77</v>
      </c>
    </row>
    <row r="36" spans="1:25" ht="15.5" x14ac:dyDescent="0.35">
      <c r="A36" s="33" t="s">
        <v>71</v>
      </c>
      <c r="B36" s="9" t="s">
        <v>72</v>
      </c>
    </row>
    <row r="37" spans="1:25" ht="15.5" x14ac:dyDescent="0.35">
      <c r="A37" s="33" t="s">
        <v>73</v>
      </c>
      <c r="B37" s="9" t="s">
        <v>74</v>
      </c>
    </row>
    <row r="38" spans="1:25" ht="15.5" x14ac:dyDescent="0.35">
      <c r="A38" s="33" t="s">
        <v>75</v>
      </c>
      <c r="B38" s="9" t="s">
        <v>76</v>
      </c>
    </row>
    <row r="41" spans="1:25" ht="15.5" x14ac:dyDescent="0.35">
      <c r="A41" s="34" t="s">
        <v>79</v>
      </c>
      <c r="F41" s="32"/>
    </row>
    <row r="42" spans="1:25" ht="15.5" x14ac:dyDescent="0.35">
      <c r="A42" s="34"/>
      <c r="F42" s="32"/>
    </row>
    <row r="43" spans="1:25" x14ac:dyDescent="0.35">
      <c r="D43" s="35" t="s">
        <v>59</v>
      </c>
      <c r="E43" s="36">
        <v>0.5</v>
      </c>
      <c r="F43" s="36">
        <v>0.9</v>
      </c>
      <c r="G43" s="36">
        <v>0.9</v>
      </c>
    </row>
    <row r="44" spans="1:25" ht="15.5" x14ac:dyDescent="0.35">
      <c r="A44" s="11" t="s">
        <v>83</v>
      </c>
      <c r="B44" s="22" t="s">
        <v>2</v>
      </c>
      <c r="C44" s="22" t="s">
        <v>3</v>
      </c>
      <c r="D44" s="22" t="s">
        <v>4</v>
      </c>
      <c r="E44" s="9" t="s">
        <v>80</v>
      </c>
      <c r="F44" s="9" t="s">
        <v>81</v>
      </c>
      <c r="G44" s="9" t="s">
        <v>82</v>
      </c>
      <c r="H44" s="9" t="s">
        <v>84</v>
      </c>
      <c r="I44" s="9" t="s">
        <v>46</v>
      </c>
      <c r="K44" s="11"/>
      <c r="L44" s="11" t="s">
        <v>4</v>
      </c>
      <c r="M44" s="11" t="s">
        <v>3</v>
      </c>
      <c r="N44" s="11" t="s">
        <v>2</v>
      </c>
      <c r="O44" s="11" t="s">
        <v>41</v>
      </c>
    </row>
    <row r="45" spans="1:25" ht="15.5" x14ac:dyDescent="0.35">
      <c r="A45" s="33" t="s">
        <v>6</v>
      </c>
      <c r="B45" s="19">
        <v>230.1</v>
      </c>
      <c r="C45" s="19">
        <v>37.799999999999997</v>
      </c>
      <c r="D45" s="19">
        <v>69.2</v>
      </c>
      <c r="E45" s="9">
        <f t="shared" ref="E45:E74" si="7">C4^$E$43</f>
        <v>15.169047432189011</v>
      </c>
      <c r="F45" s="9">
        <f t="shared" ref="F45:F74" si="8">D4^$F$43</f>
        <v>26.287096525043403</v>
      </c>
      <c r="G45" s="9">
        <f t="shared" ref="G45:G74" si="9">E4^$G$43</f>
        <v>45.299716598300492</v>
      </c>
      <c r="H45" s="9">
        <f t="shared" ref="H45:H74" si="10">$O$45+$N$45*E45+$M$45*F45+$L$45*G45</f>
        <v>19.821815681076462</v>
      </c>
      <c r="I45" s="18">
        <v>22.1</v>
      </c>
      <c r="K45" s="11" t="s">
        <v>39</v>
      </c>
      <c r="L45" s="37" cm="1">
        <f t="array" ref="L45:O49">LINEST(B4:B33,E45:G74,1,1)</f>
        <v>-2.213551468432548E-2</v>
      </c>
      <c r="M45" s="37">
        <v>0.29867392289045958</v>
      </c>
      <c r="N45" s="37">
        <v>0.95800111461352611</v>
      </c>
      <c r="O45" s="9">
        <v>-1.5586863651634721</v>
      </c>
    </row>
    <row r="46" spans="1:25" ht="15.5" x14ac:dyDescent="0.35">
      <c r="A46" s="33" t="s">
        <v>7</v>
      </c>
      <c r="B46" s="19">
        <v>44.5</v>
      </c>
      <c r="C46" s="19">
        <v>39.299999999999997</v>
      </c>
      <c r="D46" s="19">
        <v>45.1</v>
      </c>
      <c r="E46" s="9">
        <f t="shared" si="7"/>
        <v>6.6708320320631671</v>
      </c>
      <c r="F46" s="9">
        <f t="shared" si="8"/>
        <v>27.224085205511507</v>
      </c>
      <c r="G46" s="9">
        <f t="shared" si="9"/>
        <v>30.814766960704578</v>
      </c>
      <c r="H46" s="9">
        <f t="shared" si="10"/>
        <v>12.281001755834156</v>
      </c>
      <c r="I46" s="18">
        <v>10.4</v>
      </c>
      <c r="K46" s="11"/>
      <c r="L46" s="9">
        <v>2.2741554161027348E-2</v>
      </c>
      <c r="M46" s="9">
        <v>3.8128765226833755E-2</v>
      </c>
      <c r="N46" s="9">
        <v>6.3939799017111207E-2</v>
      </c>
      <c r="O46" s="9">
        <v>0.97411199339273491</v>
      </c>
    </row>
    <row r="47" spans="1:25" ht="15.5" x14ac:dyDescent="0.35">
      <c r="A47" s="33" t="s">
        <v>8</v>
      </c>
      <c r="B47" s="19">
        <v>17.2</v>
      </c>
      <c r="C47" s="19">
        <v>45.9</v>
      </c>
      <c r="D47" s="19">
        <v>69.3</v>
      </c>
      <c r="E47" s="9">
        <f t="shared" si="7"/>
        <v>4.1472882706655438</v>
      </c>
      <c r="F47" s="9">
        <f t="shared" si="8"/>
        <v>31.30627652379513</v>
      </c>
      <c r="G47" s="9">
        <f t="shared" si="9"/>
        <v>45.358628160016274</v>
      </c>
      <c r="H47" s="9">
        <f t="shared" si="10"/>
        <v>10.760752261516213</v>
      </c>
      <c r="I47" s="18">
        <v>9.3000000000000007</v>
      </c>
      <c r="K47" s="12" t="s">
        <v>40</v>
      </c>
      <c r="L47" s="20">
        <v>0.91832771105405486</v>
      </c>
      <c r="M47" s="9">
        <v>1.4947320813990019</v>
      </c>
      <c r="N47" s="9" t="e">
        <v>#N/A</v>
      </c>
      <c r="O47" s="9" t="e">
        <v>#N/A</v>
      </c>
    </row>
    <row r="48" spans="1:25" ht="15.5" x14ac:dyDescent="0.35">
      <c r="A48" s="33" t="s">
        <v>9</v>
      </c>
      <c r="B48" s="19">
        <v>151.5</v>
      </c>
      <c r="C48" s="19">
        <v>41.3</v>
      </c>
      <c r="D48" s="19">
        <v>58.5</v>
      </c>
      <c r="E48" s="9">
        <f t="shared" si="7"/>
        <v>12.308533625091171</v>
      </c>
      <c r="F48" s="9">
        <f t="shared" si="8"/>
        <v>28.467874756256442</v>
      </c>
      <c r="G48" s="9">
        <f t="shared" si="9"/>
        <v>38.943975154083041</v>
      </c>
      <c r="H48" s="9">
        <f t="shared" si="10"/>
        <v>17.873469462848117</v>
      </c>
      <c r="I48" s="18">
        <v>18.5</v>
      </c>
      <c r="K48" s="11"/>
      <c r="L48" s="9">
        <v>97.448476896931822</v>
      </c>
      <c r="M48" s="9">
        <v>26</v>
      </c>
      <c r="N48" s="9" t="e">
        <v>#N/A</v>
      </c>
      <c r="O48" s="9" t="e">
        <v>#N/A</v>
      </c>
    </row>
    <row r="49" spans="1:15" ht="15.5" x14ac:dyDescent="0.35">
      <c r="A49" s="33" t="s">
        <v>10</v>
      </c>
      <c r="B49" s="19">
        <v>180.8</v>
      </c>
      <c r="C49" s="19">
        <v>10.8</v>
      </c>
      <c r="D49" s="19">
        <v>58.4</v>
      </c>
      <c r="E49" s="9">
        <f t="shared" si="7"/>
        <v>13.446189051177289</v>
      </c>
      <c r="F49" s="9">
        <f t="shared" si="8"/>
        <v>8.5129754299445661</v>
      </c>
      <c r="G49" s="9">
        <f t="shared" si="9"/>
        <v>38.884056222102856</v>
      </c>
      <c r="H49" s="9">
        <f t="shared" si="10"/>
        <v>13.004662902809706</v>
      </c>
      <c r="I49" s="18">
        <v>12.9</v>
      </c>
      <c r="K49" s="11"/>
      <c r="L49" s="9">
        <v>653.16517612575171</v>
      </c>
      <c r="M49" s="9">
        <v>58.089823874248204</v>
      </c>
      <c r="N49" s="9" t="e">
        <v>#N/A</v>
      </c>
      <c r="O49" s="9" t="e">
        <v>#N/A</v>
      </c>
    </row>
    <row r="50" spans="1:15" ht="15.5" x14ac:dyDescent="0.35">
      <c r="A50" s="33" t="s">
        <v>11</v>
      </c>
      <c r="B50" s="19">
        <v>8.6999999999999993</v>
      </c>
      <c r="C50" s="19">
        <v>48.9</v>
      </c>
      <c r="D50" s="19">
        <v>75</v>
      </c>
      <c r="E50" s="9">
        <f t="shared" si="7"/>
        <v>2.9495762407505248</v>
      </c>
      <c r="F50" s="9">
        <f t="shared" si="8"/>
        <v>33.141943546798537</v>
      </c>
      <c r="G50" s="9">
        <f t="shared" si="9"/>
        <v>48.70293533944303</v>
      </c>
      <c r="H50" s="9">
        <f t="shared" si="10"/>
        <v>10.08758071207358</v>
      </c>
      <c r="I50" s="18">
        <v>7.2</v>
      </c>
    </row>
    <row r="51" spans="1:15" ht="15.5" x14ac:dyDescent="0.35">
      <c r="A51" s="33" t="s">
        <v>12</v>
      </c>
      <c r="B51" s="19">
        <v>57.5</v>
      </c>
      <c r="C51" s="19">
        <v>32.799999999999997</v>
      </c>
      <c r="D51" s="19">
        <v>23.5</v>
      </c>
      <c r="E51" s="9">
        <f t="shared" si="7"/>
        <v>7.5828754440515507</v>
      </c>
      <c r="F51" s="9">
        <f t="shared" si="8"/>
        <v>23.135903242552168</v>
      </c>
      <c r="G51" s="9">
        <f t="shared" si="9"/>
        <v>17.138036997351684</v>
      </c>
      <c r="H51" s="9">
        <f t="shared" si="10"/>
        <v>12.236448473665217</v>
      </c>
      <c r="I51" s="18">
        <v>11.8</v>
      </c>
    </row>
    <row r="52" spans="1:15" ht="15.5" x14ac:dyDescent="0.35">
      <c r="A52" s="33" t="s">
        <v>13</v>
      </c>
      <c r="B52" s="19">
        <v>120.2</v>
      </c>
      <c r="C52" s="19">
        <v>19.600000000000001</v>
      </c>
      <c r="D52" s="19">
        <v>11.6</v>
      </c>
      <c r="E52" s="9">
        <f t="shared" si="7"/>
        <v>10.963576058932597</v>
      </c>
      <c r="F52" s="9">
        <f t="shared" si="8"/>
        <v>14.555611794661306</v>
      </c>
      <c r="G52" s="9">
        <f t="shared" si="9"/>
        <v>9.0784601234345423</v>
      </c>
      <c r="H52" s="9">
        <f t="shared" si="10"/>
        <v>13.090857006852911</v>
      </c>
      <c r="I52" s="18">
        <v>13.2</v>
      </c>
    </row>
    <row r="53" spans="1:15" ht="15.5" x14ac:dyDescent="0.35">
      <c r="A53" s="33" t="s">
        <v>14</v>
      </c>
      <c r="B53" s="19">
        <v>8.6</v>
      </c>
      <c r="C53" s="19">
        <v>2.1</v>
      </c>
      <c r="D53" s="19">
        <v>1</v>
      </c>
      <c r="E53" s="9">
        <f t="shared" si="7"/>
        <v>2.9325756597230361</v>
      </c>
      <c r="F53" s="9">
        <f t="shared" si="8"/>
        <v>1.94983277064862</v>
      </c>
      <c r="G53" s="9">
        <f t="shared" si="9"/>
        <v>1</v>
      </c>
      <c r="H53" s="9">
        <f t="shared" si="10"/>
        <v>1.8109530734453647</v>
      </c>
      <c r="I53" s="18">
        <v>4.8</v>
      </c>
    </row>
    <row r="54" spans="1:15" ht="15.5" x14ac:dyDescent="0.35">
      <c r="A54" s="33" t="s">
        <v>15</v>
      </c>
      <c r="B54" s="19">
        <v>199.8</v>
      </c>
      <c r="C54" s="19">
        <v>2.6</v>
      </c>
      <c r="D54" s="19">
        <v>21.2</v>
      </c>
      <c r="E54" s="9">
        <f t="shared" si="7"/>
        <v>14.135062787267696</v>
      </c>
      <c r="F54" s="9">
        <f t="shared" si="8"/>
        <v>2.3630668793283913</v>
      </c>
      <c r="G54" s="9">
        <f t="shared" si="9"/>
        <v>15.620764135010852</v>
      </c>
      <c r="H54" s="9">
        <f t="shared" si="10"/>
        <v>12.342732341181764</v>
      </c>
      <c r="I54" s="18">
        <v>10.6</v>
      </c>
    </row>
    <row r="55" spans="1:15" ht="15.5" x14ac:dyDescent="0.35">
      <c r="A55" s="33" t="s">
        <v>16</v>
      </c>
      <c r="B55" s="19">
        <v>66.099999999999994</v>
      </c>
      <c r="C55" s="19">
        <v>5.8</v>
      </c>
      <c r="D55" s="19">
        <v>24.2</v>
      </c>
      <c r="E55" s="9">
        <f t="shared" si="7"/>
        <v>8.1301906496711371</v>
      </c>
      <c r="F55" s="9">
        <f t="shared" si="8"/>
        <v>4.8650263204955513</v>
      </c>
      <c r="G55" s="9">
        <f t="shared" si="9"/>
        <v>17.59680532329708</v>
      </c>
      <c r="H55" s="9">
        <f t="shared" si="10"/>
        <v>7.2935874927186299</v>
      </c>
      <c r="I55" s="18">
        <v>8.6</v>
      </c>
    </row>
    <row r="56" spans="1:15" ht="15.5" x14ac:dyDescent="0.35">
      <c r="A56" s="33" t="s">
        <v>17</v>
      </c>
      <c r="B56" s="19">
        <v>214.7</v>
      </c>
      <c r="C56" s="19">
        <v>24</v>
      </c>
      <c r="D56" s="19">
        <v>4</v>
      </c>
      <c r="E56" s="9">
        <f t="shared" si="7"/>
        <v>14.652644812456213</v>
      </c>
      <c r="F56" s="9">
        <f t="shared" si="8"/>
        <v>17.46586574499123</v>
      </c>
      <c r="G56" s="9">
        <f t="shared" si="9"/>
        <v>3.4822022531844965</v>
      </c>
      <c r="H56" s="9">
        <f t="shared" si="10"/>
        <v>17.618081996831155</v>
      </c>
      <c r="I56" s="18">
        <v>17.399999999999999</v>
      </c>
    </row>
    <row r="57" spans="1:15" ht="15.5" x14ac:dyDescent="0.35">
      <c r="A57" s="33" t="s">
        <v>18</v>
      </c>
      <c r="B57" s="19">
        <v>23.8</v>
      </c>
      <c r="C57" s="19">
        <v>35.1</v>
      </c>
      <c r="D57" s="19">
        <v>65.900000000000006</v>
      </c>
      <c r="E57" s="9">
        <f t="shared" si="7"/>
        <v>4.8785243670601872</v>
      </c>
      <c r="F57" s="9">
        <f t="shared" si="8"/>
        <v>24.591012174653859</v>
      </c>
      <c r="G57" s="9">
        <f t="shared" si="9"/>
        <v>43.350775717522005</v>
      </c>
      <c r="H57" s="9">
        <f t="shared" si="10"/>
        <v>9.5000477577282432</v>
      </c>
      <c r="I57" s="18">
        <v>9.1999999999999993</v>
      </c>
    </row>
    <row r="58" spans="1:15" ht="15.5" x14ac:dyDescent="0.35">
      <c r="A58" s="33" t="s">
        <v>19</v>
      </c>
      <c r="B58" s="19">
        <v>97.5</v>
      </c>
      <c r="C58" s="19">
        <v>7.6</v>
      </c>
      <c r="D58" s="19">
        <v>7.2</v>
      </c>
      <c r="E58" s="9">
        <f t="shared" si="7"/>
        <v>9.8742088290657488</v>
      </c>
      <c r="F58" s="9">
        <f t="shared" si="8"/>
        <v>6.2048635157408123</v>
      </c>
      <c r="G58" s="9">
        <f t="shared" si="9"/>
        <v>5.9101601158995694</v>
      </c>
      <c r="H58" s="9">
        <f t="shared" si="10"/>
        <v>9.6232231902222232</v>
      </c>
      <c r="I58" s="18">
        <v>9.6999999999999993</v>
      </c>
    </row>
    <row r="59" spans="1:15" ht="15.5" x14ac:dyDescent="0.35">
      <c r="A59" s="33" t="s">
        <v>20</v>
      </c>
      <c r="B59" s="19">
        <v>204.1</v>
      </c>
      <c r="C59" s="19">
        <v>32.9</v>
      </c>
      <c r="D59" s="19">
        <v>46</v>
      </c>
      <c r="E59" s="9">
        <f t="shared" si="7"/>
        <v>14.286357128393508</v>
      </c>
      <c r="F59" s="9">
        <f t="shared" si="8"/>
        <v>23.199376237454246</v>
      </c>
      <c r="G59" s="9">
        <f t="shared" si="9"/>
        <v>31.367654698256235</v>
      </c>
      <c r="H59" s="9">
        <f t="shared" si="10"/>
        <v>18.362369215870469</v>
      </c>
      <c r="I59" s="18">
        <v>19</v>
      </c>
    </row>
    <row r="60" spans="1:15" ht="15.5" x14ac:dyDescent="0.35">
      <c r="A60" s="33" t="s">
        <v>21</v>
      </c>
      <c r="B60" s="19">
        <v>195.4</v>
      </c>
      <c r="C60" s="19">
        <v>47.7</v>
      </c>
      <c r="D60" s="19">
        <v>52.9</v>
      </c>
      <c r="E60" s="9">
        <f t="shared" si="7"/>
        <v>13.978555004005242</v>
      </c>
      <c r="F60" s="9">
        <f t="shared" si="8"/>
        <v>32.409067932637946</v>
      </c>
      <c r="G60" s="9">
        <f t="shared" si="9"/>
        <v>35.572149169375905</v>
      </c>
      <c r="H60" s="9">
        <f t="shared" si="10"/>
        <v>20.725120535732668</v>
      </c>
      <c r="I60" s="18">
        <v>22.4</v>
      </c>
    </row>
    <row r="61" spans="1:15" ht="15.5" x14ac:dyDescent="0.35">
      <c r="A61" s="33" t="s">
        <v>22</v>
      </c>
      <c r="B61" s="19">
        <v>67.8</v>
      </c>
      <c r="C61" s="19">
        <v>36.6</v>
      </c>
      <c r="D61" s="19">
        <v>114</v>
      </c>
      <c r="E61" s="9">
        <f t="shared" si="7"/>
        <v>8.2340755400955601</v>
      </c>
      <c r="F61" s="9">
        <f t="shared" si="8"/>
        <v>25.53483035284091</v>
      </c>
      <c r="G61" s="9">
        <f t="shared" si="9"/>
        <v>70.992809946561934</v>
      </c>
      <c r="H61" s="9">
        <f t="shared" si="10"/>
        <v>12.384692744831769</v>
      </c>
      <c r="I61" s="18">
        <v>12.5</v>
      </c>
    </row>
    <row r="62" spans="1:15" ht="15.5" x14ac:dyDescent="0.35">
      <c r="A62" s="33" t="s">
        <v>23</v>
      </c>
      <c r="B62" s="19">
        <v>281.39999999999998</v>
      </c>
      <c r="C62" s="19">
        <v>39.6</v>
      </c>
      <c r="D62" s="19">
        <v>55.8</v>
      </c>
      <c r="E62" s="9">
        <f t="shared" si="7"/>
        <v>16.774981371077583</v>
      </c>
      <c r="F62" s="9">
        <f t="shared" si="8"/>
        <v>27.411049716740802</v>
      </c>
      <c r="G62" s="9">
        <f t="shared" si="9"/>
        <v>37.322504497470888</v>
      </c>
      <c r="H62" s="9">
        <f t="shared" si="10"/>
        <v>21.872577389034813</v>
      </c>
      <c r="I62" s="18">
        <v>24.4</v>
      </c>
    </row>
    <row r="63" spans="1:15" ht="15.5" x14ac:dyDescent="0.35">
      <c r="A63" s="33" t="s">
        <v>24</v>
      </c>
      <c r="B63" s="19">
        <v>69.2</v>
      </c>
      <c r="C63" s="19">
        <v>20.5</v>
      </c>
      <c r="D63" s="19">
        <v>18.3</v>
      </c>
      <c r="E63" s="9">
        <f t="shared" si="7"/>
        <v>8.3186537372341682</v>
      </c>
      <c r="F63" s="9">
        <f t="shared" si="8"/>
        <v>15.155786368191498</v>
      </c>
      <c r="G63" s="9">
        <f t="shared" si="9"/>
        <v>13.683776771270573</v>
      </c>
      <c r="H63" s="9">
        <f t="shared" si="10"/>
        <v>10.634333914610849</v>
      </c>
      <c r="I63" s="18">
        <v>11.3</v>
      </c>
    </row>
    <row r="64" spans="1:15" ht="15.5" x14ac:dyDescent="0.35">
      <c r="A64" s="33" t="s">
        <v>25</v>
      </c>
      <c r="B64" s="19">
        <v>147.30000000000001</v>
      </c>
      <c r="C64" s="19">
        <v>23.9</v>
      </c>
      <c r="D64" s="19">
        <v>19.100000000000001</v>
      </c>
      <c r="E64" s="9">
        <f t="shared" si="7"/>
        <v>12.136721138759018</v>
      </c>
      <c r="F64" s="9">
        <f t="shared" si="8"/>
        <v>17.400355082347339</v>
      </c>
      <c r="G64" s="9">
        <f t="shared" si="9"/>
        <v>14.220996532305803</v>
      </c>
      <c r="H64" s="9">
        <f t="shared" si="10"/>
        <v>14.95054924808624</v>
      </c>
      <c r="I64" s="18">
        <v>14.6</v>
      </c>
    </row>
    <row r="65" spans="1:9" ht="15.5" x14ac:dyDescent="0.35">
      <c r="A65" s="33" t="s">
        <v>26</v>
      </c>
      <c r="B65" s="19">
        <v>218.4</v>
      </c>
      <c r="C65" s="19">
        <v>27.7</v>
      </c>
      <c r="D65" s="19">
        <v>53.4</v>
      </c>
      <c r="E65" s="9">
        <f t="shared" si="7"/>
        <v>14.778362561528933</v>
      </c>
      <c r="F65" s="9">
        <f t="shared" si="8"/>
        <v>19.871552211839393</v>
      </c>
      <c r="G65" s="9">
        <f t="shared" si="9"/>
        <v>35.87460527994125</v>
      </c>
      <c r="H65" s="9">
        <f t="shared" si="10"/>
        <v>17.74001304200819</v>
      </c>
      <c r="I65" s="18">
        <v>18</v>
      </c>
    </row>
    <row r="66" spans="1:9" ht="15.5" x14ac:dyDescent="0.35">
      <c r="A66" s="33" t="s">
        <v>27</v>
      </c>
      <c r="B66" s="19">
        <v>237.4</v>
      </c>
      <c r="C66" s="19">
        <v>5.0999999999999996</v>
      </c>
      <c r="D66" s="19">
        <v>23.5</v>
      </c>
      <c r="E66" s="9">
        <f t="shared" si="7"/>
        <v>15.407790237409127</v>
      </c>
      <c r="F66" s="9">
        <f t="shared" si="8"/>
        <v>4.333244141094502</v>
      </c>
      <c r="G66" s="9">
        <f t="shared" si="9"/>
        <v>17.138036997351684</v>
      </c>
      <c r="H66" s="9">
        <f t="shared" si="10"/>
        <v>14.116861612853281</v>
      </c>
      <c r="I66" s="18">
        <v>12.5</v>
      </c>
    </row>
    <row r="67" spans="1:9" ht="15.5" x14ac:dyDescent="0.35">
      <c r="A67" s="33" t="s">
        <v>28</v>
      </c>
      <c r="B67" s="19">
        <v>13.2</v>
      </c>
      <c r="C67" s="19">
        <v>15.9</v>
      </c>
      <c r="D67" s="19">
        <v>49.6</v>
      </c>
      <c r="E67" s="9">
        <f t="shared" si="7"/>
        <v>3.6331804249169899</v>
      </c>
      <c r="F67" s="9">
        <f t="shared" si="8"/>
        <v>12.057503922818766</v>
      </c>
      <c r="G67" s="9">
        <f t="shared" si="9"/>
        <v>33.568621622810312</v>
      </c>
      <c r="H67" s="9">
        <f t="shared" si="10"/>
        <v>4.7801078115301507</v>
      </c>
      <c r="I67" s="18">
        <v>5.6</v>
      </c>
    </row>
    <row r="68" spans="1:9" ht="15.5" x14ac:dyDescent="0.35">
      <c r="A68" s="33" t="s">
        <v>29</v>
      </c>
      <c r="B68" s="19">
        <v>228.3</v>
      </c>
      <c r="C68" s="19">
        <v>16.899999999999999</v>
      </c>
      <c r="D68" s="19">
        <v>26.2</v>
      </c>
      <c r="E68" s="9">
        <f t="shared" si="7"/>
        <v>15.109599597606815</v>
      </c>
      <c r="F68" s="9">
        <f t="shared" si="8"/>
        <v>12.737905838338209</v>
      </c>
      <c r="G68" s="9">
        <f t="shared" si="9"/>
        <v>18.90040725449543</v>
      </c>
      <c r="H68" s="9">
        <f t="shared" si="10"/>
        <v>16.302436954532087</v>
      </c>
      <c r="I68" s="18">
        <v>15.5</v>
      </c>
    </row>
    <row r="69" spans="1:9" ht="15.5" x14ac:dyDescent="0.35">
      <c r="A69" s="33" t="s">
        <v>30</v>
      </c>
      <c r="B69" s="19">
        <v>62.3</v>
      </c>
      <c r="C69" s="19">
        <v>12.6</v>
      </c>
      <c r="D69" s="19">
        <v>18.3</v>
      </c>
      <c r="E69" s="9">
        <f t="shared" si="7"/>
        <v>7.893034904268446</v>
      </c>
      <c r="F69" s="9">
        <f t="shared" si="8"/>
        <v>9.7798792032223485</v>
      </c>
      <c r="G69" s="9">
        <f t="shared" si="9"/>
        <v>13.683776771270573</v>
      </c>
      <c r="H69" s="9">
        <f t="shared" si="10"/>
        <v>8.6209473161729129</v>
      </c>
      <c r="I69" s="18">
        <v>9.6999999999999993</v>
      </c>
    </row>
    <row r="70" spans="1:9" ht="15.5" x14ac:dyDescent="0.35">
      <c r="A70" s="33" t="s">
        <v>31</v>
      </c>
      <c r="B70" s="19">
        <v>262.89999999999998</v>
      </c>
      <c r="C70" s="19">
        <v>3.5</v>
      </c>
      <c r="D70" s="19">
        <v>19.5</v>
      </c>
      <c r="E70" s="9">
        <f t="shared" si="7"/>
        <v>16.214191315017842</v>
      </c>
      <c r="F70" s="9">
        <f t="shared" si="8"/>
        <v>3.0878858680336365</v>
      </c>
      <c r="G70" s="9">
        <f t="shared" si="9"/>
        <v>14.488757719490886</v>
      </c>
      <c r="H70" s="9">
        <f t="shared" si="10"/>
        <v>14.576081863566767</v>
      </c>
      <c r="I70" s="18">
        <v>12</v>
      </c>
    </row>
    <row r="71" spans="1:9" ht="15.5" x14ac:dyDescent="0.35">
      <c r="A71" s="33" t="s">
        <v>32</v>
      </c>
      <c r="B71" s="19">
        <v>142.9</v>
      </c>
      <c r="C71" s="19">
        <v>29.3</v>
      </c>
      <c r="D71" s="19">
        <v>12.6</v>
      </c>
      <c r="E71" s="9">
        <f t="shared" si="7"/>
        <v>11.954078801814886</v>
      </c>
      <c r="F71" s="9">
        <f t="shared" si="8"/>
        <v>20.901663820127741</v>
      </c>
      <c r="G71" s="9">
        <f t="shared" si="9"/>
        <v>9.7798792032223485</v>
      </c>
      <c r="H71" s="9">
        <f t="shared" si="10"/>
        <v>15.919633719534396</v>
      </c>
      <c r="I71" s="18">
        <v>15</v>
      </c>
    </row>
    <row r="72" spans="1:9" ht="15.5" x14ac:dyDescent="0.35">
      <c r="A72" s="33" t="s">
        <v>33</v>
      </c>
      <c r="B72" s="19">
        <v>240.1</v>
      </c>
      <c r="C72" s="19">
        <v>16.7</v>
      </c>
      <c r="D72" s="19">
        <v>22.9</v>
      </c>
      <c r="E72" s="9">
        <f t="shared" si="7"/>
        <v>15.495160534825059</v>
      </c>
      <c r="F72" s="9">
        <f t="shared" si="8"/>
        <v>12.602155206690922</v>
      </c>
      <c r="G72" s="9">
        <f t="shared" si="9"/>
        <v>16.743719278485052</v>
      </c>
      <c r="H72" s="9">
        <f t="shared" si="10"/>
        <v>16.678998986812132</v>
      </c>
      <c r="I72" s="18">
        <v>15.9</v>
      </c>
    </row>
    <row r="73" spans="1:9" ht="15.5" x14ac:dyDescent="0.35">
      <c r="A73" s="33" t="s">
        <v>34</v>
      </c>
      <c r="B73" s="19">
        <v>248.8</v>
      </c>
      <c r="C73" s="19">
        <v>27.1</v>
      </c>
      <c r="D73" s="19">
        <v>22.9</v>
      </c>
      <c r="E73" s="9">
        <f t="shared" si="7"/>
        <v>15.773395322504284</v>
      </c>
      <c r="F73" s="9">
        <f t="shared" si="8"/>
        <v>19.48374162736615</v>
      </c>
      <c r="G73" s="9">
        <f t="shared" si="9"/>
        <v>16.743719278485052</v>
      </c>
      <c r="H73" s="9">
        <f t="shared" si="10"/>
        <v>19.000898635505873</v>
      </c>
      <c r="I73" s="18">
        <v>18.899999999999999</v>
      </c>
    </row>
    <row r="74" spans="1:9" ht="15.5" x14ac:dyDescent="0.35">
      <c r="A74" s="33" t="s">
        <v>35</v>
      </c>
      <c r="B74" s="19">
        <v>70.599999999999994</v>
      </c>
      <c r="C74" s="19">
        <v>16</v>
      </c>
      <c r="D74" s="19">
        <v>40.799999999999997</v>
      </c>
      <c r="E74" s="9">
        <f t="shared" si="7"/>
        <v>8.402380615040002</v>
      </c>
      <c r="F74" s="9">
        <f t="shared" si="8"/>
        <v>12.125732532083184</v>
      </c>
      <c r="G74" s="9">
        <f t="shared" si="9"/>
        <v>28.15750350080501</v>
      </c>
      <c r="H74" s="9">
        <f t="shared" si="10"/>
        <v>9.4891629005136693</v>
      </c>
      <c r="I74" s="18">
        <v>10.5</v>
      </c>
    </row>
  </sheetData>
  <mergeCells count="4">
    <mergeCell ref="L12:M12"/>
    <mergeCell ref="N12:O12"/>
    <mergeCell ref="P12:Q12"/>
    <mergeCell ref="U2:Y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FA62-EE02-4602-AFBF-4685576710C1}">
  <dimension ref="A1:Q33"/>
  <sheetViews>
    <sheetView workbookViewId="0">
      <selection activeCell="I5" sqref="I5"/>
    </sheetView>
  </sheetViews>
  <sheetFormatPr defaultRowHeight="14.5" x14ac:dyDescent="0.35"/>
  <cols>
    <col min="9" max="9" width="11.81640625" bestFit="1" customWidth="1"/>
    <col min="12" max="12" width="21.08984375" bestFit="1" customWidth="1"/>
    <col min="13" max="13" width="32.81640625" bestFit="1" customWidth="1"/>
    <col min="17" max="17" width="19.1796875" bestFit="1" customWidth="1"/>
  </cols>
  <sheetData>
    <row r="1" spans="1:17" x14ac:dyDescent="0.35">
      <c r="G1" s="12" t="s">
        <v>59</v>
      </c>
      <c r="H1" s="10">
        <v>0.41419521878104443</v>
      </c>
      <c r="I1" s="10">
        <v>0.84337754055312952</v>
      </c>
      <c r="J1" s="10">
        <v>0.98378504775020814</v>
      </c>
    </row>
    <row r="2" spans="1:17" x14ac:dyDescent="0.35">
      <c r="A2" s="13" t="s">
        <v>78</v>
      </c>
      <c r="G2" s="12" t="s">
        <v>60</v>
      </c>
      <c r="H2" s="10">
        <v>0.14124430996160636</v>
      </c>
      <c r="I2" s="10">
        <v>6.9703374731233697E-2</v>
      </c>
      <c r="J2" s="10">
        <v>1</v>
      </c>
      <c r="M2" t="s">
        <v>4</v>
      </c>
      <c r="N2" t="s">
        <v>3</v>
      </c>
      <c r="O2" t="s">
        <v>2</v>
      </c>
      <c r="P2" t="s">
        <v>41</v>
      </c>
    </row>
    <row r="3" spans="1:17" ht="15.5" x14ac:dyDescent="0.35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1"/>
      <c r="H3" s="26" t="s">
        <v>58</v>
      </c>
      <c r="I3" s="26" t="s">
        <v>61</v>
      </c>
      <c r="J3" s="26" t="s">
        <v>62</v>
      </c>
      <c r="L3" s="47" t="s">
        <v>39</v>
      </c>
      <c r="M3" s="9">
        <f t="array" ref="M3:P7">LINEST(B4:B33,H4:J33,1,1)</f>
        <v>4.2381260370157455E-3</v>
      </c>
      <c r="N3">
        <v>0.33988553808154137</v>
      </c>
      <c r="O3">
        <v>1.6594216740219256</v>
      </c>
      <c r="P3">
        <v>-4.781483226559696</v>
      </c>
    </row>
    <row r="4" spans="1:17" ht="15.5" x14ac:dyDescent="0.35">
      <c r="A4" s="17" t="s">
        <v>6</v>
      </c>
      <c r="B4" s="18">
        <v>22.1</v>
      </c>
      <c r="C4" s="19">
        <v>230.1</v>
      </c>
      <c r="D4" s="19">
        <v>37.799999999999997</v>
      </c>
      <c r="E4" s="19">
        <v>69.2</v>
      </c>
      <c r="F4" s="5"/>
      <c r="H4" s="9">
        <f>C4^H1</f>
        <v>9.5124978279207326</v>
      </c>
      <c r="I4" s="9">
        <f>D4*I1</f>
        <v>31.879671032908295</v>
      </c>
      <c r="J4" s="9">
        <f>E4^J1</f>
        <v>64.605406287888229</v>
      </c>
      <c r="M4">
        <v>3.6131161891301135E-3</v>
      </c>
      <c r="N4">
        <v>3.4423512339078526E-2</v>
      </c>
      <c r="O4">
        <v>0.10805237211659167</v>
      </c>
      <c r="P4">
        <v>1.4565185326411816</v>
      </c>
    </row>
    <row r="5" spans="1:17" ht="15.5" x14ac:dyDescent="0.35">
      <c r="A5" s="17" t="s">
        <v>7</v>
      </c>
      <c r="B5" s="18">
        <v>10.4</v>
      </c>
      <c r="C5" s="19">
        <v>44.5</v>
      </c>
      <c r="D5" s="19">
        <v>39.299999999999997</v>
      </c>
      <c r="E5" s="19">
        <v>45.1</v>
      </c>
      <c r="F5" s="5"/>
      <c r="H5" s="9">
        <f>(H4*$H$2+C5)^$H$1</f>
        <v>4.8763362666202106</v>
      </c>
      <c r="I5" s="9">
        <f>(I4*$I$2+D5)^$I$1</f>
        <v>23.164376050099555</v>
      </c>
      <c r="J5" s="9">
        <f>(J4*$J$2+E5)^$J$1</f>
        <v>101.65899923961543</v>
      </c>
      <c r="L5" s="48" t="s">
        <v>40</v>
      </c>
      <c r="M5" s="48">
        <v>0.92630874369671012</v>
      </c>
      <c r="N5">
        <v>1.4198222329410499</v>
      </c>
      <c r="O5" t="e">
        <v>#N/A</v>
      </c>
      <c r="P5" t="e">
        <v>#N/A</v>
      </c>
    </row>
    <row r="6" spans="1:17" ht="15.5" x14ac:dyDescent="0.35">
      <c r="A6" s="17" t="s">
        <v>8</v>
      </c>
      <c r="B6" s="18">
        <v>9.3000000000000007</v>
      </c>
      <c r="C6" s="19">
        <v>17.2</v>
      </c>
      <c r="D6" s="19">
        <v>45.9</v>
      </c>
      <c r="E6" s="19">
        <v>69.3</v>
      </c>
      <c r="F6" s="5"/>
      <c r="H6" s="9">
        <f t="shared" ref="H6:H33" si="0">(H5*$H$2+C6)^$H$1</f>
        <v>3.3022708637484146</v>
      </c>
      <c r="I6" s="9">
        <f t="shared" ref="I6:I33" si="1">(I5*$I$2+D6)^$I$1</f>
        <v>25.953657420615574</v>
      </c>
      <c r="J6" s="9">
        <f t="shared" ref="J6:J33" si="2">(J5*$J$2+E6)^$J$1</f>
        <v>157.28442908388797</v>
      </c>
      <c r="M6">
        <v>108.94113514631113</v>
      </c>
      <c r="N6">
        <v>26</v>
      </c>
      <c r="O6" t="e">
        <v>#N/A</v>
      </c>
      <c r="P6" t="e">
        <v>#N/A</v>
      </c>
    </row>
    <row r="7" spans="1:17" ht="15.5" x14ac:dyDescent="0.35">
      <c r="A7" s="17" t="s">
        <v>9</v>
      </c>
      <c r="B7" s="18">
        <v>18.5</v>
      </c>
      <c r="C7" s="19">
        <v>151.5</v>
      </c>
      <c r="D7" s="19">
        <v>41.3</v>
      </c>
      <c r="E7" s="19">
        <v>58.5</v>
      </c>
      <c r="F7" s="5"/>
      <c r="H7" s="9">
        <f t="shared" si="0"/>
        <v>8.0106811579039672</v>
      </c>
      <c r="I7" s="9">
        <f t="shared" si="1"/>
        <v>23.908833356142225</v>
      </c>
      <c r="J7" s="9">
        <f t="shared" si="2"/>
        <v>197.77622285473535</v>
      </c>
      <c r="M7">
        <v>658.84172549800348</v>
      </c>
      <c r="N7">
        <v>52.413274501996433</v>
      </c>
      <c r="O7" t="e">
        <v>#N/A</v>
      </c>
      <c r="P7" t="e">
        <v>#N/A</v>
      </c>
    </row>
    <row r="8" spans="1:17" ht="15.5" x14ac:dyDescent="0.35">
      <c r="A8" s="17" t="s">
        <v>10</v>
      </c>
      <c r="B8" s="18">
        <v>12.9</v>
      </c>
      <c r="C8" s="19">
        <v>180.8</v>
      </c>
      <c r="D8" s="19">
        <v>10.8</v>
      </c>
      <c r="E8" s="19">
        <v>58.4</v>
      </c>
      <c r="F8" s="5"/>
      <c r="H8" s="9">
        <f t="shared" si="0"/>
        <v>8.6306401778212933</v>
      </c>
      <c r="I8" s="9">
        <f t="shared" si="1"/>
        <v>8.3970571921173249</v>
      </c>
      <c r="J8" s="9">
        <f t="shared" si="2"/>
        <v>234.14477781638809</v>
      </c>
    </row>
    <row r="9" spans="1:17" ht="15.5" x14ac:dyDescent="0.35">
      <c r="A9" s="17" t="s">
        <v>11</v>
      </c>
      <c r="B9" s="18">
        <v>7.2</v>
      </c>
      <c r="C9" s="19">
        <v>8.6999999999999993</v>
      </c>
      <c r="D9" s="19">
        <v>48.9</v>
      </c>
      <c r="E9" s="19">
        <v>75</v>
      </c>
      <c r="F9" s="5"/>
      <c r="H9" s="9">
        <f t="shared" si="0"/>
        <v>2.5866207572783231</v>
      </c>
      <c r="I9" s="9">
        <f t="shared" si="1"/>
        <v>26.858589415794448</v>
      </c>
      <c r="J9" s="9">
        <f t="shared" si="2"/>
        <v>281.69819102775085</v>
      </c>
    </row>
    <row r="10" spans="1:17" ht="15.5" x14ac:dyDescent="0.35">
      <c r="A10" s="17" t="s">
        <v>12</v>
      </c>
      <c r="B10" s="18">
        <v>11.8</v>
      </c>
      <c r="C10" s="19">
        <v>57.5</v>
      </c>
      <c r="D10" s="19">
        <v>32.799999999999997</v>
      </c>
      <c r="E10" s="19">
        <v>23.5</v>
      </c>
      <c r="F10" s="5"/>
      <c r="H10" s="9">
        <f t="shared" si="0"/>
        <v>5.3701366498922338</v>
      </c>
      <c r="I10" s="9">
        <f t="shared" si="1"/>
        <v>19.896882309265855</v>
      </c>
      <c r="J10" s="9">
        <f t="shared" si="2"/>
        <v>278.15993575888513</v>
      </c>
      <c r="L10" s="20" t="s">
        <v>4</v>
      </c>
      <c r="M10" s="20" t="s">
        <v>3</v>
      </c>
      <c r="N10" s="20" t="s">
        <v>2</v>
      </c>
      <c r="O10" s="37" t="s">
        <v>92</v>
      </c>
      <c r="P10" s="40" t="s">
        <v>46</v>
      </c>
      <c r="Q10" s="43" t="s">
        <v>93</v>
      </c>
    </row>
    <row r="11" spans="1:17" ht="15.5" x14ac:dyDescent="0.35">
      <c r="A11" s="17" t="s">
        <v>13</v>
      </c>
      <c r="B11" s="18">
        <v>13.2</v>
      </c>
      <c r="C11" s="19">
        <v>120.2</v>
      </c>
      <c r="D11" s="19">
        <v>19.600000000000001</v>
      </c>
      <c r="E11" s="19">
        <v>11.6</v>
      </c>
      <c r="F11" s="5"/>
      <c r="H11" s="9">
        <f t="shared" si="0"/>
        <v>7.2881623457339026</v>
      </c>
      <c r="I11" s="9">
        <f t="shared" si="1"/>
        <v>13.02870193058077</v>
      </c>
      <c r="J11" s="9">
        <f t="shared" si="2"/>
        <v>264.31176975613289</v>
      </c>
      <c r="L11" s="44">
        <v>1.0000000000005948E-3</v>
      </c>
      <c r="M11" s="44">
        <v>86.147133158196823</v>
      </c>
      <c r="N11" s="44">
        <v>13.851871722152771</v>
      </c>
      <c r="O11" s="44">
        <f>SUM(L11:N11)</f>
        <v>100.00000488034959</v>
      </c>
      <c r="P11" s="45">
        <f>P3+O3*(H33*H2+N11)^H1+N3*(I33*I2+M11)^I1+M3*(J33*J2+L11)^J1</f>
        <v>16.129763392301815</v>
      </c>
      <c r="Q11" s="45">
        <f>O11/P11</f>
        <v>6.1997192673065609</v>
      </c>
    </row>
    <row r="12" spans="1:17" ht="15.5" x14ac:dyDescent="0.35">
      <c r="A12" s="17" t="s">
        <v>14</v>
      </c>
      <c r="B12" s="18">
        <v>4.8</v>
      </c>
      <c r="C12" s="19">
        <v>8.6</v>
      </c>
      <c r="D12" s="19">
        <v>2.1</v>
      </c>
      <c r="E12" s="19">
        <v>1</v>
      </c>
      <c r="F12" s="5"/>
      <c r="H12" s="9">
        <f t="shared" si="0"/>
        <v>2.5550671084900802</v>
      </c>
      <c r="I12" s="9">
        <f t="shared" si="1"/>
        <v>2.5315492197246172</v>
      </c>
      <c r="J12" s="9">
        <f t="shared" si="2"/>
        <v>242.35691764344864</v>
      </c>
    </row>
    <row r="13" spans="1:17" ht="15.5" x14ac:dyDescent="0.35">
      <c r="A13" s="17" t="s">
        <v>15</v>
      </c>
      <c r="B13" s="18">
        <v>10.6</v>
      </c>
      <c r="C13" s="19">
        <v>199.8</v>
      </c>
      <c r="D13" s="19">
        <v>2.6</v>
      </c>
      <c r="E13" s="19">
        <v>21.2</v>
      </c>
      <c r="F13" s="5"/>
      <c r="H13" s="9">
        <f t="shared" si="0"/>
        <v>8.9788407674228488</v>
      </c>
      <c r="I13" s="9">
        <f t="shared" si="1"/>
        <v>2.3660851905826723</v>
      </c>
      <c r="J13" s="9">
        <f t="shared" si="2"/>
        <v>240.77980401318877</v>
      </c>
    </row>
    <row r="14" spans="1:17" ht="15.5" x14ac:dyDescent="0.35">
      <c r="A14" s="17" t="s">
        <v>16</v>
      </c>
      <c r="B14" s="18">
        <v>8.6</v>
      </c>
      <c r="C14" s="19">
        <v>66.099999999999994</v>
      </c>
      <c r="D14" s="19">
        <v>5.8</v>
      </c>
      <c r="E14" s="19">
        <v>24.2</v>
      </c>
      <c r="F14" s="5"/>
      <c r="H14" s="9">
        <f t="shared" si="0"/>
        <v>5.7192268451583343</v>
      </c>
      <c r="I14" s="9">
        <f t="shared" si="1"/>
        <v>4.5094935789793071</v>
      </c>
      <c r="J14" s="9">
        <f t="shared" si="2"/>
        <v>242.05858773280403</v>
      </c>
      <c r="L14" s="33"/>
      <c r="M14" s="11" t="s">
        <v>77</v>
      </c>
    </row>
    <row r="15" spans="1:17" ht="15.5" x14ac:dyDescent="0.35">
      <c r="A15" s="17" t="s">
        <v>17</v>
      </c>
      <c r="B15" s="18">
        <v>17.399999999999999</v>
      </c>
      <c r="C15" s="19">
        <v>214.7</v>
      </c>
      <c r="D15" s="19">
        <v>24</v>
      </c>
      <c r="E15" s="19">
        <v>4</v>
      </c>
      <c r="F15" s="5"/>
      <c r="H15" s="9">
        <f t="shared" si="0"/>
        <v>9.2578304334827415</v>
      </c>
      <c r="I15" s="9">
        <f t="shared" si="1"/>
        <v>14.750444146400197</v>
      </c>
      <c r="J15" s="9">
        <f t="shared" si="2"/>
        <v>225.04426581271557</v>
      </c>
      <c r="L15" s="33" t="s">
        <v>71</v>
      </c>
      <c r="M15" s="9" t="s">
        <v>72</v>
      </c>
    </row>
    <row r="16" spans="1:17" ht="15.5" x14ac:dyDescent="0.35">
      <c r="A16" s="17" t="s">
        <v>18</v>
      </c>
      <c r="B16" s="18">
        <v>9.1999999999999993</v>
      </c>
      <c r="C16" s="19">
        <v>23.8</v>
      </c>
      <c r="D16" s="19">
        <v>35.1</v>
      </c>
      <c r="E16" s="19">
        <v>65.900000000000006</v>
      </c>
      <c r="F16" s="5"/>
      <c r="H16" s="9">
        <f t="shared" si="0"/>
        <v>3.8000799620969836</v>
      </c>
      <c r="I16" s="9">
        <f t="shared" si="1"/>
        <v>20.599285313542602</v>
      </c>
      <c r="J16" s="9">
        <f t="shared" si="2"/>
        <v>265.37453357786313</v>
      </c>
      <c r="L16" s="33" t="s">
        <v>73</v>
      </c>
      <c r="M16" s="9" t="s">
        <v>74</v>
      </c>
    </row>
    <row r="17" spans="1:13" ht="15.5" x14ac:dyDescent="0.35">
      <c r="A17" s="17" t="s">
        <v>19</v>
      </c>
      <c r="B17" s="18">
        <v>9.6999999999999993</v>
      </c>
      <c r="C17" s="19">
        <v>97.5</v>
      </c>
      <c r="D17" s="19">
        <v>7.6</v>
      </c>
      <c r="E17" s="19">
        <v>7.2</v>
      </c>
      <c r="F17" s="5"/>
      <c r="H17" s="9">
        <f t="shared" si="0"/>
        <v>6.6807272968014892</v>
      </c>
      <c r="I17" s="9">
        <f t="shared" si="1"/>
        <v>6.4009196777962618</v>
      </c>
      <c r="J17" s="9">
        <f t="shared" si="2"/>
        <v>248.88229343967413</v>
      </c>
      <c r="L17" s="33" t="s">
        <v>75</v>
      </c>
      <c r="M17" s="9" t="s">
        <v>76</v>
      </c>
    </row>
    <row r="18" spans="1:13" ht="15.5" x14ac:dyDescent="0.35">
      <c r="A18" s="17" t="s">
        <v>20</v>
      </c>
      <c r="B18" s="18">
        <v>19</v>
      </c>
      <c r="C18" s="19">
        <v>204.1</v>
      </c>
      <c r="D18" s="19">
        <v>32.9</v>
      </c>
      <c r="E18" s="19">
        <v>46</v>
      </c>
      <c r="F18" s="5"/>
      <c r="H18" s="9">
        <f t="shared" si="0"/>
        <v>9.0689219255995965</v>
      </c>
      <c r="I18" s="9">
        <f t="shared" si="1"/>
        <v>19.2531905284667</v>
      </c>
      <c r="J18" s="9">
        <f t="shared" si="2"/>
        <v>268.90783732463575</v>
      </c>
    </row>
    <row r="19" spans="1:13" ht="15.5" x14ac:dyDescent="0.35">
      <c r="A19" s="17" t="s">
        <v>21</v>
      </c>
      <c r="B19" s="18">
        <v>22.4</v>
      </c>
      <c r="C19" s="19">
        <v>195.4</v>
      </c>
      <c r="D19" s="19">
        <v>47.7</v>
      </c>
      <c r="E19" s="19">
        <v>52.9</v>
      </c>
      <c r="F19" s="5"/>
      <c r="H19" s="9">
        <f t="shared" si="0"/>
        <v>8.9138508205832476</v>
      </c>
      <c r="I19" s="9">
        <f t="shared" si="1"/>
        <v>26.655529876691059</v>
      </c>
      <c r="J19" s="9">
        <f t="shared" si="2"/>
        <v>293.04617514582748</v>
      </c>
    </row>
    <row r="20" spans="1:13" ht="15.5" x14ac:dyDescent="0.35">
      <c r="A20" s="17" t="s">
        <v>22</v>
      </c>
      <c r="B20" s="18">
        <v>12.5</v>
      </c>
      <c r="C20" s="19">
        <v>67.8</v>
      </c>
      <c r="D20" s="19">
        <v>36.6</v>
      </c>
      <c r="E20" s="19">
        <v>114</v>
      </c>
      <c r="F20" s="5"/>
      <c r="H20" s="9">
        <f t="shared" si="0"/>
        <v>5.7782500064219109</v>
      </c>
      <c r="I20" s="9">
        <f t="shared" si="1"/>
        <v>21.714108018760513</v>
      </c>
      <c r="J20" s="9">
        <f t="shared" si="2"/>
        <v>369.25673947997302</v>
      </c>
    </row>
    <row r="21" spans="1:13" ht="15.5" x14ac:dyDescent="0.35">
      <c r="A21" s="17" t="s">
        <v>23</v>
      </c>
      <c r="B21" s="18">
        <v>24.4</v>
      </c>
      <c r="C21" s="19">
        <v>281.39999999999998</v>
      </c>
      <c r="D21" s="19">
        <v>39.6</v>
      </c>
      <c r="E21" s="19">
        <v>55.8</v>
      </c>
      <c r="F21" s="5"/>
      <c r="H21" s="9">
        <f t="shared" si="0"/>
        <v>10.351881397993157</v>
      </c>
      <c r="I21" s="9">
        <f t="shared" si="1"/>
        <v>22.971991721149127</v>
      </c>
      <c r="J21" s="9">
        <f t="shared" si="2"/>
        <v>385.32462589841634</v>
      </c>
    </row>
    <row r="22" spans="1:13" ht="15.5" x14ac:dyDescent="0.35">
      <c r="A22" s="17" t="s">
        <v>24</v>
      </c>
      <c r="B22" s="18">
        <v>11.3</v>
      </c>
      <c r="C22" s="19">
        <v>69.2</v>
      </c>
      <c r="D22" s="19">
        <v>20.5</v>
      </c>
      <c r="E22" s="19">
        <v>18.3</v>
      </c>
      <c r="F22" s="5"/>
      <c r="H22" s="9">
        <f t="shared" si="0"/>
        <v>5.8334346423820076</v>
      </c>
      <c r="I22" s="9">
        <f t="shared" si="1"/>
        <v>13.609762829621783</v>
      </c>
      <c r="J22" s="9">
        <f t="shared" si="2"/>
        <v>366.20296159299903</v>
      </c>
    </row>
    <row r="23" spans="1:13" ht="15.5" x14ac:dyDescent="0.35">
      <c r="A23" s="17" t="s">
        <v>25</v>
      </c>
      <c r="B23" s="18">
        <v>14.6</v>
      </c>
      <c r="C23" s="19">
        <v>147.30000000000001</v>
      </c>
      <c r="D23" s="19">
        <v>23.9</v>
      </c>
      <c r="E23" s="19">
        <v>19.100000000000001</v>
      </c>
      <c r="F23" s="5"/>
      <c r="H23" s="9">
        <f t="shared" si="0"/>
        <v>7.9261557480443594</v>
      </c>
      <c r="I23" s="9">
        <f t="shared" si="1"/>
        <v>15.023357080435501</v>
      </c>
      <c r="J23" s="9">
        <f t="shared" si="2"/>
        <v>349.8434003977564</v>
      </c>
    </row>
    <row r="24" spans="1:13" ht="15.5" x14ac:dyDescent="0.35">
      <c r="A24" s="17" t="s">
        <v>26</v>
      </c>
      <c r="B24" s="18">
        <v>18</v>
      </c>
      <c r="C24" s="19">
        <v>218.4</v>
      </c>
      <c r="D24" s="19">
        <v>27.7</v>
      </c>
      <c r="E24" s="19">
        <v>53.4</v>
      </c>
      <c r="F24" s="5"/>
      <c r="H24" s="9">
        <f t="shared" si="0"/>
        <v>9.3288258318313968</v>
      </c>
      <c r="I24" s="9">
        <f t="shared" si="1"/>
        <v>16.98816445176525</v>
      </c>
      <c r="J24" s="9">
        <f t="shared" si="2"/>
        <v>365.86268687365902</v>
      </c>
    </row>
    <row r="25" spans="1:13" ht="15.5" x14ac:dyDescent="0.35">
      <c r="A25" s="17" t="s">
        <v>27</v>
      </c>
      <c r="B25" s="18">
        <v>12.5</v>
      </c>
      <c r="C25" s="19">
        <v>237.4</v>
      </c>
      <c r="D25" s="19">
        <v>5.0999999999999996</v>
      </c>
      <c r="E25" s="19">
        <v>23.5</v>
      </c>
      <c r="F25" s="5"/>
      <c r="H25" s="9">
        <f t="shared" si="0"/>
        <v>9.6584714078690279</v>
      </c>
      <c r="I25" s="9">
        <f t="shared" si="1"/>
        <v>4.7121833442059149</v>
      </c>
      <c r="J25" s="9">
        <f t="shared" si="2"/>
        <v>353.46942906295544</v>
      </c>
    </row>
    <row r="26" spans="1:13" ht="15.5" x14ac:dyDescent="0.35">
      <c r="A26" s="17" t="s">
        <v>28</v>
      </c>
      <c r="B26" s="18">
        <v>5.6</v>
      </c>
      <c r="C26" s="19">
        <v>13.2</v>
      </c>
      <c r="D26" s="19">
        <v>15.9</v>
      </c>
      <c r="E26" s="19">
        <v>49.6</v>
      </c>
      <c r="F26" s="5"/>
      <c r="H26" s="9">
        <f t="shared" si="0"/>
        <v>3.0326885595540825</v>
      </c>
      <c r="I26" s="9">
        <f t="shared" si="1"/>
        <v>10.488674056164415</v>
      </c>
      <c r="J26" s="9">
        <f t="shared" si="2"/>
        <v>365.7074015957478</v>
      </c>
    </row>
    <row r="27" spans="1:13" ht="15.5" x14ac:dyDescent="0.35">
      <c r="A27" s="17" t="s">
        <v>29</v>
      </c>
      <c r="B27" s="18">
        <v>15.5</v>
      </c>
      <c r="C27" s="19">
        <v>228.3</v>
      </c>
      <c r="D27" s="19">
        <v>16.899999999999999</v>
      </c>
      <c r="E27" s="19">
        <v>26.2</v>
      </c>
      <c r="F27" s="5"/>
      <c r="H27" s="9">
        <f t="shared" si="0"/>
        <v>9.4889697548127003</v>
      </c>
      <c r="I27" s="9">
        <f t="shared" si="1"/>
        <v>11.248224584381811</v>
      </c>
      <c r="J27" s="9">
        <f t="shared" si="2"/>
        <v>355.74198136054963</v>
      </c>
    </row>
    <row r="28" spans="1:13" ht="15.5" x14ac:dyDescent="0.35">
      <c r="A28" s="17" t="s">
        <v>30</v>
      </c>
      <c r="B28" s="18">
        <v>9.6999999999999993</v>
      </c>
      <c r="C28" s="19">
        <v>62.3</v>
      </c>
      <c r="D28" s="19">
        <v>12.6</v>
      </c>
      <c r="E28" s="19">
        <v>18.3</v>
      </c>
      <c r="F28" s="5"/>
      <c r="H28" s="9">
        <f t="shared" si="0"/>
        <v>5.5859514422648067</v>
      </c>
      <c r="I28" s="9">
        <f t="shared" si="1"/>
        <v>8.9153488675383148</v>
      </c>
      <c r="J28" s="9">
        <f t="shared" si="2"/>
        <v>339.78215641978261</v>
      </c>
    </row>
    <row r="29" spans="1:13" ht="15.5" x14ac:dyDescent="0.35">
      <c r="A29" s="17" t="s">
        <v>31</v>
      </c>
      <c r="B29" s="18">
        <v>12</v>
      </c>
      <c r="C29" s="19">
        <v>262.89999999999998</v>
      </c>
      <c r="D29" s="19">
        <v>3.5</v>
      </c>
      <c r="E29" s="19">
        <v>19.5</v>
      </c>
      <c r="F29" s="5"/>
      <c r="H29" s="9">
        <f t="shared" si="0"/>
        <v>10.064790168023585</v>
      </c>
      <c r="I29" s="9">
        <f t="shared" si="1"/>
        <v>3.3015478823442335</v>
      </c>
      <c r="J29" s="9">
        <f t="shared" si="2"/>
        <v>326.58736720340983</v>
      </c>
    </row>
    <row r="30" spans="1:13" ht="15.5" x14ac:dyDescent="0.35">
      <c r="A30" s="17" t="s">
        <v>32</v>
      </c>
      <c r="B30" s="18">
        <v>15</v>
      </c>
      <c r="C30" s="19">
        <v>142.9</v>
      </c>
      <c r="D30" s="19">
        <v>29.3</v>
      </c>
      <c r="E30" s="19">
        <v>12.6</v>
      </c>
      <c r="F30" s="5"/>
      <c r="H30" s="9">
        <f t="shared" si="0"/>
        <v>7.8412392952860666</v>
      </c>
      <c r="I30" s="9">
        <f t="shared" si="1"/>
        <v>17.377558943125742</v>
      </c>
      <c r="J30" s="9">
        <f t="shared" si="2"/>
        <v>308.60908754368847</v>
      </c>
    </row>
    <row r="31" spans="1:13" ht="15.5" x14ac:dyDescent="0.35">
      <c r="A31" s="17" t="s">
        <v>33</v>
      </c>
      <c r="B31" s="18">
        <v>15.9</v>
      </c>
      <c r="C31" s="19">
        <v>240.1</v>
      </c>
      <c r="D31" s="19">
        <v>16.7</v>
      </c>
      <c r="E31" s="19">
        <v>22.9</v>
      </c>
      <c r="F31" s="5"/>
      <c r="H31" s="9">
        <f t="shared" si="0"/>
        <v>9.7000708055587932</v>
      </c>
      <c r="I31" s="9">
        <f t="shared" si="1"/>
        <v>11.398789586732637</v>
      </c>
      <c r="J31" s="9">
        <f t="shared" si="2"/>
        <v>301.73502463007435</v>
      </c>
    </row>
    <row r="32" spans="1:13" ht="15.5" x14ac:dyDescent="0.35">
      <c r="A32" s="17" t="s">
        <v>34</v>
      </c>
      <c r="B32" s="18">
        <v>18.899999999999999</v>
      </c>
      <c r="C32" s="19">
        <v>248.8</v>
      </c>
      <c r="D32" s="19">
        <v>27.1</v>
      </c>
      <c r="E32" s="19">
        <v>22.9</v>
      </c>
      <c r="F32" s="5"/>
      <c r="H32" s="9">
        <f t="shared" si="0"/>
        <v>9.8477637803017739</v>
      </c>
      <c r="I32" s="9">
        <f t="shared" si="1"/>
        <v>16.562212542829336</v>
      </c>
      <c r="J32" s="9">
        <f t="shared" si="2"/>
        <v>295.57875645507681</v>
      </c>
    </row>
    <row r="33" spans="1:10" ht="15.5" x14ac:dyDescent="0.35">
      <c r="A33" s="17" t="s">
        <v>35</v>
      </c>
      <c r="B33" s="18">
        <v>10.5</v>
      </c>
      <c r="C33" s="19">
        <v>70.599999999999994</v>
      </c>
      <c r="D33" s="19">
        <v>16</v>
      </c>
      <c r="E33" s="19">
        <v>40.799999999999997</v>
      </c>
      <c r="F33" s="5"/>
      <c r="H33" s="9">
        <f t="shared" si="0"/>
        <v>5.8786229330662438</v>
      </c>
      <c r="I33" s="9">
        <f t="shared" si="1"/>
        <v>10.991209852931094</v>
      </c>
      <c r="J33" s="9">
        <f t="shared" si="2"/>
        <v>306.09494411840626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573E-2382-4344-AB66-8F9736620314}">
  <dimension ref="A1:XFD1048575"/>
  <sheetViews>
    <sheetView tabSelected="1" workbookViewId="0">
      <selection activeCell="J14" sqref="J14"/>
    </sheetView>
  </sheetViews>
  <sheetFormatPr defaultRowHeight="14.5" x14ac:dyDescent="0.35"/>
  <cols>
    <col min="1" max="1" width="11.453125" bestFit="1" customWidth="1"/>
    <col min="2" max="2" width="11.81640625" bestFit="1" customWidth="1"/>
    <col min="3" max="3" width="12.453125" bestFit="1" customWidth="1"/>
    <col min="4" max="5" width="11.81640625" bestFit="1" customWidth="1"/>
    <col min="11" max="11" width="11.26953125" bestFit="1" customWidth="1"/>
    <col min="12" max="12" width="28.36328125" bestFit="1" customWidth="1"/>
    <col min="13" max="13" width="8.81640625" bestFit="1" customWidth="1"/>
  </cols>
  <sheetData>
    <row r="1" spans="1:6" x14ac:dyDescent="0.35">
      <c r="B1" s="13" t="s">
        <v>69</v>
      </c>
    </row>
    <row r="2" spans="1:6" x14ac:dyDescent="0.35">
      <c r="B2" s="9"/>
      <c r="C2" s="20" t="s">
        <v>4</v>
      </c>
      <c r="D2" s="20" t="s">
        <v>3</v>
      </c>
      <c r="E2" s="20" t="s">
        <v>2</v>
      </c>
      <c r="F2" s="20" t="s">
        <v>41</v>
      </c>
    </row>
    <row r="3" spans="1:6" x14ac:dyDescent="0.35">
      <c r="B3" s="9" t="s">
        <v>39</v>
      </c>
      <c r="C3" s="10">
        <v>-2.9137311350106138E-2</v>
      </c>
      <c r="D3" s="10">
        <v>0.29900606631019971</v>
      </c>
      <c r="E3" s="10">
        <v>0.96058943825435539</v>
      </c>
      <c r="F3" s="10">
        <v>-1.7422940552632031</v>
      </c>
    </row>
    <row r="4" spans="1:6" x14ac:dyDescent="0.35">
      <c r="B4" s="9"/>
      <c r="C4" s="9">
        <v>2.1309394702860543E-2</v>
      </c>
      <c r="D4" s="9">
        <v>3.6001398179640542E-2</v>
      </c>
      <c r="E4" s="9">
        <v>6.1913595548685578E-2</v>
      </c>
      <c r="F4" s="9">
        <v>0.98218689469097531</v>
      </c>
    </row>
    <row r="5" spans="1:6" x14ac:dyDescent="0.35">
      <c r="B5" s="9" t="s">
        <v>40</v>
      </c>
      <c r="C5" s="9">
        <v>0.92710716590122078</v>
      </c>
      <c r="D5" s="9">
        <v>1.4121096154462165</v>
      </c>
      <c r="E5" s="9" t="e">
        <v>#N/A</v>
      </c>
      <c r="F5" s="9" t="e">
        <v>#N/A</v>
      </c>
    </row>
    <row r="6" spans="1:6" x14ac:dyDescent="0.35">
      <c r="B6" s="9"/>
      <c r="C6" s="9">
        <v>110.22933695039963</v>
      </c>
      <c r="D6" s="9">
        <v>26</v>
      </c>
      <c r="E6" s="9" t="e">
        <v>#N/A</v>
      </c>
      <c r="F6" s="9" t="e">
        <v>#N/A</v>
      </c>
    </row>
    <row r="7" spans="1:6" x14ac:dyDescent="0.35">
      <c r="B7" s="9"/>
      <c r="C7" s="9">
        <v>659.40960728307266</v>
      </c>
      <c r="D7" s="9">
        <v>51.845392716927194</v>
      </c>
      <c r="E7" s="9" t="e">
        <v>#N/A</v>
      </c>
      <c r="F7" s="9" t="e">
        <v>#N/A</v>
      </c>
    </row>
    <row r="8" spans="1:6" x14ac:dyDescent="0.35">
      <c r="B8" s="9" t="s">
        <v>42</v>
      </c>
      <c r="C8" s="9">
        <v>1.4121096154462165</v>
      </c>
      <c r="D8" s="9"/>
      <c r="E8" s="9"/>
      <c r="F8" s="9"/>
    </row>
    <row r="12" spans="1:6" x14ac:dyDescent="0.35">
      <c r="C12" s="20" t="s">
        <v>4</v>
      </c>
      <c r="D12" s="20" t="s">
        <v>3</v>
      </c>
      <c r="E12" s="20" t="s">
        <v>2</v>
      </c>
      <c r="F12" s="20" t="s">
        <v>41</v>
      </c>
    </row>
    <row r="13" spans="1:6" x14ac:dyDescent="0.35">
      <c r="C13" s="10">
        <v>-2.9137311350106138E-2</v>
      </c>
      <c r="D13" s="10">
        <v>0.29900606631019971</v>
      </c>
      <c r="E13" s="10">
        <v>0.96058943825435539</v>
      </c>
      <c r="F13" s="10">
        <v>-1.7422940552632031</v>
      </c>
    </row>
    <row r="15" spans="1:6" ht="29" x14ac:dyDescent="0.35">
      <c r="A15" s="39" t="s">
        <v>90</v>
      </c>
      <c r="B15" s="24" t="s">
        <v>88</v>
      </c>
      <c r="C15" s="37">
        <f>C16*C13</f>
        <v>-8.0952063908427047E-2</v>
      </c>
      <c r="D15" s="37">
        <f t="shared" ref="D15:F15" si="0">D16*D13</f>
        <v>0.64531740490662948</v>
      </c>
      <c r="E15" s="37">
        <f t="shared" si="0"/>
        <v>61.391674370983253</v>
      </c>
      <c r="F15" s="37">
        <f t="shared" si="0"/>
        <v>-1.7422940552632031</v>
      </c>
    </row>
    <row r="16" spans="1:6" x14ac:dyDescent="0.35">
      <c r="B16" s="46" t="s">
        <v>85</v>
      </c>
      <c r="C16" s="38">
        <f>(C17*C24+C20)^C23</f>
        <v>2.7782955996086498</v>
      </c>
      <c r="D16" s="38">
        <f>(D17*'Simulator &amp; optimising(solver)'!D24+'Simulator &amp; optimising(solver)'!D20)^'Simulator &amp; optimising(solver)'!D23</f>
        <v>2.1582084031604691</v>
      </c>
      <c r="E16" s="38">
        <f>(E17*'Simulator &amp; optimising(solver)'!E24+'Simulator &amp; optimising(solver)'!E20)^'Simulator &amp; optimising(solver)'!E23</f>
        <v>63.910419921489179</v>
      </c>
      <c r="F16" s="38">
        <v>1</v>
      </c>
    </row>
    <row r="17" spans="1:13" x14ac:dyDescent="0.35">
      <c r="A17" t="s">
        <v>89</v>
      </c>
      <c r="B17" s="11" t="s">
        <v>86</v>
      </c>
      <c r="C17" s="9">
        <v>33.594632194023937</v>
      </c>
      <c r="D17" s="9">
        <v>13.507955814298331</v>
      </c>
      <c r="E17" s="9">
        <v>8.5892004016570382</v>
      </c>
      <c r="F17" s="9"/>
    </row>
    <row r="20" spans="1:13" x14ac:dyDescent="0.35">
      <c r="A20" t="s">
        <v>91</v>
      </c>
      <c r="B20" s="23" t="s">
        <v>87</v>
      </c>
      <c r="C20" s="40">
        <v>1</v>
      </c>
      <c r="D20" s="40">
        <v>1</v>
      </c>
      <c r="E20" s="40">
        <v>98</v>
      </c>
      <c r="F20" s="41">
        <f>SUM(C20:E20)</f>
        <v>100</v>
      </c>
    </row>
    <row r="22" spans="1:13" x14ac:dyDescent="0.35">
      <c r="H22" s="13" t="s">
        <v>94</v>
      </c>
      <c r="K22" t="s">
        <v>97</v>
      </c>
      <c r="L22" t="s">
        <v>95</v>
      </c>
      <c r="M22" t="s">
        <v>96</v>
      </c>
    </row>
    <row r="23" spans="1:13" x14ac:dyDescent="0.35">
      <c r="B23" s="12" t="s">
        <v>59</v>
      </c>
      <c r="C23" s="10">
        <v>0.5</v>
      </c>
      <c r="D23" s="10">
        <v>0.9</v>
      </c>
      <c r="E23" s="10">
        <v>0.9</v>
      </c>
      <c r="H23" s="20" t="s">
        <v>4</v>
      </c>
      <c r="I23" s="20" t="s">
        <v>3</v>
      </c>
      <c r="J23" s="20" t="s">
        <v>2</v>
      </c>
      <c r="K23" s="37" t="s">
        <v>92</v>
      </c>
      <c r="L23" s="40" t="s">
        <v>46</v>
      </c>
      <c r="M23" s="43" t="s">
        <v>93</v>
      </c>
    </row>
    <row r="24" spans="1:13" x14ac:dyDescent="0.35">
      <c r="B24" s="12" t="s">
        <v>60</v>
      </c>
      <c r="C24" s="10">
        <v>0.2</v>
      </c>
      <c r="D24" s="10">
        <v>0.1</v>
      </c>
      <c r="E24" s="10">
        <v>0.4</v>
      </c>
      <c r="H24" s="44">
        <v>0</v>
      </c>
      <c r="I24" s="44">
        <v>0</v>
      </c>
      <c r="J24" s="44">
        <v>30</v>
      </c>
      <c r="K24" s="44">
        <f t="shared" ref="K24:K37" si="1">SUM(H24:J24)</f>
        <v>30</v>
      </c>
      <c r="L24" s="45">
        <f>$C$13*('Simulator &amp; optimising(solver)'!H27+'Simulator &amp; optimising(solver)'!$C$17*'Simulator &amp; optimising(solver)'!$C$24)^$C$23+$D$13*(I24+$D$17*$D$24)^$D$23+$E$13*(J24+$E$17*$E$24)^$E$23+$F$13</f>
        <v>21.185485372587337</v>
      </c>
      <c r="M24" s="45">
        <f t="shared" ref="M24:M37" si="2">K24/L24</f>
        <v>1.4160638509051147</v>
      </c>
    </row>
    <row r="25" spans="1:13" x14ac:dyDescent="0.35">
      <c r="H25" s="44">
        <v>0</v>
      </c>
      <c r="I25" s="44">
        <v>5</v>
      </c>
      <c r="J25" s="44">
        <v>25</v>
      </c>
      <c r="K25" s="44">
        <f t="shared" si="1"/>
        <v>30</v>
      </c>
      <c r="L25" s="45">
        <f>$C$13*('Simulator &amp; optimising(solver)'!H30+'Simulator &amp; optimising(solver)'!$C$17*'Simulator &amp; optimising(solver)'!$C$24)^$C$23+$D$13*(I25+$D$17*$D$24)^$D$23+$E$13*(J25+$E$17*$E$24)^$E$23+$F$13</f>
        <v>19.28046294214699</v>
      </c>
      <c r="M25" s="45">
        <f t="shared" si="2"/>
        <v>1.5559792360804863</v>
      </c>
    </row>
    <row r="26" spans="1:13" x14ac:dyDescent="0.35">
      <c r="H26" s="9">
        <v>0</v>
      </c>
      <c r="I26" s="9">
        <v>15</v>
      </c>
      <c r="J26" s="9">
        <v>15</v>
      </c>
      <c r="K26" s="9">
        <f t="shared" si="1"/>
        <v>30</v>
      </c>
      <c r="L26" s="42">
        <f>$C$13*('Simulator &amp; optimising(solver)'!H28+'Simulator &amp; optimising(solver)'!$C$17*'Simulator &amp; optimising(solver)'!$C$24)^$C$23+$D$13*(I26+$D$17*$D$24)^$D$23+$E$13*(J26+$E$17*$E$24)^$E$23+$F$13</f>
        <v>15.111481309063878</v>
      </c>
      <c r="M26" s="42">
        <f t="shared" si="2"/>
        <v>1.9852454823211789</v>
      </c>
    </row>
    <row r="27" spans="1:13" x14ac:dyDescent="0.35">
      <c r="B27" t="s">
        <v>92</v>
      </c>
      <c r="C27">
        <f>SUM(C20:E20)</f>
        <v>100</v>
      </c>
      <c r="H27" s="9">
        <v>0</v>
      </c>
      <c r="I27" s="9">
        <v>20</v>
      </c>
      <c r="J27" s="9">
        <v>10</v>
      </c>
      <c r="K27" s="9">
        <f t="shared" si="1"/>
        <v>30</v>
      </c>
      <c r="L27" s="42">
        <f>$C$13*('Simulator &amp; optimising(solver)'!H25+'Simulator &amp; optimising(solver)'!$C$17*'Simulator &amp; optimising(solver)'!$C$24)^$C$23+$D$13*(I27+$D$17*$D$24)^$D$23+$E$13*(J27+$E$17*$E$24)^$E$23+$F$13</f>
        <v>12.836173438011096</v>
      </c>
      <c r="M27" s="42">
        <f t="shared" si="2"/>
        <v>2.3371451114210213</v>
      </c>
    </row>
    <row r="28" spans="1:13" x14ac:dyDescent="0.35">
      <c r="B28" t="s">
        <v>46</v>
      </c>
      <c r="C28">
        <f>SUM(C15:F15)</f>
        <v>60.213745656718253</v>
      </c>
      <c r="H28" s="9">
        <v>0</v>
      </c>
      <c r="I28" s="9">
        <v>25</v>
      </c>
      <c r="J28" s="9">
        <v>5</v>
      </c>
      <c r="K28" s="9">
        <f t="shared" si="1"/>
        <v>30</v>
      </c>
      <c r="L28" s="42">
        <f>$C$13*('Simulator &amp; optimising(solver)'!H29+'Simulator &amp; optimising(solver)'!$C$17*'Simulator &amp; optimising(solver)'!$C$24)^$C$23+$D$13*(I28+$D$17*$D$24)^$D$23+$E$13*(J28+$E$17*$E$24)^$E$23+$F$13</f>
        <v>10.409835061005614</v>
      </c>
      <c r="M28" s="42">
        <f t="shared" si="2"/>
        <v>2.88189004188717</v>
      </c>
    </row>
    <row r="29" spans="1:13" x14ac:dyDescent="0.35">
      <c r="B29" t="s">
        <v>93</v>
      </c>
      <c r="C29">
        <f>C27/C28</f>
        <v>1.6607503637143799</v>
      </c>
      <c r="H29" s="9">
        <v>0</v>
      </c>
      <c r="I29" s="9">
        <v>30</v>
      </c>
      <c r="J29" s="9">
        <v>0</v>
      </c>
      <c r="K29" s="9">
        <f t="shared" si="1"/>
        <v>30</v>
      </c>
      <c r="L29" s="42">
        <f>$C$13*('Simulator &amp; optimising(solver)'!H26+'Simulator &amp; optimising(solver)'!$C$17*'Simulator &amp; optimising(solver)'!$C$24)^$C$23+$D$13*(I29+$D$17*$D$24)^$D$23+$E$13*(J29+$E$17*$E$24)^$E$23+$F$13</f>
        <v>7.7413396169075419</v>
      </c>
      <c r="M29" s="42">
        <f t="shared" si="2"/>
        <v>3.8752982667855358</v>
      </c>
    </row>
    <row r="30" spans="1:13" x14ac:dyDescent="0.35">
      <c r="H30" s="9">
        <v>5</v>
      </c>
      <c r="I30" s="9">
        <v>10</v>
      </c>
      <c r="J30" s="9">
        <v>15</v>
      </c>
      <c r="K30" s="9">
        <f t="shared" si="1"/>
        <v>30</v>
      </c>
      <c r="L30" s="42">
        <f>$C$13*('Simulator &amp; optimising(solver)'!H32+'Simulator &amp; optimising(solver)'!$C$17*'Simulator &amp; optimising(solver)'!$C$24)^$C$23+$D$13*(I30+$D$17*$D$24)^$D$23+$E$13*(J30+$E$17*$E$24)^$E$23+$F$13</f>
        <v>14.032709687336979</v>
      </c>
      <c r="M30" s="42">
        <f t="shared" si="2"/>
        <v>2.1378622282104072</v>
      </c>
    </row>
    <row r="31" spans="1:13" x14ac:dyDescent="0.35">
      <c r="H31" s="9">
        <v>5</v>
      </c>
      <c r="I31" s="9">
        <v>15</v>
      </c>
      <c r="J31" s="9">
        <v>10</v>
      </c>
      <c r="K31" s="9">
        <f t="shared" si="1"/>
        <v>30</v>
      </c>
      <c r="L31" s="42">
        <f>$C$13*('Simulator &amp; optimising(solver)'!H31+'Simulator &amp; optimising(solver)'!$C$17*'Simulator &amp; optimising(solver)'!$C$24)^$C$23+$D$13*(I31+$D$17*$D$24)^$D$23+$E$13*(J31+$E$17*$E$24)^$E$23+$F$13</f>
        <v>11.808493728730435</v>
      </c>
      <c r="M31" s="42">
        <f t="shared" si="2"/>
        <v>2.540544178552516</v>
      </c>
    </row>
    <row r="32" spans="1:13" x14ac:dyDescent="0.35">
      <c r="A32" s="13" t="s">
        <v>98</v>
      </c>
      <c r="H32" s="9">
        <v>10</v>
      </c>
      <c r="I32" s="9">
        <v>5</v>
      </c>
      <c r="J32" s="9">
        <v>15</v>
      </c>
      <c r="K32" s="9">
        <f t="shared" si="1"/>
        <v>30</v>
      </c>
      <c r="L32" s="42">
        <f>$C$13*('Simulator &amp; optimising(solver)'!H34+'Simulator &amp; optimising(solver)'!$C$17*'Simulator &amp; optimising(solver)'!$C$24)^$C$23+$D$13*(I32+$D$17*$D$24)^$D$23+$E$13*(J32+$E$17*$E$24)^$E$23+$F$13</f>
        <v>12.949166506987481</v>
      </c>
      <c r="M32" s="42">
        <f t="shared" si="2"/>
        <v>2.3167514282723713</v>
      </c>
    </row>
    <row r="33" spans="1:13" x14ac:dyDescent="0.35">
      <c r="A33" s="20" t="s">
        <v>4</v>
      </c>
      <c r="B33" s="20" t="s">
        <v>3</v>
      </c>
      <c r="C33" s="20" t="s">
        <v>2</v>
      </c>
      <c r="D33" s="37" t="s">
        <v>92</v>
      </c>
      <c r="E33" s="40" t="s">
        <v>46</v>
      </c>
      <c r="F33" s="43" t="s">
        <v>93</v>
      </c>
      <c r="H33" s="9">
        <v>10</v>
      </c>
      <c r="I33" s="9">
        <v>10</v>
      </c>
      <c r="J33" s="9">
        <v>10</v>
      </c>
      <c r="K33" s="9">
        <f t="shared" si="1"/>
        <v>30</v>
      </c>
      <c r="L33" s="42">
        <f>$C$13*('Simulator &amp; optimising(solver)'!H24+'Simulator &amp; optimising(solver)'!$C$17*'Simulator &amp; optimising(solver)'!$C$24)^$C$23+$D$13*(I33+$D$17*$D$24)^$D$23+$E$13*(J33+$E$17*$E$24)^$E$23+$F$13</f>
        <v>10.79755352691472</v>
      </c>
      <c r="M33" s="42">
        <f t="shared" si="2"/>
        <v>2.7784071572527931</v>
      </c>
    </row>
    <row r="34" spans="1:13" x14ac:dyDescent="0.35">
      <c r="A34" s="44">
        <v>1</v>
      </c>
      <c r="B34" s="44">
        <v>2.1915603779521908</v>
      </c>
      <c r="C34" s="44">
        <v>96.808441089897173</v>
      </c>
      <c r="D34" s="44">
        <f>SUM(A34:C34)</f>
        <v>100.00000146784936</v>
      </c>
      <c r="E34" s="45">
        <f>$C$13*('Simulator &amp; optimising(solver)'!A34+'Simulator &amp; optimising(solver)'!$C$17*'Simulator &amp; optimising(solver)'!$C$24)^$C$23+$D$13*(B34+$D$17*$D$24)^$D$23+$E$13*(C34+$E$17*$E$24)^$E$23+$F$13</f>
        <v>59.852344129576998</v>
      </c>
      <c r="F34" s="45">
        <f t="shared" ref="F34" si="3">D34/E34</f>
        <v>1.6707783616854657</v>
      </c>
      <c r="H34" s="9">
        <v>10</v>
      </c>
      <c r="I34" s="9">
        <v>15</v>
      </c>
      <c r="J34" s="9">
        <v>5</v>
      </c>
      <c r="K34" s="9">
        <f t="shared" si="1"/>
        <v>30</v>
      </c>
      <c r="L34" s="42">
        <f>$C$13*('Simulator &amp; optimising(solver)'!H33+'Simulator &amp; optimising(solver)'!$C$17*'Simulator &amp; optimising(solver)'!$C$24)^$C$23+$D$13*(I34+$D$17*$D$24)^$D$23+$E$13*(J34+$E$17*$E$24)^$E$23+$F$13</f>
        <v>8.3827530685534501</v>
      </c>
      <c r="M34" s="42">
        <f t="shared" si="2"/>
        <v>3.5787765373335612</v>
      </c>
    </row>
    <row r="35" spans="1:13" x14ac:dyDescent="0.35">
      <c r="H35" s="9">
        <v>15</v>
      </c>
      <c r="I35" s="9">
        <v>5</v>
      </c>
      <c r="J35" s="9">
        <v>10</v>
      </c>
      <c r="K35" s="9">
        <f t="shared" si="1"/>
        <v>30</v>
      </c>
      <c r="L35" s="42">
        <f>$C$13*('Simulator &amp; optimising(solver)'!H35+'Simulator &amp; optimising(solver)'!$C$17*'Simulator &amp; optimising(solver)'!$C$24)^$C$23+$D$13*(I35+$D$17*$D$24)^$D$23+$E$13*(J35+$E$17*$E$24)^$E$23+$F$13</f>
        <v>9.6537465867256795</v>
      </c>
      <c r="M35" s="42">
        <f t="shared" si="2"/>
        <v>3.1076017720675724</v>
      </c>
    </row>
    <row r="36" spans="1:13" x14ac:dyDescent="0.35">
      <c r="H36" s="9">
        <v>15</v>
      </c>
      <c r="I36" s="9">
        <v>10</v>
      </c>
      <c r="J36" s="9">
        <v>5</v>
      </c>
      <c r="K36" s="9">
        <f t="shared" si="1"/>
        <v>30</v>
      </c>
      <c r="L36" s="42">
        <f>$C$13*('Simulator &amp; optimising(solver)'!H36+'Simulator &amp; optimising(solver)'!$C$17*'Simulator &amp; optimising(solver)'!$C$24)^$C$23+$D$13*(I36+$D$17*$D$24)^$D$23+$E$13*(J36+$E$17*$E$24)^$E$23+$F$13</f>
        <v>7.3309425117410836</v>
      </c>
      <c r="M36" s="42">
        <f t="shared" si="2"/>
        <v>4.0922432486617693</v>
      </c>
    </row>
    <row r="37" spans="1:13" x14ac:dyDescent="0.35">
      <c r="H37" s="9">
        <v>20</v>
      </c>
      <c r="I37" s="9">
        <v>5</v>
      </c>
      <c r="J37" s="9">
        <v>5</v>
      </c>
      <c r="K37" s="9">
        <f t="shared" si="1"/>
        <v>30</v>
      </c>
      <c r="L37" s="42">
        <f>$C$13*('Simulator &amp; optimising(solver)'!H37+'Simulator &amp; optimising(solver)'!$C$17*'Simulator &amp; optimising(solver)'!$C$24)^$C$23+$D$13*(I37+$D$17*$D$24)^$D$23+$E$13*(J37+$E$17*$E$24)^$E$23+$F$13</f>
        <v>6.2325778090578439</v>
      </c>
      <c r="M37" s="42">
        <f t="shared" si="2"/>
        <v>4.8134176450073056</v>
      </c>
    </row>
    <row r="1048550" spans="16384:16384" x14ac:dyDescent="0.35">
      <c r="XFD1048550" cm="1">
        <f t="array" ref="XFD1048550">solver_pre</f>
        <v>9.9999999999999995E-7</v>
      </c>
    </row>
    <row r="1048551" spans="16384:16384" x14ac:dyDescent="0.35">
      <c r="XFD1048551" cm="1">
        <f t="array" ref="XFD1048551">solver_scl</f>
        <v>1</v>
      </c>
    </row>
    <row r="1048552" spans="16384:16384" x14ac:dyDescent="0.35">
      <c r="XFD1048552" cm="1">
        <f t="array" ref="XFD1048552">solver_rlx</f>
        <v>2</v>
      </c>
    </row>
    <row r="1048553" spans="16384:16384" x14ac:dyDescent="0.35">
      <c r="XFD1048553" cm="1">
        <f t="array" ref="XFD1048553">solver_tol</f>
        <v>0.01</v>
      </c>
    </row>
    <row r="1048554" spans="16384:16384" x14ac:dyDescent="0.35">
      <c r="XFD1048554" cm="1">
        <f t="array" ref="XFD1048554"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 cm="1">
        <f t="array" ref="XFD1048556">solver_ssz</f>
        <v>100</v>
      </c>
    </row>
    <row r="1048557" spans="16384:16384" x14ac:dyDescent="0.35">
      <c r="XFD1048557" cm="1">
        <f t="array" ref="XFD1048557">solver_rsd</f>
        <v>0</v>
      </c>
    </row>
    <row r="1048558" spans="16384:16384" x14ac:dyDescent="0.35">
      <c r="XFD1048558" cm="1">
        <f t="array" ref="XFD1048558">solver_mrt</f>
        <v>7.4999999999999997E-2</v>
      </c>
    </row>
    <row r="1048559" spans="16384:16384" x14ac:dyDescent="0.35">
      <c r="XFD1048559" cm="1">
        <f t="array" ref="XFD1048559">solver_mni</f>
        <v>30</v>
      </c>
    </row>
    <row r="1048560" spans="16384:16384" x14ac:dyDescent="0.35">
      <c r="XFD1048560" cm="1">
        <f t="array" ref="XFD1048560">solver_rbv</f>
        <v>1</v>
      </c>
    </row>
    <row r="1048561" spans="16384:16384" x14ac:dyDescent="0.35">
      <c r="XFD1048561" cm="1">
        <f t="array" ref="XFD1048561"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scenarios current="0">
    <scenario name="Error 1" count="3" user="G R Anupama" comment="Created by G R Anupama on 9/21/2024">
      <inputCells r="C20" val="1"/>
      <inputCells r="D20" val="1"/>
      <inputCells r="E20" val="-19.9999985694886"/>
    </scenario>
  </scenarios>
  <sortState xmlns:xlrd2="http://schemas.microsoft.com/office/spreadsheetml/2017/richdata2" ref="H24:M37">
    <sortCondition ref="H24:H37"/>
    <sortCondition ref="I24:I37"/>
    <sortCondition ref="J24:J37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743991A-04DC-4509-B6B3-A2932DBF9750}">
          <xm:f>'Simulator &amp; optimising(solver)'!1:1048576</xm:f>
        </x15:webExtension>
        <x15:webExtension appRef="{5211B402-0DBB-49BC-A9EE-B5AE2AA43FDA}">
          <xm:f>'Simulator &amp; optimising(solver)'!XFD1048550:XFD1048575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Exploration</vt:lpstr>
      <vt:lpstr>Simple Model</vt:lpstr>
      <vt:lpstr>Ad_Stock n Dim Effect</vt:lpstr>
      <vt:lpstr>Automate Ad_Stock n Dim Effect</vt:lpstr>
      <vt:lpstr>Simulator &amp; optimising(solver)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 Anupama</dc:creator>
  <cp:lastModifiedBy>G R Anupama</cp:lastModifiedBy>
  <dcterms:created xsi:type="dcterms:W3CDTF">2024-09-10T06:12:31Z</dcterms:created>
  <dcterms:modified xsi:type="dcterms:W3CDTF">2024-12-10T01:55:12Z</dcterms:modified>
</cp:coreProperties>
</file>