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comments6.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xml" ContentType="application/vnd.openxmlformats-officedocument.drawing+xml"/>
  <Override PartName="/xl/comments7.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updateLinks="never" codeName="ThisWorkbook"/>
  <mc:AlternateContent xmlns:mc="http://schemas.openxmlformats.org/markup-compatibility/2006">
    <mc:Choice Requires="x15">
      <x15ac:absPath xmlns:x15ac="http://schemas.microsoft.com/office/spreadsheetml/2010/11/ac" url="C:\Users\anura\Desktop\Valify-SourceCode\API\"/>
    </mc:Choice>
  </mc:AlternateContent>
  <xr:revisionPtr revIDLastSave="0" documentId="13_ncr:1_{1CA9F687-BE96-473C-A15A-4428400020E7}" xr6:coauthVersionLast="47" xr6:coauthVersionMax="47" xr10:uidLastSave="{00000000-0000-0000-0000-000000000000}"/>
  <bookViews>
    <workbookView xWindow="-120" yWindow="-120" windowWidth="24240" windowHeight="13020" tabRatio="937" firstSheet="1" activeTab="3" xr2:uid="{00000000-000D-0000-FFFF-FFFF00000000}"/>
  </bookViews>
  <sheets>
    <sheet name="NavigationList" sheetId="125" state="veryHidden" r:id="rId1"/>
    <sheet name="Cover" sheetId="816" r:id="rId2"/>
    <sheet name="Form" sheetId="859" r:id="rId3"/>
    <sheet name="Inputs" sheetId="847" r:id="rId4"/>
    <sheet name="Hist.Fin" sheetId="853" r:id="rId5"/>
    <sheet name="Notes" sheetId="850" r:id="rId6"/>
    <sheet name="Summary&gt;&gt;" sheetId="824" r:id="rId7"/>
    <sheet name="Key Outputs" sheetId="825" r:id="rId8"/>
    <sheet name="ReportData" sheetId="840" r:id="rId9"/>
    <sheet name="Log" sheetId="854" r:id="rId10"/>
    <sheet name="Report" sheetId="856" r:id="rId11"/>
    <sheet name="Sheet4" sheetId="837" state="hidden" r:id="rId12"/>
    <sheet name="Sensitivities" sheetId="855" r:id="rId13"/>
    <sheet name="Outputs&gt;&gt;" sheetId="830" r:id="rId14"/>
    <sheet name="Insights" sheetId="863" r:id="rId15"/>
    <sheet name="Flags" sheetId="849" r:id="rId16"/>
    <sheet name="IS" sheetId="2" r:id="rId17"/>
    <sheet name="BS" sheetId="122" r:id="rId18"/>
    <sheet name="CFS" sheetId="835" r:id="rId19"/>
    <sheet name="DCF" sheetId="834" r:id="rId20"/>
    <sheet name="BS_Calc" sheetId="829" r:id="rId21"/>
    <sheet name="ValSum" sheetId="844" r:id="rId22"/>
    <sheet name="Workings&gt;&gt;" sheetId="822" r:id="rId23"/>
    <sheet name="IS_Calcs" sheetId="826" r:id="rId24"/>
    <sheet name="WACC" sheetId="92" r:id="rId25"/>
    <sheet name="GPC Analysis &gt;" sheetId="845" r:id="rId26"/>
    <sheet name="_CIQHiddenCacheSheet" sheetId="814" state="veryHidden" r:id="rId27"/>
    <sheet name="Multiples" sheetId="22" r:id="rId28"/>
    <sheet name="Transact" sheetId="28" r:id="rId29"/>
    <sheet name="Growth" sheetId="189" r:id="rId30"/>
    <sheet name="Margins" sheetId="190" r:id="rId31"/>
    <sheet name="Capex, Dep, WC" sheetId="192" r:id="rId32"/>
    <sheet name="D|E" sheetId="437" r:id="rId33"/>
    <sheet name="GPCDes" sheetId="63" r:id="rId34"/>
    <sheet name="GPCRatios" sheetId="587" r:id="rId35"/>
    <sheet name="PBC&gt;&gt;" sheetId="839" r:id="rId36"/>
    <sheet name="FS" sheetId="841" r:id="rId37"/>
    <sheet name="Sources&gt;" sheetId="239" r:id="rId38"/>
    <sheet name="DamodaranCRP" sheetId="848" r:id="rId39"/>
    <sheet name="Industry Beta" sheetId="852" r:id="rId40"/>
    <sheet name="SizePremia" sheetId="188" r:id="rId41"/>
    <sheet name="GPCTradingData" sheetId="238" r:id="rId42"/>
    <sheet name="Tax" sheetId="365" r:id="rId43"/>
    <sheet name="GPC Data" sheetId="827" r:id="rId44"/>
  </sheets>
  <externalReferences>
    <externalReference r:id="rId45"/>
    <externalReference r:id="rId46"/>
    <externalReference r:id="rId47"/>
    <externalReference r:id="rId48"/>
    <externalReference r:id="rId49"/>
    <externalReference r:id="rId50"/>
  </externalReferences>
  <definedNames>
    <definedName name="_UNDO_UPS_" localSheetId="15" hidden="1">#REF!</definedName>
    <definedName name="_UNDO_UPS_" localSheetId="2" hidden="1">#REF!</definedName>
    <definedName name="_UNDO_UPS_" hidden="1">#REF!</definedName>
    <definedName name="_UNDO_UPS_SEL_" localSheetId="15"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 localSheetId="15">[1]Inputs!$E$7</definedName>
    <definedName name="client.name.long" localSheetId="2">[2]Inputs!$E$7</definedName>
    <definedName name="client.name.long">Inputs!$E$19</definedName>
    <definedName name="curr.unit.conversion">DCF!$Q$32</definedName>
    <definedName name="currency.denomination" localSheetId="15">[1]Inputs!$E$30</definedName>
    <definedName name="currency.denomination" localSheetId="2">[2]Inputs!$E$30</definedName>
    <definedName name="currency.denomination">Inputs!$E$45</definedName>
    <definedName name="currency.heading1" localSheetId="15">[1]Inputs!$E$31</definedName>
    <definedName name="currency.heading1" localSheetId="2">[2]Inputs!$E$31</definedName>
    <definedName name="currency.heading1">Inputs!$E$46</definedName>
    <definedName name="currency.type" localSheetId="15">[1]Inputs!$E$29</definedName>
    <definedName name="currency.type" localSheetId="2">[2]Inputs!$E$29</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growth.assumption">Inputs!$E$244</definedName>
    <definedName name="HTML_CodePage" hidden="1">1252</definedName>
    <definedName name="HTML_Control" localSheetId="15" hidden="1">{"'Sheet1'!$A$1:$H$145"}</definedName>
    <definedName name="HTML_Control" localSheetId="2"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 localSheetId="2">IF(Values_Entered,Header_Row+Form!Number_of_Payments,Header_Row)</definedName>
    <definedName name="Last_Row">IF(Values_Entered,Header_Row+Number_of_Payments,Header_Row)</definedName>
    <definedName name="long.term.growth">Inputs!$E$245</definedName>
    <definedName name="Payment_Date" localSheetId="2">DATE(YEAR(Loan_Start),MONTH(Loan_Start)+Payment_Number,DAY(Loan_Start))</definedName>
    <definedName name="Payment_Date">DATE(YEAR(Loan_Start),MONTH(Loan_Start)+Payment_Number,DAY(Loan_Start))</definedName>
    <definedName name="_xlnm.Print_Area" localSheetId="31">'Capex, Dep, WC'!$B$2:$N$156</definedName>
    <definedName name="_xlnm.Print_Area" localSheetId="19">DCF!$C$2:$S$63</definedName>
    <definedName name="_xlnm.Print_Area" localSheetId="29">Growth!$B$2:$X$98</definedName>
    <definedName name="_xlnm.Print_Area" localSheetId="7">'Key Outputs'!$B$2:$R$35</definedName>
    <definedName name="_xlnm.Print_Area" localSheetId="30">Margins!$B$2:$N$106</definedName>
    <definedName name="_xlnm.Print_Area" localSheetId="27">Multiples!$B$2:$AT$34</definedName>
    <definedName name="_xlnm.Print_Area" localSheetId="10">Report!$B$50:$F$93</definedName>
    <definedName name="_xlnm.Print_Area" localSheetId="40">SizePremia!$B$2:$CD$40</definedName>
    <definedName name="_xlnm.Print_Area" localSheetId="28">Transact!$B$2:$L$50</definedName>
    <definedName name="_xlnm.Print_Area" localSheetId="24">WACC!$B$2:$K$106</definedName>
    <definedName name="project.title" localSheetId="15">[1]Inputs!$E$9</definedName>
    <definedName name="project.title" localSheetId="2">[2]Inputs!$E$9</definedName>
    <definedName name="project.title">Inputs!$E$26</definedName>
    <definedName name="projected.year1.end" localSheetId="15">[1]Inputs!$E$15</definedName>
    <definedName name="projected.year1.end" localSheetId="2">[2]Inputs!$E$15</definedName>
    <definedName name="projected.year1.end">Inputs!$E$30</definedName>
    <definedName name="stub.period" localSheetId="15">[1]Inputs!$E$18</definedName>
    <definedName name="stub.period" localSheetId="2">[2]Inputs!$E$18</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 localSheetId="2">Form!$N$26</definedName>
    <definedName name="val.date">[1]Form!$H$19</definedName>
    <definedName name="valuation.date" localSheetId="15">[1]Inputs!$E$14</definedName>
    <definedName name="valuation.date" localSheetId="2">[2]Inputs!$E$14</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 localSheetId="15">[1]Inputs!$E$19</definedName>
    <definedName name="ytd.months" localSheetId="2">[2]Inputs!$E$19</definedName>
    <definedName name="ytd.months">Inputs!$E$33</definedName>
    <definedName name="ytg.actual">Inputs!$E$39</definedName>
    <definedName name="ytg.approach">Inputs!$E$36</definedName>
    <definedName name="ytg.mgt">Inputs!$E$40</definedName>
  </definedNames>
  <calcPr calcId="191029" calcMode="autoNoTable"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1" i="92" l="1"/>
  <c r="D20" i="92"/>
  <c r="F184" i="826"/>
  <c r="D18" i="92"/>
  <c r="I98" i="92"/>
  <c r="I97" i="92"/>
  <c r="I96" i="92"/>
  <c r="I95" i="92"/>
  <c r="I94" i="92"/>
  <c r="I93" i="92"/>
  <c r="I92" i="92"/>
  <c r="H98" i="92"/>
  <c r="H97" i="92"/>
  <c r="H96" i="92"/>
  <c r="H95" i="92"/>
  <c r="H94" i="92"/>
  <c r="H93" i="92"/>
  <c r="H92" i="92"/>
  <c r="H91" i="92"/>
  <c r="E98" i="92"/>
  <c r="E97" i="92"/>
  <c r="E96" i="92"/>
  <c r="D95" i="92"/>
  <c r="F95" i="92" s="1"/>
  <c r="D98" i="92"/>
  <c r="F98" i="92" s="1"/>
  <c r="G98" i="92" s="1"/>
  <c r="D97" i="92"/>
  <c r="F97" i="92" s="1"/>
  <c r="G97" i="92" s="1"/>
  <c r="D96" i="92"/>
  <c r="F96" i="92" s="1"/>
  <c r="G96" i="92" s="1"/>
  <c r="D94" i="92"/>
  <c r="F94" i="92" s="1"/>
  <c r="D93" i="92"/>
  <c r="F93" i="92" s="1"/>
  <c r="D92" i="92"/>
  <c r="F92" i="92" s="1"/>
  <c r="D91" i="92"/>
  <c r="F91" i="92" s="1"/>
  <c r="E94" i="92"/>
  <c r="E93" i="92"/>
  <c r="E92" i="92"/>
  <c r="D80" i="92"/>
  <c r="D81" i="92"/>
  <c r="H44" i="2"/>
  <c r="I44" i="2"/>
  <c r="J44" i="2"/>
  <c r="K44" i="2"/>
  <c r="L44" i="2"/>
  <c r="M44" i="2"/>
  <c r="N44" i="2"/>
  <c r="O44" i="2"/>
  <c r="P44" i="2"/>
  <c r="Q44" i="2"/>
  <c r="R44" i="2"/>
  <c r="H45" i="2"/>
  <c r="I45" i="2"/>
  <c r="J45" i="2"/>
  <c r="K45" i="2"/>
  <c r="L45" i="2"/>
  <c r="M45" i="2"/>
  <c r="N45" i="2"/>
  <c r="O45" i="2"/>
  <c r="P45" i="2"/>
  <c r="Q45" i="2"/>
  <c r="R45" i="2"/>
  <c r="H46" i="2"/>
  <c r="I46" i="2"/>
  <c r="J46" i="2"/>
  <c r="K46" i="2"/>
  <c r="L46" i="2"/>
  <c r="M46" i="2"/>
  <c r="N46" i="2"/>
  <c r="O46" i="2"/>
  <c r="P46" i="2"/>
  <c r="Q46" i="2"/>
  <c r="R46" i="2"/>
  <c r="H47" i="2"/>
  <c r="I47" i="2"/>
  <c r="J47" i="2"/>
  <c r="K47" i="2"/>
  <c r="L47" i="2"/>
  <c r="M47" i="2"/>
  <c r="N47" i="2"/>
  <c r="O47" i="2"/>
  <c r="P47" i="2"/>
  <c r="Q47" i="2"/>
  <c r="R47" i="2"/>
  <c r="H48" i="2"/>
  <c r="I48" i="2"/>
  <c r="J48" i="2"/>
  <c r="K48" i="2"/>
  <c r="L48" i="2"/>
  <c r="M48" i="2"/>
  <c r="N48" i="2"/>
  <c r="O48" i="2"/>
  <c r="P48" i="2"/>
  <c r="Q48" i="2"/>
  <c r="R48" i="2"/>
  <c r="H49" i="2"/>
  <c r="I49" i="2"/>
  <c r="J49" i="2"/>
  <c r="K49" i="2"/>
  <c r="L49" i="2"/>
  <c r="M49" i="2"/>
  <c r="N49" i="2"/>
  <c r="O49" i="2"/>
  <c r="P49" i="2"/>
  <c r="Q49" i="2"/>
  <c r="R49" i="2"/>
  <c r="H50" i="2"/>
  <c r="I50" i="2"/>
  <c r="J50" i="2"/>
  <c r="K50" i="2"/>
  <c r="L50" i="2"/>
  <c r="M50" i="2"/>
  <c r="N50" i="2"/>
  <c r="O50" i="2"/>
  <c r="P50" i="2"/>
  <c r="Q50" i="2"/>
  <c r="R50" i="2"/>
  <c r="H51" i="2"/>
  <c r="I51" i="2"/>
  <c r="J51" i="2"/>
  <c r="K51" i="2"/>
  <c r="L51" i="2"/>
  <c r="M51" i="2"/>
  <c r="N51" i="2"/>
  <c r="O51" i="2"/>
  <c r="P51" i="2"/>
  <c r="Q51" i="2"/>
  <c r="R51" i="2"/>
  <c r="D44" i="2"/>
  <c r="D45" i="2"/>
  <c r="D46" i="2"/>
  <c r="D47" i="2"/>
  <c r="D48" i="2"/>
  <c r="D49" i="2"/>
  <c r="D50" i="2"/>
  <c r="D51" i="2"/>
  <c r="L75" i="826"/>
  <c r="F75" i="826" s="1" a="1"/>
  <c r="F75" i="826" s="1"/>
  <c r="M46" i="826"/>
  <c r="H160" i="826"/>
  <c r="I160" i="826"/>
  <c r="J160" i="826"/>
  <c r="K160" i="826"/>
  <c r="N160" i="826"/>
  <c r="O160" i="826"/>
  <c r="P160" i="826"/>
  <c r="Q160" i="826"/>
  <c r="R160" i="826"/>
  <c r="H161" i="826"/>
  <c r="I161" i="826"/>
  <c r="J161" i="826"/>
  <c r="K161" i="826"/>
  <c r="N161" i="826"/>
  <c r="O161" i="826"/>
  <c r="P161" i="826"/>
  <c r="Q161" i="826"/>
  <c r="R161" i="826"/>
  <c r="H162" i="826"/>
  <c r="I162" i="826"/>
  <c r="J162" i="826"/>
  <c r="K162" i="826"/>
  <c r="N162" i="826"/>
  <c r="O162" i="826"/>
  <c r="P162" i="826"/>
  <c r="Q162" i="826"/>
  <c r="R162" i="826"/>
  <c r="H163" i="826"/>
  <c r="I163" i="826"/>
  <c r="J163" i="826"/>
  <c r="K163" i="826"/>
  <c r="N163" i="826"/>
  <c r="O163" i="826"/>
  <c r="P163" i="826"/>
  <c r="Q163" i="826"/>
  <c r="R163" i="826"/>
  <c r="H164" i="826"/>
  <c r="I164" i="826"/>
  <c r="J164" i="826"/>
  <c r="K164" i="826"/>
  <c r="N164" i="826"/>
  <c r="O164" i="826"/>
  <c r="P164" i="826"/>
  <c r="Q164" i="826"/>
  <c r="R164" i="826"/>
  <c r="H165" i="826"/>
  <c r="I165" i="826"/>
  <c r="J165" i="826"/>
  <c r="K165" i="826"/>
  <c r="N165" i="826"/>
  <c r="O165" i="826"/>
  <c r="P165" i="826"/>
  <c r="Q165" i="826"/>
  <c r="R165" i="826"/>
  <c r="H166" i="826"/>
  <c r="I166" i="826"/>
  <c r="J166" i="826"/>
  <c r="K166" i="826"/>
  <c r="N166" i="826"/>
  <c r="O166" i="826"/>
  <c r="P166" i="826"/>
  <c r="Q166" i="826"/>
  <c r="R166" i="826"/>
  <c r="H167" i="826"/>
  <c r="I167" i="826"/>
  <c r="J167" i="826"/>
  <c r="K167" i="826"/>
  <c r="N167" i="826"/>
  <c r="O167" i="826"/>
  <c r="P167" i="826"/>
  <c r="Q167" i="826"/>
  <c r="R167" i="826"/>
  <c r="M147" i="826"/>
  <c r="L147" i="826" s="1"/>
  <c r="N147" i="826"/>
  <c r="O147" i="826"/>
  <c r="P147" i="826"/>
  <c r="Q147" i="826"/>
  <c r="R147" i="826"/>
  <c r="L148" i="826"/>
  <c r="M148" i="826"/>
  <c r="N148" i="826"/>
  <c r="O148" i="826"/>
  <c r="P148" i="826"/>
  <c r="Q148" i="826"/>
  <c r="R148" i="826"/>
  <c r="M149" i="826"/>
  <c r="L149" i="826" s="1"/>
  <c r="N149" i="826"/>
  <c r="O149" i="826"/>
  <c r="P149" i="826"/>
  <c r="Q149" i="826"/>
  <c r="R149" i="826"/>
  <c r="M150" i="826"/>
  <c r="L150" i="826" s="1"/>
  <c r="N150" i="826"/>
  <c r="O150" i="826"/>
  <c r="P150" i="826"/>
  <c r="Q150" i="826"/>
  <c r="R150" i="826"/>
  <c r="M151" i="826"/>
  <c r="L151" i="826" s="1"/>
  <c r="N151" i="826"/>
  <c r="O151" i="826"/>
  <c r="P151" i="826"/>
  <c r="Q151" i="826"/>
  <c r="R151" i="826"/>
  <c r="L152" i="826"/>
  <c r="M152" i="826"/>
  <c r="N152" i="826"/>
  <c r="O152" i="826"/>
  <c r="P152" i="826"/>
  <c r="Q152" i="826"/>
  <c r="R152" i="826"/>
  <c r="M153" i="826"/>
  <c r="L153" i="826" s="1"/>
  <c r="N153" i="826"/>
  <c r="O153" i="826"/>
  <c r="P153" i="826"/>
  <c r="Q153" i="826"/>
  <c r="R153" i="826"/>
  <c r="M154" i="826"/>
  <c r="L154" i="826" s="1"/>
  <c r="N154" i="826"/>
  <c r="O154" i="826"/>
  <c r="P154" i="826"/>
  <c r="Q154" i="826"/>
  <c r="R154" i="826"/>
  <c r="T151" i="826"/>
  <c r="H151" i="826"/>
  <c r="I151" i="826"/>
  <c r="J151" i="826"/>
  <c r="K151" i="826"/>
  <c r="D38" i="853"/>
  <c r="D39" i="853"/>
  <c r="D40" i="853"/>
  <c r="D41" i="853"/>
  <c r="D42" i="853"/>
  <c r="D43" i="853"/>
  <c r="D44" i="853"/>
  <c r="D45" i="853"/>
  <c r="D37" i="853"/>
  <c r="C166" i="826"/>
  <c r="C167" i="826"/>
  <c r="C147" i="826"/>
  <c r="C160" i="826" s="1"/>
  <c r="C148" i="826"/>
  <c r="C161" i="826" s="1"/>
  <c r="C149" i="826"/>
  <c r="C162" i="826" s="1"/>
  <c r="C150" i="826"/>
  <c r="C163" i="826" s="1"/>
  <c r="C151" i="826"/>
  <c r="C164" i="826" s="1"/>
  <c r="C152" i="826"/>
  <c r="C165" i="826" s="1"/>
  <c r="C153" i="826"/>
  <c r="C154" i="826"/>
  <c r="C146" i="826"/>
  <c r="C159" i="826" s="1"/>
  <c r="E203" i="847"/>
  <c r="J203" i="847"/>
  <c r="L203" i="847"/>
  <c r="M203" i="847"/>
  <c r="N203" i="847"/>
  <c r="O203" i="847"/>
  <c r="P203" i="847"/>
  <c r="Q203" i="847"/>
  <c r="E201" i="847"/>
  <c r="J201" i="847"/>
  <c r="L201" i="847"/>
  <c r="M201" i="847"/>
  <c r="N201" i="847"/>
  <c r="O201" i="847"/>
  <c r="P201" i="847"/>
  <c r="Q201" i="847"/>
  <c r="E187" i="847"/>
  <c r="J187" i="847"/>
  <c r="L187" i="847"/>
  <c r="M187" i="847"/>
  <c r="N187" i="847"/>
  <c r="O187" i="847"/>
  <c r="P187" i="847"/>
  <c r="Q187" i="847"/>
  <c r="C197" i="847"/>
  <c r="C198" i="847"/>
  <c r="C199" i="847"/>
  <c r="C200" i="847"/>
  <c r="C201" i="847"/>
  <c r="C202" i="847"/>
  <c r="C203" i="847"/>
  <c r="C204" i="847"/>
  <c r="C205" i="847"/>
  <c r="C206" i="847"/>
  <c r="C207" i="847"/>
  <c r="C196" i="847"/>
  <c r="H271" i="859"/>
  <c r="H272" i="859"/>
  <c r="H273" i="859"/>
  <c r="H274" i="859"/>
  <c r="H275" i="859"/>
  <c r="H276" i="859"/>
  <c r="H277" i="859"/>
  <c r="H278" i="859"/>
  <c r="H279" i="859"/>
  <c r="H280" i="859"/>
  <c r="H270" i="859"/>
  <c r="H147" i="826"/>
  <c r="I147" i="826"/>
  <c r="J147" i="826"/>
  <c r="K147" i="826"/>
  <c r="H148" i="826"/>
  <c r="I148" i="826"/>
  <c r="J148" i="826"/>
  <c r="K148" i="826"/>
  <c r="H149" i="826"/>
  <c r="I149" i="826"/>
  <c r="J149" i="826"/>
  <c r="K149" i="826"/>
  <c r="H150" i="826"/>
  <c r="I150" i="826"/>
  <c r="J150" i="826"/>
  <c r="K150" i="826"/>
  <c r="H152" i="826"/>
  <c r="I152" i="826"/>
  <c r="J152" i="826"/>
  <c r="K152" i="826"/>
  <c r="H153" i="826"/>
  <c r="I153" i="826"/>
  <c r="J153" i="826"/>
  <c r="K153" i="826"/>
  <c r="H154" i="826"/>
  <c r="J189" i="847"/>
  <c r="L189" i="847"/>
  <c r="M189" i="847"/>
  <c r="N189" i="847"/>
  <c r="O189" i="847"/>
  <c r="P189" i="847"/>
  <c r="Q189" i="847"/>
  <c r="L183" i="847"/>
  <c r="M183" i="847"/>
  <c r="N183" i="847"/>
  <c r="O183" i="847"/>
  <c r="P183" i="847"/>
  <c r="Q183" i="847"/>
  <c r="L184" i="847"/>
  <c r="M184" i="847"/>
  <c r="N184" i="847"/>
  <c r="O184" i="847"/>
  <c r="P184" i="847"/>
  <c r="Q184" i="847"/>
  <c r="L185" i="847"/>
  <c r="M185" i="847"/>
  <c r="N185" i="847"/>
  <c r="O185" i="847"/>
  <c r="P185" i="847"/>
  <c r="Q185" i="847"/>
  <c r="L186" i="847"/>
  <c r="M186" i="847"/>
  <c r="N186" i="847"/>
  <c r="O186" i="847"/>
  <c r="P186" i="847"/>
  <c r="Q186" i="847"/>
  <c r="L188" i="847"/>
  <c r="M188" i="847"/>
  <c r="N188" i="847"/>
  <c r="O188" i="847"/>
  <c r="P188" i="847"/>
  <c r="Q188" i="847"/>
  <c r="L190" i="847"/>
  <c r="M190" i="847"/>
  <c r="N190" i="847"/>
  <c r="O190" i="847"/>
  <c r="P190" i="847"/>
  <c r="Q190" i="847"/>
  <c r="L191" i="847"/>
  <c r="M191" i="847"/>
  <c r="N191" i="847"/>
  <c r="O191" i="847"/>
  <c r="P191" i="847"/>
  <c r="Q191" i="847"/>
  <c r="L192" i="847"/>
  <c r="M192" i="847"/>
  <c r="N192" i="847"/>
  <c r="O192" i="847"/>
  <c r="P192" i="847"/>
  <c r="Q192" i="847"/>
  <c r="J183" i="847"/>
  <c r="J184" i="847"/>
  <c r="J185" i="847"/>
  <c r="J186" i="847"/>
  <c r="J188" i="847"/>
  <c r="J190" i="847"/>
  <c r="J191" i="847"/>
  <c r="J192" i="847"/>
  <c r="E77" i="847"/>
  <c r="D18" i="826" s="1"/>
  <c r="E78" i="847"/>
  <c r="C47" i="826" s="1"/>
  <c r="E79" i="847"/>
  <c r="C48" i="826" s="1"/>
  <c r="E80" i="847"/>
  <c r="D21" i="826" s="1"/>
  <c r="E82" i="847"/>
  <c r="D22" i="826" s="1"/>
  <c r="D15" i="847"/>
  <c r="D14" i="847"/>
  <c r="F52" i="844"/>
  <c r="E52" i="844"/>
  <c r="D52" i="844"/>
  <c r="H14" i="122"/>
  <c r="I14" i="122"/>
  <c r="J14" i="122"/>
  <c r="K14" i="122"/>
  <c r="K37" i="2"/>
  <c r="J37" i="2"/>
  <c r="I37" i="2"/>
  <c r="K36" i="2"/>
  <c r="J36" i="2"/>
  <c r="I36" i="2"/>
  <c r="K35" i="2"/>
  <c r="J35" i="2"/>
  <c r="I35" i="2"/>
  <c r="K34" i="2"/>
  <c r="J34" i="2"/>
  <c r="I34" i="2"/>
  <c r="K33" i="2"/>
  <c r="J33" i="2"/>
  <c r="I33" i="2"/>
  <c r="K32" i="2"/>
  <c r="J32" i="2"/>
  <c r="I32" i="2"/>
  <c r="K31" i="2"/>
  <c r="J31" i="2"/>
  <c r="I31" i="2"/>
  <c r="K30" i="2"/>
  <c r="J30" i="2"/>
  <c r="I30" i="2"/>
  <c r="H35" i="2"/>
  <c r="H36" i="2"/>
  <c r="H37" i="2"/>
  <c r="H34" i="2"/>
  <c r="H31" i="2"/>
  <c r="H32" i="2"/>
  <c r="H33" i="2"/>
  <c r="H30" i="2"/>
  <c r="R57" i="826"/>
  <c r="Q57" i="826"/>
  <c r="P57" i="826"/>
  <c r="O57" i="826"/>
  <c r="N57" i="826"/>
  <c r="R56" i="826"/>
  <c r="Q56" i="826"/>
  <c r="P56" i="826"/>
  <c r="O56" i="826"/>
  <c r="N56" i="826"/>
  <c r="R55" i="826"/>
  <c r="Q55" i="826"/>
  <c r="P55" i="826"/>
  <c r="O55" i="826"/>
  <c r="N55" i="826"/>
  <c r="R54" i="826"/>
  <c r="Q54" i="826"/>
  <c r="P54" i="826"/>
  <c r="O54" i="826"/>
  <c r="N54" i="826"/>
  <c r="M57" i="826"/>
  <c r="M56" i="826"/>
  <c r="M55" i="826"/>
  <c r="M54" i="826"/>
  <c r="R49" i="826"/>
  <c r="Q49" i="826"/>
  <c r="P49" i="826"/>
  <c r="O49" i="826"/>
  <c r="N49" i="826"/>
  <c r="M49" i="826"/>
  <c r="R48" i="826"/>
  <c r="Q48" i="826"/>
  <c r="P48" i="826"/>
  <c r="O48" i="826"/>
  <c r="N48" i="826"/>
  <c r="M48" i="826"/>
  <c r="R47" i="826"/>
  <c r="Q47" i="826"/>
  <c r="P47" i="826"/>
  <c r="O47" i="826"/>
  <c r="N47" i="826"/>
  <c r="M47" i="826"/>
  <c r="R46" i="826"/>
  <c r="Q46" i="826"/>
  <c r="P46" i="826"/>
  <c r="O46" i="826"/>
  <c r="N46" i="826"/>
  <c r="M241" i="847"/>
  <c r="N241" i="847"/>
  <c r="O241" i="847"/>
  <c r="P241" i="847"/>
  <c r="Q241" i="847"/>
  <c r="L232" i="847"/>
  <c r="F71" i="863"/>
  <c r="F70" i="863" s="1"/>
  <c r="G71" i="863"/>
  <c r="G70" i="863" s="1"/>
  <c r="I70" i="863"/>
  <c r="J70" i="863"/>
  <c r="K70" i="863"/>
  <c r="L70" i="863"/>
  <c r="M70" i="863"/>
  <c r="N70" i="863"/>
  <c r="O70" i="863"/>
  <c r="P70" i="863"/>
  <c r="Q70" i="863"/>
  <c r="R70" i="863"/>
  <c r="H70" i="863"/>
  <c r="P74" i="863"/>
  <c r="O74" i="863"/>
  <c r="N74" i="863"/>
  <c r="M74" i="863"/>
  <c r="L74" i="863"/>
  <c r="P72" i="863"/>
  <c r="I99" i="92" l="1"/>
  <c r="G93" i="92"/>
  <c r="G92" i="92"/>
  <c r="G94" i="92"/>
  <c r="E95" i="92"/>
  <c r="E91" i="92" s="1"/>
  <c r="V151" i="826"/>
  <c r="U151" i="826"/>
  <c r="C46" i="826"/>
  <c r="C54" i="826"/>
  <c r="D19" i="826"/>
  <c r="C49" i="826"/>
  <c r="D20" i="826"/>
  <c r="E13" i="847"/>
  <c r="E12" i="847"/>
  <c r="E70" i="863"/>
  <c r="F75" i="863"/>
  <c r="E74" i="863" s="1"/>
  <c r="E75" i="863"/>
  <c r="G95" i="92" l="1"/>
  <c r="E99" i="92"/>
  <c r="G91" i="92"/>
  <c r="E12" i="92"/>
  <c r="E16" i="92"/>
  <c r="E17" i="92" s="1"/>
  <c r="E88" i="92"/>
  <c r="E17" i="850"/>
  <c r="F16" i="850"/>
  <c r="F15" i="850"/>
  <c r="F14" i="850"/>
  <c r="F13" i="850"/>
  <c r="F12" i="850"/>
  <c r="F11" i="850"/>
  <c r="F10" i="850"/>
  <c r="F9" i="850"/>
  <c r="F8" i="850"/>
  <c r="F17" i="850" s="1"/>
  <c r="G99" i="92" l="1"/>
  <c r="G8" i="850"/>
  <c r="G9" i="850" s="1"/>
  <c r="G10" i="850" s="1"/>
  <c r="G11" i="850" s="1"/>
  <c r="G12" i="850" s="1"/>
  <c r="G13" i="850" s="1"/>
  <c r="G14" i="850" s="1"/>
  <c r="G15" i="850" s="1"/>
  <c r="G16" i="850" s="1"/>
  <c r="J207" i="847" l="1"/>
  <c r="J206" i="847"/>
  <c r="J205" i="847"/>
  <c r="J204" i="847"/>
  <c r="J202" i="847"/>
  <c r="J200" i="847"/>
  <c r="J199" i="847"/>
  <c r="J198" i="847"/>
  <c r="J197" i="847"/>
  <c r="J196" i="847"/>
  <c r="Q207" i="847"/>
  <c r="P207" i="847"/>
  <c r="O207" i="847"/>
  <c r="N207" i="847"/>
  <c r="M207" i="847"/>
  <c r="L207" i="847"/>
  <c r="E280" i="847"/>
  <c r="D86" i="92" s="1"/>
  <c r="F86" i="92" s="1"/>
  <c r="E279" i="847"/>
  <c r="D85" i="92" s="1"/>
  <c r="F85" i="92" s="1"/>
  <c r="E275" i="847" l="1"/>
  <c r="E276" i="847"/>
  <c r="E277" i="847"/>
  <c r="E278" i="847"/>
  <c r="E274" i="847"/>
  <c r="E258" i="847"/>
  <c r="L37" i="834" s="1"/>
  <c r="E257" i="847"/>
  <c r="M237" i="847"/>
  <c r="N237" i="847"/>
  <c r="O237" i="847"/>
  <c r="P237" i="847"/>
  <c r="Q237" i="847"/>
  <c r="L237" i="847"/>
  <c r="M232" i="847"/>
  <c r="N232" i="847"/>
  <c r="O232" i="847"/>
  <c r="P232" i="847"/>
  <c r="Q232" i="847"/>
  <c r="J211" i="847"/>
  <c r="D207" i="847"/>
  <c r="M193" i="847"/>
  <c r="N193" i="847"/>
  <c r="O193" i="847"/>
  <c r="P193" i="847"/>
  <c r="Q193" i="847"/>
  <c r="L193" i="847"/>
  <c r="J193" i="847"/>
  <c r="N196" i="847"/>
  <c r="O196" i="847"/>
  <c r="P196" i="847"/>
  <c r="Q196" i="847"/>
  <c r="N197" i="847"/>
  <c r="O197" i="847"/>
  <c r="P197" i="847"/>
  <c r="Q197" i="847"/>
  <c r="N198" i="847"/>
  <c r="O198" i="847"/>
  <c r="P198" i="847"/>
  <c r="Q198" i="847"/>
  <c r="N199" i="847"/>
  <c r="O199" i="847"/>
  <c r="P199" i="847"/>
  <c r="Q199" i="847"/>
  <c r="N200" i="847"/>
  <c r="O200" i="847"/>
  <c r="P200" i="847"/>
  <c r="Q200" i="847"/>
  <c r="N202" i="847"/>
  <c r="O202" i="847"/>
  <c r="P202" i="847"/>
  <c r="Q202" i="847"/>
  <c r="N204" i="847"/>
  <c r="O204" i="847"/>
  <c r="P204" i="847"/>
  <c r="Q204" i="847"/>
  <c r="N205" i="847"/>
  <c r="O205" i="847"/>
  <c r="P205" i="847"/>
  <c r="Q205" i="847"/>
  <c r="N206" i="847"/>
  <c r="O206" i="847"/>
  <c r="P206" i="847"/>
  <c r="Q206" i="847"/>
  <c r="M197" i="847"/>
  <c r="M198" i="847"/>
  <c r="M199" i="847"/>
  <c r="M200" i="847"/>
  <c r="M202" i="847"/>
  <c r="M204" i="847"/>
  <c r="M205" i="847"/>
  <c r="M206" i="847"/>
  <c r="M196" i="847"/>
  <c r="E197" i="847"/>
  <c r="E198" i="847"/>
  <c r="E199" i="847"/>
  <c r="E200" i="847"/>
  <c r="E202" i="847"/>
  <c r="E204" i="847"/>
  <c r="E205" i="847"/>
  <c r="E206" i="847"/>
  <c r="E196" i="847"/>
  <c r="E181" i="847"/>
  <c r="D181" i="847" s="1"/>
  <c r="L197" i="847"/>
  <c r="L198" i="847"/>
  <c r="L199" i="847"/>
  <c r="L200" i="847"/>
  <c r="L202" i="847"/>
  <c r="L204" i="847"/>
  <c r="L205" i="847"/>
  <c r="L206" i="847"/>
  <c r="L196" i="847"/>
  <c r="J182" i="847"/>
  <c r="M182" i="847"/>
  <c r="N182" i="847"/>
  <c r="O182" i="847"/>
  <c r="P182" i="847"/>
  <c r="Q182" i="847"/>
  <c r="L182" i="847"/>
  <c r="K93" i="847"/>
  <c r="K94" i="847"/>
  <c r="K95" i="847"/>
  <c r="K92" i="847"/>
  <c r="E88" i="847"/>
  <c r="E89" i="847"/>
  <c r="E90" i="847"/>
  <c r="E87" i="847"/>
  <c r="E83" i="847"/>
  <c r="E84" i="847"/>
  <c r="E85" i="847"/>
  <c r="D76" i="847"/>
  <c r="E49" i="847"/>
  <c r="E50" i="847"/>
  <c r="H49" i="847" s="1"/>
  <c r="E67" i="847"/>
  <c r="E66" i="847"/>
  <c r="E65" i="847"/>
  <c r="E64" i="847"/>
  <c r="E63" i="847"/>
  <c r="E56" i="847"/>
  <c r="E55" i="847"/>
  <c r="E54" i="847"/>
  <c r="E53" i="847"/>
  <c r="E52" i="847"/>
  <c r="E45" i="847"/>
  <c r="E44" i="847"/>
  <c r="E36" i="847"/>
  <c r="E30" i="847"/>
  <c r="E29" i="847"/>
  <c r="F15" i="847"/>
  <c r="F14" i="847"/>
  <c r="E25" i="847"/>
  <c r="E20" i="847"/>
  <c r="E19" i="847"/>
  <c r="G19" i="847" s="1"/>
  <c r="E18" i="847"/>
  <c r="E11" i="847"/>
  <c r="F11" i="847" s="1"/>
  <c r="F13" i="847"/>
  <c r="D195" i="847" l="1"/>
  <c r="C64" i="826"/>
  <c r="D28" i="826"/>
  <c r="F45" i="847"/>
  <c r="O32" i="834"/>
  <c r="C55" i="826"/>
  <c r="D23" i="826"/>
  <c r="C63" i="826"/>
  <c r="D27" i="826"/>
  <c r="C56" i="826"/>
  <c r="D24" i="826"/>
  <c r="C62" i="826"/>
  <c r="D26" i="826"/>
  <c r="C57" i="826"/>
  <c r="D25" i="826"/>
  <c r="C65" i="826"/>
  <c r="D29" i="826"/>
  <c r="L56" i="826"/>
  <c r="L54" i="826"/>
  <c r="L57" i="826"/>
  <c r="L55" i="826"/>
  <c r="F12" i="847"/>
  <c r="G26" i="847" s="1"/>
  <c r="E281" i="847"/>
  <c r="D87" i="92" s="1"/>
  <c r="F87" i="92" s="1"/>
  <c r="D193" i="847"/>
  <c r="L269" i="859"/>
  <c r="L254" i="859"/>
  <c r="L299" i="859" s="1"/>
  <c r="L315" i="859" s="1"/>
  <c r="Q183" i="859"/>
  <c r="Q233" i="859" s="1"/>
  <c r="P183" i="859"/>
  <c r="P233" i="859" s="1"/>
  <c r="O183" i="859"/>
  <c r="O233" i="859" s="1"/>
  <c r="O254" i="859" s="1"/>
  <c r="O299" i="859" s="1"/>
  <c r="O315" i="859" s="1"/>
  <c r="N183" i="859"/>
  <c r="N233" i="859" s="1"/>
  <c r="M183" i="859"/>
  <c r="M233" i="859" s="1"/>
  <c r="F59" i="859"/>
  <c r="F230" i="859" s="1"/>
  <c r="F247" i="859" s="1"/>
  <c r="F283" i="859" s="1"/>
  <c r="F296" i="859" s="1"/>
  <c r="N29" i="859" a="1"/>
  <c r="N29" i="859" s="1"/>
  <c r="N28" i="859"/>
  <c r="E24" i="847"/>
  <c r="O18" i="859"/>
  <c r="E21" i="847" s="1"/>
  <c r="D14" i="854" s="1"/>
  <c r="G12" i="859"/>
  <c r="G20" i="859" s="1"/>
  <c r="G25" i="859" s="1"/>
  <c r="G32" i="859" s="1"/>
  <c r="G37" i="859" s="1"/>
  <c r="G55" i="859" s="1"/>
  <c r="P32" i="834" l="1"/>
  <c r="K32" i="834" s="1"/>
  <c r="Q32" i="834"/>
  <c r="G24" i="847"/>
  <c r="B17" i="844"/>
  <c r="E33" i="847"/>
  <c r="P269" i="859"/>
  <c r="P286" i="859" s="1"/>
  <c r="P254" i="859"/>
  <c r="P299" i="859" s="1"/>
  <c r="P315" i="859" s="1"/>
  <c r="Q269" i="859"/>
  <c r="Q286" i="859" s="1"/>
  <c r="Q254" i="859"/>
  <c r="Q299" i="859" s="1"/>
  <c r="Q315" i="859" s="1"/>
  <c r="M269" i="859"/>
  <c r="M286" i="859" s="1"/>
  <c r="M254" i="859"/>
  <c r="M299" i="859" s="1"/>
  <c r="M315" i="859" s="1"/>
  <c r="N254" i="859"/>
  <c r="N299" i="859" s="1"/>
  <c r="N315" i="859" s="1"/>
  <c r="N269" i="859"/>
  <c r="N286" i="859" s="1"/>
  <c r="O269" i="859"/>
  <c r="O286" i="859" s="1"/>
  <c r="E26" i="847"/>
  <c r="B3" i="863" s="1"/>
  <c r="F80" i="92" l="1"/>
  <c r="F81" i="92"/>
  <c r="D82" i="92"/>
  <c r="F82" i="92" s="1"/>
  <c r="D83" i="92"/>
  <c r="F83" i="92" s="1"/>
  <c r="D84" i="92"/>
  <c r="F84" i="92" s="1"/>
  <c r="C80" i="92"/>
  <c r="C81" i="92"/>
  <c r="C82" i="92"/>
  <c r="C83" i="92"/>
  <c r="C84" i="92"/>
  <c r="F88" i="92" l="1"/>
  <c r="D22" i="92" s="1"/>
  <c r="E22" i="92" s="1"/>
  <c r="E182" i="856"/>
  <c r="E181" i="856"/>
  <c r="E180" i="856"/>
  <c r="C170" i="856"/>
  <c r="C64" i="856"/>
  <c r="C69" i="856"/>
  <c r="C70" i="856"/>
  <c r="I8" i="854"/>
  <c r="I6" i="854"/>
  <c r="A4" i="856"/>
  <c r="A5" i="856" s="1"/>
  <c r="A6" i="856" s="1"/>
  <c r="A7" i="856" s="1"/>
  <c r="A480" i="856"/>
  <c r="A481" i="856" s="1"/>
  <c r="A482" i="856" s="1"/>
  <c r="A483" i="856" s="1"/>
  <c r="A484" i="856" s="1"/>
  <c r="A485" i="856" s="1"/>
  <c r="A486" i="856" s="1"/>
  <c r="A487" i="856" s="1"/>
  <c r="A488" i="856" s="1"/>
  <c r="A489" i="856" s="1"/>
  <c r="A490" i="856" s="1"/>
  <c r="A491" i="856" s="1"/>
  <c r="A492" i="856" s="1"/>
  <c r="A493" i="856" s="1"/>
  <c r="A494" i="856" s="1"/>
  <c r="A495" i="856" s="1"/>
  <c r="A496" i="856" s="1"/>
  <c r="A497" i="856" s="1"/>
  <c r="A498" i="856" s="1"/>
  <c r="A499" i="856" s="1"/>
  <c r="A500" i="856" s="1"/>
  <c r="A501" i="856" s="1"/>
  <c r="A502" i="856" s="1"/>
  <c r="A503" i="856" s="1"/>
  <c r="A504" i="856" s="1"/>
  <c r="A505" i="856" s="1"/>
  <c r="A506" i="856" s="1"/>
  <c r="A507" i="856" s="1"/>
  <c r="A508" i="856" s="1"/>
  <c r="A509" i="856" s="1"/>
  <c r="A510" i="856" s="1"/>
  <c r="A511" i="856" s="1"/>
  <c r="A512" i="856" s="1"/>
  <c r="A513" i="856" s="1"/>
  <c r="A514" i="856" s="1"/>
  <c r="A515" i="856" s="1"/>
  <c r="A516" i="856" s="1"/>
  <c r="A517" i="856" s="1"/>
  <c r="A433" i="856"/>
  <c r="A434" i="856" s="1"/>
  <c r="A435" i="856" s="1"/>
  <c r="A436" i="856" s="1"/>
  <c r="A437" i="856" s="1"/>
  <c r="A438" i="856" s="1"/>
  <c r="A439" i="856" s="1"/>
  <c r="A440" i="856" s="1"/>
  <c r="A441" i="856" s="1"/>
  <c r="A442" i="856" s="1"/>
  <c r="A443" i="856" s="1"/>
  <c r="A444" i="856" s="1"/>
  <c r="A445" i="856" s="1"/>
  <c r="A446" i="856" s="1"/>
  <c r="A447" i="856" s="1"/>
  <c r="A448" i="856" s="1"/>
  <c r="A449" i="856" s="1"/>
  <c r="A450" i="856" s="1"/>
  <c r="A451" i="856" s="1"/>
  <c r="A452" i="856" s="1"/>
  <c r="A453" i="856" s="1"/>
  <c r="A454" i="856" s="1"/>
  <c r="A455" i="856" s="1"/>
  <c r="A456" i="856" s="1"/>
  <c r="A457" i="856" s="1"/>
  <c r="A458" i="856" s="1"/>
  <c r="A459" i="856" s="1"/>
  <c r="A460" i="856" s="1"/>
  <c r="A461" i="856" s="1"/>
  <c r="A462" i="856" s="1"/>
  <c r="A463" i="856" s="1"/>
  <c r="A464" i="856" s="1"/>
  <c r="A465" i="856" s="1"/>
  <c r="A466" i="856" s="1"/>
  <c r="A467" i="856" s="1"/>
  <c r="A468" i="856" s="1"/>
  <c r="A469" i="856" s="1"/>
  <c r="A470" i="856" s="1"/>
  <c r="A386" i="856"/>
  <c r="A387" i="856" s="1"/>
  <c r="A388" i="856" s="1"/>
  <c r="A389" i="856" s="1"/>
  <c r="A390" i="856" s="1"/>
  <c r="A391" i="856" s="1"/>
  <c r="A392" i="856" s="1"/>
  <c r="A393" i="856" s="1"/>
  <c r="A394" i="856" s="1"/>
  <c r="A395" i="856" s="1"/>
  <c r="A396" i="856" s="1"/>
  <c r="A397" i="856" s="1"/>
  <c r="A398" i="856" s="1"/>
  <c r="A399" i="856" s="1"/>
  <c r="A400" i="856" s="1"/>
  <c r="A401" i="856" s="1"/>
  <c r="A402" i="856" s="1"/>
  <c r="A403" i="856" s="1"/>
  <c r="A404" i="856" s="1"/>
  <c r="A405" i="856" s="1"/>
  <c r="A406" i="856" s="1"/>
  <c r="A407" i="856" s="1"/>
  <c r="A408" i="856" s="1"/>
  <c r="A409" i="856" s="1"/>
  <c r="A410" i="856" s="1"/>
  <c r="A411" i="856" s="1"/>
  <c r="A412" i="856" s="1"/>
  <c r="A413" i="856" s="1"/>
  <c r="A414" i="856" s="1"/>
  <c r="A415" i="856" s="1"/>
  <c r="A416" i="856" s="1"/>
  <c r="A417" i="856" s="1"/>
  <c r="A418" i="856" s="1"/>
  <c r="A419" i="856" s="1"/>
  <c r="A420" i="856" s="1"/>
  <c r="A421" i="856" s="1"/>
  <c r="A422" i="856" s="1"/>
  <c r="A423" i="856" s="1"/>
  <c r="A339" i="856"/>
  <c r="A340" i="856" s="1"/>
  <c r="A341" i="856" s="1"/>
  <c r="A342" i="856" s="1"/>
  <c r="A343" i="856" s="1"/>
  <c r="A344" i="856" s="1"/>
  <c r="A345" i="856" s="1"/>
  <c r="A346" i="856" s="1"/>
  <c r="A347" i="856" s="1"/>
  <c r="A348" i="856" s="1"/>
  <c r="A349" i="856" s="1"/>
  <c r="A350" i="856" s="1"/>
  <c r="A351" i="856" s="1"/>
  <c r="A352" i="856" s="1"/>
  <c r="A353" i="856" s="1"/>
  <c r="A354" i="856" s="1"/>
  <c r="A355" i="856" s="1"/>
  <c r="A356" i="856" s="1"/>
  <c r="A357" i="856" s="1"/>
  <c r="A358" i="856" s="1"/>
  <c r="A359" i="856" s="1"/>
  <c r="A360" i="856" s="1"/>
  <c r="A361" i="856" s="1"/>
  <c r="A362" i="856" s="1"/>
  <c r="A363" i="856" s="1"/>
  <c r="A364" i="856" s="1"/>
  <c r="A365" i="856" s="1"/>
  <c r="A366" i="856" s="1"/>
  <c r="A367" i="856" s="1"/>
  <c r="A368" i="856" s="1"/>
  <c r="A369" i="856" s="1"/>
  <c r="A370" i="856" s="1"/>
  <c r="A371" i="856" s="1"/>
  <c r="A372" i="856" s="1"/>
  <c r="A373" i="856" s="1"/>
  <c r="A374" i="856" s="1"/>
  <c r="A375" i="856" s="1"/>
  <c r="A376" i="856" s="1"/>
  <c r="A292" i="856"/>
  <c r="A293" i="856" s="1"/>
  <c r="A294" i="856" s="1"/>
  <c r="A295" i="856" s="1"/>
  <c r="A296" i="856" s="1"/>
  <c r="A297" i="856" s="1"/>
  <c r="A298" i="856" s="1"/>
  <c r="A299" i="856" s="1"/>
  <c r="A300" i="856" s="1"/>
  <c r="A301" i="856" s="1"/>
  <c r="A302" i="856" s="1"/>
  <c r="A303" i="856" s="1"/>
  <c r="A304" i="856" s="1"/>
  <c r="A305" i="856" s="1"/>
  <c r="A306" i="856" s="1"/>
  <c r="A307" i="856" s="1"/>
  <c r="A308" i="856" s="1"/>
  <c r="A309" i="856" s="1"/>
  <c r="A310" i="856" s="1"/>
  <c r="A311" i="856" s="1"/>
  <c r="A312" i="856" s="1"/>
  <c r="A313" i="856" s="1"/>
  <c r="A314" i="856" s="1"/>
  <c r="A315" i="856" s="1"/>
  <c r="A316" i="856" s="1"/>
  <c r="A317" i="856" s="1"/>
  <c r="A318" i="856" s="1"/>
  <c r="A319" i="856" s="1"/>
  <c r="A320" i="856" s="1"/>
  <c r="A321" i="856" s="1"/>
  <c r="A322" i="856" s="1"/>
  <c r="A323" i="856" s="1"/>
  <c r="A324" i="856" s="1"/>
  <c r="A325" i="856" s="1"/>
  <c r="A326" i="856" s="1"/>
  <c r="A327" i="856" s="1"/>
  <c r="A328" i="856" s="1"/>
  <c r="A329" i="856" s="1"/>
  <c r="A245" i="856"/>
  <c r="A246" i="856" s="1"/>
  <c r="A247" i="856" s="1"/>
  <c r="A248" i="856" s="1"/>
  <c r="A249" i="856" s="1"/>
  <c r="A250" i="856" s="1"/>
  <c r="A251" i="856" s="1"/>
  <c r="A252" i="856" s="1"/>
  <c r="A253" i="856" s="1"/>
  <c r="A254" i="856" s="1"/>
  <c r="A255" i="856" s="1"/>
  <c r="A256" i="856" s="1"/>
  <c r="A257" i="856" s="1"/>
  <c r="A258" i="856" s="1"/>
  <c r="A259" i="856" s="1"/>
  <c r="A260" i="856" s="1"/>
  <c r="A261" i="856" s="1"/>
  <c r="A262" i="856" s="1"/>
  <c r="A263" i="856" s="1"/>
  <c r="A264" i="856" s="1"/>
  <c r="A265" i="856" s="1"/>
  <c r="A266" i="856" s="1"/>
  <c r="A267" i="856" s="1"/>
  <c r="A268" i="856" s="1"/>
  <c r="A269" i="856" s="1"/>
  <c r="A270" i="856" s="1"/>
  <c r="A271" i="856" s="1"/>
  <c r="A272" i="856" s="1"/>
  <c r="A273" i="856" s="1"/>
  <c r="A274" i="856" s="1"/>
  <c r="A275" i="856" s="1"/>
  <c r="A276" i="856" s="1"/>
  <c r="A277" i="856" s="1"/>
  <c r="A278" i="856" s="1"/>
  <c r="A279" i="856" s="1"/>
  <c r="A280" i="856" s="1"/>
  <c r="A281" i="856" s="1"/>
  <c r="A282" i="856" s="1"/>
  <c r="A145" i="856"/>
  <c r="A146" i="856" s="1"/>
  <c r="A147" i="856" s="1"/>
  <c r="A148" i="856" s="1"/>
  <c r="A149" i="856" s="1"/>
  <c r="A150" i="856" s="1"/>
  <c r="A151" i="856" s="1"/>
  <c r="A152" i="856" s="1"/>
  <c r="A153" i="856" s="1"/>
  <c r="A154" i="856" s="1"/>
  <c r="A155" i="856" s="1"/>
  <c r="A156" i="856" s="1"/>
  <c r="A157" i="856" s="1"/>
  <c r="A158" i="856" s="1"/>
  <c r="A159" i="856" s="1"/>
  <c r="A160" i="856" s="1"/>
  <c r="A161" i="856" s="1"/>
  <c r="A162" i="856" s="1"/>
  <c r="A163" i="856" s="1"/>
  <c r="A164" i="856" s="1"/>
  <c r="A165" i="856" s="1"/>
  <c r="A166" i="856" s="1"/>
  <c r="A167" i="856" s="1"/>
  <c r="A168" i="856" s="1"/>
  <c r="A169" i="856" s="1"/>
  <c r="A170" i="856" s="1"/>
  <c r="A171" i="856" s="1"/>
  <c r="A172" i="856" s="1"/>
  <c r="A173" i="856" s="1"/>
  <c r="A174" i="856" s="1"/>
  <c r="A175" i="856" s="1"/>
  <c r="A176" i="856" s="1"/>
  <c r="A177" i="856" s="1"/>
  <c r="A178" i="856" s="1"/>
  <c r="A179" i="856" s="1"/>
  <c r="A180" i="856" s="1"/>
  <c r="A181" i="856" s="1"/>
  <c r="A182" i="856" s="1"/>
  <c r="A183" i="856" s="1"/>
  <c r="A184" i="856" s="1"/>
  <c r="A185" i="856" s="1"/>
  <c r="A186" i="856" s="1"/>
  <c r="A187" i="856" s="1"/>
  <c r="A98" i="856"/>
  <c r="A99" i="856" s="1"/>
  <c r="A100" i="856" s="1"/>
  <c r="A101" i="856" s="1"/>
  <c r="A102" i="856" s="1"/>
  <c r="A103" i="856" s="1"/>
  <c r="A51" i="856"/>
  <c r="A52" i="856" s="1"/>
  <c r="A53" i="856" s="1"/>
  <c r="A54" i="856" s="1"/>
  <c r="A55" i="856" s="1"/>
  <c r="A56" i="856" s="1"/>
  <c r="A57" i="856" s="1"/>
  <c r="A197" i="856"/>
  <c r="A198" i="856" s="1"/>
  <c r="A199" i="856" s="1"/>
  <c r="A200" i="856" s="1"/>
  <c r="A201" i="856" s="1"/>
  <c r="A202" i="856" s="1"/>
  <c r="A203" i="856" s="1"/>
  <c r="A204" i="856" s="1"/>
  <c r="A205" i="856" s="1"/>
  <c r="A206" i="856" s="1"/>
  <c r="A207" i="856" s="1"/>
  <c r="A208" i="856" s="1"/>
  <c r="A209" i="856" s="1"/>
  <c r="A210" i="856" s="1"/>
  <c r="A211" i="856" s="1"/>
  <c r="A212" i="856" s="1"/>
  <c r="O61" i="840"/>
  <c r="O62" i="840"/>
  <c r="O57" i="840"/>
  <c r="O58" i="840"/>
  <c r="O59" i="840"/>
  <c r="O60" i="840"/>
  <c r="O56" i="840"/>
  <c r="S33" i="840"/>
  <c r="R33" i="840"/>
  <c r="Q33" i="840"/>
  <c r="S32" i="840"/>
  <c r="R32" i="840"/>
  <c r="Q32" i="840"/>
  <c r="Z31" i="840"/>
  <c r="Y31" i="840"/>
  <c r="X31" i="840"/>
  <c r="W31" i="840"/>
  <c r="S31" i="840"/>
  <c r="R31" i="840"/>
  <c r="Q31" i="840"/>
  <c r="P33" i="840"/>
  <c r="P32" i="840"/>
  <c r="P31" i="840"/>
  <c r="P107" i="840"/>
  <c r="P100" i="840"/>
  <c r="P99" i="840"/>
  <c r="P98" i="840"/>
  <c r="P97" i="840"/>
  <c r="P96" i="840"/>
  <c r="P95" i="840"/>
  <c r="P93" i="840"/>
  <c r="P92" i="840"/>
  <c r="P91" i="840"/>
  <c r="P90" i="840"/>
  <c r="P89" i="840"/>
  <c r="P84" i="840"/>
  <c r="P83" i="840"/>
  <c r="P82" i="840"/>
  <c r="P81" i="840"/>
  <c r="P80" i="840"/>
  <c r="P79" i="840"/>
  <c r="P77" i="840"/>
  <c r="P76" i="840"/>
  <c r="P75" i="840"/>
  <c r="P74" i="840"/>
  <c r="P73" i="840"/>
  <c r="T61" i="2"/>
  <c r="T58" i="2"/>
  <c r="T55" i="2"/>
  <c r="T53" i="2"/>
  <c r="T42" i="2"/>
  <c r="T41" i="2"/>
  <c r="T39" i="2"/>
  <c r="T25" i="2"/>
  <c r="T24" i="2"/>
  <c r="A8" i="856" l="1"/>
  <c r="A9" i="856" s="1"/>
  <c r="A10" i="856" s="1"/>
  <c r="A11" i="856" s="1"/>
  <c r="A12" i="856" s="1"/>
  <c r="A13" i="856" s="1"/>
  <c r="A14" i="856" s="1"/>
  <c r="A15" i="856" s="1"/>
  <c r="A16" i="856" s="1"/>
  <c r="A17" i="856" s="1"/>
  <c r="A18" i="856" s="1"/>
  <c r="A19" i="856" s="1"/>
  <c r="A20" i="856" s="1"/>
  <c r="A21" i="856" s="1"/>
  <c r="A22" i="856" s="1"/>
  <c r="A23" i="856" s="1"/>
  <c r="A24" i="856" s="1"/>
  <c r="A25" i="856" s="1"/>
  <c r="A26" i="856" s="1"/>
  <c r="A27" i="856" s="1"/>
  <c r="A28" i="856" s="1"/>
  <c r="A29" i="856" s="1"/>
  <c r="A30" i="856" s="1"/>
  <c r="A31" i="856" s="1"/>
  <c r="A32" i="856" s="1"/>
  <c r="A33" i="856" s="1"/>
  <c r="A34" i="856" s="1"/>
  <c r="A35" i="856" s="1"/>
  <c r="A36" i="856" s="1"/>
  <c r="A37" i="856" s="1"/>
  <c r="A38" i="856" s="1"/>
  <c r="A39" i="856" s="1"/>
  <c r="A40" i="856" s="1"/>
  <c r="A41" i="856" s="1"/>
  <c r="A42" i="856" s="1"/>
  <c r="A43" i="856" s="1"/>
  <c r="A44" i="856" s="1"/>
  <c r="A45" i="856" s="1"/>
  <c r="A46" i="856" s="1"/>
  <c r="A213" i="856"/>
  <c r="A214" i="856" s="1"/>
  <c r="A215" i="856" s="1"/>
  <c r="A216" i="856" s="1"/>
  <c r="A217" i="856" s="1"/>
  <c r="A218" i="856" s="1"/>
  <c r="A219" i="856" s="1"/>
  <c r="A220" i="856" s="1"/>
  <c r="A221" i="856" s="1"/>
  <c r="A222" i="856" s="1"/>
  <c r="A223" i="856" s="1"/>
  <c r="A224" i="856" s="1"/>
  <c r="A225" i="856" s="1"/>
  <c r="A226" i="856" s="1"/>
  <c r="A227" i="856" s="1"/>
  <c r="A228" i="856" s="1"/>
  <c r="A229" i="856" s="1"/>
  <c r="A230" i="856" s="1"/>
  <c r="A231" i="856" s="1"/>
  <c r="A232" i="856" s="1"/>
  <c r="A233" i="856" s="1"/>
  <c r="A234" i="856" s="1"/>
  <c r="A104" i="856"/>
  <c r="A105" i="856" s="1"/>
  <c r="A106" i="856" s="1"/>
  <c r="A107" i="856" s="1"/>
  <c r="A108" i="856" s="1"/>
  <c r="A109" i="856" s="1"/>
  <c r="A110" i="856" s="1"/>
  <c r="A111" i="856" s="1"/>
  <c r="A112" i="856" s="1"/>
  <c r="A113" i="856" s="1"/>
  <c r="A114" i="856" s="1"/>
  <c r="A115" i="856" s="1"/>
  <c r="A116" i="856" s="1"/>
  <c r="A117" i="856" s="1"/>
  <c r="A118" i="856" s="1"/>
  <c r="A119" i="856" s="1"/>
  <c r="A120" i="856" s="1"/>
  <c r="A121" i="856" s="1"/>
  <c r="A122" i="856" s="1"/>
  <c r="A123" i="856" s="1"/>
  <c r="A124" i="856" s="1"/>
  <c r="A125" i="856" s="1"/>
  <c r="A126" i="856" s="1"/>
  <c r="A127" i="856" s="1"/>
  <c r="A128" i="856" s="1"/>
  <c r="A129" i="856" s="1"/>
  <c r="A130" i="856" s="1"/>
  <c r="A131" i="856" s="1"/>
  <c r="A132" i="856" s="1"/>
  <c r="A133" i="856" s="1"/>
  <c r="A134" i="856" s="1"/>
  <c r="A135" i="856" s="1"/>
  <c r="A136" i="856" s="1"/>
  <c r="A137" i="856" s="1"/>
  <c r="A138" i="856" s="1"/>
  <c r="A139" i="856" s="1"/>
  <c r="A140" i="856" s="1"/>
  <c r="A58" i="856"/>
  <c r="P85" i="840"/>
  <c r="P101" i="840"/>
  <c r="P102" i="840" s="1"/>
  <c r="H53" i="829"/>
  <c r="H32" i="829"/>
  <c r="I11" i="835"/>
  <c r="J11" i="835"/>
  <c r="K11" i="835"/>
  <c r="H11" i="835"/>
  <c r="H39" i="835"/>
  <c r="H29" i="835"/>
  <c r="H65" i="122"/>
  <c r="H64" i="122"/>
  <c r="H63" i="122"/>
  <c r="H62" i="122"/>
  <c r="H61" i="122"/>
  <c r="H60" i="122"/>
  <c r="H59" i="122"/>
  <c r="H58" i="122"/>
  <c r="H57" i="122"/>
  <c r="H56" i="122"/>
  <c r="H55" i="122"/>
  <c r="H54" i="122"/>
  <c r="H53" i="122"/>
  <c r="H52" i="122"/>
  <c r="H51" i="122"/>
  <c r="H50" i="122"/>
  <c r="H49" i="122"/>
  <c r="H48" i="122"/>
  <c r="H47" i="122"/>
  <c r="H46" i="122"/>
  <c r="H45" i="122"/>
  <c r="H44" i="122"/>
  <c r="H43" i="122"/>
  <c r="H42" i="122"/>
  <c r="H41" i="122"/>
  <c r="H40" i="122"/>
  <c r="H39" i="122"/>
  <c r="H38" i="122"/>
  <c r="H37" i="122"/>
  <c r="H36" i="122"/>
  <c r="H35" i="122"/>
  <c r="H34" i="122"/>
  <c r="H33" i="122"/>
  <c r="H32" i="122"/>
  <c r="H31" i="122"/>
  <c r="H30" i="122"/>
  <c r="H29" i="122"/>
  <c r="H28" i="122"/>
  <c r="H27" i="122"/>
  <c r="H26" i="122"/>
  <c r="H25" i="122"/>
  <c r="H24" i="122"/>
  <c r="H23" i="122"/>
  <c r="H22" i="122"/>
  <c r="H21" i="122"/>
  <c r="H20" i="122"/>
  <c r="H19" i="122"/>
  <c r="H18" i="122"/>
  <c r="H10" i="122"/>
  <c r="H16" i="122"/>
  <c r="H15" i="122"/>
  <c r="H13" i="122"/>
  <c r="H12" i="122"/>
  <c r="H11" i="122"/>
  <c r="J39" i="835"/>
  <c r="K39" i="835"/>
  <c r="L39" i="835"/>
  <c r="M39" i="835"/>
  <c r="N39" i="835"/>
  <c r="O39" i="835"/>
  <c r="P39" i="835"/>
  <c r="Q39" i="835"/>
  <c r="R39" i="835"/>
  <c r="T39" i="835" s="1"/>
  <c r="I39" i="835"/>
  <c r="J29" i="835"/>
  <c r="K29" i="835"/>
  <c r="L29" i="835"/>
  <c r="M29" i="835"/>
  <c r="N29" i="835"/>
  <c r="O29" i="835"/>
  <c r="P29" i="835"/>
  <c r="Q29" i="835"/>
  <c r="R29" i="835"/>
  <c r="I29" i="835"/>
  <c r="H22" i="2"/>
  <c r="H21" i="2"/>
  <c r="H20" i="2"/>
  <c r="H19" i="2"/>
  <c r="H18" i="2"/>
  <c r="H17" i="2"/>
  <c r="H16" i="2"/>
  <c r="H15" i="2"/>
  <c r="H10" i="826"/>
  <c r="J10" i="826"/>
  <c r="H188" i="826"/>
  <c r="H62" i="2" s="1"/>
  <c r="H14" i="835" s="1"/>
  <c r="H186" i="826"/>
  <c r="H173" i="826"/>
  <c r="H172" i="826"/>
  <c r="P62" i="840"/>
  <c r="P61" i="840"/>
  <c r="P60" i="840"/>
  <c r="P58" i="840"/>
  <c r="P57" i="840"/>
  <c r="H146" i="826"/>
  <c r="P56" i="840" s="1"/>
  <c r="H134" i="826"/>
  <c r="H120" i="826" s="1"/>
  <c r="H133" i="826"/>
  <c r="H119" i="826" s="1"/>
  <c r="H132" i="826"/>
  <c r="H118" i="826" s="1"/>
  <c r="H131" i="826"/>
  <c r="H117" i="826" s="1"/>
  <c r="H113" i="826"/>
  <c r="H106" i="826"/>
  <c r="H35" i="826"/>
  <c r="H34" i="826"/>
  <c r="H33" i="826"/>
  <c r="H32" i="826"/>
  <c r="H21" i="826"/>
  <c r="H20" i="826"/>
  <c r="H48" i="826" s="1"/>
  <c r="H19" i="826"/>
  <c r="H18" i="826"/>
  <c r="H46" i="826" s="1"/>
  <c r="H12" i="826"/>
  <c r="H8" i="826" s="1"/>
  <c r="H8" i="863" s="1"/>
  <c r="T40" i="835"/>
  <c r="T38" i="835"/>
  <c r="T37" i="835"/>
  <c r="T36" i="835"/>
  <c r="T35" i="835"/>
  <c r="T34" i="835"/>
  <c r="T33" i="835"/>
  <c r="T32" i="835"/>
  <c r="T31" i="835"/>
  <c r="T30" i="835"/>
  <c r="T28" i="835"/>
  <c r="T27" i="835"/>
  <c r="T26" i="835"/>
  <c r="T25" i="835"/>
  <c r="T23" i="835"/>
  <c r="T20" i="835"/>
  <c r="T19" i="835"/>
  <c r="T17" i="835"/>
  <c r="T16" i="835"/>
  <c r="T15" i="835"/>
  <c r="T13" i="835"/>
  <c r="T12" i="835"/>
  <c r="E173" i="856"/>
  <c r="C161" i="856"/>
  <c r="C160" i="856"/>
  <c r="C159" i="856"/>
  <c r="C154" i="856"/>
  <c r="C153" i="856"/>
  <c r="C114" i="856"/>
  <c r="C116" i="856"/>
  <c r="C115" i="856"/>
  <c r="C112" i="856"/>
  <c r="D9" i="854"/>
  <c r="C63" i="856" s="1"/>
  <c r="C57" i="856"/>
  <c r="H49" i="826" l="1"/>
  <c r="H47" i="826"/>
  <c r="H12" i="2" s="1"/>
  <c r="H174" i="826"/>
  <c r="H59" i="2" s="1"/>
  <c r="H97" i="826"/>
  <c r="H28" i="2" s="1"/>
  <c r="H98" i="826"/>
  <c r="H29" i="2" s="1"/>
  <c r="H8" i="829"/>
  <c r="H56" i="829" s="1"/>
  <c r="H14" i="829"/>
  <c r="H8" i="2"/>
  <c r="G3" i="841" s="1"/>
  <c r="H14" i="2"/>
  <c r="H8" i="122"/>
  <c r="H8" i="835"/>
  <c r="H155" i="826"/>
  <c r="P59" i="840"/>
  <c r="H13" i="2"/>
  <c r="H11" i="2"/>
  <c r="H43" i="2"/>
  <c r="H13" i="829" s="1"/>
  <c r="T29" i="835"/>
  <c r="A59" i="856"/>
  <c r="A60" i="856" s="1"/>
  <c r="A61" i="856" s="1"/>
  <c r="A62" i="856" s="1"/>
  <c r="A63" i="856" s="1"/>
  <c r="A64" i="856" s="1"/>
  <c r="A65" i="856" s="1"/>
  <c r="A66" i="856" s="1"/>
  <c r="A67" i="856" s="1"/>
  <c r="A68" i="856" s="1"/>
  <c r="A69" i="856" s="1"/>
  <c r="A70" i="856" s="1"/>
  <c r="A71" i="856" s="1"/>
  <c r="A72" i="856" s="1"/>
  <c r="A73" i="856" s="1"/>
  <c r="A74" i="856" s="1"/>
  <c r="A75" i="856" s="1"/>
  <c r="A76" i="856" s="1"/>
  <c r="A77" i="856" s="1"/>
  <c r="A78" i="856" s="1"/>
  <c r="A79" i="856" s="1"/>
  <c r="A80" i="856" s="1"/>
  <c r="A81" i="856" s="1"/>
  <c r="A82" i="856" s="1"/>
  <c r="A83" i="856" s="1"/>
  <c r="A84" i="856" s="1"/>
  <c r="H33" i="829"/>
  <c r="H21" i="835" s="1"/>
  <c r="H22" i="835" s="1"/>
  <c r="H171" i="826"/>
  <c r="H158" i="826"/>
  <c r="H145" i="826"/>
  <c r="H177" i="826"/>
  <c r="H93" i="826"/>
  <c r="H15" i="826"/>
  <c r="H50" i="826"/>
  <c r="H95" i="826"/>
  <c r="H26" i="2" s="1"/>
  <c r="D21" i="854"/>
  <c r="D20" i="854"/>
  <c r="D8" i="854"/>
  <c r="H96" i="826" l="1"/>
  <c r="H27" i="2" s="1"/>
  <c r="H38" i="2" s="1"/>
  <c r="H23" i="2"/>
  <c r="H52" i="2"/>
  <c r="H12" i="829" s="1"/>
  <c r="H17" i="829"/>
  <c r="H38" i="829"/>
  <c r="H99" i="826"/>
  <c r="H114" i="826" s="1"/>
  <c r="P55" i="840" s="1"/>
  <c r="P63" i="840" s="1"/>
  <c r="H69" i="826"/>
  <c r="P40" i="840" s="1"/>
  <c r="D13" i="854"/>
  <c r="I13" i="854" s="1"/>
  <c r="C113" i="856"/>
  <c r="A85" i="856"/>
  <c r="A86" i="856" s="1"/>
  <c r="A87" i="856" s="1"/>
  <c r="A88" i="856" s="1"/>
  <c r="A89" i="856" s="1"/>
  <c r="A90" i="856" s="1"/>
  <c r="A91" i="856" s="1"/>
  <c r="A92" i="856" s="1"/>
  <c r="A93" i="856" s="1"/>
  <c r="S100" i="840"/>
  <c r="R100" i="840"/>
  <c r="S99" i="840"/>
  <c r="R99" i="840"/>
  <c r="S98" i="840"/>
  <c r="R98" i="840"/>
  <c r="S97" i="840"/>
  <c r="R97" i="840"/>
  <c r="S96" i="840"/>
  <c r="R96" i="840"/>
  <c r="S95" i="840"/>
  <c r="R95" i="840"/>
  <c r="Q96" i="840"/>
  <c r="Q97" i="840"/>
  <c r="Q98" i="840"/>
  <c r="Q99" i="840"/>
  <c r="Q100" i="840"/>
  <c r="Q95" i="840"/>
  <c r="S84" i="840"/>
  <c r="R84" i="840"/>
  <c r="S83" i="840"/>
  <c r="R83" i="840"/>
  <c r="S82" i="840"/>
  <c r="R82" i="840"/>
  <c r="S81" i="840"/>
  <c r="R81" i="840"/>
  <c r="S80" i="840"/>
  <c r="R80" i="840"/>
  <c r="T79" i="840"/>
  <c r="S79" i="840"/>
  <c r="R79" i="840"/>
  <c r="Q84" i="840"/>
  <c r="Q83" i="840"/>
  <c r="Q82" i="840"/>
  <c r="Q81" i="840"/>
  <c r="Q80" i="840"/>
  <c r="Q79" i="840"/>
  <c r="S93" i="840"/>
  <c r="R93" i="840"/>
  <c r="S92" i="840"/>
  <c r="R92" i="840"/>
  <c r="S91" i="840"/>
  <c r="R91" i="840"/>
  <c r="S90" i="840"/>
  <c r="R90" i="840"/>
  <c r="S89" i="840"/>
  <c r="R89" i="840"/>
  <c r="Q90" i="840"/>
  <c r="Q91" i="840"/>
  <c r="Q92" i="840"/>
  <c r="Q93" i="840"/>
  <c r="Q89" i="840"/>
  <c r="S77" i="840"/>
  <c r="R77" i="840"/>
  <c r="S76" i="840"/>
  <c r="R76" i="840"/>
  <c r="S75" i="840"/>
  <c r="R75" i="840"/>
  <c r="S74" i="840"/>
  <c r="R74" i="840"/>
  <c r="S73" i="840"/>
  <c r="R73" i="840"/>
  <c r="Q74" i="840"/>
  <c r="Q75" i="840"/>
  <c r="Q76" i="840"/>
  <c r="Q77" i="840"/>
  <c r="Q73" i="840"/>
  <c r="O79" i="840"/>
  <c r="O80" i="840"/>
  <c r="O81" i="840"/>
  <c r="O82" i="840"/>
  <c r="O83" i="840"/>
  <c r="O84" i="840"/>
  <c r="O74" i="840"/>
  <c r="O75" i="840"/>
  <c r="O76" i="840"/>
  <c r="O77" i="840"/>
  <c r="J188" i="826"/>
  <c r="K188" i="826"/>
  <c r="I188" i="826"/>
  <c r="J172" i="826"/>
  <c r="K172" i="826"/>
  <c r="J173" i="826"/>
  <c r="K173" i="826"/>
  <c r="I173" i="826"/>
  <c r="I172" i="826"/>
  <c r="J146" i="826"/>
  <c r="R56" i="840" s="1"/>
  <c r="K146" i="826"/>
  <c r="S56" i="840" s="1"/>
  <c r="R57" i="840"/>
  <c r="S57" i="840"/>
  <c r="R58" i="840"/>
  <c r="S58" i="840"/>
  <c r="R59" i="840"/>
  <c r="S59" i="840"/>
  <c r="R60" i="840"/>
  <c r="S60" i="840"/>
  <c r="R61" i="840"/>
  <c r="S61" i="840"/>
  <c r="Q57" i="840"/>
  <c r="Q58" i="840"/>
  <c r="Q59" i="840"/>
  <c r="Q60" i="840"/>
  <c r="Q61" i="840"/>
  <c r="I146" i="826"/>
  <c r="Q56" i="840" s="1"/>
  <c r="J131" i="826"/>
  <c r="J117" i="826" s="1"/>
  <c r="K131" i="826"/>
  <c r="K117" i="826" s="1"/>
  <c r="J132" i="826"/>
  <c r="J118" i="826" s="1"/>
  <c r="K132" i="826"/>
  <c r="K118" i="826" s="1"/>
  <c r="J133" i="826"/>
  <c r="J119" i="826" s="1"/>
  <c r="K133" i="826"/>
  <c r="K119" i="826" s="1"/>
  <c r="J134" i="826"/>
  <c r="J120" i="826" s="1"/>
  <c r="K134" i="826"/>
  <c r="K120" i="826" s="1"/>
  <c r="I132" i="826"/>
  <c r="I118" i="826" s="1"/>
  <c r="I133" i="826"/>
  <c r="I119" i="826" s="1"/>
  <c r="I134" i="826"/>
  <c r="I120" i="826" s="1"/>
  <c r="I131" i="826"/>
  <c r="I117" i="826" s="1"/>
  <c r="J32" i="826"/>
  <c r="K32" i="826"/>
  <c r="J33" i="826"/>
  <c r="K33" i="826"/>
  <c r="J34" i="826"/>
  <c r="K34" i="826"/>
  <c r="J35" i="826"/>
  <c r="K35" i="826"/>
  <c r="I33" i="826"/>
  <c r="I34" i="826"/>
  <c r="I35" i="826"/>
  <c r="I32" i="826"/>
  <c r="I19" i="826"/>
  <c r="J19" i="826"/>
  <c r="K19" i="826"/>
  <c r="I20" i="826"/>
  <c r="J20" i="826"/>
  <c r="K20" i="826"/>
  <c r="I21" i="826"/>
  <c r="J21" i="826"/>
  <c r="K21" i="826"/>
  <c r="J18" i="826"/>
  <c r="K18" i="826"/>
  <c r="I18" i="826"/>
  <c r="C59" i="853"/>
  <c r="C66" i="853"/>
  <c r="J46" i="853"/>
  <c r="J154" i="826" s="1"/>
  <c r="R62" i="840" s="1"/>
  <c r="K46" i="853"/>
  <c r="K154" i="826" s="1"/>
  <c r="I46" i="853"/>
  <c r="I154" i="826" s="1"/>
  <c r="Q62" i="840" s="1"/>
  <c r="C24" i="853"/>
  <c r="C12" i="853"/>
  <c r="C18" i="853"/>
  <c r="C11" i="853"/>
  <c r="C36" i="853"/>
  <c r="C46" i="853"/>
  <c r="D48" i="853"/>
  <c r="D49" i="853"/>
  <c r="D51" i="853"/>
  <c r="D54" i="853"/>
  <c r="B2" i="853"/>
  <c r="C20" i="829"/>
  <c r="D61" i="853" s="1"/>
  <c r="C27" i="829"/>
  <c r="D68" i="853" s="1"/>
  <c r="S62" i="840" l="1"/>
  <c r="H72" i="2"/>
  <c r="H40" i="2"/>
  <c r="H54" i="2" s="1"/>
  <c r="H34" i="829"/>
  <c r="H10" i="829"/>
  <c r="H67" i="2"/>
  <c r="H75" i="2" s="1"/>
  <c r="P51" i="840"/>
  <c r="H70" i="2"/>
  <c r="P44" i="840"/>
  <c r="P47" i="840"/>
  <c r="P42" i="840"/>
  <c r="P41" i="840"/>
  <c r="P43" i="840"/>
  <c r="P46" i="840"/>
  <c r="P45" i="840"/>
  <c r="P38" i="840"/>
  <c r="P36" i="840"/>
  <c r="P39" i="840"/>
  <c r="P37" i="840"/>
  <c r="H159" i="826"/>
  <c r="H168" i="826" s="1"/>
  <c r="R85" i="840"/>
  <c r="G63" i="826"/>
  <c r="G64" i="826"/>
  <c r="G65" i="826"/>
  <c r="G62" i="826"/>
  <c r="H57" i="2" l="1"/>
  <c r="H71" i="2"/>
  <c r="P67" i="840" s="1"/>
  <c r="H68" i="2"/>
  <c r="H69" i="2"/>
  <c r="P66" i="840" s="1"/>
  <c r="H12" i="863"/>
  <c r="R64" i="826"/>
  <c r="N64" i="826"/>
  <c r="Q64" i="826"/>
  <c r="M64" i="826"/>
  <c r="L64" i="826" s="1"/>
  <c r="O64" i="826"/>
  <c r="P64" i="826"/>
  <c r="R62" i="826"/>
  <c r="N62" i="826"/>
  <c r="Q62" i="826"/>
  <c r="M62" i="826"/>
  <c r="L62" i="826" s="1"/>
  <c r="P62" i="826"/>
  <c r="O62" i="826"/>
  <c r="P65" i="826"/>
  <c r="M65" i="826"/>
  <c r="L65" i="826" s="1"/>
  <c r="O65" i="826"/>
  <c r="Q65" i="826"/>
  <c r="R65" i="826"/>
  <c r="N65" i="826"/>
  <c r="P63" i="826"/>
  <c r="Q63" i="826"/>
  <c r="O63" i="826"/>
  <c r="M63" i="826"/>
  <c r="L63" i="826" s="1"/>
  <c r="R63" i="826"/>
  <c r="N63" i="826"/>
  <c r="H10" i="835"/>
  <c r="H18" i="835" s="1"/>
  <c r="H24" i="835" s="1"/>
  <c r="H41" i="835" s="1"/>
  <c r="H43" i="835" s="1"/>
  <c r="H11" i="863"/>
  <c r="H11" i="829"/>
  <c r="P48" i="840"/>
  <c r="E62" i="834"/>
  <c r="K32" i="829"/>
  <c r="C28" i="829"/>
  <c r="D69" i="853" s="1"/>
  <c r="C29" i="829"/>
  <c r="D70" i="853" s="1"/>
  <c r="C30" i="829"/>
  <c r="D71" i="853" s="1"/>
  <c r="C31" i="829"/>
  <c r="D72" i="853" s="1"/>
  <c r="C26" i="829"/>
  <c r="D67" i="853" s="1"/>
  <c r="C21" i="829"/>
  <c r="D62" i="853" s="1"/>
  <c r="C22" i="829"/>
  <c r="D63" i="853" s="1"/>
  <c r="C23" i="829"/>
  <c r="D64" i="853" s="1"/>
  <c r="C19" i="829"/>
  <c r="D60" i="853" s="1"/>
  <c r="N49" i="829"/>
  <c r="V81" i="840" s="1"/>
  <c r="O49" i="829"/>
  <c r="W81" i="840" s="1"/>
  <c r="P49" i="829"/>
  <c r="X81" i="840" s="1"/>
  <c r="Q49" i="829"/>
  <c r="Y81" i="840" s="1"/>
  <c r="R49" i="829"/>
  <c r="Z81" i="840" s="1"/>
  <c r="N50" i="829"/>
  <c r="V82" i="840" s="1"/>
  <c r="O50" i="829"/>
  <c r="W82" i="840" s="1"/>
  <c r="P50" i="829"/>
  <c r="X82" i="840" s="1"/>
  <c r="Q50" i="829"/>
  <c r="Y82" i="840" s="1"/>
  <c r="R50" i="829"/>
  <c r="Z82" i="840" s="1"/>
  <c r="N51" i="829"/>
  <c r="V83" i="840" s="1"/>
  <c r="O51" i="829"/>
  <c r="W83" i="840" s="1"/>
  <c r="P51" i="829"/>
  <c r="X83" i="840" s="1"/>
  <c r="Q51" i="829"/>
  <c r="Y83" i="840" s="1"/>
  <c r="R51" i="829"/>
  <c r="Z83" i="840" s="1"/>
  <c r="N52" i="829"/>
  <c r="V84" i="840" s="1"/>
  <c r="O52" i="829"/>
  <c r="W84" i="840" s="1"/>
  <c r="P52" i="829"/>
  <c r="X84" i="840" s="1"/>
  <c r="Q52" i="829"/>
  <c r="Y84" i="840" s="1"/>
  <c r="R52" i="829"/>
  <c r="Z84" i="840" s="1"/>
  <c r="M52" i="829"/>
  <c r="M50" i="829"/>
  <c r="M51" i="829"/>
  <c r="N48" i="829"/>
  <c r="V80" i="840" s="1"/>
  <c r="O48" i="829"/>
  <c r="W80" i="840" s="1"/>
  <c r="P48" i="829"/>
  <c r="X80" i="840" s="1"/>
  <c r="Q48" i="829"/>
  <c r="Y80" i="840" s="1"/>
  <c r="R48" i="829"/>
  <c r="Z80" i="840" s="1"/>
  <c r="N42" i="829"/>
  <c r="V75" i="840" s="1"/>
  <c r="O42" i="829"/>
  <c r="W75" i="840" s="1"/>
  <c r="P42" i="829"/>
  <c r="X75" i="840" s="1"/>
  <c r="Q42" i="829"/>
  <c r="Y75" i="840" s="1"/>
  <c r="R42" i="829"/>
  <c r="Z75" i="840" s="1"/>
  <c r="N43" i="829"/>
  <c r="V76" i="840" s="1"/>
  <c r="O43" i="829"/>
  <c r="W76" i="840" s="1"/>
  <c r="P43" i="829"/>
  <c r="X76" i="840" s="1"/>
  <c r="Q43" i="829"/>
  <c r="Y76" i="840" s="1"/>
  <c r="R43" i="829"/>
  <c r="Z76" i="840" s="1"/>
  <c r="N44" i="829"/>
  <c r="V77" i="840" s="1"/>
  <c r="O44" i="829"/>
  <c r="W77" i="840" s="1"/>
  <c r="P44" i="829"/>
  <c r="X77" i="840" s="1"/>
  <c r="Q44" i="829"/>
  <c r="Y77" i="840" s="1"/>
  <c r="R44" i="829"/>
  <c r="Z77" i="840" s="1"/>
  <c r="M42" i="829"/>
  <c r="M43" i="829"/>
  <c r="M44" i="829"/>
  <c r="M48" i="829"/>
  <c r="N172" i="826"/>
  <c r="O172" i="826"/>
  <c r="P172" i="826" s="1"/>
  <c r="Q172" i="826" s="1"/>
  <c r="R172" i="826" s="1"/>
  <c r="N173" i="826"/>
  <c r="O173" i="826" s="1"/>
  <c r="P173" i="826" s="1"/>
  <c r="Q173" i="826" s="1"/>
  <c r="R173" i="826" s="1"/>
  <c r="M173" i="826"/>
  <c r="M172" i="826"/>
  <c r="V58" i="840"/>
  <c r="W58" i="840"/>
  <c r="V59" i="840"/>
  <c r="V62" i="840"/>
  <c r="W62" i="840"/>
  <c r="U57" i="840"/>
  <c r="U58" i="840"/>
  <c r="U59" i="840"/>
  <c r="U60" i="840"/>
  <c r="U61" i="840"/>
  <c r="U62" i="840"/>
  <c r="M146" i="826"/>
  <c r="U56" i="840" s="1"/>
  <c r="N131" i="826"/>
  <c r="N117" i="826" s="1"/>
  <c r="O131" i="826"/>
  <c r="O117" i="826" s="1"/>
  <c r="P131" i="826"/>
  <c r="P117" i="826" s="1"/>
  <c r="Q131" i="826"/>
  <c r="Q117" i="826" s="1"/>
  <c r="R131" i="826"/>
  <c r="R117" i="826" s="1"/>
  <c r="N132" i="826"/>
  <c r="N118" i="826" s="1"/>
  <c r="O132" i="826"/>
  <c r="O118" i="826" s="1"/>
  <c r="P132" i="826"/>
  <c r="P118" i="826" s="1"/>
  <c r="Q132" i="826"/>
  <c r="Q118" i="826" s="1"/>
  <c r="R132" i="826"/>
  <c r="R118" i="826" s="1"/>
  <c r="N133" i="826"/>
  <c r="N119" i="826" s="1"/>
  <c r="O133" i="826"/>
  <c r="O119" i="826" s="1"/>
  <c r="P133" i="826"/>
  <c r="P119" i="826" s="1"/>
  <c r="Q133" i="826"/>
  <c r="Q119" i="826" s="1"/>
  <c r="R133" i="826"/>
  <c r="R119" i="826" s="1"/>
  <c r="N134" i="826"/>
  <c r="N120" i="826" s="1"/>
  <c r="O134" i="826"/>
  <c r="O120" i="826" s="1"/>
  <c r="P134" i="826"/>
  <c r="P120" i="826" s="1"/>
  <c r="Q134" i="826"/>
  <c r="Q120" i="826" s="1"/>
  <c r="R134" i="826"/>
  <c r="R120" i="826" s="1"/>
  <c r="N135" i="826"/>
  <c r="N121" i="826" s="1"/>
  <c r="O135" i="826"/>
  <c r="O121" i="826" s="1"/>
  <c r="P135" i="826"/>
  <c r="P121" i="826" s="1"/>
  <c r="Q135" i="826"/>
  <c r="Q121" i="826" s="1"/>
  <c r="R135" i="826"/>
  <c r="R121" i="826" s="1"/>
  <c r="N136" i="826"/>
  <c r="N122" i="826" s="1"/>
  <c r="O136" i="826"/>
  <c r="O122" i="826" s="1"/>
  <c r="P136" i="826"/>
  <c r="P122" i="826" s="1"/>
  <c r="Q136" i="826"/>
  <c r="Q122" i="826" s="1"/>
  <c r="R136" i="826"/>
  <c r="R122" i="826" s="1"/>
  <c r="N137" i="826"/>
  <c r="N123" i="826" s="1"/>
  <c r="O137" i="826"/>
  <c r="O123" i="826" s="1"/>
  <c r="P137" i="826"/>
  <c r="P123" i="826" s="1"/>
  <c r="Q137" i="826"/>
  <c r="Q123" i="826" s="1"/>
  <c r="R137" i="826"/>
  <c r="R123" i="826" s="1"/>
  <c r="N138" i="826"/>
  <c r="N124" i="826" s="1"/>
  <c r="O138" i="826"/>
  <c r="O124" i="826" s="1"/>
  <c r="P138" i="826"/>
  <c r="P124" i="826" s="1"/>
  <c r="Q138" i="826"/>
  <c r="Q124" i="826" s="1"/>
  <c r="R138" i="826"/>
  <c r="R124" i="826" s="1"/>
  <c r="N139" i="826"/>
  <c r="N125" i="826" s="1"/>
  <c r="O139" i="826"/>
  <c r="O125" i="826" s="1"/>
  <c r="P139" i="826"/>
  <c r="P125" i="826" s="1"/>
  <c r="Q139" i="826"/>
  <c r="Q125" i="826" s="1"/>
  <c r="R139" i="826"/>
  <c r="R125" i="826" s="1"/>
  <c r="N140" i="826"/>
  <c r="N126" i="826" s="1"/>
  <c r="O140" i="826"/>
  <c r="O126" i="826" s="1"/>
  <c r="P140" i="826"/>
  <c r="P126" i="826" s="1"/>
  <c r="Q140" i="826"/>
  <c r="Q126" i="826" s="1"/>
  <c r="R140" i="826"/>
  <c r="R126" i="826" s="1"/>
  <c r="N141" i="826"/>
  <c r="N127" i="826" s="1"/>
  <c r="O141" i="826"/>
  <c r="O127" i="826" s="1"/>
  <c r="P141" i="826"/>
  <c r="P127" i="826" s="1"/>
  <c r="Q141" i="826"/>
  <c r="Q127" i="826" s="1"/>
  <c r="R141" i="826"/>
  <c r="R127" i="826" s="1"/>
  <c r="N142" i="826"/>
  <c r="N128" i="826" s="1"/>
  <c r="O142" i="826"/>
  <c r="O128" i="826" s="1"/>
  <c r="P142" i="826"/>
  <c r="P128" i="826" s="1"/>
  <c r="Q142" i="826"/>
  <c r="Q128" i="826" s="1"/>
  <c r="R142" i="826"/>
  <c r="R128" i="826" s="1"/>
  <c r="M132" i="826"/>
  <c r="M133" i="826"/>
  <c r="M134" i="826"/>
  <c r="M135" i="826"/>
  <c r="M136" i="826"/>
  <c r="M137" i="826"/>
  <c r="M138" i="826"/>
  <c r="M139" i="826"/>
  <c r="M140" i="826"/>
  <c r="M141" i="826"/>
  <c r="M142" i="826"/>
  <c r="M131" i="826"/>
  <c r="F181" i="826"/>
  <c r="G181" i="826" s="1"/>
  <c r="D15" i="854"/>
  <c r="F182" i="826"/>
  <c r="F179" i="826" s="1"/>
  <c r="C68" i="856"/>
  <c r="U76" i="840" l="1"/>
  <c r="L43" i="829"/>
  <c r="T76" i="840" s="1"/>
  <c r="U84" i="840"/>
  <c r="L52" i="829"/>
  <c r="T84" i="840" s="1"/>
  <c r="U83" i="840"/>
  <c r="L51" i="829"/>
  <c r="T83" i="840" s="1"/>
  <c r="U77" i="840"/>
  <c r="L44" i="829"/>
  <c r="T77" i="840" s="1"/>
  <c r="U82" i="840"/>
  <c r="L50" i="829"/>
  <c r="T82" i="840" s="1"/>
  <c r="U75" i="840"/>
  <c r="L42" i="829"/>
  <c r="T75" i="840" s="1"/>
  <c r="U80" i="840"/>
  <c r="L48" i="829"/>
  <c r="T80" i="840" s="1"/>
  <c r="H60" i="2"/>
  <c r="H63" i="2" s="1"/>
  <c r="H73" i="2" s="1"/>
  <c r="P68" i="840" s="1"/>
  <c r="N146" i="826"/>
  <c r="I22" i="854"/>
  <c r="C177" i="856"/>
  <c r="L141" i="826"/>
  <c r="M127" i="826"/>
  <c r="M111" i="826" s="1"/>
  <c r="M36" i="2" s="1"/>
  <c r="L133" i="826"/>
  <c r="M119" i="826"/>
  <c r="L139" i="826"/>
  <c r="M125" i="826"/>
  <c r="M109" i="826" s="1"/>
  <c r="M34" i="2" s="1"/>
  <c r="M126" i="826"/>
  <c r="M110" i="826" s="1"/>
  <c r="M35" i="2" s="1"/>
  <c r="L140" i="826"/>
  <c r="D34" i="854"/>
  <c r="I20" i="854" s="1"/>
  <c r="M124" i="826"/>
  <c r="L138" i="826"/>
  <c r="D50" i="854"/>
  <c r="H11" i="826"/>
  <c r="H7" i="826" s="1"/>
  <c r="H7" i="863" s="1"/>
  <c r="I11" i="826"/>
  <c r="D46" i="854"/>
  <c r="D7" i="854"/>
  <c r="L137" i="826"/>
  <c r="M123" i="826"/>
  <c r="C150" i="856"/>
  <c r="C61" i="856"/>
  <c r="D10" i="854"/>
  <c r="D11" i="854" s="1"/>
  <c r="G16" i="853"/>
  <c r="G13" i="853"/>
  <c r="G14" i="853"/>
  <c r="G15" i="853"/>
  <c r="M118" i="826"/>
  <c r="L132" i="826"/>
  <c r="E175" i="856"/>
  <c r="D29" i="854"/>
  <c r="I18" i="854" s="1"/>
  <c r="M122" i="826"/>
  <c r="L136" i="826"/>
  <c r="M117" i="826"/>
  <c r="L131" i="826"/>
  <c r="L135" i="826"/>
  <c r="M121" i="826"/>
  <c r="C65" i="856"/>
  <c r="C55" i="856"/>
  <c r="F178" i="826"/>
  <c r="D31" i="854"/>
  <c r="I21" i="854" s="1"/>
  <c r="C225" i="856" s="1"/>
  <c r="D33" i="854"/>
  <c r="I19" i="854" s="1"/>
  <c r="M128" i="826"/>
  <c r="M112" i="826" s="1"/>
  <c r="M37" i="2" s="1"/>
  <c r="L142" i="826"/>
  <c r="M120" i="826"/>
  <c r="L134" i="826"/>
  <c r="D12" i="854"/>
  <c r="B38" i="844"/>
  <c r="D6" i="854"/>
  <c r="R47" i="829"/>
  <c r="Z79" i="840" s="1"/>
  <c r="R41" i="829"/>
  <c r="Z74" i="840" s="1"/>
  <c r="Q47" i="829"/>
  <c r="Y79" i="840" s="1"/>
  <c r="Q41" i="829"/>
  <c r="Y74" i="840" s="1"/>
  <c r="P47" i="829"/>
  <c r="X79" i="840" s="1"/>
  <c r="P41" i="829"/>
  <c r="X74" i="840" s="1"/>
  <c r="O41" i="829"/>
  <c r="W74" i="840" s="1"/>
  <c r="O47" i="829"/>
  <c r="W79" i="840" s="1"/>
  <c r="N41" i="829"/>
  <c r="V74" i="840" s="1"/>
  <c r="N47" i="829"/>
  <c r="V79" i="840" s="1"/>
  <c r="M47" i="829"/>
  <c r="U79" i="840" s="1"/>
  <c r="M41" i="829"/>
  <c r="R40" i="829"/>
  <c r="Z73" i="840" s="1"/>
  <c r="Q40" i="829"/>
  <c r="Y73" i="840" s="1"/>
  <c r="P40" i="829"/>
  <c r="X73" i="840" s="1"/>
  <c r="O40" i="829"/>
  <c r="W73" i="840" s="1"/>
  <c r="N40" i="829"/>
  <c r="V73" i="840" s="1"/>
  <c r="M40" i="829"/>
  <c r="M49" i="829"/>
  <c r="B44" i="844"/>
  <c r="B64" i="844"/>
  <c r="B48" i="844"/>
  <c r="B56" i="844"/>
  <c r="U81" i="840" l="1"/>
  <c r="L49" i="829"/>
  <c r="T81" i="840" s="1"/>
  <c r="U74" i="840"/>
  <c r="L41" i="829"/>
  <c r="T74" i="840" s="1"/>
  <c r="U73" i="840"/>
  <c r="L40" i="829"/>
  <c r="T73" i="840" s="1"/>
  <c r="I12" i="854"/>
  <c r="I1" i="854"/>
  <c r="G178" i="826"/>
  <c r="V60" i="840"/>
  <c r="V56" i="840"/>
  <c r="O146" i="826"/>
  <c r="X62" i="840"/>
  <c r="X58" i="840"/>
  <c r="V57" i="840"/>
  <c r="W59" i="840"/>
  <c r="V61" i="840"/>
  <c r="D41" i="854"/>
  <c r="C67" i="856"/>
  <c r="C151" i="856"/>
  <c r="I7" i="854"/>
  <c r="V41" i="2"/>
  <c r="V25" i="2"/>
  <c r="V56" i="2"/>
  <c r="V61" i="2"/>
  <c r="V58" i="2"/>
  <c r="V39" i="2"/>
  <c r="V53" i="2"/>
  <c r="V55" i="2"/>
  <c r="V42" i="2"/>
  <c r="V24" i="2"/>
  <c r="H7" i="2"/>
  <c r="H7" i="829"/>
  <c r="H55" i="829" s="1"/>
  <c r="H7" i="835"/>
  <c r="H7" i="122"/>
  <c r="H92" i="826"/>
  <c r="H157" i="826"/>
  <c r="H170" i="826"/>
  <c r="H176" i="826"/>
  <c r="H14" i="826"/>
  <c r="H144" i="826"/>
  <c r="D27" i="854"/>
  <c r="I17" i="854" s="1"/>
  <c r="I14" i="854"/>
  <c r="C149" i="856"/>
  <c r="C66" i="856"/>
  <c r="I5" i="854"/>
  <c r="C111" i="856"/>
  <c r="E93" i="847"/>
  <c r="E94" i="847"/>
  <c r="E95" i="847"/>
  <c r="E92" i="847"/>
  <c r="E11" i="92" l="1"/>
  <c r="F62" i="2"/>
  <c r="H187" i="826"/>
  <c r="G76" i="92"/>
  <c r="D11" i="92"/>
  <c r="X59" i="840"/>
  <c r="Y58" i="840"/>
  <c r="Z58" i="840"/>
  <c r="W56" i="840"/>
  <c r="P146" i="826"/>
  <c r="W61" i="840"/>
  <c r="W57" i="840"/>
  <c r="Y62" i="840"/>
  <c r="Z62" i="840"/>
  <c r="W60" i="840"/>
  <c r="B3" i="847"/>
  <c r="B3" i="853"/>
  <c r="P30" i="840"/>
  <c r="P35" i="840" s="1"/>
  <c r="P54" i="840" s="1"/>
  <c r="G2" i="841"/>
  <c r="H16" i="829"/>
  <c r="H37" i="829"/>
  <c r="I24" i="849"/>
  <c r="T169" i="829"/>
  <c r="T168" i="829"/>
  <c r="T164" i="829"/>
  <c r="T163" i="829"/>
  <c r="T162" i="829"/>
  <c r="T161" i="829"/>
  <c r="T160" i="829"/>
  <c r="T148" i="829"/>
  <c r="T147" i="829"/>
  <c r="T143" i="829"/>
  <c r="T142" i="829"/>
  <c r="T141" i="829"/>
  <c r="T140" i="829"/>
  <c r="T139" i="829"/>
  <c r="T127" i="829"/>
  <c r="T126" i="829"/>
  <c r="T122" i="829"/>
  <c r="T121" i="829"/>
  <c r="T120" i="829"/>
  <c r="T119" i="829"/>
  <c r="T118" i="829"/>
  <c r="T106" i="829"/>
  <c r="T105" i="829"/>
  <c r="T101" i="829"/>
  <c r="T100" i="829"/>
  <c r="T99" i="829"/>
  <c r="T98" i="829"/>
  <c r="T97" i="829"/>
  <c r="T91" i="829"/>
  <c r="T90" i="829"/>
  <c r="T84" i="829"/>
  <c r="T83" i="829"/>
  <c r="T77" i="829"/>
  <c r="T76" i="829"/>
  <c r="T70" i="829"/>
  <c r="T65" i="829"/>
  <c r="T64" i="829"/>
  <c r="T63" i="829"/>
  <c r="T58" i="829"/>
  <c r="T57" i="829"/>
  <c r="T54" i="829"/>
  <c r="T46" i="829"/>
  <c r="T45" i="829"/>
  <c r="T39" i="829"/>
  <c r="T36" i="829"/>
  <c r="T25" i="829"/>
  <c r="T24" i="829"/>
  <c r="T169" i="826"/>
  <c r="T156" i="826"/>
  <c r="T143" i="826"/>
  <c r="T130" i="826"/>
  <c r="T129" i="826"/>
  <c r="T116" i="826"/>
  <c r="T115" i="826"/>
  <c r="T108" i="826"/>
  <c r="T107" i="826"/>
  <c r="T101" i="826"/>
  <c r="T100" i="826"/>
  <c r="T94" i="826"/>
  <c r="T76" i="826"/>
  <c r="T71" i="826"/>
  <c r="T70" i="826"/>
  <c r="T68" i="826"/>
  <c r="T60" i="826"/>
  <c r="T53" i="826"/>
  <c r="T52" i="826"/>
  <c r="T45" i="826"/>
  <c r="T44" i="826"/>
  <c r="T31" i="826"/>
  <c r="T30" i="826"/>
  <c r="F7" i="816"/>
  <c r="F6" i="816"/>
  <c r="F5" i="816"/>
  <c r="I9" i="190"/>
  <c r="T9" i="190" s="1"/>
  <c r="J9" i="190"/>
  <c r="K9" i="190"/>
  <c r="U9" i="190" s="1"/>
  <c r="L9" i="190"/>
  <c r="M9" i="190"/>
  <c r="I10" i="190"/>
  <c r="T10" i="190" s="1"/>
  <c r="J10" i="190"/>
  <c r="K10" i="190"/>
  <c r="U10" i="190" s="1"/>
  <c r="L10" i="190"/>
  <c r="M10" i="190"/>
  <c r="I11" i="190"/>
  <c r="T11" i="190" s="1"/>
  <c r="J11" i="190"/>
  <c r="K11" i="190"/>
  <c r="U11" i="190" s="1"/>
  <c r="L11" i="190"/>
  <c r="M11" i="190"/>
  <c r="I12" i="190"/>
  <c r="T12" i="190" s="1"/>
  <c r="J12" i="190"/>
  <c r="K12" i="190"/>
  <c r="U12" i="190" s="1"/>
  <c r="L12" i="190"/>
  <c r="M12" i="190"/>
  <c r="I13" i="190"/>
  <c r="T13" i="190" s="1"/>
  <c r="J13" i="190"/>
  <c r="K13" i="190"/>
  <c r="U13" i="190" s="1"/>
  <c r="L13" i="190"/>
  <c r="M13" i="190"/>
  <c r="I14" i="190"/>
  <c r="T14" i="190" s="1"/>
  <c r="J14" i="190"/>
  <c r="K14" i="190"/>
  <c r="U14" i="190" s="1"/>
  <c r="L14" i="190"/>
  <c r="M14" i="190"/>
  <c r="I15" i="190"/>
  <c r="T15" i="190" s="1"/>
  <c r="J15" i="190"/>
  <c r="K15" i="190"/>
  <c r="U15" i="190" s="1"/>
  <c r="L15" i="190"/>
  <c r="M15" i="190"/>
  <c r="I16" i="190"/>
  <c r="T16" i="190" s="1"/>
  <c r="J16" i="190"/>
  <c r="K16" i="190"/>
  <c r="U16" i="190" s="1"/>
  <c r="L16" i="190"/>
  <c r="M16" i="190"/>
  <c r="I17" i="190"/>
  <c r="T17" i="190" s="1"/>
  <c r="J17" i="190"/>
  <c r="K17" i="190"/>
  <c r="U17" i="190" s="1"/>
  <c r="L17" i="190"/>
  <c r="M17" i="190"/>
  <c r="I18" i="190"/>
  <c r="J18" i="190"/>
  <c r="K18" i="190"/>
  <c r="L18" i="190"/>
  <c r="M18" i="190"/>
  <c r="I19" i="190"/>
  <c r="J19" i="190"/>
  <c r="K19" i="190"/>
  <c r="L19" i="190"/>
  <c r="M19" i="190"/>
  <c r="I20" i="190"/>
  <c r="J20" i="190"/>
  <c r="K20" i="190"/>
  <c r="L20" i="190"/>
  <c r="M20" i="190"/>
  <c r="I21" i="190"/>
  <c r="J21" i="190"/>
  <c r="K21" i="190"/>
  <c r="L21" i="190"/>
  <c r="M21" i="190"/>
  <c r="I22" i="190"/>
  <c r="J22" i="190"/>
  <c r="K22" i="190"/>
  <c r="L22" i="190"/>
  <c r="M22" i="190"/>
  <c r="I23" i="190"/>
  <c r="J23" i="190"/>
  <c r="K23" i="190"/>
  <c r="L23" i="190"/>
  <c r="M23" i="190"/>
  <c r="I24" i="190"/>
  <c r="J24" i="190"/>
  <c r="K24" i="190"/>
  <c r="L24" i="190"/>
  <c r="M24" i="190"/>
  <c r="I25" i="190"/>
  <c r="J25" i="190"/>
  <c r="K25" i="190"/>
  <c r="L25" i="190"/>
  <c r="M25" i="190"/>
  <c r="I26" i="190"/>
  <c r="J26" i="190"/>
  <c r="K26" i="190"/>
  <c r="L26" i="190"/>
  <c r="M26" i="190"/>
  <c r="I27" i="190"/>
  <c r="J27" i="190"/>
  <c r="K27" i="190"/>
  <c r="L27" i="190"/>
  <c r="M27" i="190"/>
  <c r="I28" i="190"/>
  <c r="J28" i="190"/>
  <c r="K28" i="190"/>
  <c r="L28" i="190"/>
  <c r="M28" i="190"/>
  <c r="I29" i="190"/>
  <c r="J29" i="190"/>
  <c r="K29" i="190"/>
  <c r="L29" i="190"/>
  <c r="M29" i="190"/>
  <c r="I30" i="190"/>
  <c r="J30" i="190"/>
  <c r="K30" i="190"/>
  <c r="L30" i="190"/>
  <c r="M30" i="190"/>
  <c r="I31" i="190"/>
  <c r="J31" i="190"/>
  <c r="K31" i="190"/>
  <c r="L31" i="190"/>
  <c r="M31" i="190"/>
  <c r="I32" i="190"/>
  <c r="J32" i="190"/>
  <c r="K32" i="190"/>
  <c r="L32" i="190"/>
  <c r="M32" i="190"/>
  <c r="I33" i="190"/>
  <c r="J33" i="190"/>
  <c r="K33" i="190"/>
  <c r="L33" i="190"/>
  <c r="M33" i="190"/>
  <c r="I34" i="190"/>
  <c r="J34" i="190"/>
  <c r="K34" i="190"/>
  <c r="L34" i="190"/>
  <c r="M34" i="190"/>
  <c r="I35" i="190"/>
  <c r="J35" i="190"/>
  <c r="K35" i="190"/>
  <c r="L35" i="190"/>
  <c r="M35" i="190"/>
  <c r="I36" i="190"/>
  <c r="J36" i="190"/>
  <c r="K36" i="190"/>
  <c r="L36" i="190"/>
  <c r="M36" i="190"/>
  <c r="I37" i="190"/>
  <c r="J37" i="190"/>
  <c r="K37" i="190"/>
  <c r="L37" i="190"/>
  <c r="M37" i="190"/>
  <c r="I38" i="190"/>
  <c r="T38" i="190" s="1"/>
  <c r="J38" i="190"/>
  <c r="K38" i="190"/>
  <c r="U38" i="190" s="1"/>
  <c r="L38" i="190"/>
  <c r="M38" i="190"/>
  <c r="H38" i="190"/>
  <c r="H37" i="190"/>
  <c r="H36" i="190"/>
  <c r="H35" i="190"/>
  <c r="H34" i="190"/>
  <c r="H33" i="190"/>
  <c r="H32" i="190"/>
  <c r="H31" i="190"/>
  <c r="H30" i="190"/>
  <c r="H29" i="190"/>
  <c r="H28" i="190"/>
  <c r="H27" i="190"/>
  <c r="H26" i="190"/>
  <c r="H25" i="190"/>
  <c r="H24" i="190"/>
  <c r="H23" i="190"/>
  <c r="H22" i="190"/>
  <c r="H21" i="190"/>
  <c r="H20" i="190"/>
  <c r="H19" i="190"/>
  <c r="H18" i="190"/>
  <c r="H17" i="190"/>
  <c r="H16" i="190"/>
  <c r="H15" i="190"/>
  <c r="H14" i="190"/>
  <c r="H13" i="190"/>
  <c r="H12" i="190"/>
  <c r="H11" i="190"/>
  <c r="H10" i="190"/>
  <c r="H9" i="190"/>
  <c r="G33" i="22" a="1"/>
  <c r="G33" i="22" s="1"/>
  <c r="G32" i="22" a="1"/>
  <c r="G32" i="22" s="1"/>
  <c r="G31" i="22" a="1"/>
  <c r="G31" i="22" s="1"/>
  <c r="G30" i="22" a="1"/>
  <c r="G30" i="22" s="1"/>
  <c r="G29" i="22" a="1"/>
  <c r="G29" i="22" s="1"/>
  <c r="G28" i="22" a="1"/>
  <c r="G28" i="22" s="1"/>
  <c r="G25" i="22"/>
  <c r="G24" i="22"/>
  <c r="G23" i="22"/>
  <c r="G22" i="22"/>
  <c r="G21" i="22"/>
  <c r="G20" i="22"/>
  <c r="G38" i="190"/>
  <c r="F38" i="190"/>
  <c r="G18" i="190"/>
  <c r="F18" i="190"/>
  <c r="G17" i="190"/>
  <c r="F17" i="190"/>
  <c r="G16" i="190"/>
  <c r="F16" i="190"/>
  <c r="G15" i="190"/>
  <c r="F15" i="190"/>
  <c r="G14" i="190"/>
  <c r="F14" i="190"/>
  <c r="G13" i="190"/>
  <c r="F13" i="190"/>
  <c r="G12" i="190"/>
  <c r="F12" i="190"/>
  <c r="G11" i="190"/>
  <c r="F11" i="190"/>
  <c r="G10" i="190"/>
  <c r="F10" i="190"/>
  <c r="G9" i="190"/>
  <c r="S8" i="190"/>
  <c r="P18" i="22"/>
  <c r="O18" i="22"/>
  <c r="N18" i="22"/>
  <c r="P17" i="22"/>
  <c r="O17" i="22"/>
  <c r="N17" i="22"/>
  <c r="P16" i="22"/>
  <c r="O16" i="22"/>
  <c r="N16" i="22"/>
  <c r="P15" i="22"/>
  <c r="O15" i="22"/>
  <c r="N15" i="22"/>
  <c r="P14" i="22"/>
  <c r="O14" i="22"/>
  <c r="N14" i="22"/>
  <c r="P13" i="22"/>
  <c r="O13" i="22"/>
  <c r="N13" i="22"/>
  <c r="P12" i="22"/>
  <c r="O12" i="22"/>
  <c r="N12" i="22"/>
  <c r="P11" i="22"/>
  <c r="O11" i="22"/>
  <c r="N11" i="22"/>
  <c r="P10" i="22"/>
  <c r="O10" i="22"/>
  <c r="N10" i="22"/>
  <c r="P9" i="22"/>
  <c r="O9" i="22"/>
  <c r="N9" i="22"/>
  <c r="G60" i="192"/>
  <c r="H60" i="192"/>
  <c r="I60" i="192"/>
  <c r="J60" i="192"/>
  <c r="F60" i="192"/>
  <c r="E111" i="192"/>
  <c r="F111" i="192"/>
  <c r="G111" i="192"/>
  <c r="H111" i="192"/>
  <c r="I111" i="192"/>
  <c r="J111" i="192"/>
  <c r="E112" i="192"/>
  <c r="F112" i="192"/>
  <c r="G112" i="192"/>
  <c r="H112" i="192"/>
  <c r="I112" i="192"/>
  <c r="J112" i="192"/>
  <c r="E113" i="192"/>
  <c r="F113" i="192"/>
  <c r="G113" i="192"/>
  <c r="H113" i="192"/>
  <c r="I113" i="192"/>
  <c r="J113" i="192"/>
  <c r="E114" i="192"/>
  <c r="F114" i="192"/>
  <c r="G114" i="192"/>
  <c r="H114" i="192"/>
  <c r="I114" i="192"/>
  <c r="J114" i="192"/>
  <c r="E115" i="192"/>
  <c r="F115" i="192"/>
  <c r="G115" i="192"/>
  <c r="H115" i="192"/>
  <c r="I115" i="192"/>
  <c r="J115" i="192"/>
  <c r="E116" i="192"/>
  <c r="F116" i="192"/>
  <c r="G116" i="192"/>
  <c r="H116" i="192"/>
  <c r="I116" i="192"/>
  <c r="J116" i="192"/>
  <c r="E117" i="192"/>
  <c r="F117" i="192"/>
  <c r="G117" i="192"/>
  <c r="H117" i="192"/>
  <c r="I117" i="192"/>
  <c r="J117" i="192"/>
  <c r="E118" i="192"/>
  <c r="F118" i="192"/>
  <c r="G118" i="192"/>
  <c r="H118" i="192"/>
  <c r="I118" i="192"/>
  <c r="J118" i="192"/>
  <c r="E119" i="192"/>
  <c r="F119" i="192"/>
  <c r="G119" i="192"/>
  <c r="H119" i="192"/>
  <c r="I119" i="192"/>
  <c r="J119" i="192"/>
  <c r="E120" i="192"/>
  <c r="F120" i="192"/>
  <c r="G120" i="192"/>
  <c r="H120" i="192"/>
  <c r="I120" i="192"/>
  <c r="J120" i="192"/>
  <c r="E121" i="192"/>
  <c r="F121" i="192"/>
  <c r="G121" i="192"/>
  <c r="H121" i="192"/>
  <c r="I121" i="192"/>
  <c r="J121" i="192"/>
  <c r="E122" i="192"/>
  <c r="F122" i="192"/>
  <c r="G122" i="192"/>
  <c r="H122" i="192"/>
  <c r="I122" i="192"/>
  <c r="J122" i="192"/>
  <c r="E123" i="192"/>
  <c r="F123" i="192"/>
  <c r="G123" i="192"/>
  <c r="H123" i="192"/>
  <c r="I123" i="192"/>
  <c r="J123" i="192"/>
  <c r="E124" i="192"/>
  <c r="F124" i="192"/>
  <c r="G124" i="192"/>
  <c r="H124" i="192"/>
  <c r="I124" i="192"/>
  <c r="J124" i="192"/>
  <c r="E125" i="192"/>
  <c r="F125" i="192"/>
  <c r="G125" i="192"/>
  <c r="H125" i="192"/>
  <c r="I125" i="192"/>
  <c r="J125" i="192"/>
  <c r="E126" i="192"/>
  <c r="F126" i="192"/>
  <c r="G126" i="192"/>
  <c r="H126" i="192"/>
  <c r="I126" i="192"/>
  <c r="J126" i="192"/>
  <c r="E127" i="192"/>
  <c r="F127" i="192"/>
  <c r="G127" i="192"/>
  <c r="H127" i="192"/>
  <c r="I127" i="192"/>
  <c r="J127" i="192"/>
  <c r="E128" i="192"/>
  <c r="F128" i="192"/>
  <c r="G128" i="192"/>
  <c r="H128" i="192"/>
  <c r="I128" i="192"/>
  <c r="J128" i="192"/>
  <c r="E129" i="192"/>
  <c r="F129" i="192"/>
  <c r="G129" i="192"/>
  <c r="H129" i="192"/>
  <c r="I129" i="192"/>
  <c r="J129" i="192"/>
  <c r="E130" i="192"/>
  <c r="F130" i="192"/>
  <c r="G130" i="192"/>
  <c r="H130" i="192"/>
  <c r="I130" i="192"/>
  <c r="J130" i="192"/>
  <c r="E131" i="192"/>
  <c r="F131" i="192"/>
  <c r="G131" i="192"/>
  <c r="H131" i="192"/>
  <c r="I131" i="192"/>
  <c r="J131" i="192"/>
  <c r="E132" i="192"/>
  <c r="F132" i="192"/>
  <c r="G132" i="192"/>
  <c r="H132" i="192"/>
  <c r="I132" i="192"/>
  <c r="J132" i="192"/>
  <c r="E133" i="192"/>
  <c r="F133" i="192"/>
  <c r="G133" i="192"/>
  <c r="H133" i="192"/>
  <c r="I133" i="192"/>
  <c r="J133" i="192"/>
  <c r="E134" i="192"/>
  <c r="F134" i="192"/>
  <c r="G134" i="192"/>
  <c r="H134" i="192"/>
  <c r="I134" i="192"/>
  <c r="J134" i="192"/>
  <c r="E135" i="192"/>
  <c r="F135" i="192"/>
  <c r="G135" i="192"/>
  <c r="H135" i="192"/>
  <c r="I135" i="192"/>
  <c r="J135" i="192"/>
  <c r="E136" i="192"/>
  <c r="F136" i="192"/>
  <c r="G136" i="192"/>
  <c r="H136" i="192"/>
  <c r="I136" i="192"/>
  <c r="J136" i="192"/>
  <c r="E137" i="192"/>
  <c r="F137" i="192"/>
  <c r="G137" i="192"/>
  <c r="H137" i="192"/>
  <c r="I137" i="192"/>
  <c r="J137" i="192"/>
  <c r="E138" i="192"/>
  <c r="F138" i="192"/>
  <c r="G138" i="192"/>
  <c r="H138" i="192"/>
  <c r="I138" i="192"/>
  <c r="J138" i="192"/>
  <c r="E139" i="192"/>
  <c r="F139" i="192"/>
  <c r="G139" i="192"/>
  <c r="H139" i="192"/>
  <c r="I139" i="192"/>
  <c r="J139" i="192"/>
  <c r="E140" i="192"/>
  <c r="F140" i="192"/>
  <c r="G140" i="192"/>
  <c r="H140" i="192"/>
  <c r="I140" i="192"/>
  <c r="J140" i="192"/>
  <c r="E61" i="192"/>
  <c r="F61" i="192"/>
  <c r="G61" i="192"/>
  <c r="H61" i="192"/>
  <c r="I61" i="192"/>
  <c r="J61" i="192"/>
  <c r="K61" i="192"/>
  <c r="L61" i="192"/>
  <c r="M61" i="192"/>
  <c r="E62" i="192"/>
  <c r="F62" i="192"/>
  <c r="G62" i="192"/>
  <c r="H62" i="192"/>
  <c r="I62" i="192"/>
  <c r="J62" i="192"/>
  <c r="K62" i="192"/>
  <c r="L62" i="192"/>
  <c r="M62" i="192"/>
  <c r="E63" i="192"/>
  <c r="F63" i="192"/>
  <c r="G63" i="192"/>
  <c r="H63" i="192"/>
  <c r="I63" i="192"/>
  <c r="J63" i="192"/>
  <c r="K63" i="192"/>
  <c r="L63" i="192"/>
  <c r="M63" i="192"/>
  <c r="E64" i="192"/>
  <c r="F64" i="192"/>
  <c r="G64" i="192"/>
  <c r="H64" i="192"/>
  <c r="I64" i="192"/>
  <c r="J64" i="192"/>
  <c r="K64" i="192"/>
  <c r="L64" i="192"/>
  <c r="M64" i="192"/>
  <c r="E65" i="192"/>
  <c r="F65" i="192"/>
  <c r="G65" i="192"/>
  <c r="H65" i="192"/>
  <c r="I65" i="192"/>
  <c r="J65" i="192"/>
  <c r="K65" i="192"/>
  <c r="L65" i="192"/>
  <c r="M65" i="192"/>
  <c r="E66" i="192"/>
  <c r="F66" i="192"/>
  <c r="G66" i="192"/>
  <c r="H66" i="192"/>
  <c r="I66" i="192"/>
  <c r="J66" i="192"/>
  <c r="K66" i="192"/>
  <c r="L66" i="192"/>
  <c r="M66" i="192"/>
  <c r="E67" i="192"/>
  <c r="F67" i="192"/>
  <c r="G67" i="192"/>
  <c r="H67" i="192"/>
  <c r="I67" i="192"/>
  <c r="J67" i="192"/>
  <c r="K67" i="192"/>
  <c r="L67" i="192"/>
  <c r="M67" i="192"/>
  <c r="E68" i="192"/>
  <c r="F68" i="192"/>
  <c r="G68" i="192"/>
  <c r="H68" i="192"/>
  <c r="I68" i="192"/>
  <c r="J68" i="192"/>
  <c r="K68" i="192"/>
  <c r="L68" i="192"/>
  <c r="M68" i="192"/>
  <c r="E69" i="192"/>
  <c r="F69" i="192"/>
  <c r="G69" i="192"/>
  <c r="H69" i="192"/>
  <c r="I69" i="192"/>
  <c r="J69" i="192"/>
  <c r="K69" i="192"/>
  <c r="L69" i="192"/>
  <c r="M69" i="192"/>
  <c r="E70" i="192"/>
  <c r="F70" i="192"/>
  <c r="G70" i="192"/>
  <c r="H70" i="192"/>
  <c r="I70" i="192"/>
  <c r="J70" i="192"/>
  <c r="K70" i="192"/>
  <c r="L70" i="192"/>
  <c r="M70" i="192"/>
  <c r="E71" i="192"/>
  <c r="F71" i="192"/>
  <c r="G71" i="192"/>
  <c r="H71" i="192"/>
  <c r="I71" i="192"/>
  <c r="J71" i="192"/>
  <c r="K71" i="192"/>
  <c r="L71" i="192"/>
  <c r="M71" i="192"/>
  <c r="E72" i="192"/>
  <c r="F72" i="192"/>
  <c r="G72" i="192"/>
  <c r="H72" i="192"/>
  <c r="I72" i="192"/>
  <c r="J72" i="192"/>
  <c r="K72" i="192"/>
  <c r="L72" i="192"/>
  <c r="M72" i="192"/>
  <c r="E73" i="192"/>
  <c r="F73" i="192"/>
  <c r="G73" i="192"/>
  <c r="H73" i="192"/>
  <c r="I73" i="192"/>
  <c r="J73" i="192"/>
  <c r="K73" i="192"/>
  <c r="L73" i="192"/>
  <c r="M73" i="192"/>
  <c r="E74" i="192"/>
  <c r="F74" i="192"/>
  <c r="G74" i="192"/>
  <c r="H74" i="192"/>
  <c r="I74" i="192"/>
  <c r="J74" i="192"/>
  <c r="K74" i="192"/>
  <c r="L74" i="192"/>
  <c r="M74" i="192"/>
  <c r="E75" i="192"/>
  <c r="F75" i="192"/>
  <c r="G75" i="192"/>
  <c r="H75" i="192"/>
  <c r="I75" i="192"/>
  <c r="J75" i="192"/>
  <c r="K75" i="192"/>
  <c r="L75" i="192"/>
  <c r="M75" i="192"/>
  <c r="E76" i="192"/>
  <c r="F76" i="192"/>
  <c r="G76" i="192"/>
  <c r="H76" i="192"/>
  <c r="I76" i="192"/>
  <c r="J76" i="192"/>
  <c r="K76" i="192"/>
  <c r="L76" i="192"/>
  <c r="M76" i="192"/>
  <c r="E77" i="192"/>
  <c r="F77" i="192"/>
  <c r="G77" i="192"/>
  <c r="H77" i="192"/>
  <c r="I77" i="192"/>
  <c r="J77" i="192"/>
  <c r="K77" i="192"/>
  <c r="L77" i="192"/>
  <c r="M77" i="192"/>
  <c r="E78" i="192"/>
  <c r="F78" i="192"/>
  <c r="G78" i="192"/>
  <c r="H78" i="192"/>
  <c r="I78" i="192"/>
  <c r="J78" i="192"/>
  <c r="K78" i="192"/>
  <c r="L78" i="192"/>
  <c r="M78" i="192"/>
  <c r="E79" i="192"/>
  <c r="F79" i="192"/>
  <c r="G79" i="192"/>
  <c r="H79" i="192"/>
  <c r="I79" i="192"/>
  <c r="J79" i="192"/>
  <c r="K79" i="192"/>
  <c r="L79" i="192"/>
  <c r="M79" i="192"/>
  <c r="E80" i="192"/>
  <c r="F80" i="192"/>
  <c r="G80" i="192"/>
  <c r="H80" i="192"/>
  <c r="I80" i="192"/>
  <c r="J80" i="192"/>
  <c r="K80" i="192"/>
  <c r="L80" i="192"/>
  <c r="M80" i="192"/>
  <c r="E81" i="192"/>
  <c r="F81" i="192"/>
  <c r="G81" i="192"/>
  <c r="H81" i="192"/>
  <c r="I81" i="192"/>
  <c r="J81" i="192"/>
  <c r="K81" i="192"/>
  <c r="L81" i="192"/>
  <c r="M81" i="192"/>
  <c r="E82" i="192"/>
  <c r="F82" i="192"/>
  <c r="G82" i="192"/>
  <c r="H82" i="192"/>
  <c r="I82" i="192"/>
  <c r="J82" i="192"/>
  <c r="K82" i="192"/>
  <c r="L82" i="192"/>
  <c r="M82" i="192"/>
  <c r="E83" i="192"/>
  <c r="F83" i="192"/>
  <c r="G83" i="192"/>
  <c r="H83" i="192"/>
  <c r="I83" i="192"/>
  <c r="J83" i="192"/>
  <c r="K83" i="192"/>
  <c r="L83" i="192"/>
  <c r="M83" i="192"/>
  <c r="E84" i="192"/>
  <c r="F84" i="192"/>
  <c r="G84" i="192"/>
  <c r="H84" i="192"/>
  <c r="I84" i="192"/>
  <c r="J84" i="192"/>
  <c r="K84" i="192"/>
  <c r="L84" i="192"/>
  <c r="M84" i="192"/>
  <c r="E85" i="192"/>
  <c r="F85" i="192"/>
  <c r="G85" i="192"/>
  <c r="H85" i="192"/>
  <c r="I85" i="192"/>
  <c r="J85" i="192"/>
  <c r="K85" i="192"/>
  <c r="L85" i="192"/>
  <c r="M85" i="192"/>
  <c r="E86" i="192"/>
  <c r="F86" i="192"/>
  <c r="G86" i="192"/>
  <c r="H86" i="192"/>
  <c r="I86" i="192"/>
  <c r="J86" i="192"/>
  <c r="K86" i="192"/>
  <c r="L86" i="192"/>
  <c r="M86" i="192"/>
  <c r="E87" i="192"/>
  <c r="F87" i="192"/>
  <c r="G87" i="192"/>
  <c r="H87" i="192"/>
  <c r="I87" i="192"/>
  <c r="J87" i="192"/>
  <c r="K87" i="192"/>
  <c r="L87" i="192"/>
  <c r="M87" i="192"/>
  <c r="E88" i="192"/>
  <c r="F88" i="192"/>
  <c r="G88" i="192"/>
  <c r="H88" i="192"/>
  <c r="I88" i="192"/>
  <c r="J88" i="192"/>
  <c r="K88" i="192"/>
  <c r="L88" i="192"/>
  <c r="M88" i="192"/>
  <c r="E89" i="192"/>
  <c r="F89" i="192"/>
  <c r="G89" i="192"/>
  <c r="H89" i="192"/>
  <c r="I89" i="192"/>
  <c r="J89" i="192"/>
  <c r="K89" i="192"/>
  <c r="L89" i="192"/>
  <c r="M89" i="192"/>
  <c r="E90" i="192"/>
  <c r="F90" i="192"/>
  <c r="G90" i="192"/>
  <c r="H90" i="192"/>
  <c r="I90" i="192"/>
  <c r="J90" i="192"/>
  <c r="K90" i="192"/>
  <c r="L90" i="192"/>
  <c r="M90" i="192"/>
  <c r="X61" i="840" l="1"/>
  <c r="X60" i="840"/>
  <c r="X57" i="840"/>
  <c r="X56" i="840"/>
  <c r="Q146" i="826"/>
  <c r="Y59" i="840"/>
  <c r="Z59" i="840"/>
  <c r="P65" i="840"/>
  <c r="P72" i="840" s="1"/>
  <c r="P87" i="840" s="1"/>
  <c r="P104" i="840" s="1"/>
  <c r="P50" i="840"/>
  <c r="D39" i="190"/>
  <c r="C7" i="22"/>
  <c r="C41" i="587"/>
  <c r="N29" i="22" a="1"/>
  <c r="N29" i="22" s="1"/>
  <c r="J41" i="190"/>
  <c r="L51" i="190"/>
  <c r="L46" i="190"/>
  <c r="G51" i="190"/>
  <c r="H54" i="190" a="1"/>
  <c r="H54" i="190" s="1"/>
  <c r="H51" i="190"/>
  <c r="M51" i="190"/>
  <c r="I54" i="190" a="1"/>
  <c r="I54" i="190" s="1"/>
  <c r="J51" i="190"/>
  <c r="H49" i="190" a="1"/>
  <c r="H49" i="190" s="1"/>
  <c r="J49" i="190" a="1"/>
  <c r="J49" i="190" s="1"/>
  <c r="J50" i="190" a="1"/>
  <c r="J50" i="190" s="1"/>
  <c r="F51" i="190"/>
  <c r="J52" i="190" a="1"/>
  <c r="J52" i="190" s="1"/>
  <c r="J53" i="190" a="1"/>
  <c r="J53" i="190" s="1"/>
  <c r="J54" i="190" a="1"/>
  <c r="J54" i="190" s="1"/>
  <c r="H43" i="190"/>
  <c r="H45" i="190"/>
  <c r="H41" i="190"/>
  <c r="H42" i="190"/>
  <c r="H44" i="190"/>
  <c r="H46" i="190"/>
  <c r="K50" i="190" a="1"/>
  <c r="K50" i="190" s="1"/>
  <c r="K54" i="190" a="1"/>
  <c r="K54" i="190" s="1"/>
  <c r="I41" i="190"/>
  <c r="I42" i="190"/>
  <c r="I43" i="190"/>
  <c r="I44" i="190"/>
  <c r="I45" i="190"/>
  <c r="I46" i="190"/>
  <c r="I51" i="190"/>
  <c r="K53" i="190" a="1"/>
  <c r="K53" i="190" s="1"/>
  <c r="J42" i="190"/>
  <c r="J43" i="190"/>
  <c r="J44" i="190"/>
  <c r="J45" i="190"/>
  <c r="J46" i="190"/>
  <c r="L49" i="190" a="1"/>
  <c r="L49" i="190" s="1"/>
  <c r="H50" i="190" a="1"/>
  <c r="H50" i="190" s="1"/>
  <c r="L50" i="190" a="1"/>
  <c r="L50" i="190" s="1"/>
  <c r="H52" i="190" a="1"/>
  <c r="H52" i="190" s="1"/>
  <c r="L52" i="190" a="1"/>
  <c r="L52" i="190" s="1"/>
  <c r="H53" i="190" a="1"/>
  <c r="H53" i="190" s="1"/>
  <c r="L53" i="190" a="1"/>
  <c r="L53" i="190" s="1"/>
  <c r="L54" i="190" a="1"/>
  <c r="L54" i="190" s="1"/>
  <c r="K41" i="190"/>
  <c r="K42" i="190"/>
  <c r="K43" i="190"/>
  <c r="K44" i="190"/>
  <c r="K45" i="190"/>
  <c r="K46" i="190"/>
  <c r="K51" i="190"/>
  <c r="K49" i="190" a="1"/>
  <c r="K49" i="190" s="1"/>
  <c r="L41" i="190"/>
  <c r="L42" i="190"/>
  <c r="L43" i="190"/>
  <c r="L44" i="190"/>
  <c r="L45" i="190"/>
  <c r="I49" i="190" a="1"/>
  <c r="I49" i="190" s="1"/>
  <c r="M49" i="190" a="1"/>
  <c r="M49" i="190" s="1"/>
  <c r="I50" i="190" a="1"/>
  <c r="I50" i="190" s="1"/>
  <c r="M50" i="190" a="1"/>
  <c r="M50" i="190" s="1"/>
  <c r="I52" i="190" a="1"/>
  <c r="I52" i="190" s="1"/>
  <c r="M52" i="190" a="1"/>
  <c r="M52" i="190" s="1"/>
  <c r="I53" i="190" a="1"/>
  <c r="I53" i="190" s="1"/>
  <c r="M53" i="190" a="1"/>
  <c r="M53" i="190" s="1"/>
  <c r="M54" i="190" a="1"/>
  <c r="M54" i="190" s="1"/>
  <c r="K52" i="190" a="1"/>
  <c r="K52" i="190" s="1"/>
  <c r="M41" i="190"/>
  <c r="M42" i="190"/>
  <c r="M43" i="190"/>
  <c r="M44" i="190"/>
  <c r="M45" i="190"/>
  <c r="M46" i="190"/>
  <c r="N20" i="22"/>
  <c r="N31" i="22" a="1"/>
  <c r="N31" i="22" s="1"/>
  <c r="O24" i="22"/>
  <c r="P21" i="22"/>
  <c r="O25" i="22"/>
  <c r="N22" i="22"/>
  <c r="P24" i="22"/>
  <c r="P28" i="22" a="1"/>
  <c r="P28" i="22" s="1"/>
  <c r="N30" i="22" a="1"/>
  <c r="N30" i="22" s="1"/>
  <c r="O31" i="22" a="1"/>
  <c r="O31" i="22" s="1"/>
  <c r="P32" i="22" a="1"/>
  <c r="P32" i="22" s="1"/>
  <c r="O22" i="22"/>
  <c r="N25" i="22"/>
  <c r="O30" i="22" a="1"/>
  <c r="O30" i="22" s="1"/>
  <c r="P31" i="22" a="1"/>
  <c r="P31" i="22" s="1"/>
  <c r="N33" i="22" a="1"/>
  <c r="N33" i="22" s="1"/>
  <c r="O20" i="22"/>
  <c r="N23" i="22"/>
  <c r="P25" i="22"/>
  <c r="P22" i="22"/>
  <c r="O23" i="22"/>
  <c r="O29" i="22" a="1"/>
  <c r="O29" i="22" s="1"/>
  <c r="P30" i="22" a="1"/>
  <c r="P30" i="22" s="1"/>
  <c r="N32" i="22" a="1"/>
  <c r="N32" i="22" s="1"/>
  <c r="O33" i="22" a="1"/>
  <c r="O33" i="22" s="1"/>
  <c r="N28" i="22" a="1"/>
  <c r="N28" i="22" s="1"/>
  <c r="N21" i="22"/>
  <c r="P23" i="22"/>
  <c r="O21" i="22"/>
  <c r="N24" i="22"/>
  <c r="O28" i="22" a="1"/>
  <c r="O28" i="22" s="1"/>
  <c r="O32" i="22" a="1"/>
  <c r="O32" i="22" s="1"/>
  <c r="P33" i="22" a="1"/>
  <c r="P33" i="22" s="1"/>
  <c r="P20" i="22"/>
  <c r="P29" i="22" a="1"/>
  <c r="P29" i="22" s="1"/>
  <c r="F154" i="192" a="1"/>
  <c r="F154" i="192" s="1"/>
  <c r="H152" i="192"/>
  <c r="F143" i="192"/>
  <c r="I151" i="192" a="1"/>
  <c r="I151" i="192" s="1"/>
  <c r="J147" i="192"/>
  <c r="K95" i="192"/>
  <c r="I155" i="192" a="1"/>
  <c r="I155" i="192" s="1"/>
  <c r="G146" i="192"/>
  <c r="F103" i="192" a="1"/>
  <c r="F103" i="192" s="1"/>
  <c r="G103" i="192" a="1"/>
  <c r="G103" i="192" s="1"/>
  <c r="K97" i="192"/>
  <c r="M93" i="192"/>
  <c r="G154" i="192" a="1"/>
  <c r="G154" i="192" s="1"/>
  <c r="I93" i="192"/>
  <c r="K93" i="192"/>
  <c r="F94" i="192"/>
  <c r="I146" i="192"/>
  <c r="G153" i="192" a="1"/>
  <c r="G153" i="192" s="1"/>
  <c r="J144" i="192"/>
  <c r="K92" i="192"/>
  <c r="M95" i="192"/>
  <c r="H143" i="192"/>
  <c r="G92" i="192"/>
  <c r="K101" i="192" a="1"/>
  <c r="K101" i="192" s="1"/>
  <c r="I103" i="192" a="1"/>
  <c r="I103" i="192" s="1"/>
  <c r="I144" i="192"/>
  <c r="M104" i="192" a="1"/>
  <c r="M104" i="192" s="1"/>
  <c r="H146" i="192"/>
  <c r="G143" i="192"/>
  <c r="F145" i="192"/>
  <c r="J142" i="192"/>
  <c r="M102" i="192" a="1"/>
  <c r="M102" i="192" s="1"/>
  <c r="F150" i="192" a="1"/>
  <c r="F150" i="192" s="1"/>
  <c r="J154" i="192" a="1"/>
  <c r="J154" i="192" s="1"/>
  <c r="G152" i="192" a="1"/>
  <c r="G152" i="192" s="1"/>
  <c r="I154" i="192" a="1"/>
  <c r="I154" i="192" s="1"/>
  <c r="J153" i="192" a="1"/>
  <c r="J153" i="192" s="1"/>
  <c r="F153" i="192" a="1"/>
  <c r="F153" i="192" s="1"/>
  <c r="H147" i="192"/>
  <c r="J145" i="192"/>
  <c r="G144" i="192"/>
  <c r="I142" i="192"/>
  <c r="K102" i="192" a="1"/>
  <c r="K102" i="192" s="1"/>
  <c r="M94" i="192"/>
  <c r="G151" i="192" a="1"/>
  <c r="G151" i="192" s="1"/>
  <c r="H150" i="192" a="1"/>
  <c r="H150" i="192" s="1"/>
  <c r="G147" i="192"/>
  <c r="I145" i="192"/>
  <c r="F144" i="192"/>
  <c r="H142" i="192"/>
  <c r="I101" i="192" a="1"/>
  <c r="I101" i="192" s="1"/>
  <c r="I95" i="192"/>
  <c r="I147" i="192"/>
  <c r="G101" i="192" a="1"/>
  <c r="G101" i="192" s="1"/>
  <c r="G97" i="192"/>
  <c r="H155" i="192" a="1"/>
  <c r="H155" i="192" s="1"/>
  <c r="M105" i="192" a="1"/>
  <c r="M105" i="192" s="1"/>
  <c r="G104" i="192" a="1"/>
  <c r="G104" i="192" s="1"/>
  <c r="M100" i="192" a="1"/>
  <c r="M100" i="192" s="1"/>
  <c r="M96" i="192"/>
  <c r="G93" i="192"/>
  <c r="F152" i="192" a="1"/>
  <c r="F152" i="192" s="1"/>
  <c r="K105" i="192" a="1"/>
  <c r="K105" i="192" s="1"/>
  <c r="F104" i="192" a="1"/>
  <c r="F104" i="192" s="1"/>
  <c r="I102" i="192" a="1"/>
  <c r="I102" i="192" s="1"/>
  <c r="K100" i="192" a="1"/>
  <c r="K100" i="192" s="1"/>
  <c r="K96" i="192"/>
  <c r="K94" i="192"/>
  <c r="M92" i="192"/>
  <c r="G155" i="192" a="1"/>
  <c r="G155" i="192" s="1"/>
  <c r="H154" i="192" a="1"/>
  <c r="H154" i="192" s="1"/>
  <c r="I153" i="192" a="1"/>
  <c r="I153" i="192" s="1"/>
  <c r="J152" i="192" a="1"/>
  <c r="J152" i="192" s="1"/>
  <c r="F147" i="192"/>
  <c r="H145" i="192"/>
  <c r="J143" i="192"/>
  <c r="G142" i="192"/>
  <c r="H151" i="192" a="1"/>
  <c r="H151" i="192" s="1"/>
  <c r="I100" i="192" a="1"/>
  <c r="I100" i="192" s="1"/>
  <c r="F151" i="192" a="1"/>
  <c r="F151" i="192" s="1"/>
  <c r="G150" i="192" a="1"/>
  <c r="G150" i="192" s="1"/>
  <c r="J146" i="192"/>
  <c r="G145" i="192"/>
  <c r="I143" i="192"/>
  <c r="F142" i="192"/>
  <c r="K104" i="192" a="1"/>
  <c r="K104" i="192" s="1"/>
  <c r="I150" i="192" a="1"/>
  <c r="I150" i="192" s="1"/>
  <c r="H144" i="192"/>
  <c r="I104" i="192" a="1"/>
  <c r="I104" i="192" s="1"/>
  <c r="G95" i="192"/>
  <c r="I105" i="192" a="1"/>
  <c r="I105" i="192" s="1"/>
  <c r="G102" i="192" a="1"/>
  <c r="G102" i="192" s="1"/>
  <c r="I94" i="192"/>
  <c r="F101" i="192" a="1"/>
  <c r="F101" i="192" s="1"/>
  <c r="H102" i="192" a="1"/>
  <c r="H102" i="192" s="1"/>
  <c r="G105" i="192" a="1"/>
  <c r="G105" i="192" s="1"/>
  <c r="K103" i="192" a="1"/>
  <c r="K103" i="192" s="1"/>
  <c r="F102" i="192" a="1"/>
  <c r="F102" i="192" s="1"/>
  <c r="G100" i="192" a="1"/>
  <c r="G100" i="192" s="1"/>
  <c r="G96" i="192"/>
  <c r="G94" i="192"/>
  <c r="I92" i="192"/>
  <c r="J155" i="192" a="1"/>
  <c r="J155" i="192" s="1"/>
  <c r="F155" i="192" a="1"/>
  <c r="F155" i="192" s="1"/>
  <c r="H153" i="192" a="1"/>
  <c r="H153" i="192" s="1"/>
  <c r="I152" i="192" a="1"/>
  <c r="I152" i="192" s="1"/>
  <c r="I97" i="192"/>
  <c r="F146" i="192"/>
  <c r="M103" i="192" a="1"/>
  <c r="M103" i="192" s="1"/>
  <c r="I96" i="192"/>
  <c r="L105" i="192" a="1"/>
  <c r="L105" i="192" s="1"/>
  <c r="J100" i="192" a="1"/>
  <c r="J100" i="192" s="1"/>
  <c r="J151" i="192" a="1"/>
  <c r="J151" i="192" s="1"/>
  <c r="F105" i="192" a="1"/>
  <c r="F105" i="192" s="1"/>
  <c r="M101" i="192" a="1"/>
  <c r="M101" i="192" s="1"/>
  <c r="M97" i="192"/>
  <c r="F96" i="192"/>
  <c r="J150" i="192" a="1"/>
  <c r="J150" i="192" s="1"/>
  <c r="F97" i="192"/>
  <c r="L104" i="192" a="1"/>
  <c r="L104" i="192" s="1"/>
  <c r="L103" i="192" a="1"/>
  <c r="L103" i="192" s="1"/>
  <c r="L102" i="192" a="1"/>
  <c r="L102" i="192" s="1"/>
  <c r="F92" i="192"/>
  <c r="H96" i="192"/>
  <c r="L100" i="192" a="1"/>
  <c r="L100" i="192" s="1"/>
  <c r="H100" i="192" a="1"/>
  <c r="H100" i="192" s="1"/>
  <c r="J92" i="192"/>
  <c r="J101" i="192" a="1"/>
  <c r="J101" i="192" s="1"/>
  <c r="F95" i="192"/>
  <c r="J105" i="192" a="1"/>
  <c r="J105" i="192" s="1"/>
  <c r="J104" i="192" a="1"/>
  <c r="J104" i="192" s="1"/>
  <c r="J103" i="192" a="1"/>
  <c r="J103" i="192" s="1"/>
  <c r="J102" i="192" a="1"/>
  <c r="J102" i="192" s="1"/>
  <c r="F100" i="192" a="1"/>
  <c r="F100" i="192" s="1"/>
  <c r="F93" i="192"/>
  <c r="H105" i="192" a="1"/>
  <c r="H105" i="192" s="1"/>
  <c r="H104" i="192" a="1"/>
  <c r="H104" i="192" s="1"/>
  <c r="H103" i="192" a="1"/>
  <c r="H103" i="192" s="1"/>
  <c r="H97" i="192"/>
  <c r="H95" i="192"/>
  <c r="H94" i="192"/>
  <c r="H93" i="192"/>
  <c r="H92" i="192"/>
  <c r="L97" i="192"/>
  <c r="L96" i="192"/>
  <c r="L95" i="192"/>
  <c r="L94" i="192"/>
  <c r="L93" i="192"/>
  <c r="L92" i="192"/>
  <c r="H101" i="192" a="1"/>
  <c r="H101" i="192" s="1"/>
  <c r="J97" i="192"/>
  <c r="J96" i="192"/>
  <c r="J95" i="192"/>
  <c r="J94" i="192"/>
  <c r="J93" i="192"/>
  <c r="L101" i="192" a="1"/>
  <c r="L101" i="192" s="1"/>
  <c r="E18" i="92"/>
  <c r="N50" i="189" a="1"/>
  <c r="N50" i="189" s="1"/>
  <c r="E81" i="189"/>
  <c r="E80" i="189"/>
  <c r="E79" i="189"/>
  <c r="E78" i="189"/>
  <c r="E77" i="189"/>
  <c r="E76" i="189"/>
  <c r="E75" i="189"/>
  <c r="E74" i="189"/>
  <c r="E73" i="189"/>
  <c r="E72" i="189"/>
  <c r="E71" i="189"/>
  <c r="E70" i="189"/>
  <c r="E69" i="189"/>
  <c r="E68" i="189"/>
  <c r="E67" i="189"/>
  <c r="E66" i="189"/>
  <c r="E65" i="189"/>
  <c r="E64" i="189"/>
  <c r="E63" i="189"/>
  <c r="E62" i="189"/>
  <c r="E61" i="189"/>
  <c r="E60" i="189"/>
  <c r="M81" i="189"/>
  <c r="L81" i="189"/>
  <c r="K81" i="189"/>
  <c r="J81" i="189"/>
  <c r="I81" i="189"/>
  <c r="H81" i="189"/>
  <c r="G81" i="189"/>
  <c r="F81" i="189"/>
  <c r="M80" i="189"/>
  <c r="L80" i="189"/>
  <c r="K80" i="189"/>
  <c r="J80" i="189"/>
  <c r="I80" i="189"/>
  <c r="H80" i="189"/>
  <c r="G80" i="189"/>
  <c r="F80" i="189"/>
  <c r="N80" i="189" s="1"/>
  <c r="M79" i="189"/>
  <c r="L79" i="189"/>
  <c r="K79" i="189"/>
  <c r="J79" i="189"/>
  <c r="I79" i="189"/>
  <c r="H79" i="189"/>
  <c r="G79" i="189"/>
  <c r="F79" i="189"/>
  <c r="M78" i="189"/>
  <c r="L78" i="189"/>
  <c r="K78" i="189"/>
  <c r="J78" i="189"/>
  <c r="I78" i="189"/>
  <c r="H78" i="189"/>
  <c r="G78" i="189"/>
  <c r="F78" i="189"/>
  <c r="N78" i="189" s="1"/>
  <c r="M77" i="189"/>
  <c r="L77" i="189"/>
  <c r="K77" i="189"/>
  <c r="J77" i="189"/>
  <c r="I77" i="189"/>
  <c r="H77" i="189"/>
  <c r="G77" i="189"/>
  <c r="F77" i="189"/>
  <c r="M76" i="189"/>
  <c r="L76" i="189"/>
  <c r="K76" i="189"/>
  <c r="J76" i="189"/>
  <c r="I76" i="189"/>
  <c r="H76" i="189"/>
  <c r="G76" i="189"/>
  <c r="F76" i="189"/>
  <c r="N76" i="189" s="1"/>
  <c r="M75" i="189"/>
  <c r="L75" i="189"/>
  <c r="K75" i="189"/>
  <c r="J75" i="189"/>
  <c r="I75" i="189"/>
  <c r="H75" i="189"/>
  <c r="G75" i="189"/>
  <c r="F75" i="189"/>
  <c r="M74" i="189"/>
  <c r="L74" i="189"/>
  <c r="K74" i="189"/>
  <c r="J74" i="189"/>
  <c r="I74" i="189"/>
  <c r="H74" i="189"/>
  <c r="G74" i="189"/>
  <c r="F74" i="189"/>
  <c r="N74" i="189" s="1"/>
  <c r="M73" i="189"/>
  <c r="L73" i="189"/>
  <c r="K73" i="189"/>
  <c r="J73" i="189"/>
  <c r="I73" i="189"/>
  <c r="H73" i="189"/>
  <c r="G73" i="189"/>
  <c r="F73" i="189"/>
  <c r="M72" i="189"/>
  <c r="L72" i="189"/>
  <c r="K72" i="189"/>
  <c r="J72" i="189"/>
  <c r="I72" i="189"/>
  <c r="H72" i="189"/>
  <c r="G72" i="189"/>
  <c r="F72" i="189"/>
  <c r="N72" i="189" s="1"/>
  <c r="M71" i="189"/>
  <c r="L71" i="189"/>
  <c r="K71" i="189"/>
  <c r="J71" i="189"/>
  <c r="I71" i="189"/>
  <c r="H71" i="189"/>
  <c r="G71" i="189"/>
  <c r="F71" i="189"/>
  <c r="M70" i="189"/>
  <c r="L70" i="189"/>
  <c r="K70" i="189"/>
  <c r="J70" i="189"/>
  <c r="I70" i="189"/>
  <c r="H70" i="189"/>
  <c r="G70" i="189"/>
  <c r="F70" i="189"/>
  <c r="N70" i="189" s="1"/>
  <c r="M69" i="189"/>
  <c r="L69" i="189"/>
  <c r="K69" i="189"/>
  <c r="J69" i="189"/>
  <c r="I69" i="189"/>
  <c r="H69" i="189"/>
  <c r="G69" i="189"/>
  <c r="F69" i="189"/>
  <c r="M68" i="189"/>
  <c r="L68" i="189"/>
  <c r="K68" i="189"/>
  <c r="J68" i="189"/>
  <c r="I68" i="189"/>
  <c r="H68" i="189"/>
  <c r="G68" i="189"/>
  <c r="F68" i="189"/>
  <c r="N68" i="189" s="1"/>
  <c r="M67" i="189"/>
  <c r="L67" i="189"/>
  <c r="K67" i="189"/>
  <c r="J67" i="189"/>
  <c r="I67" i="189"/>
  <c r="H67" i="189"/>
  <c r="G67" i="189"/>
  <c r="F67" i="189"/>
  <c r="M66" i="189"/>
  <c r="L66" i="189"/>
  <c r="K66" i="189"/>
  <c r="J66" i="189"/>
  <c r="I66" i="189"/>
  <c r="H66" i="189"/>
  <c r="G66" i="189"/>
  <c r="F66" i="189"/>
  <c r="N66" i="189" s="1"/>
  <c r="M65" i="189"/>
  <c r="L65" i="189"/>
  <c r="K65" i="189"/>
  <c r="J65" i="189"/>
  <c r="I65" i="189"/>
  <c r="H65" i="189"/>
  <c r="G65" i="189"/>
  <c r="F65" i="189"/>
  <c r="M64" i="189"/>
  <c r="L64" i="189"/>
  <c r="K64" i="189"/>
  <c r="J64" i="189"/>
  <c r="I64" i="189"/>
  <c r="H64" i="189"/>
  <c r="G64" i="189"/>
  <c r="F64" i="189"/>
  <c r="N64" i="189" s="1"/>
  <c r="M63" i="189"/>
  <c r="L63" i="189"/>
  <c r="K63" i="189"/>
  <c r="J63" i="189"/>
  <c r="I63" i="189"/>
  <c r="H63" i="189"/>
  <c r="G63" i="189"/>
  <c r="F63" i="189"/>
  <c r="M62" i="189"/>
  <c r="L62" i="189"/>
  <c r="K62" i="189"/>
  <c r="J62" i="189"/>
  <c r="I62" i="189"/>
  <c r="H62" i="189"/>
  <c r="G62" i="189"/>
  <c r="F62" i="189"/>
  <c r="N62" i="189" s="1"/>
  <c r="M61" i="189"/>
  <c r="L61" i="189"/>
  <c r="K61" i="189"/>
  <c r="J61" i="189"/>
  <c r="I61" i="189"/>
  <c r="H61" i="189"/>
  <c r="G61" i="189"/>
  <c r="F61" i="189"/>
  <c r="D82" i="189"/>
  <c r="D40" i="189"/>
  <c r="D21" i="92"/>
  <c r="Y56" i="840" l="1"/>
  <c r="R146" i="826"/>
  <c r="Z56" i="840" s="1"/>
  <c r="Y60" i="840"/>
  <c r="Z60" i="840"/>
  <c r="Y57" i="840"/>
  <c r="Z57" i="840"/>
  <c r="Y61" i="840"/>
  <c r="Z61" i="840"/>
  <c r="U64" i="189"/>
  <c r="W64" i="189" s="1"/>
  <c r="R71" i="189"/>
  <c r="U65" i="189"/>
  <c r="W65" i="189" s="1"/>
  <c r="U68" i="189"/>
  <c r="W68" i="189" s="1"/>
  <c r="U71" i="189"/>
  <c r="W71" i="189" s="1"/>
  <c r="U73" i="189"/>
  <c r="W73" i="189" s="1"/>
  <c r="U78" i="189"/>
  <c r="W78" i="189" s="1"/>
  <c r="U79" i="189"/>
  <c r="W79" i="189" s="1"/>
  <c r="R65" i="189"/>
  <c r="R79" i="189"/>
  <c r="U63" i="189"/>
  <c r="W63" i="189" s="1"/>
  <c r="U66" i="189"/>
  <c r="W66" i="189" s="1"/>
  <c r="U70" i="189"/>
  <c r="W70" i="189" s="1"/>
  <c r="U72" i="189"/>
  <c r="W72" i="189" s="1"/>
  <c r="U80" i="189"/>
  <c r="W80" i="189" s="1"/>
  <c r="U61" i="189"/>
  <c r="W61" i="189" s="1"/>
  <c r="T64" i="189"/>
  <c r="T65" i="189"/>
  <c r="T66" i="189"/>
  <c r="T67" i="189"/>
  <c r="T69" i="189"/>
  <c r="T71" i="189"/>
  <c r="T72" i="189"/>
  <c r="T73" i="189"/>
  <c r="T74" i="189"/>
  <c r="T78" i="189"/>
  <c r="T79" i="189"/>
  <c r="T80" i="189"/>
  <c r="T81" i="189"/>
  <c r="T62" i="189"/>
  <c r="R62" i="189"/>
  <c r="P72" i="189"/>
  <c r="Q67" i="189"/>
  <c r="R68" i="189"/>
  <c r="Q71" i="189"/>
  <c r="R74" i="189"/>
  <c r="Q75" i="189"/>
  <c r="R76" i="189"/>
  <c r="Q80" i="189"/>
  <c r="Q81" i="189"/>
  <c r="P62" i="189"/>
  <c r="P69" i="189"/>
  <c r="S61" i="189"/>
  <c r="S62" i="189"/>
  <c r="O61" i="189"/>
  <c r="O63" i="189"/>
  <c r="P63" i="189"/>
  <c r="O66" i="189"/>
  <c r="O68" i="189"/>
  <c r="O69" i="189"/>
  <c r="O70" i="189"/>
  <c r="O73" i="189"/>
  <c r="O76" i="189"/>
  <c r="O77" i="189"/>
  <c r="O80" i="189"/>
  <c r="Q63" i="189"/>
  <c r="P65" i="189"/>
  <c r="P68" i="189"/>
  <c r="P75" i="189"/>
  <c r="P76" i="189"/>
  <c r="P77" i="189"/>
  <c r="P81" i="189"/>
  <c r="T61" i="189"/>
  <c r="S65" i="189"/>
  <c r="S66" i="189"/>
  <c r="S67" i="189"/>
  <c r="S70" i="189"/>
  <c r="S72" i="189"/>
  <c r="S73" i="189"/>
  <c r="S74" i="189"/>
  <c r="S75" i="189"/>
  <c r="S79" i="189"/>
  <c r="S80" i="189"/>
  <c r="S81" i="189"/>
  <c r="R61" i="189"/>
  <c r="N61" i="189"/>
  <c r="S63" i="189"/>
  <c r="P64" i="189"/>
  <c r="O65" i="189"/>
  <c r="S68" i="189"/>
  <c r="Q70" i="189"/>
  <c r="P71" i="189"/>
  <c r="O72" i="189"/>
  <c r="R73" i="189"/>
  <c r="U74" i="189"/>
  <c r="W74" i="189" s="1"/>
  <c r="T75" i="189"/>
  <c r="S76" i="189"/>
  <c r="P78" i="189"/>
  <c r="O79" i="189"/>
  <c r="U81" i="189"/>
  <c r="O64" i="189"/>
  <c r="Q69" i="189"/>
  <c r="P79" i="189"/>
  <c r="R81" i="189"/>
  <c r="O71" i="189"/>
  <c r="U62" i="189"/>
  <c r="R64" i="189"/>
  <c r="U67" i="189"/>
  <c r="W67" i="189" s="1"/>
  <c r="S69" i="189"/>
  <c r="U75" i="189"/>
  <c r="T76" i="189"/>
  <c r="R78" i="189"/>
  <c r="P61" i="189"/>
  <c r="Q65" i="189"/>
  <c r="P66" i="189"/>
  <c r="O67" i="189"/>
  <c r="R72" i="189"/>
  <c r="P73" i="189"/>
  <c r="O74" i="189"/>
  <c r="R75" i="189"/>
  <c r="U76" i="189"/>
  <c r="T77" i="189"/>
  <c r="Q79" i="189"/>
  <c r="P80" i="189"/>
  <c r="O81" i="189"/>
  <c r="P70" i="189"/>
  <c r="Q77" i="189"/>
  <c r="T63" i="189"/>
  <c r="R67" i="189"/>
  <c r="T68" i="189"/>
  <c r="S77" i="189"/>
  <c r="Q61" i="189"/>
  <c r="O62" i="189"/>
  <c r="R63" i="189"/>
  <c r="N63" i="189"/>
  <c r="S64" i="189"/>
  <c r="Q66" i="189"/>
  <c r="P67" i="189"/>
  <c r="U69" i="189"/>
  <c r="W69" i="189" s="1"/>
  <c r="T70" i="189"/>
  <c r="S71" i="189"/>
  <c r="Q73" i="189"/>
  <c r="P74" i="189"/>
  <c r="O75" i="189"/>
  <c r="U77" i="189"/>
  <c r="W77" i="189" s="1"/>
  <c r="S78" i="189"/>
  <c r="R69" i="189"/>
  <c r="R77" i="189"/>
  <c r="N77" i="189"/>
  <c r="O78" i="189"/>
  <c r="Q64" i="189"/>
  <c r="Q68" i="189"/>
  <c r="N65" i="189"/>
  <c r="R66" i="189"/>
  <c r="N67" i="189"/>
  <c r="N69" i="189"/>
  <c r="R70" i="189"/>
  <c r="N71" i="189"/>
  <c r="N73" i="189"/>
  <c r="N79" i="189"/>
  <c r="R80" i="189"/>
  <c r="Q72" i="189"/>
  <c r="Q74" i="189"/>
  <c r="Q76" i="189"/>
  <c r="N81" i="189"/>
  <c r="Q62" i="189"/>
  <c r="Q78" i="189"/>
  <c r="N75" i="189"/>
  <c r="K65" i="122"/>
  <c r="J65" i="122"/>
  <c r="I65" i="122"/>
  <c r="K64" i="122"/>
  <c r="J64" i="122"/>
  <c r="I64" i="122"/>
  <c r="K63" i="122"/>
  <c r="J63" i="122"/>
  <c r="I63" i="122"/>
  <c r="K62" i="122"/>
  <c r="J62" i="122"/>
  <c r="I62" i="122"/>
  <c r="K61" i="122"/>
  <c r="J61" i="122"/>
  <c r="I61" i="122"/>
  <c r="K60" i="122"/>
  <c r="J60" i="122"/>
  <c r="I60" i="122"/>
  <c r="K59" i="122"/>
  <c r="J59" i="122"/>
  <c r="I59" i="122"/>
  <c r="K58" i="122"/>
  <c r="J58" i="122"/>
  <c r="I58" i="122"/>
  <c r="K57" i="122"/>
  <c r="J57" i="122"/>
  <c r="I57" i="122"/>
  <c r="K56" i="122"/>
  <c r="J56" i="122"/>
  <c r="I56" i="122"/>
  <c r="K55" i="122"/>
  <c r="J55" i="122"/>
  <c r="I55" i="122"/>
  <c r="K54" i="122"/>
  <c r="J54" i="122"/>
  <c r="I54" i="122"/>
  <c r="K53" i="122"/>
  <c r="J53" i="122"/>
  <c r="I53" i="122"/>
  <c r="K52" i="122"/>
  <c r="J52" i="122"/>
  <c r="I52" i="122"/>
  <c r="K51" i="122"/>
  <c r="J51" i="122"/>
  <c r="I51" i="122"/>
  <c r="K50" i="122"/>
  <c r="J50" i="122"/>
  <c r="I50" i="122"/>
  <c r="K49" i="122"/>
  <c r="J49" i="122"/>
  <c r="I49" i="122"/>
  <c r="K48" i="122"/>
  <c r="J48" i="122"/>
  <c r="I48" i="122"/>
  <c r="K47" i="122"/>
  <c r="J47" i="122"/>
  <c r="I47" i="122"/>
  <c r="K46" i="122"/>
  <c r="J46" i="122"/>
  <c r="I46" i="122"/>
  <c r="K45" i="122"/>
  <c r="J45" i="122"/>
  <c r="I45" i="122"/>
  <c r="K44" i="122"/>
  <c r="J44" i="122"/>
  <c r="I44" i="122"/>
  <c r="K43" i="122"/>
  <c r="J43" i="122"/>
  <c r="I43" i="122"/>
  <c r="K42" i="122"/>
  <c r="J42" i="122"/>
  <c r="I42" i="122"/>
  <c r="K41" i="122"/>
  <c r="J41" i="122"/>
  <c r="I41" i="122"/>
  <c r="K40" i="122"/>
  <c r="J40" i="122"/>
  <c r="I40" i="122"/>
  <c r="K39" i="122"/>
  <c r="J39" i="122"/>
  <c r="I39" i="122"/>
  <c r="K38" i="122"/>
  <c r="J38" i="122"/>
  <c r="I38" i="122"/>
  <c r="K37" i="122"/>
  <c r="J37" i="122"/>
  <c r="I37" i="122"/>
  <c r="K36" i="122"/>
  <c r="J36" i="122"/>
  <c r="I36" i="122"/>
  <c r="K35" i="122"/>
  <c r="J35" i="122"/>
  <c r="I35" i="122"/>
  <c r="K34" i="122"/>
  <c r="J34" i="122"/>
  <c r="I34" i="122"/>
  <c r="K33" i="122"/>
  <c r="J33" i="122"/>
  <c r="I33" i="122"/>
  <c r="K32" i="122"/>
  <c r="J32" i="122"/>
  <c r="I32" i="122"/>
  <c r="K31" i="122"/>
  <c r="J31" i="122"/>
  <c r="I31" i="122"/>
  <c r="K30" i="122"/>
  <c r="J30" i="122"/>
  <c r="I30" i="122"/>
  <c r="K29" i="122"/>
  <c r="J29" i="122"/>
  <c r="I29" i="122"/>
  <c r="K28" i="122"/>
  <c r="J28" i="122"/>
  <c r="I28" i="122"/>
  <c r="K27" i="122"/>
  <c r="J27" i="122"/>
  <c r="I27" i="122"/>
  <c r="K26" i="122"/>
  <c r="J26" i="122"/>
  <c r="I26" i="122"/>
  <c r="K25" i="122"/>
  <c r="J25" i="122"/>
  <c r="I25" i="122"/>
  <c r="K24" i="122"/>
  <c r="J24" i="122"/>
  <c r="I24" i="122"/>
  <c r="K23" i="122"/>
  <c r="J23" i="122"/>
  <c r="I23" i="122"/>
  <c r="K22" i="122"/>
  <c r="J22" i="122"/>
  <c r="I22" i="122"/>
  <c r="K21" i="122"/>
  <c r="J21" i="122"/>
  <c r="I21" i="122"/>
  <c r="K20" i="122"/>
  <c r="J20" i="122"/>
  <c r="I20" i="122"/>
  <c r="K19" i="122"/>
  <c r="J19" i="122"/>
  <c r="I19" i="122"/>
  <c r="K18" i="122"/>
  <c r="J18" i="122"/>
  <c r="I18" i="122"/>
  <c r="K10" i="122"/>
  <c r="J10" i="122"/>
  <c r="I10" i="122"/>
  <c r="K16" i="122"/>
  <c r="J16" i="122"/>
  <c r="I16" i="122"/>
  <c r="K15" i="122"/>
  <c r="J15" i="122"/>
  <c r="I15" i="122"/>
  <c r="K13" i="122"/>
  <c r="J13" i="122"/>
  <c r="I13" i="122"/>
  <c r="K12" i="122"/>
  <c r="J12" i="122"/>
  <c r="I12" i="122"/>
  <c r="K11" i="122"/>
  <c r="J11" i="122"/>
  <c r="I11" i="122"/>
  <c r="N159" i="826"/>
  <c r="O159" i="826"/>
  <c r="P159" i="826"/>
  <c r="Q159" i="826"/>
  <c r="R159" i="826"/>
  <c r="M166" i="829"/>
  <c r="L166" i="829" s="1"/>
  <c r="L74" i="829" s="1"/>
  <c r="N166" i="829"/>
  <c r="M33" i="826"/>
  <c r="N33" i="826" s="1"/>
  <c r="O33" i="826" s="1"/>
  <c r="P33" i="826" s="1"/>
  <c r="Q33" i="826" s="1"/>
  <c r="R33" i="826" s="1"/>
  <c r="M34" i="826"/>
  <c r="N34" i="826" s="1"/>
  <c r="O34" i="826" s="1"/>
  <c r="P34" i="826" s="1"/>
  <c r="Q34" i="826" s="1"/>
  <c r="R34" i="826" s="1"/>
  <c r="M35" i="826"/>
  <c r="M36" i="826"/>
  <c r="M37" i="826"/>
  <c r="M38" i="826"/>
  <c r="M39" i="826"/>
  <c r="M40" i="826"/>
  <c r="M41" i="826"/>
  <c r="M42" i="826"/>
  <c r="M43" i="826"/>
  <c r="M32" i="826"/>
  <c r="M19" i="826"/>
  <c r="M20" i="826"/>
  <c r="M21" i="826"/>
  <c r="M22" i="826"/>
  <c r="M23" i="826"/>
  <c r="M24" i="826"/>
  <c r="M25" i="826"/>
  <c r="M26" i="826"/>
  <c r="M27" i="826"/>
  <c r="M28" i="826"/>
  <c r="M29" i="826"/>
  <c r="M18" i="826"/>
  <c r="N18" i="826" s="1"/>
  <c r="L165" i="829"/>
  <c r="L69" i="829" s="1"/>
  <c r="M145" i="829"/>
  <c r="L145" i="829" s="1"/>
  <c r="L73" i="829" s="1"/>
  <c r="N145" i="829"/>
  <c r="L144" i="829"/>
  <c r="L68" i="829" s="1"/>
  <c r="M124" i="829"/>
  <c r="L124" i="829" s="1"/>
  <c r="L72" i="829" s="1"/>
  <c r="N124" i="829"/>
  <c r="L123" i="829"/>
  <c r="L67" i="829" s="1"/>
  <c r="L102" i="829"/>
  <c r="L66" i="829" s="1"/>
  <c r="V81" i="189" l="1"/>
  <c r="V76" i="189"/>
  <c r="V62" i="189"/>
  <c r="V68" i="189"/>
  <c r="V67" i="189"/>
  <c r="V71" i="189"/>
  <c r="V63" i="189"/>
  <c r="V66" i="189"/>
  <c r="V79" i="189"/>
  <c r="W81" i="189"/>
  <c r="V70" i="189"/>
  <c r="V80" i="189"/>
  <c r="V78" i="189"/>
  <c r="V65" i="189"/>
  <c r="V64" i="189"/>
  <c r="V73" i="189"/>
  <c r="V72" i="189"/>
  <c r="V61" i="189"/>
  <c r="W62" i="189"/>
  <c r="V75" i="189"/>
  <c r="W76" i="189"/>
  <c r="W75" i="189"/>
  <c r="V74" i="189"/>
  <c r="V69" i="189"/>
  <c r="V77" i="189"/>
  <c r="T124" i="826"/>
  <c r="T125" i="826"/>
  <c r="T117" i="826"/>
  <c r="T61" i="840"/>
  <c r="T163" i="826"/>
  <c r="T60" i="840"/>
  <c r="T126" i="826"/>
  <c r="T118" i="826"/>
  <c r="T119" i="826"/>
  <c r="L33" i="826"/>
  <c r="T161" i="826"/>
  <c r="T127" i="826"/>
  <c r="T165" i="826"/>
  <c r="L146" i="826"/>
  <c r="T56" i="840" s="1"/>
  <c r="T33" i="826"/>
  <c r="T34" i="826"/>
  <c r="T128" i="826"/>
  <c r="T159" i="826"/>
  <c r="T121" i="826"/>
  <c r="T162" i="826"/>
  <c r="T167" i="826"/>
  <c r="T120" i="826"/>
  <c r="T122" i="826"/>
  <c r="L34" i="826"/>
  <c r="T123" i="826"/>
  <c r="T160" i="826"/>
  <c r="N22" i="826"/>
  <c r="O22" i="826" s="1"/>
  <c r="P22" i="826" s="1"/>
  <c r="Q22" i="826" s="1"/>
  <c r="R22" i="826" s="1"/>
  <c r="L22" i="826"/>
  <c r="N29" i="826"/>
  <c r="O29" i="826" s="1"/>
  <c r="P29" i="826" s="1"/>
  <c r="Q29" i="826" s="1"/>
  <c r="R29" i="826" s="1"/>
  <c r="L29" i="826"/>
  <c r="N21" i="826"/>
  <c r="O21" i="826" s="1"/>
  <c r="P21" i="826" s="1"/>
  <c r="Q21" i="826" s="1"/>
  <c r="R21" i="826" s="1"/>
  <c r="L21" i="826"/>
  <c r="N39" i="826"/>
  <c r="O39" i="826" s="1"/>
  <c r="P39" i="826" s="1"/>
  <c r="Q39" i="826" s="1"/>
  <c r="R39" i="826" s="1"/>
  <c r="L39" i="826"/>
  <c r="N28" i="826"/>
  <c r="O28" i="826" s="1"/>
  <c r="P28" i="826" s="1"/>
  <c r="Q28" i="826" s="1"/>
  <c r="R28" i="826" s="1"/>
  <c r="L28" i="826"/>
  <c r="N20" i="826"/>
  <c r="O20" i="826" s="1"/>
  <c r="P20" i="826" s="1"/>
  <c r="Q20" i="826" s="1"/>
  <c r="R20" i="826" s="1"/>
  <c r="L20" i="826"/>
  <c r="N38" i="826"/>
  <c r="O38" i="826" s="1"/>
  <c r="P38" i="826" s="1"/>
  <c r="Q38" i="826" s="1"/>
  <c r="R38" i="826" s="1"/>
  <c r="L38" i="826"/>
  <c r="T62" i="840"/>
  <c r="N27" i="826"/>
  <c r="O27" i="826" s="1"/>
  <c r="P27" i="826" s="1"/>
  <c r="Q27" i="826" s="1"/>
  <c r="R27" i="826" s="1"/>
  <c r="L27" i="826"/>
  <c r="N26" i="826"/>
  <c r="O26" i="826" s="1"/>
  <c r="P26" i="826" s="1"/>
  <c r="Q26" i="826" s="1"/>
  <c r="R26" i="826" s="1"/>
  <c r="L26" i="826"/>
  <c r="N19" i="826"/>
  <c r="O19" i="826" s="1"/>
  <c r="P19" i="826" s="1"/>
  <c r="Q19" i="826" s="1"/>
  <c r="R19" i="826" s="1"/>
  <c r="L19" i="826"/>
  <c r="N37" i="826"/>
  <c r="O37" i="826" s="1"/>
  <c r="P37" i="826" s="1"/>
  <c r="Q37" i="826" s="1"/>
  <c r="R37" i="826" s="1"/>
  <c r="L37" i="826"/>
  <c r="N32" i="826"/>
  <c r="O32" i="826" s="1"/>
  <c r="P32" i="826" s="1"/>
  <c r="Q32" i="826" s="1"/>
  <c r="R32" i="826" s="1"/>
  <c r="L32" i="826"/>
  <c r="N36" i="826"/>
  <c r="O36" i="826" s="1"/>
  <c r="P36" i="826" s="1"/>
  <c r="Q36" i="826" s="1"/>
  <c r="R36" i="826" s="1"/>
  <c r="L36" i="826"/>
  <c r="N25" i="826"/>
  <c r="O25" i="826" s="1"/>
  <c r="P25" i="826" s="1"/>
  <c r="Q25" i="826" s="1"/>
  <c r="R25" i="826" s="1"/>
  <c r="L25" i="826"/>
  <c r="N43" i="826"/>
  <c r="L43" i="826"/>
  <c r="N35" i="826"/>
  <c r="O35" i="826" s="1"/>
  <c r="P35" i="826" s="1"/>
  <c r="Q35" i="826" s="1"/>
  <c r="R35" i="826" s="1"/>
  <c r="L35" i="826"/>
  <c r="T59" i="840"/>
  <c r="N24" i="826"/>
  <c r="O24" i="826" s="1"/>
  <c r="P24" i="826" s="1"/>
  <c r="Q24" i="826" s="1"/>
  <c r="R24" i="826" s="1"/>
  <c r="L24" i="826"/>
  <c r="N42" i="826"/>
  <c r="L42" i="826"/>
  <c r="T58" i="840"/>
  <c r="N23" i="826"/>
  <c r="O23" i="826" s="1"/>
  <c r="P23" i="826" s="1"/>
  <c r="Q23" i="826" s="1"/>
  <c r="R23" i="826" s="1"/>
  <c r="L23" i="826"/>
  <c r="N41" i="826"/>
  <c r="L41" i="826"/>
  <c r="T57" i="840"/>
  <c r="O18" i="826"/>
  <c r="P18" i="826" s="1"/>
  <c r="Q18" i="826" s="1"/>
  <c r="R18" i="826" s="1"/>
  <c r="L18" i="826"/>
  <c r="N40" i="826"/>
  <c r="L40" i="826"/>
  <c r="M103" i="829"/>
  <c r="L103" i="829" s="1"/>
  <c r="L71" i="829" s="1"/>
  <c r="N103" i="829"/>
  <c r="C24" i="847"/>
  <c r="E34" i="847"/>
  <c r="E35" i="847"/>
  <c r="E46" i="847"/>
  <c r="E189" i="847" s="1"/>
  <c r="R103" i="829"/>
  <c r="C64" i="844" l="1"/>
  <c r="C51" i="844"/>
  <c r="C43" i="844"/>
  <c r="C34" i="844"/>
  <c r="K38" i="834"/>
  <c r="K35" i="834"/>
  <c r="C56" i="844"/>
  <c r="C38" i="844"/>
  <c r="K36" i="834"/>
  <c r="C59" i="844"/>
  <c r="K37" i="834"/>
  <c r="C63" i="844"/>
  <c r="C48" i="844"/>
  <c r="C41" i="844"/>
  <c r="C33" i="844"/>
  <c r="B18" i="844"/>
  <c r="C47" i="844"/>
  <c r="C32" i="844"/>
  <c r="C55" i="844"/>
  <c r="C44" i="844"/>
  <c r="C37" i="844"/>
  <c r="C31" i="844"/>
  <c r="E192" i="847"/>
  <c r="E193" i="847"/>
  <c r="E191" i="847"/>
  <c r="H176" i="829"/>
  <c r="H166" i="829"/>
  <c r="E148" i="856"/>
  <c r="H154" i="829"/>
  <c r="H130" i="829"/>
  <c r="H175" i="829"/>
  <c r="H165" i="829"/>
  <c r="H152" i="829"/>
  <c r="H137" i="829"/>
  <c r="H129" i="829"/>
  <c r="H114" i="829"/>
  <c r="H104" i="829"/>
  <c r="H174" i="829"/>
  <c r="H159" i="829"/>
  <c r="H151" i="829"/>
  <c r="H136" i="829"/>
  <c r="H128" i="829"/>
  <c r="H113" i="829"/>
  <c r="H103" i="829"/>
  <c r="H155" i="829"/>
  <c r="H117" i="829"/>
  <c r="H177" i="829"/>
  <c r="H167" i="829"/>
  <c r="H144" i="829"/>
  <c r="H131" i="829"/>
  <c r="H116" i="829"/>
  <c r="H108" i="829"/>
  <c r="H138" i="829"/>
  <c r="H107" i="829"/>
  <c r="H153" i="829"/>
  <c r="H173" i="829"/>
  <c r="H158" i="829"/>
  <c r="H150" i="829"/>
  <c r="H135" i="829"/>
  <c r="H125" i="829"/>
  <c r="H112" i="829"/>
  <c r="H102" i="829"/>
  <c r="H180" i="829"/>
  <c r="H172" i="829"/>
  <c r="H157" i="829"/>
  <c r="H149" i="829"/>
  <c r="H134" i="829"/>
  <c r="H124" i="829"/>
  <c r="H111" i="829"/>
  <c r="H179" i="829"/>
  <c r="H171" i="829"/>
  <c r="H156" i="829"/>
  <c r="H146" i="829"/>
  <c r="H133" i="829"/>
  <c r="H123" i="829"/>
  <c r="H110" i="829"/>
  <c r="H178" i="829"/>
  <c r="H170" i="829"/>
  <c r="H145" i="829"/>
  <c r="H132" i="829"/>
  <c r="H109" i="829"/>
  <c r="H115" i="829"/>
  <c r="U8" i="840"/>
  <c r="G68" i="853"/>
  <c r="G48" i="853"/>
  <c r="G27" i="853"/>
  <c r="U12" i="840"/>
  <c r="G72" i="853"/>
  <c r="U9" i="840"/>
  <c r="G71" i="853"/>
  <c r="G52" i="853"/>
  <c r="G69" i="853"/>
  <c r="G67" i="853"/>
  <c r="G45" i="853"/>
  <c r="G28" i="853"/>
  <c r="G62" i="853"/>
  <c r="G53" i="853"/>
  <c r="G60" i="853"/>
  <c r="G49" i="853"/>
  <c r="G26" i="853"/>
  <c r="U11" i="840"/>
  <c r="G64" i="853"/>
  <c r="G44" i="853"/>
  <c r="G25" i="853"/>
  <c r="G54" i="853"/>
  <c r="G61" i="853"/>
  <c r="G51" i="853"/>
  <c r="G37" i="853"/>
  <c r="U10" i="840"/>
  <c r="G74" i="853"/>
  <c r="G63" i="853"/>
  <c r="G41" i="853"/>
  <c r="G40" i="853"/>
  <c r="G39" i="853"/>
  <c r="G70" i="853"/>
  <c r="G38" i="853"/>
  <c r="O41" i="826"/>
  <c r="O40" i="826"/>
  <c r="O43" i="826"/>
  <c r="O42" i="826"/>
  <c r="E185" i="847"/>
  <c r="E183" i="847"/>
  <c r="E186" i="847"/>
  <c r="E188" i="847"/>
  <c r="E190" i="847"/>
  <c r="L195" i="847" s="1"/>
  <c r="E182" i="847"/>
  <c r="E184" i="847"/>
  <c r="E159" i="847"/>
  <c r="E136" i="847"/>
  <c r="E153" i="847"/>
  <c r="E135" i="847"/>
  <c r="E147" i="847"/>
  <c r="E144" i="847"/>
  <c r="E130" i="847"/>
  <c r="E143" i="847"/>
  <c r="E131" i="847"/>
  <c r="E142" i="847"/>
  <c r="E132" i="847"/>
  <c r="E141" i="847"/>
  <c r="E129" i="847"/>
  <c r="E137" i="847"/>
  <c r="E138" i="847"/>
  <c r="C177" i="826"/>
  <c r="T103" i="829"/>
  <c r="T36" i="826"/>
  <c r="T28" i="826"/>
  <c r="T35" i="826"/>
  <c r="T26" i="826"/>
  <c r="T23" i="826"/>
  <c r="T27" i="826"/>
  <c r="T25" i="826"/>
  <c r="T19" i="826"/>
  <c r="T22" i="826"/>
  <c r="T32" i="826"/>
  <c r="T39" i="826"/>
  <c r="T37" i="826"/>
  <c r="T61" i="826"/>
  <c r="T18" i="826"/>
  <c r="T38" i="826"/>
  <c r="T21" i="826"/>
  <c r="T24" i="826"/>
  <c r="T20" i="826"/>
  <c r="T29" i="826"/>
  <c r="E32" i="847"/>
  <c r="M18" i="834" s="1"/>
  <c r="N18" i="834" s="1"/>
  <c r="O18" i="834" s="1"/>
  <c r="P18" i="834" s="1"/>
  <c r="Q18" i="834" s="1"/>
  <c r="O166" i="829"/>
  <c r="O145" i="829"/>
  <c r="Q103" i="829"/>
  <c r="P103" i="829"/>
  <c r="O103" i="829"/>
  <c r="O124" i="829"/>
  <c r="M58" i="826"/>
  <c r="D53" i="844"/>
  <c r="E53" i="844" s="1"/>
  <c r="F53" i="844" s="1"/>
  <c r="F61" i="844" s="1"/>
  <c r="D27" i="844"/>
  <c r="E27" i="844" s="1"/>
  <c r="F27" i="844" s="1"/>
  <c r="D26" i="844"/>
  <c r="L36" i="834"/>
  <c r="M36" i="834" s="1"/>
  <c r="M37" i="834"/>
  <c r="B63" i="844"/>
  <c r="B55" i="844"/>
  <c r="B2" i="844"/>
  <c r="G4" i="844"/>
  <c r="C30" i="825"/>
  <c r="C31" i="825"/>
  <c r="C32" i="825"/>
  <c r="C33" i="825"/>
  <c r="C34" i="825"/>
  <c r="C29" i="825"/>
  <c r="U24" i="2"/>
  <c r="U25" i="2"/>
  <c r="U39" i="2"/>
  <c r="U41" i="2"/>
  <c r="U42" i="2"/>
  <c r="U53" i="2"/>
  <c r="U55" i="2"/>
  <c r="U58" i="2"/>
  <c r="U61" i="2"/>
  <c r="U30" i="826"/>
  <c r="U31" i="826"/>
  <c r="U44" i="826"/>
  <c r="U45" i="826"/>
  <c r="U52" i="826"/>
  <c r="U53" i="826"/>
  <c r="U60" i="826"/>
  <c r="U61" i="826"/>
  <c r="U68" i="826"/>
  <c r="U70" i="826"/>
  <c r="U71" i="826"/>
  <c r="U76" i="826"/>
  <c r="U94" i="826"/>
  <c r="U100" i="826"/>
  <c r="U101" i="826"/>
  <c r="U107" i="826"/>
  <c r="U108" i="826"/>
  <c r="U115" i="826"/>
  <c r="U116" i="826"/>
  <c r="U129" i="826"/>
  <c r="U130" i="826"/>
  <c r="U143" i="826"/>
  <c r="U156" i="826"/>
  <c r="U169" i="826"/>
  <c r="S85" i="840"/>
  <c r="T85" i="840"/>
  <c r="S107" i="840"/>
  <c r="T107" i="840"/>
  <c r="L18" i="834" l="1"/>
  <c r="U55" i="826"/>
  <c r="U57" i="826"/>
  <c r="U56" i="826"/>
  <c r="U54" i="826"/>
  <c r="P42" i="826"/>
  <c r="P43" i="826"/>
  <c r="P40" i="826"/>
  <c r="P41" i="826"/>
  <c r="D109" i="829" a="1"/>
  <c r="D113" i="829" s="1"/>
  <c r="E26" i="844"/>
  <c r="E39" i="847"/>
  <c r="E40" i="847"/>
  <c r="P166" i="829"/>
  <c r="S101" i="840"/>
  <c r="P145" i="829"/>
  <c r="U64" i="826"/>
  <c r="P124" i="829"/>
  <c r="L58" i="826"/>
  <c r="U65" i="826"/>
  <c r="M66" i="826"/>
  <c r="U63" i="826"/>
  <c r="L66" i="826"/>
  <c r="U62" i="826"/>
  <c r="E61" i="844"/>
  <c r="D61" i="844"/>
  <c r="M59" i="826" l="1"/>
  <c r="Q41" i="826"/>
  <c r="Q40" i="826"/>
  <c r="Q43" i="826"/>
  <c r="Q42" i="826"/>
  <c r="D111" i="829"/>
  <c r="D112" i="829"/>
  <c r="D109" i="829"/>
  <c r="M109" i="829" s="1"/>
  <c r="D110" i="829"/>
  <c r="N110" i="829" s="1"/>
  <c r="D114" i="829"/>
  <c r="F26" i="844"/>
  <c r="Q166" i="829"/>
  <c r="Q145" i="829"/>
  <c r="Q124" i="829"/>
  <c r="U58" i="826"/>
  <c r="M67" i="826"/>
  <c r="U66" i="826"/>
  <c r="O25" i="840"/>
  <c r="Q25" i="840"/>
  <c r="Q24" i="840"/>
  <c r="Q21" i="840"/>
  <c r="M71" i="829"/>
  <c r="M72" i="829"/>
  <c r="M73" i="829"/>
  <c r="M74" i="829"/>
  <c r="L104" i="829"/>
  <c r="M102" i="829" s="1"/>
  <c r="L125" i="829"/>
  <c r="M123" i="829" s="1"/>
  <c r="L146" i="829"/>
  <c r="L167" i="829"/>
  <c r="M165" i="829" s="1"/>
  <c r="L16" i="122"/>
  <c r="L29" i="122"/>
  <c r="L43" i="122"/>
  <c r="L51" i="122"/>
  <c r="L63" i="122"/>
  <c r="K15" i="2"/>
  <c r="V15" i="2" s="1"/>
  <c r="L15" i="2"/>
  <c r="K16" i="2"/>
  <c r="V16" i="2" s="1"/>
  <c r="L16" i="2"/>
  <c r="K17" i="2"/>
  <c r="V17" i="2" s="1"/>
  <c r="L17" i="2"/>
  <c r="K18" i="2"/>
  <c r="V18" i="2" s="1"/>
  <c r="L18" i="2"/>
  <c r="K19" i="2"/>
  <c r="V19" i="2" s="1"/>
  <c r="L19" i="2"/>
  <c r="K20" i="2"/>
  <c r="V20" i="2" s="1"/>
  <c r="L20" i="2"/>
  <c r="K21" i="2"/>
  <c r="V21" i="2" s="1"/>
  <c r="L21" i="2"/>
  <c r="K22" i="2"/>
  <c r="V22" i="2" s="1"/>
  <c r="L22" i="2"/>
  <c r="V30" i="2"/>
  <c r="V31" i="2"/>
  <c r="V32" i="2"/>
  <c r="V33" i="2"/>
  <c r="V34" i="2"/>
  <c r="V35" i="2"/>
  <c r="V36" i="2"/>
  <c r="V37" i="2"/>
  <c r="K43" i="2"/>
  <c r="V44" i="2"/>
  <c r="V45" i="2"/>
  <c r="V46" i="2"/>
  <c r="V47" i="2"/>
  <c r="V50" i="2"/>
  <c r="V51" i="2"/>
  <c r="K46" i="826"/>
  <c r="L46" i="826" s="1"/>
  <c r="K47" i="826"/>
  <c r="L47" i="826" s="1"/>
  <c r="K48" i="826"/>
  <c r="L48" i="826" s="1"/>
  <c r="K49" i="826"/>
  <c r="L49" i="826" s="1"/>
  <c r="K106" i="826"/>
  <c r="K113" i="826"/>
  <c r="K155" i="826"/>
  <c r="K174" i="826"/>
  <c r="K12" i="826"/>
  <c r="K8" i="826" s="1"/>
  <c r="K8" i="863" s="1"/>
  <c r="L8" i="826"/>
  <c r="L8" i="863" s="1"/>
  <c r="Q16" i="840"/>
  <c r="Q15" i="840"/>
  <c r="Q14" i="840"/>
  <c r="Q107" i="840"/>
  <c r="U107" i="840"/>
  <c r="R107" i="840"/>
  <c r="Q85" i="840"/>
  <c r="U85" i="840"/>
  <c r="K13" i="829" l="1"/>
  <c r="V43" i="2"/>
  <c r="U59" i="826"/>
  <c r="K8" i="835"/>
  <c r="K9" i="853"/>
  <c r="K177" i="826"/>
  <c r="K171" i="826"/>
  <c r="L8" i="835"/>
  <c r="L171" i="826"/>
  <c r="L177" i="826"/>
  <c r="U67" i="826"/>
  <c r="R42" i="826"/>
  <c r="R43" i="826"/>
  <c r="R40" i="826"/>
  <c r="R41" i="826"/>
  <c r="L8" i="122"/>
  <c r="K8" i="847"/>
  <c r="K15" i="826"/>
  <c r="K38" i="829" s="1"/>
  <c r="J8" i="847"/>
  <c r="L31" i="122"/>
  <c r="L53" i="122"/>
  <c r="L65" i="122" s="1"/>
  <c r="R166" i="829"/>
  <c r="R145" i="829"/>
  <c r="R124" i="829"/>
  <c r="T124" i="829" s="1"/>
  <c r="M144" i="829"/>
  <c r="M68" i="829" s="1"/>
  <c r="V136" i="826"/>
  <c r="V155" i="826"/>
  <c r="V135" i="826"/>
  <c r="V142" i="826"/>
  <c r="V134" i="826"/>
  <c r="V141" i="826"/>
  <c r="V133" i="826"/>
  <c r="V140" i="826"/>
  <c r="V132" i="826"/>
  <c r="V139" i="826"/>
  <c r="V131" i="826"/>
  <c r="V138" i="826"/>
  <c r="V19" i="826"/>
  <c r="V27" i="826"/>
  <c r="V35" i="826"/>
  <c r="V43" i="826"/>
  <c r="V57" i="826"/>
  <c r="V65" i="826"/>
  <c r="V74" i="826"/>
  <c r="V104" i="826"/>
  <c r="V115" i="826"/>
  <c r="V123" i="826"/>
  <c r="V143" i="826"/>
  <c r="V156" i="826"/>
  <c r="V30" i="826"/>
  <c r="V52" i="826"/>
  <c r="V68" i="826"/>
  <c r="V108" i="826"/>
  <c r="V126" i="826"/>
  <c r="V41" i="826"/>
  <c r="V121" i="826"/>
  <c r="V112" i="826"/>
  <c r="V20" i="826"/>
  <c r="V28" i="826"/>
  <c r="V36" i="826"/>
  <c r="V44" i="826"/>
  <c r="V58" i="826"/>
  <c r="V66" i="826"/>
  <c r="V75" i="826"/>
  <c r="V105" i="826"/>
  <c r="V116" i="826"/>
  <c r="V124" i="826"/>
  <c r="V146" i="826"/>
  <c r="V169" i="826"/>
  <c r="V148" i="826"/>
  <c r="V63" i="826"/>
  <c r="V129" i="826"/>
  <c r="V42" i="826"/>
  <c r="V21" i="826"/>
  <c r="V29" i="826"/>
  <c r="V37" i="826"/>
  <c r="V45" i="826"/>
  <c r="V59" i="826"/>
  <c r="V67" i="826"/>
  <c r="V76" i="826"/>
  <c r="V107" i="826"/>
  <c r="V117" i="826"/>
  <c r="V125" i="826"/>
  <c r="V147" i="826"/>
  <c r="V172" i="826"/>
  <c r="V22" i="826"/>
  <c r="V38" i="826"/>
  <c r="V60" i="826"/>
  <c r="V94" i="826"/>
  <c r="V118" i="826"/>
  <c r="V173" i="826"/>
  <c r="V25" i="826"/>
  <c r="V102" i="826"/>
  <c r="V153" i="826"/>
  <c r="V26" i="826"/>
  <c r="V64" i="826"/>
  <c r="V103" i="826"/>
  <c r="V154" i="826"/>
  <c r="V23" i="826"/>
  <c r="V31" i="826"/>
  <c r="V39" i="826"/>
  <c r="V53" i="826"/>
  <c r="V61" i="826"/>
  <c r="V70" i="826"/>
  <c r="V100" i="826"/>
  <c r="V109" i="826"/>
  <c r="V119" i="826"/>
  <c r="V127" i="826"/>
  <c r="V149" i="826"/>
  <c r="V18" i="826"/>
  <c r="V33" i="826"/>
  <c r="V55" i="826"/>
  <c r="V111" i="826"/>
  <c r="V56" i="826"/>
  <c r="V122" i="826"/>
  <c r="V24" i="826"/>
  <c r="V32" i="826"/>
  <c r="V40" i="826"/>
  <c r="V54" i="826"/>
  <c r="V62" i="826"/>
  <c r="V71" i="826"/>
  <c r="V101" i="826"/>
  <c r="V110" i="826"/>
  <c r="V120" i="826"/>
  <c r="V128" i="826"/>
  <c r="V150" i="826"/>
  <c r="V72" i="826"/>
  <c r="V34" i="826"/>
  <c r="V73" i="826"/>
  <c r="V130" i="826"/>
  <c r="V137" i="826"/>
  <c r="K95" i="826"/>
  <c r="V46" i="826"/>
  <c r="V113" i="826"/>
  <c r="V106" i="826"/>
  <c r="K59" i="2"/>
  <c r="V59" i="2" s="1"/>
  <c r="V174" i="826"/>
  <c r="K98" i="826"/>
  <c r="V49" i="826"/>
  <c r="K97" i="826"/>
  <c r="K28" i="2" s="1"/>
  <c r="V48" i="826"/>
  <c r="K96" i="826"/>
  <c r="K27" i="2" s="1"/>
  <c r="V47" i="826"/>
  <c r="K13" i="2"/>
  <c r="V13" i="2" s="1"/>
  <c r="K8" i="2"/>
  <c r="L158" i="826"/>
  <c r="L8" i="2"/>
  <c r="F5" i="855" s="1"/>
  <c r="M5" i="855" s="1"/>
  <c r="K158" i="826"/>
  <c r="L145" i="826"/>
  <c r="K52" i="2"/>
  <c r="V52" i="2" s="1"/>
  <c r="K145" i="826"/>
  <c r="L93" i="826"/>
  <c r="K93" i="826"/>
  <c r="L15" i="826"/>
  <c r="K14" i="2"/>
  <c r="V14" i="2" s="1"/>
  <c r="L8" i="829"/>
  <c r="L56" i="829" s="1"/>
  <c r="K12" i="2"/>
  <c r="V12" i="2" s="1"/>
  <c r="K8" i="829"/>
  <c r="K56" i="829" s="1"/>
  <c r="K8" i="122"/>
  <c r="K11" i="2"/>
  <c r="V11" i="2" s="1"/>
  <c r="L75" i="829"/>
  <c r="L60" i="829" s="1"/>
  <c r="M69" i="829"/>
  <c r="M167" i="829"/>
  <c r="N165" i="829" s="1"/>
  <c r="L171" i="829" s="1"/>
  <c r="L178" i="829" s="1"/>
  <c r="M66" i="829"/>
  <c r="M104" i="829"/>
  <c r="N102" i="829" s="1"/>
  <c r="M108" i="829" s="1"/>
  <c r="M67" i="829"/>
  <c r="M125" i="829"/>
  <c r="N123" i="829" s="1"/>
  <c r="L129" i="829" s="1"/>
  <c r="L136" i="829" s="1"/>
  <c r="L61" i="829"/>
  <c r="L14" i="834" s="1"/>
  <c r="M61" i="829"/>
  <c r="K50" i="826"/>
  <c r="R101" i="840"/>
  <c r="Q101" i="840"/>
  <c r="D41" i="92"/>
  <c r="E41" i="92"/>
  <c r="D42" i="92"/>
  <c r="E42" i="92"/>
  <c r="D43" i="92"/>
  <c r="E43" i="92"/>
  <c r="D44" i="92"/>
  <c r="E44" i="92"/>
  <c r="D45" i="92"/>
  <c r="E45" i="92"/>
  <c r="D46" i="92"/>
  <c r="E46" i="92"/>
  <c r="D47" i="92"/>
  <c r="E47" i="92"/>
  <c r="D48" i="92"/>
  <c r="E48" i="92"/>
  <c r="D49" i="92"/>
  <c r="E49" i="92"/>
  <c r="D50" i="92"/>
  <c r="E50" i="92"/>
  <c r="D51" i="92"/>
  <c r="E51" i="92"/>
  <c r="D52" i="92"/>
  <c r="E52" i="92"/>
  <c r="D53" i="92"/>
  <c r="E53" i="92"/>
  <c r="D54" i="92"/>
  <c r="E54" i="92"/>
  <c r="D55" i="92"/>
  <c r="E55" i="92"/>
  <c r="D56" i="92"/>
  <c r="E56" i="92"/>
  <c r="D57" i="92"/>
  <c r="E57" i="92"/>
  <c r="C91" i="827"/>
  <c r="C92" i="827" s="1"/>
  <c r="C93" i="827" s="1"/>
  <c r="C94" i="827" s="1"/>
  <c r="C95" i="827" s="1"/>
  <c r="C96" i="827" s="1"/>
  <c r="C97" i="827" s="1"/>
  <c r="C98" i="827" s="1"/>
  <c r="C99" i="827" s="1"/>
  <c r="C100" i="827" s="1"/>
  <c r="C101" i="827" s="1"/>
  <c r="C102" i="827" s="1"/>
  <c r="C103" i="827" s="1"/>
  <c r="C104" i="827" s="1"/>
  <c r="C105" i="827" s="1"/>
  <c r="C106" i="827" s="1"/>
  <c r="C107" i="827" s="1"/>
  <c r="C108" i="827" s="1"/>
  <c r="C109" i="827" s="1"/>
  <c r="C110" i="827" s="1"/>
  <c r="C111" i="827" s="1"/>
  <c r="C112" i="827" s="1"/>
  <c r="C113" i="827" s="1"/>
  <c r="C114" i="827" s="1"/>
  <c r="C115" i="827" s="1"/>
  <c r="C116" i="827" s="1"/>
  <c r="C117" i="827" s="1"/>
  <c r="C118" i="827" s="1"/>
  <c r="C119" i="827" s="1"/>
  <c r="N5" i="437"/>
  <c r="O5" i="437"/>
  <c r="P5" i="437"/>
  <c r="Q5" i="437"/>
  <c r="R5" i="437"/>
  <c r="S5" i="437"/>
  <c r="T5" i="437"/>
  <c r="N6" i="437"/>
  <c r="O6" i="437"/>
  <c r="P6" i="437"/>
  <c r="Q6" i="437"/>
  <c r="R6" i="437"/>
  <c r="S6" i="437"/>
  <c r="T6" i="437"/>
  <c r="N7" i="437"/>
  <c r="O7" i="437"/>
  <c r="P7" i="437"/>
  <c r="Q7" i="437"/>
  <c r="R7" i="437"/>
  <c r="S7" i="437"/>
  <c r="T7" i="437"/>
  <c r="N8" i="437"/>
  <c r="O8" i="437"/>
  <c r="P8" i="437"/>
  <c r="Q8" i="437"/>
  <c r="R8" i="437"/>
  <c r="S8" i="437"/>
  <c r="T8" i="437"/>
  <c r="N9" i="437"/>
  <c r="O9" i="437"/>
  <c r="P9" i="437"/>
  <c r="Q9" i="437"/>
  <c r="R9" i="437"/>
  <c r="S9" i="437"/>
  <c r="T9" i="437"/>
  <c r="N10" i="437"/>
  <c r="O10" i="437"/>
  <c r="P10" i="437"/>
  <c r="Q10" i="437"/>
  <c r="R10" i="437"/>
  <c r="S10" i="437"/>
  <c r="T10" i="437"/>
  <c r="N11" i="437"/>
  <c r="O11" i="437"/>
  <c r="P11" i="437"/>
  <c r="Q11" i="437"/>
  <c r="R11" i="437"/>
  <c r="S11" i="437"/>
  <c r="T11" i="437"/>
  <c r="N12" i="437"/>
  <c r="O12" i="437"/>
  <c r="P12" i="437"/>
  <c r="Q12" i="437"/>
  <c r="R12" i="437"/>
  <c r="S12" i="437"/>
  <c r="T12" i="437"/>
  <c r="N13" i="437"/>
  <c r="O13" i="437"/>
  <c r="P13" i="437"/>
  <c r="Q13" i="437"/>
  <c r="R13" i="437"/>
  <c r="S13" i="437"/>
  <c r="T13" i="437"/>
  <c r="N14" i="437"/>
  <c r="O14" i="437"/>
  <c r="P14" i="437"/>
  <c r="Q14" i="437"/>
  <c r="R14" i="437"/>
  <c r="S14" i="437"/>
  <c r="T14" i="437"/>
  <c r="N15" i="437"/>
  <c r="O15" i="437"/>
  <c r="P15" i="437"/>
  <c r="Q15" i="437"/>
  <c r="R15" i="437"/>
  <c r="S15" i="437"/>
  <c r="T15" i="437"/>
  <c r="N16" i="437"/>
  <c r="O16" i="437"/>
  <c r="P16" i="437"/>
  <c r="Q16" i="437"/>
  <c r="R16" i="437"/>
  <c r="S16" i="437"/>
  <c r="T16" i="437"/>
  <c r="N17" i="437"/>
  <c r="O17" i="437"/>
  <c r="P17" i="437"/>
  <c r="Q17" i="437"/>
  <c r="R17" i="437"/>
  <c r="S17" i="437"/>
  <c r="T17" i="437"/>
  <c r="N18" i="437"/>
  <c r="O18" i="437"/>
  <c r="P18" i="437"/>
  <c r="Q18" i="437"/>
  <c r="R18" i="437"/>
  <c r="S18" i="437"/>
  <c r="T18" i="437"/>
  <c r="N19" i="437"/>
  <c r="O19" i="437"/>
  <c r="P19" i="437"/>
  <c r="Q19" i="437"/>
  <c r="R19" i="437"/>
  <c r="S19" i="437"/>
  <c r="T19" i="437"/>
  <c r="N20" i="437"/>
  <c r="O20" i="437"/>
  <c r="P20" i="437"/>
  <c r="Q20" i="437"/>
  <c r="R20" i="437"/>
  <c r="S20" i="437"/>
  <c r="T20" i="437"/>
  <c r="N21" i="437"/>
  <c r="O21" i="437"/>
  <c r="P21" i="437"/>
  <c r="Q21" i="437"/>
  <c r="R21" i="437"/>
  <c r="S21" i="437"/>
  <c r="T21" i="437"/>
  <c r="N22" i="437"/>
  <c r="O22" i="437"/>
  <c r="P22" i="437"/>
  <c r="Q22" i="437"/>
  <c r="R22" i="437"/>
  <c r="S22" i="437"/>
  <c r="T22" i="437"/>
  <c r="N23" i="437"/>
  <c r="O23" i="437"/>
  <c r="P23" i="437"/>
  <c r="Q23" i="437"/>
  <c r="R23" i="437"/>
  <c r="S23" i="437"/>
  <c r="T23" i="437"/>
  <c r="N24" i="437"/>
  <c r="O24" i="437"/>
  <c r="P24" i="437"/>
  <c r="Q24" i="437"/>
  <c r="R24" i="437"/>
  <c r="S24" i="437"/>
  <c r="T24" i="437"/>
  <c r="N25" i="437"/>
  <c r="O25" i="437"/>
  <c r="P25" i="437"/>
  <c r="Q25" i="437"/>
  <c r="R25" i="437"/>
  <c r="S25" i="437"/>
  <c r="T25" i="437"/>
  <c r="N26" i="437"/>
  <c r="O26" i="437"/>
  <c r="P26" i="437"/>
  <c r="Q26" i="437"/>
  <c r="R26" i="437"/>
  <c r="S26" i="437"/>
  <c r="T26" i="437"/>
  <c r="N27" i="437"/>
  <c r="O27" i="437"/>
  <c r="P27" i="437"/>
  <c r="Q27" i="437"/>
  <c r="R27" i="437"/>
  <c r="S27" i="437"/>
  <c r="T27" i="437"/>
  <c r="N28" i="437"/>
  <c r="O28" i="437"/>
  <c r="P28" i="437"/>
  <c r="Q28" i="437"/>
  <c r="R28" i="437"/>
  <c r="S28" i="437"/>
  <c r="T28" i="437"/>
  <c r="N29" i="437"/>
  <c r="O29" i="437"/>
  <c r="P29" i="437"/>
  <c r="Q29" i="437"/>
  <c r="R29" i="437"/>
  <c r="S29" i="437"/>
  <c r="T29" i="437"/>
  <c r="N30" i="437"/>
  <c r="O30" i="437"/>
  <c r="P30" i="437"/>
  <c r="Q30" i="437"/>
  <c r="R30" i="437"/>
  <c r="S30" i="437"/>
  <c r="T30" i="437"/>
  <c r="N31" i="437"/>
  <c r="O31" i="437"/>
  <c r="P31" i="437"/>
  <c r="Q31" i="437"/>
  <c r="R31" i="437"/>
  <c r="S31" i="437"/>
  <c r="T31" i="437"/>
  <c r="N32" i="437"/>
  <c r="O32" i="437"/>
  <c r="P32" i="437"/>
  <c r="Q32" i="437"/>
  <c r="R32" i="437"/>
  <c r="S32" i="437"/>
  <c r="T32" i="437"/>
  <c r="N33" i="437"/>
  <c r="O33" i="437"/>
  <c r="P33" i="437"/>
  <c r="Q33" i="437"/>
  <c r="R33" i="437"/>
  <c r="S33" i="437"/>
  <c r="T33" i="437"/>
  <c r="N34" i="437"/>
  <c r="O34" i="437"/>
  <c r="P34" i="437"/>
  <c r="Q34" i="437"/>
  <c r="R34" i="437"/>
  <c r="S34" i="437"/>
  <c r="T34" i="437"/>
  <c r="D5" i="437"/>
  <c r="E5" i="437"/>
  <c r="F5" i="437"/>
  <c r="G5" i="437"/>
  <c r="H5" i="437"/>
  <c r="I5" i="437"/>
  <c r="J5" i="437"/>
  <c r="D6" i="437"/>
  <c r="E6" i="437"/>
  <c r="F6" i="437"/>
  <c r="G6" i="437"/>
  <c r="H6" i="437"/>
  <c r="I6" i="437"/>
  <c r="J6" i="437"/>
  <c r="D7" i="437"/>
  <c r="E7" i="437"/>
  <c r="F7" i="437"/>
  <c r="G7" i="437"/>
  <c r="H7" i="437"/>
  <c r="I7" i="437"/>
  <c r="J7" i="437"/>
  <c r="D8" i="437"/>
  <c r="E8" i="437"/>
  <c r="F8" i="437"/>
  <c r="G8" i="437"/>
  <c r="H8" i="437"/>
  <c r="I8" i="437"/>
  <c r="J8" i="437"/>
  <c r="D9" i="437"/>
  <c r="E9" i="437"/>
  <c r="F9" i="437"/>
  <c r="G9" i="437"/>
  <c r="H9" i="437"/>
  <c r="I9" i="437"/>
  <c r="J9" i="437"/>
  <c r="D10" i="437"/>
  <c r="E10" i="437"/>
  <c r="F10" i="437"/>
  <c r="G10" i="437"/>
  <c r="H10" i="437"/>
  <c r="I10" i="437"/>
  <c r="J10" i="437"/>
  <c r="D11" i="437"/>
  <c r="E11" i="437"/>
  <c r="F11" i="437"/>
  <c r="G11" i="437"/>
  <c r="H11" i="437"/>
  <c r="I11" i="437"/>
  <c r="J11" i="437"/>
  <c r="D12" i="437"/>
  <c r="E12" i="437"/>
  <c r="F12" i="437"/>
  <c r="G12" i="437"/>
  <c r="H12" i="437"/>
  <c r="I12" i="437"/>
  <c r="J12" i="437"/>
  <c r="D13" i="437"/>
  <c r="E13" i="437"/>
  <c r="F13" i="437"/>
  <c r="G13" i="437"/>
  <c r="H13" i="437"/>
  <c r="I13" i="437"/>
  <c r="J13" i="437"/>
  <c r="D14" i="437"/>
  <c r="E14" i="437"/>
  <c r="F14" i="437"/>
  <c r="G14" i="437"/>
  <c r="H14" i="437"/>
  <c r="I14" i="437"/>
  <c r="J14" i="437"/>
  <c r="D15" i="437"/>
  <c r="E15" i="437"/>
  <c r="F15" i="437"/>
  <c r="G15" i="437"/>
  <c r="H15" i="437"/>
  <c r="I15" i="437"/>
  <c r="J15" i="437"/>
  <c r="D16" i="437"/>
  <c r="E16" i="437"/>
  <c r="F16" i="437"/>
  <c r="G16" i="437"/>
  <c r="H16" i="437"/>
  <c r="I16" i="437"/>
  <c r="J16" i="437"/>
  <c r="D17" i="437"/>
  <c r="E17" i="437"/>
  <c r="F17" i="437"/>
  <c r="G17" i="437"/>
  <c r="H17" i="437"/>
  <c r="I17" i="437"/>
  <c r="J17" i="437"/>
  <c r="D18" i="437"/>
  <c r="E18" i="437"/>
  <c r="F18" i="437"/>
  <c r="G18" i="437"/>
  <c r="H18" i="437"/>
  <c r="I18" i="437"/>
  <c r="J18" i="437"/>
  <c r="D19" i="437"/>
  <c r="E19" i="437"/>
  <c r="F19" i="437"/>
  <c r="G19" i="437"/>
  <c r="H19" i="437"/>
  <c r="I19" i="437"/>
  <c r="J19" i="437"/>
  <c r="D20" i="437"/>
  <c r="E20" i="437"/>
  <c r="F20" i="437"/>
  <c r="G20" i="437"/>
  <c r="H20" i="437"/>
  <c r="I20" i="437"/>
  <c r="J20" i="437"/>
  <c r="D21" i="437"/>
  <c r="E21" i="437"/>
  <c r="F21" i="437"/>
  <c r="G21" i="437"/>
  <c r="H21" i="437"/>
  <c r="I21" i="437"/>
  <c r="J21" i="437"/>
  <c r="D22" i="437"/>
  <c r="E22" i="437"/>
  <c r="F22" i="437"/>
  <c r="G22" i="437"/>
  <c r="H22" i="437"/>
  <c r="I22" i="437"/>
  <c r="J22" i="437"/>
  <c r="D23" i="437"/>
  <c r="E23" i="437"/>
  <c r="F23" i="437"/>
  <c r="G23" i="437"/>
  <c r="H23" i="437"/>
  <c r="I23" i="437"/>
  <c r="J23" i="437"/>
  <c r="D24" i="437"/>
  <c r="E24" i="437"/>
  <c r="F24" i="437"/>
  <c r="G24" i="437"/>
  <c r="H24" i="437"/>
  <c r="I24" i="437"/>
  <c r="J24" i="437"/>
  <c r="D25" i="437"/>
  <c r="E25" i="437"/>
  <c r="F25" i="437"/>
  <c r="G25" i="437"/>
  <c r="H25" i="437"/>
  <c r="I25" i="437"/>
  <c r="J25" i="437"/>
  <c r="D26" i="437"/>
  <c r="E26" i="437"/>
  <c r="F26" i="437"/>
  <c r="G26" i="437"/>
  <c r="H26" i="437"/>
  <c r="I26" i="437"/>
  <c r="J26" i="437"/>
  <c r="D27" i="437"/>
  <c r="E27" i="437"/>
  <c r="F27" i="437"/>
  <c r="G27" i="437"/>
  <c r="H27" i="437"/>
  <c r="I27" i="437"/>
  <c r="J27" i="437"/>
  <c r="D28" i="437"/>
  <c r="E28" i="437"/>
  <c r="F28" i="437"/>
  <c r="G28" i="437"/>
  <c r="H28" i="437"/>
  <c r="I28" i="437"/>
  <c r="J28" i="437"/>
  <c r="D29" i="437"/>
  <c r="E29" i="437"/>
  <c r="F29" i="437"/>
  <c r="G29" i="437"/>
  <c r="H29" i="437"/>
  <c r="I29" i="437"/>
  <c r="J29" i="437"/>
  <c r="D30" i="437"/>
  <c r="E30" i="437"/>
  <c r="F30" i="437"/>
  <c r="G30" i="437"/>
  <c r="H30" i="437"/>
  <c r="I30" i="437"/>
  <c r="J30" i="437"/>
  <c r="D31" i="437"/>
  <c r="E31" i="437"/>
  <c r="F31" i="437"/>
  <c r="G31" i="437"/>
  <c r="H31" i="437"/>
  <c r="I31" i="437"/>
  <c r="J31" i="437"/>
  <c r="D32" i="437"/>
  <c r="E32" i="437"/>
  <c r="F32" i="437"/>
  <c r="G32" i="437"/>
  <c r="H32" i="437"/>
  <c r="I32" i="437"/>
  <c r="J32" i="437"/>
  <c r="D33" i="437"/>
  <c r="E33" i="437"/>
  <c r="F33" i="437"/>
  <c r="G33" i="437"/>
  <c r="H33" i="437"/>
  <c r="I33" i="437"/>
  <c r="J33" i="437"/>
  <c r="D34" i="437"/>
  <c r="E34" i="437"/>
  <c r="F34" i="437"/>
  <c r="G34" i="437"/>
  <c r="H34" i="437"/>
  <c r="I34" i="437"/>
  <c r="J34" i="437"/>
  <c r="D4" i="238"/>
  <c r="E4" i="238"/>
  <c r="F4" i="238"/>
  <c r="D5" i="238"/>
  <c r="E5" i="238"/>
  <c r="F5" i="238"/>
  <c r="D6" i="238"/>
  <c r="E6" i="238"/>
  <c r="F6" i="238"/>
  <c r="D7" i="238"/>
  <c r="E7" i="238"/>
  <c r="F7" i="238"/>
  <c r="D8" i="238"/>
  <c r="E8" i="238"/>
  <c r="F8" i="238"/>
  <c r="D9" i="238"/>
  <c r="E9" i="238"/>
  <c r="F9" i="238"/>
  <c r="D10" i="238"/>
  <c r="E10" i="238"/>
  <c r="F10" i="238"/>
  <c r="D11" i="238"/>
  <c r="E11" i="238"/>
  <c r="F11" i="238"/>
  <c r="D12" i="238"/>
  <c r="E12" i="238"/>
  <c r="F12" i="238"/>
  <c r="D13" i="238"/>
  <c r="E13" i="238"/>
  <c r="F13" i="238"/>
  <c r="D14" i="238"/>
  <c r="E14" i="238"/>
  <c r="F14" i="238"/>
  <c r="D15" i="238"/>
  <c r="E15" i="238"/>
  <c r="F15" i="238"/>
  <c r="D16" i="238"/>
  <c r="E16" i="238"/>
  <c r="F16" i="238"/>
  <c r="D17" i="238"/>
  <c r="E17" i="238"/>
  <c r="F17" i="238"/>
  <c r="D18" i="238"/>
  <c r="E18" i="238"/>
  <c r="F18" i="238"/>
  <c r="D19" i="238"/>
  <c r="E19" i="238"/>
  <c r="F19" i="238"/>
  <c r="D20" i="238"/>
  <c r="E20" i="238"/>
  <c r="F20" i="238"/>
  <c r="D21" i="238"/>
  <c r="E21" i="238"/>
  <c r="F21" i="238"/>
  <c r="D22" i="238"/>
  <c r="E22" i="238"/>
  <c r="F22" i="238"/>
  <c r="D23" i="238"/>
  <c r="E23" i="238"/>
  <c r="F23" i="238"/>
  <c r="D24" i="238"/>
  <c r="E24" i="238"/>
  <c r="F24" i="238"/>
  <c r="D25" i="238"/>
  <c r="E25" i="238"/>
  <c r="F25" i="238"/>
  <c r="D26" i="238"/>
  <c r="E26" i="238"/>
  <c r="F26" i="238"/>
  <c r="D27" i="238"/>
  <c r="E27" i="238"/>
  <c r="F27" i="238"/>
  <c r="D28" i="238"/>
  <c r="E28" i="238"/>
  <c r="F28" i="238"/>
  <c r="D29" i="238"/>
  <c r="E29" i="238"/>
  <c r="F29" i="238"/>
  <c r="D30" i="238"/>
  <c r="E30" i="238"/>
  <c r="F30" i="238"/>
  <c r="D31" i="238"/>
  <c r="E31" i="238"/>
  <c r="F31" i="238"/>
  <c r="D32" i="238"/>
  <c r="E32" i="238"/>
  <c r="F32" i="238"/>
  <c r="D33" i="238"/>
  <c r="E33" i="238"/>
  <c r="F33" i="238"/>
  <c r="C57" i="827"/>
  <c r="C58" i="827" s="1"/>
  <c r="C59" i="827" s="1"/>
  <c r="C60" i="827" s="1"/>
  <c r="C61" i="827" s="1"/>
  <c r="C62" i="827" s="1"/>
  <c r="C63" i="827" s="1"/>
  <c r="C64" i="827" s="1"/>
  <c r="C65" i="827" s="1"/>
  <c r="C66" i="827" s="1"/>
  <c r="C67" i="827" s="1"/>
  <c r="C68" i="827" s="1"/>
  <c r="C69" i="827" s="1"/>
  <c r="C70" i="827" s="1"/>
  <c r="C71" i="827" s="1"/>
  <c r="C72" i="827" s="1"/>
  <c r="C73" i="827" s="1"/>
  <c r="C74" i="827" s="1"/>
  <c r="C75" i="827" s="1"/>
  <c r="C76" i="827" s="1"/>
  <c r="C77" i="827" s="1"/>
  <c r="C78" i="827" s="1"/>
  <c r="C79" i="827" s="1"/>
  <c r="C80" i="827" s="1"/>
  <c r="C81" i="827" s="1"/>
  <c r="C82" i="827" s="1"/>
  <c r="C83" i="827" s="1"/>
  <c r="C84" i="827" s="1"/>
  <c r="C85" i="827" s="1"/>
  <c r="C34" i="437"/>
  <c r="B34" i="437"/>
  <c r="C33" i="437"/>
  <c r="B33" i="437"/>
  <c r="C32" i="437"/>
  <c r="B32" i="437"/>
  <c r="C31" i="437"/>
  <c r="B31" i="437"/>
  <c r="C30" i="437"/>
  <c r="B30" i="437"/>
  <c r="C29" i="437"/>
  <c r="B29" i="437"/>
  <c r="C28" i="437"/>
  <c r="B28" i="437"/>
  <c r="C27" i="437"/>
  <c r="B27" i="437"/>
  <c r="C26" i="437"/>
  <c r="B26" i="437"/>
  <c r="C25" i="437"/>
  <c r="B25" i="437"/>
  <c r="C24" i="437"/>
  <c r="B24" i="437"/>
  <c r="C23" i="437"/>
  <c r="B23" i="437"/>
  <c r="C22" i="437"/>
  <c r="B22" i="437"/>
  <c r="C21" i="437"/>
  <c r="B21" i="437"/>
  <c r="C20" i="437"/>
  <c r="B20" i="437"/>
  <c r="C19" i="437"/>
  <c r="B19" i="437"/>
  <c r="C18" i="437"/>
  <c r="B18" i="437"/>
  <c r="C17" i="437"/>
  <c r="B17" i="437"/>
  <c r="C16" i="437"/>
  <c r="B16" i="437"/>
  <c r="C15" i="437"/>
  <c r="B15" i="437"/>
  <c r="C14" i="437"/>
  <c r="B14" i="437"/>
  <c r="C13" i="437"/>
  <c r="B13" i="437"/>
  <c r="C12" i="437"/>
  <c r="B12" i="437"/>
  <c r="C11" i="437"/>
  <c r="B11" i="437"/>
  <c r="C10" i="437"/>
  <c r="B10" i="437"/>
  <c r="C9" i="437"/>
  <c r="B9" i="437"/>
  <c r="C8" i="437"/>
  <c r="B8" i="437"/>
  <c r="C7" i="437"/>
  <c r="B7" i="437"/>
  <c r="C6" i="437"/>
  <c r="B6" i="437"/>
  <c r="C5" i="437"/>
  <c r="B5" i="437"/>
  <c r="C5" i="238"/>
  <c r="C6" i="238"/>
  <c r="C7" i="238"/>
  <c r="C8" i="238"/>
  <c r="C9" i="238"/>
  <c r="C10" i="238"/>
  <c r="C11" i="238"/>
  <c r="C12" i="238"/>
  <c r="C13" i="238"/>
  <c r="C14" i="238"/>
  <c r="C15" i="238"/>
  <c r="C16" i="238"/>
  <c r="C17" i="238"/>
  <c r="C18" i="238"/>
  <c r="C19" i="238"/>
  <c r="C20" i="238"/>
  <c r="C21" i="238"/>
  <c r="C22" i="238"/>
  <c r="C23" i="238"/>
  <c r="C24" i="238"/>
  <c r="C25" i="238"/>
  <c r="C26" i="238"/>
  <c r="C27" i="238"/>
  <c r="C28" i="238"/>
  <c r="C29" i="238"/>
  <c r="C30" i="238"/>
  <c r="C31" i="238"/>
  <c r="C32" i="238"/>
  <c r="C33" i="238"/>
  <c r="C4" i="238"/>
  <c r="B14" i="238"/>
  <c r="B15" i="238"/>
  <c r="B16" i="238"/>
  <c r="B17" i="238"/>
  <c r="B18" i="238"/>
  <c r="B19" i="238"/>
  <c r="B20" i="238"/>
  <c r="B21" i="238"/>
  <c r="B22" i="238"/>
  <c r="B23" i="238"/>
  <c r="B24" i="238"/>
  <c r="B25" i="238"/>
  <c r="B26" i="238"/>
  <c r="B27" i="238"/>
  <c r="B28" i="238"/>
  <c r="B29" i="238"/>
  <c r="B30" i="238"/>
  <c r="B31" i="238"/>
  <c r="B32" i="238"/>
  <c r="B33" i="238"/>
  <c r="B5" i="238"/>
  <c r="B6" i="238"/>
  <c r="B7" i="238"/>
  <c r="B8" i="238"/>
  <c r="B9" i="238"/>
  <c r="B10" i="238"/>
  <c r="B11" i="238"/>
  <c r="B12" i="238"/>
  <c r="B13" i="238"/>
  <c r="B4" i="238"/>
  <c r="C39" i="587"/>
  <c r="D39" i="587"/>
  <c r="F39" i="587"/>
  <c r="G39" i="587"/>
  <c r="H39" i="587"/>
  <c r="I39" i="587"/>
  <c r="J39" i="587"/>
  <c r="K39" i="587"/>
  <c r="L39" i="587"/>
  <c r="M39" i="587"/>
  <c r="N39" i="587"/>
  <c r="O39" i="587"/>
  <c r="P39" i="587"/>
  <c r="Q39" i="587"/>
  <c r="R39" i="587"/>
  <c r="S39" i="587"/>
  <c r="T39" i="587"/>
  <c r="U39" i="587"/>
  <c r="V39" i="587"/>
  <c r="W39" i="587"/>
  <c r="X39" i="587"/>
  <c r="Y39" i="587"/>
  <c r="Z39" i="587"/>
  <c r="AA39" i="587"/>
  <c r="AB39" i="587"/>
  <c r="AC39" i="587"/>
  <c r="AD39" i="587"/>
  <c r="AE39" i="587"/>
  <c r="AF39" i="587"/>
  <c r="AG39" i="587"/>
  <c r="AH39" i="587"/>
  <c r="AI39" i="587"/>
  <c r="AJ39" i="587"/>
  <c r="AK39" i="587"/>
  <c r="AL39" i="587"/>
  <c r="AM39" i="587"/>
  <c r="AN39" i="587"/>
  <c r="AO39" i="587"/>
  <c r="AP39" i="587"/>
  <c r="C38" i="587"/>
  <c r="D38" i="587"/>
  <c r="F38" i="587"/>
  <c r="G38" i="587"/>
  <c r="H38" i="587"/>
  <c r="I38" i="587"/>
  <c r="J38" i="587"/>
  <c r="K38" i="587"/>
  <c r="L38" i="587"/>
  <c r="M38" i="587"/>
  <c r="N38" i="587"/>
  <c r="O38" i="587"/>
  <c r="P38" i="587"/>
  <c r="Q38" i="587"/>
  <c r="R38" i="587"/>
  <c r="S38" i="587"/>
  <c r="T38" i="587"/>
  <c r="U38" i="587"/>
  <c r="V38" i="587"/>
  <c r="W38" i="587"/>
  <c r="X38" i="587"/>
  <c r="Y38" i="587"/>
  <c r="Z38" i="587"/>
  <c r="AA38" i="587"/>
  <c r="AB38" i="587"/>
  <c r="AC38" i="587"/>
  <c r="AD38" i="587"/>
  <c r="AE38" i="587"/>
  <c r="AF38" i="587"/>
  <c r="AG38" i="587"/>
  <c r="AH38" i="587"/>
  <c r="AI38" i="587"/>
  <c r="AJ38" i="587"/>
  <c r="AK38" i="587"/>
  <c r="AL38" i="587"/>
  <c r="AM38" i="587"/>
  <c r="AN38" i="587"/>
  <c r="AO38" i="587"/>
  <c r="AP38" i="587"/>
  <c r="C32" i="587"/>
  <c r="D32" i="587"/>
  <c r="F32" i="587"/>
  <c r="G32" i="587"/>
  <c r="H32" i="587"/>
  <c r="I32" i="587"/>
  <c r="J32" i="587"/>
  <c r="K32" i="587"/>
  <c r="L32" i="587"/>
  <c r="M32" i="587"/>
  <c r="N32" i="587"/>
  <c r="O32" i="587"/>
  <c r="P32" i="587"/>
  <c r="Q32" i="587"/>
  <c r="R32" i="587"/>
  <c r="S32" i="587"/>
  <c r="T32" i="587"/>
  <c r="U32" i="587"/>
  <c r="V32" i="587"/>
  <c r="W32" i="587"/>
  <c r="X32" i="587"/>
  <c r="Y32" i="587"/>
  <c r="Z32" i="587"/>
  <c r="AA32" i="587"/>
  <c r="AB32" i="587"/>
  <c r="AC32" i="587"/>
  <c r="AD32" i="587"/>
  <c r="AE32" i="587"/>
  <c r="AF32" i="587"/>
  <c r="AG32" i="587"/>
  <c r="AH32" i="587"/>
  <c r="AI32" i="587"/>
  <c r="AJ32" i="587"/>
  <c r="AK32" i="587"/>
  <c r="AL32" i="587"/>
  <c r="AM32" i="587"/>
  <c r="AN32" i="587"/>
  <c r="AO32" i="587"/>
  <c r="AP32" i="587"/>
  <c r="C33" i="587"/>
  <c r="D33" i="587"/>
  <c r="F33" i="587"/>
  <c r="G33" i="587"/>
  <c r="H33" i="587"/>
  <c r="I33" i="587"/>
  <c r="J33" i="587"/>
  <c r="K33" i="587"/>
  <c r="L33" i="587"/>
  <c r="M33" i="587"/>
  <c r="N33" i="587"/>
  <c r="O33" i="587"/>
  <c r="P33" i="587"/>
  <c r="Q33" i="587"/>
  <c r="R33" i="587"/>
  <c r="S33" i="587"/>
  <c r="T33" i="587"/>
  <c r="U33" i="587"/>
  <c r="V33" i="587"/>
  <c r="W33" i="587"/>
  <c r="X33" i="587"/>
  <c r="Y33" i="587"/>
  <c r="Z33" i="587"/>
  <c r="AA33" i="587"/>
  <c r="AB33" i="587"/>
  <c r="AC33" i="587"/>
  <c r="AD33" i="587"/>
  <c r="AE33" i="587"/>
  <c r="AF33" i="587"/>
  <c r="AG33" i="587"/>
  <c r="AH33" i="587"/>
  <c r="AI33" i="587"/>
  <c r="AJ33" i="587"/>
  <c r="AK33" i="587"/>
  <c r="AL33" i="587"/>
  <c r="AM33" i="587"/>
  <c r="AN33" i="587"/>
  <c r="AO33" i="587"/>
  <c r="AP33" i="587"/>
  <c r="C34" i="587"/>
  <c r="D34" i="587"/>
  <c r="F34" i="587"/>
  <c r="G34" i="587"/>
  <c r="H34" i="587"/>
  <c r="I34" i="587"/>
  <c r="J34" i="587"/>
  <c r="K34" i="587"/>
  <c r="L34" i="587"/>
  <c r="M34" i="587"/>
  <c r="N34" i="587"/>
  <c r="O34" i="587"/>
  <c r="P34" i="587"/>
  <c r="Q34" i="587"/>
  <c r="R34" i="587"/>
  <c r="S34" i="587"/>
  <c r="T34" i="587"/>
  <c r="U34" i="587"/>
  <c r="V34" i="587"/>
  <c r="W34" i="587"/>
  <c r="X34" i="587"/>
  <c r="Y34" i="587"/>
  <c r="Z34" i="587"/>
  <c r="AA34" i="587"/>
  <c r="AB34" i="587"/>
  <c r="AC34" i="587"/>
  <c r="AD34" i="587"/>
  <c r="AE34" i="587"/>
  <c r="AF34" i="587"/>
  <c r="AG34" i="587"/>
  <c r="AH34" i="587"/>
  <c r="AI34" i="587"/>
  <c r="AJ34" i="587"/>
  <c r="AK34" i="587"/>
  <c r="AL34" i="587"/>
  <c r="AM34" i="587"/>
  <c r="AN34" i="587"/>
  <c r="AO34" i="587"/>
  <c r="AP34" i="587"/>
  <c r="C35" i="587"/>
  <c r="D35" i="587"/>
  <c r="F35" i="587"/>
  <c r="G35" i="587"/>
  <c r="H35" i="587"/>
  <c r="I35" i="587"/>
  <c r="J35" i="587"/>
  <c r="K35" i="587"/>
  <c r="L35" i="587"/>
  <c r="M35" i="587"/>
  <c r="N35" i="587"/>
  <c r="O35" i="587"/>
  <c r="P35" i="587"/>
  <c r="Q35" i="587"/>
  <c r="R35" i="587"/>
  <c r="S35" i="587"/>
  <c r="T35" i="587"/>
  <c r="U35" i="587"/>
  <c r="V35" i="587"/>
  <c r="W35" i="587"/>
  <c r="X35" i="587"/>
  <c r="Y35" i="587"/>
  <c r="Z35" i="587"/>
  <c r="AA35" i="587"/>
  <c r="AB35" i="587"/>
  <c r="AC35" i="587"/>
  <c r="AD35" i="587"/>
  <c r="AE35" i="587"/>
  <c r="AF35" i="587"/>
  <c r="AG35" i="587"/>
  <c r="AH35" i="587"/>
  <c r="AI35" i="587"/>
  <c r="AJ35" i="587"/>
  <c r="AK35" i="587"/>
  <c r="AL35" i="587"/>
  <c r="AM35" i="587"/>
  <c r="AN35" i="587"/>
  <c r="AO35" i="587"/>
  <c r="AP35" i="587"/>
  <c r="C36" i="587"/>
  <c r="D36" i="587"/>
  <c r="F36" i="587"/>
  <c r="G36" i="587"/>
  <c r="H36" i="587"/>
  <c r="I36" i="587"/>
  <c r="J36" i="587"/>
  <c r="K36" i="587"/>
  <c r="L36" i="587"/>
  <c r="M36" i="587"/>
  <c r="N36" i="587"/>
  <c r="O36" i="587"/>
  <c r="P36" i="587"/>
  <c r="Q36" i="587"/>
  <c r="R36" i="587"/>
  <c r="S36" i="587"/>
  <c r="T36" i="587"/>
  <c r="U36" i="587"/>
  <c r="V36" i="587"/>
  <c r="W36" i="587"/>
  <c r="X36" i="587"/>
  <c r="Y36" i="587"/>
  <c r="Z36" i="587"/>
  <c r="AA36" i="587"/>
  <c r="AB36" i="587"/>
  <c r="AC36" i="587"/>
  <c r="AD36" i="587"/>
  <c r="AE36" i="587"/>
  <c r="AF36" i="587"/>
  <c r="AG36" i="587"/>
  <c r="AH36" i="587"/>
  <c r="AI36" i="587"/>
  <c r="AJ36" i="587"/>
  <c r="AK36" i="587"/>
  <c r="AL36" i="587"/>
  <c r="AM36" i="587"/>
  <c r="AN36" i="587"/>
  <c r="AO36" i="587"/>
  <c r="AP36" i="587"/>
  <c r="C37" i="587"/>
  <c r="D37" i="587"/>
  <c r="F37" i="587"/>
  <c r="G37" i="587"/>
  <c r="H37" i="587"/>
  <c r="I37" i="587"/>
  <c r="J37" i="587"/>
  <c r="K37" i="587"/>
  <c r="L37" i="587"/>
  <c r="M37" i="587"/>
  <c r="N37" i="587"/>
  <c r="O37" i="587"/>
  <c r="P37" i="587"/>
  <c r="Q37" i="587"/>
  <c r="R37" i="587"/>
  <c r="S37" i="587"/>
  <c r="T37" i="587"/>
  <c r="U37" i="587"/>
  <c r="V37" i="587"/>
  <c r="W37" i="587"/>
  <c r="X37" i="587"/>
  <c r="Y37" i="587"/>
  <c r="Z37" i="587"/>
  <c r="AA37" i="587"/>
  <c r="AB37" i="587"/>
  <c r="AC37" i="587"/>
  <c r="AD37" i="587"/>
  <c r="AE37" i="587"/>
  <c r="AF37" i="587"/>
  <c r="AG37" i="587"/>
  <c r="AH37" i="587"/>
  <c r="AI37" i="587"/>
  <c r="AJ37" i="587"/>
  <c r="AK37" i="587"/>
  <c r="AL37" i="587"/>
  <c r="AM37" i="587"/>
  <c r="AN37" i="587"/>
  <c r="AO37" i="587"/>
  <c r="AP37" i="587"/>
  <c r="C20" i="587"/>
  <c r="D20" i="587"/>
  <c r="F20" i="587"/>
  <c r="G20" i="587"/>
  <c r="H20" i="587"/>
  <c r="I20" i="587"/>
  <c r="J20" i="587"/>
  <c r="K20" i="587"/>
  <c r="L20" i="587"/>
  <c r="M20" i="587"/>
  <c r="N20" i="587"/>
  <c r="O20" i="587"/>
  <c r="P20" i="587"/>
  <c r="Q20" i="587"/>
  <c r="R20" i="587"/>
  <c r="S20" i="587"/>
  <c r="T20" i="587"/>
  <c r="U20" i="587"/>
  <c r="V20" i="587"/>
  <c r="W20" i="587"/>
  <c r="X20" i="587"/>
  <c r="Y20" i="587"/>
  <c r="Z20" i="587"/>
  <c r="AA20" i="587"/>
  <c r="AB20" i="587"/>
  <c r="AC20" i="587"/>
  <c r="AD20" i="587"/>
  <c r="AE20" i="587"/>
  <c r="AF20" i="587"/>
  <c r="AG20" i="587"/>
  <c r="AH20" i="587"/>
  <c r="AI20" i="587"/>
  <c r="AJ20" i="587"/>
  <c r="AK20" i="587"/>
  <c r="AL20" i="587"/>
  <c r="AM20" i="587"/>
  <c r="AN20" i="587"/>
  <c r="AO20" i="587"/>
  <c r="AP20" i="587"/>
  <c r="C21" i="587"/>
  <c r="D21" i="587"/>
  <c r="F21" i="587"/>
  <c r="G21" i="587"/>
  <c r="H21" i="587"/>
  <c r="I21" i="587"/>
  <c r="J21" i="587"/>
  <c r="K21" i="587"/>
  <c r="L21" i="587"/>
  <c r="M21" i="587"/>
  <c r="N21" i="587"/>
  <c r="O21" i="587"/>
  <c r="P21" i="587"/>
  <c r="Q21" i="587"/>
  <c r="R21" i="587"/>
  <c r="S21" i="587"/>
  <c r="T21" i="587"/>
  <c r="U21" i="587"/>
  <c r="V21" i="587"/>
  <c r="W21" i="587"/>
  <c r="X21" i="587"/>
  <c r="Y21" i="587"/>
  <c r="Z21" i="587"/>
  <c r="AA21" i="587"/>
  <c r="AB21" i="587"/>
  <c r="AC21" i="587"/>
  <c r="AD21" i="587"/>
  <c r="AE21" i="587"/>
  <c r="AF21" i="587"/>
  <c r="AG21" i="587"/>
  <c r="AH21" i="587"/>
  <c r="AI21" i="587"/>
  <c r="AJ21" i="587"/>
  <c r="AK21" i="587"/>
  <c r="AL21" i="587"/>
  <c r="AM21" i="587"/>
  <c r="AN21" i="587"/>
  <c r="AO21" i="587"/>
  <c r="AP21" i="587"/>
  <c r="C22" i="587"/>
  <c r="D22" i="587"/>
  <c r="F22" i="587"/>
  <c r="G22" i="587"/>
  <c r="H22" i="587"/>
  <c r="I22" i="587"/>
  <c r="J22" i="587"/>
  <c r="K22" i="587"/>
  <c r="L22" i="587"/>
  <c r="M22" i="587"/>
  <c r="N22" i="587"/>
  <c r="O22" i="587"/>
  <c r="P22" i="587"/>
  <c r="Q22" i="587"/>
  <c r="R22" i="587"/>
  <c r="S22" i="587"/>
  <c r="T22" i="587"/>
  <c r="U22" i="587"/>
  <c r="V22" i="587"/>
  <c r="W22" i="587"/>
  <c r="X22" i="587"/>
  <c r="Y22" i="587"/>
  <c r="Z22" i="587"/>
  <c r="AA22" i="587"/>
  <c r="AB22" i="587"/>
  <c r="AC22" i="587"/>
  <c r="AD22" i="587"/>
  <c r="AE22" i="587"/>
  <c r="AF22" i="587"/>
  <c r="AG22" i="587"/>
  <c r="AH22" i="587"/>
  <c r="AI22" i="587"/>
  <c r="AJ22" i="587"/>
  <c r="AK22" i="587"/>
  <c r="AL22" i="587"/>
  <c r="AM22" i="587"/>
  <c r="AN22" i="587"/>
  <c r="AO22" i="587"/>
  <c r="AP22" i="587"/>
  <c r="C23" i="587"/>
  <c r="D23" i="587"/>
  <c r="F23" i="587"/>
  <c r="G23" i="587"/>
  <c r="H23" i="587"/>
  <c r="I23" i="587"/>
  <c r="J23" i="587"/>
  <c r="K23" i="587"/>
  <c r="L23" i="587"/>
  <c r="M23" i="587"/>
  <c r="N23" i="587"/>
  <c r="O23" i="587"/>
  <c r="P23" i="587"/>
  <c r="Q23" i="587"/>
  <c r="R23" i="587"/>
  <c r="S23" i="587"/>
  <c r="T23" i="587"/>
  <c r="U23" i="587"/>
  <c r="V23" i="587"/>
  <c r="W23" i="587"/>
  <c r="X23" i="587"/>
  <c r="Y23" i="587"/>
  <c r="Z23" i="587"/>
  <c r="AA23" i="587"/>
  <c r="AB23" i="587"/>
  <c r="AC23" i="587"/>
  <c r="AD23" i="587"/>
  <c r="AE23" i="587"/>
  <c r="AF23" i="587"/>
  <c r="AG23" i="587"/>
  <c r="AH23" i="587"/>
  <c r="AI23" i="587"/>
  <c r="AJ23" i="587"/>
  <c r="AK23" i="587"/>
  <c r="AL23" i="587"/>
  <c r="AM23" i="587"/>
  <c r="AN23" i="587"/>
  <c r="AO23" i="587"/>
  <c r="AP23" i="587"/>
  <c r="C24" i="587"/>
  <c r="D24" i="587"/>
  <c r="F24" i="587"/>
  <c r="G24" i="587"/>
  <c r="H24" i="587"/>
  <c r="I24" i="587"/>
  <c r="J24" i="587"/>
  <c r="K24" i="587"/>
  <c r="L24" i="587"/>
  <c r="M24" i="587"/>
  <c r="N24" i="587"/>
  <c r="O24" i="587"/>
  <c r="P24" i="587"/>
  <c r="Q24" i="587"/>
  <c r="R24" i="587"/>
  <c r="S24" i="587"/>
  <c r="T24" i="587"/>
  <c r="U24" i="587"/>
  <c r="V24" i="587"/>
  <c r="W24" i="587"/>
  <c r="X24" i="587"/>
  <c r="Y24" i="587"/>
  <c r="Z24" i="587"/>
  <c r="AA24" i="587"/>
  <c r="AB24" i="587"/>
  <c r="AC24" i="587"/>
  <c r="AD24" i="587"/>
  <c r="AE24" i="587"/>
  <c r="AF24" i="587"/>
  <c r="AG24" i="587"/>
  <c r="AH24" i="587"/>
  <c r="AI24" i="587"/>
  <c r="AJ24" i="587"/>
  <c r="AK24" i="587"/>
  <c r="AL24" i="587"/>
  <c r="AM24" i="587"/>
  <c r="AN24" i="587"/>
  <c r="AO24" i="587"/>
  <c r="AP24" i="587"/>
  <c r="C25" i="587"/>
  <c r="D25" i="587"/>
  <c r="F25" i="587"/>
  <c r="G25" i="587"/>
  <c r="H25" i="587"/>
  <c r="I25" i="587"/>
  <c r="J25" i="587"/>
  <c r="K25" i="587"/>
  <c r="L25" i="587"/>
  <c r="M25" i="587"/>
  <c r="N25" i="587"/>
  <c r="O25" i="587"/>
  <c r="P25" i="587"/>
  <c r="Q25" i="587"/>
  <c r="R25" i="587"/>
  <c r="S25" i="587"/>
  <c r="T25" i="587"/>
  <c r="U25" i="587"/>
  <c r="V25" i="587"/>
  <c r="W25" i="587"/>
  <c r="X25" i="587"/>
  <c r="Y25" i="587"/>
  <c r="Z25" i="587"/>
  <c r="AA25" i="587"/>
  <c r="AB25" i="587"/>
  <c r="AC25" i="587"/>
  <c r="AD25" i="587"/>
  <c r="AE25" i="587"/>
  <c r="AF25" i="587"/>
  <c r="AG25" i="587"/>
  <c r="AH25" i="587"/>
  <c r="AI25" i="587"/>
  <c r="AJ25" i="587"/>
  <c r="AK25" i="587"/>
  <c r="AL25" i="587"/>
  <c r="AM25" i="587"/>
  <c r="AN25" i="587"/>
  <c r="AO25" i="587"/>
  <c r="AP25" i="587"/>
  <c r="C26" i="587"/>
  <c r="D26" i="587"/>
  <c r="F26" i="587"/>
  <c r="G26" i="587"/>
  <c r="H26" i="587"/>
  <c r="I26" i="587"/>
  <c r="J26" i="587"/>
  <c r="K26" i="587"/>
  <c r="L26" i="587"/>
  <c r="M26" i="587"/>
  <c r="N26" i="587"/>
  <c r="O26" i="587"/>
  <c r="P26" i="587"/>
  <c r="Q26" i="587"/>
  <c r="R26" i="587"/>
  <c r="S26" i="587"/>
  <c r="T26" i="587"/>
  <c r="U26" i="587"/>
  <c r="V26" i="587"/>
  <c r="W26" i="587"/>
  <c r="X26" i="587"/>
  <c r="Y26" i="587"/>
  <c r="Z26" i="587"/>
  <c r="AA26" i="587"/>
  <c r="AB26" i="587"/>
  <c r="AC26" i="587"/>
  <c r="AD26" i="587"/>
  <c r="AE26" i="587"/>
  <c r="AF26" i="587"/>
  <c r="AG26" i="587"/>
  <c r="AH26" i="587"/>
  <c r="AI26" i="587"/>
  <c r="AJ26" i="587"/>
  <c r="AK26" i="587"/>
  <c r="AL26" i="587"/>
  <c r="AM26" i="587"/>
  <c r="AN26" i="587"/>
  <c r="AO26" i="587"/>
  <c r="AP26" i="587"/>
  <c r="C27" i="587"/>
  <c r="D27" i="587"/>
  <c r="F27" i="587"/>
  <c r="G27" i="587"/>
  <c r="H27" i="587"/>
  <c r="I27" i="587"/>
  <c r="J27" i="587"/>
  <c r="K27" i="587"/>
  <c r="L27" i="587"/>
  <c r="M27" i="587"/>
  <c r="N27" i="587"/>
  <c r="O27" i="587"/>
  <c r="P27" i="587"/>
  <c r="Q27" i="587"/>
  <c r="R27" i="587"/>
  <c r="S27" i="587"/>
  <c r="T27" i="587"/>
  <c r="U27" i="587"/>
  <c r="V27" i="587"/>
  <c r="W27" i="587"/>
  <c r="X27" i="587"/>
  <c r="Y27" i="587"/>
  <c r="Z27" i="587"/>
  <c r="AA27" i="587"/>
  <c r="AB27" i="587"/>
  <c r="AC27" i="587"/>
  <c r="AD27" i="587"/>
  <c r="AE27" i="587"/>
  <c r="AF27" i="587"/>
  <c r="AG27" i="587"/>
  <c r="AH27" i="587"/>
  <c r="AI27" i="587"/>
  <c r="AJ27" i="587"/>
  <c r="AK27" i="587"/>
  <c r="AL27" i="587"/>
  <c r="AM27" i="587"/>
  <c r="AN27" i="587"/>
  <c r="AO27" i="587"/>
  <c r="AP27" i="587"/>
  <c r="C28" i="587"/>
  <c r="D28" i="587"/>
  <c r="F28" i="587"/>
  <c r="G28" i="587"/>
  <c r="H28" i="587"/>
  <c r="I28" i="587"/>
  <c r="J28" i="587"/>
  <c r="K28" i="587"/>
  <c r="L28" i="587"/>
  <c r="M28" i="587"/>
  <c r="N28" i="587"/>
  <c r="O28" i="587"/>
  <c r="P28" i="587"/>
  <c r="Q28" i="587"/>
  <c r="R28" i="587"/>
  <c r="S28" i="587"/>
  <c r="T28" i="587"/>
  <c r="U28" i="587"/>
  <c r="V28" i="587"/>
  <c r="W28" i="587"/>
  <c r="X28" i="587"/>
  <c r="Y28" i="587"/>
  <c r="Z28" i="587"/>
  <c r="AA28" i="587"/>
  <c r="AB28" i="587"/>
  <c r="AC28" i="587"/>
  <c r="AD28" i="587"/>
  <c r="AE28" i="587"/>
  <c r="AF28" i="587"/>
  <c r="AG28" i="587"/>
  <c r="AH28" i="587"/>
  <c r="AI28" i="587"/>
  <c r="AJ28" i="587"/>
  <c r="AK28" i="587"/>
  <c r="AL28" i="587"/>
  <c r="AM28" i="587"/>
  <c r="AN28" i="587"/>
  <c r="AO28" i="587"/>
  <c r="AP28" i="587"/>
  <c r="C29" i="587"/>
  <c r="D29" i="587"/>
  <c r="F29" i="587"/>
  <c r="G29" i="587"/>
  <c r="H29" i="587"/>
  <c r="I29" i="587"/>
  <c r="J29" i="587"/>
  <c r="K29" i="587"/>
  <c r="L29" i="587"/>
  <c r="M29" i="587"/>
  <c r="N29" i="587"/>
  <c r="O29" i="587"/>
  <c r="P29" i="587"/>
  <c r="Q29" i="587"/>
  <c r="R29" i="587"/>
  <c r="S29" i="587"/>
  <c r="T29" i="587"/>
  <c r="U29" i="587"/>
  <c r="V29" i="587"/>
  <c r="W29" i="587"/>
  <c r="X29" i="587"/>
  <c r="Y29" i="587"/>
  <c r="Z29" i="587"/>
  <c r="AA29" i="587"/>
  <c r="AB29" i="587"/>
  <c r="AC29" i="587"/>
  <c r="AD29" i="587"/>
  <c r="AE29" i="587"/>
  <c r="AF29" i="587"/>
  <c r="AG29" i="587"/>
  <c r="AH29" i="587"/>
  <c r="AI29" i="587"/>
  <c r="AJ29" i="587"/>
  <c r="AK29" i="587"/>
  <c r="AL29" i="587"/>
  <c r="AM29" i="587"/>
  <c r="AN29" i="587"/>
  <c r="AO29" i="587"/>
  <c r="AP29" i="587"/>
  <c r="C30" i="587"/>
  <c r="D30" i="587"/>
  <c r="F30" i="587"/>
  <c r="G30" i="587"/>
  <c r="H30" i="587"/>
  <c r="I30" i="587"/>
  <c r="J30" i="587"/>
  <c r="K30" i="587"/>
  <c r="L30" i="587"/>
  <c r="M30" i="587"/>
  <c r="N30" i="587"/>
  <c r="O30" i="587"/>
  <c r="P30" i="587"/>
  <c r="Q30" i="587"/>
  <c r="R30" i="587"/>
  <c r="S30" i="587"/>
  <c r="T30" i="587"/>
  <c r="U30" i="587"/>
  <c r="V30" i="587"/>
  <c r="W30" i="587"/>
  <c r="X30" i="587"/>
  <c r="Y30" i="587"/>
  <c r="Z30" i="587"/>
  <c r="AA30" i="587"/>
  <c r="AB30" i="587"/>
  <c r="AC30" i="587"/>
  <c r="AD30" i="587"/>
  <c r="AE30" i="587"/>
  <c r="AF30" i="587"/>
  <c r="AG30" i="587"/>
  <c r="AH30" i="587"/>
  <c r="AI30" i="587"/>
  <c r="AJ30" i="587"/>
  <c r="AK30" i="587"/>
  <c r="AL30" i="587"/>
  <c r="AM30" i="587"/>
  <c r="AN30" i="587"/>
  <c r="AO30" i="587"/>
  <c r="AP30" i="587"/>
  <c r="C31" i="587"/>
  <c r="D31" i="587"/>
  <c r="F31" i="587"/>
  <c r="G31" i="587"/>
  <c r="H31" i="587"/>
  <c r="I31" i="587"/>
  <c r="J31" i="587"/>
  <c r="K31" i="587"/>
  <c r="L31" i="587"/>
  <c r="M31" i="587"/>
  <c r="N31" i="587"/>
  <c r="O31" i="587"/>
  <c r="P31" i="587"/>
  <c r="Q31" i="587"/>
  <c r="R31" i="587"/>
  <c r="S31" i="587"/>
  <c r="T31" i="587"/>
  <c r="U31" i="587"/>
  <c r="V31" i="587"/>
  <c r="W31" i="587"/>
  <c r="X31" i="587"/>
  <c r="Y31" i="587"/>
  <c r="Z31" i="587"/>
  <c r="AA31" i="587"/>
  <c r="AB31" i="587"/>
  <c r="AC31" i="587"/>
  <c r="AD31" i="587"/>
  <c r="AE31" i="587"/>
  <c r="AF31" i="587"/>
  <c r="AG31" i="587"/>
  <c r="AH31" i="587"/>
  <c r="AI31" i="587"/>
  <c r="AJ31" i="587"/>
  <c r="AK31" i="587"/>
  <c r="AL31" i="587"/>
  <c r="AM31" i="587"/>
  <c r="AN31" i="587"/>
  <c r="AO31" i="587"/>
  <c r="AP31" i="587"/>
  <c r="C17" i="63"/>
  <c r="D17" i="63"/>
  <c r="E17" i="63"/>
  <c r="F17" i="63"/>
  <c r="G17" i="63"/>
  <c r="H17" i="63"/>
  <c r="C18" i="63"/>
  <c r="D18" i="63"/>
  <c r="E18" i="63"/>
  <c r="F18" i="63"/>
  <c r="G18" i="63"/>
  <c r="H18" i="63"/>
  <c r="C19" i="63"/>
  <c r="D19" i="63"/>
  <c r="E19" i="63"/>
  <c r="F19" i="63"/>
  <c r="G19" i="63"/>
  <c r="H19" i="63"/>
  <c r="C20" i="63"/>
  <c r="D20" i="63"/>
  <c r="E20" i="63"/>
  <c r="F20" i="63"/>
  <c r="G20" i="63"/>
  <c r="H20" i="63"/>
  <c r="C21" i="63"/>
  <c r="D21" i="63"/>
  <c r="E21" i="63"/>
  <c r="F21" i="63"/>
  <c r="G21" i="63"/>
  <c r="H21" i="63"/>
  <c r="C22" i="63"/>
  <c r="D22" i="63"/>
  <c r="E22" i="63"/>
  <c r="F22" i="63"/>
  <c r="G22" i="63"/>
  <c r="H22" i="63"/>
  <c r="C23" i="63"/>
  <c r="D23" i="63"/>
  <c r="E23" i="63"/>
  <c r="F23" i="63"/>
  <c r="G23" i="63"/>
  <c r="H23" i="63"/>
  <c r="C24" i="63"/>
  <c r="D24" i="63"/>
  <c r="E24" i="63"/>
  <c r="F24" i="63"/>
  <c r="G24" i="63"/>
  <c r="H24" i="63"/>
  <c r="C25" i="63"/>
  <c r="D25" i="63"/>
  <c r="E25" i="63"/>
  <c r="F25" i="63"/>
  <c r="G25" i="63"/>
  <c r="H25" i="63"/>
  <c r="C26" i="63"/>
  <c r="D26" i="63"/>
  <c r="E26" i="63"/>
  <c r="F26" i="63"/>
  <c r="G26" i="63"/>
  <c r="H26" i="63"/>
  <c r="C27" i="63"/>
  <c r="D27" i="63"/>
  <c r="E27" i="63"/>
  <c r="F27" i="63"/>
  <c r="G27" i="63"/>
  <c r="H27" i="63"/>
  <c r="C28" i="63"/>
  <c r="D28" i="63"/>
  <c r="E28" i="63"/>
  <c r="F28" i="63"/>
  <c r="G28" i="63"/>
  <c r="H28" i="63"/>
  <c r="C29" i="63"/>
  <c r="D29" i="63"/>
  <c r="E29" i="63"/>
  <c r="F29" i="63"/>
  <c r="G29" i="63"/>
  <c r="H29" i="63"/>
  <c r="C30" i="63"/>
  <c r="D30" i="63"/>
  <c r="E30" i="63"/>
  <c r="F30" i="63"/>
  <c r="G30" i="63"/>
  <c r="H30" i="63"/>
  <c r="C31" i="63"/>
  <c r="D31" i="63"/>
  <c r="E31" i="63"/>
  <c r="F31" i="63"/>
  <c r="G31" i="63"/>
  <c r="H31" i="63"/>
  <c r="C32" i="63"/>
  <c r="D32" i="63"/>
  <c r="E32" i="63"/>
  <c r="F32" i="63"/>
  <c r="G32" i="63"/>
  <c r="H32" i="63"/>
  <c r="C33" i="63"/>
  <c r="D33" i="63"/>
  <c r="E33" i="63"/>
  <c r="F33" i="63"/>
  <c r="G33" i="63"/>
  <c r="H33" i="63"/>
  <c r="C34" i="63"/>
  <c r="D34" i="63"/>
  <c r="E34" i="63"/>
  <c r="F34" i="63"/>
  <c r="G34" i="63"/>
  <c r="H34" i="63"/>
  <c r="C35" i="63"/>
  <c r="D35" i="63"/>
  <c r="E35" i="63"/>
  <c r="F35" i="63"/>
  <c r="G35" i="63"/>
  <c r="H35" i="63"/>
  <c r="C36" i="63"/>
  <c r="D36" i="63"/>
  <c r="E36" i="63"/>
  <c r="F36" i="63"/>
  <c r="G36" i="63"/>
  <c r="H36" i="63"/>
  <c r="E38" i="192"/>
  <c r="F38" i="192"/>
  <c r="G38" i="192"/>
  <c r="H38" i="192"/>
  <c r="I38" i="192"/>
  <c r="J38" i="192"/>
  <c r="K38" i="192"/>
  <c r="L38" i="192"/>
  <c r="M38" i="192"/>
  <c r="E34" i="192"/>
  <c r="F34" i="192"/>
  <c r="G34" i="192"/>
  <c r="H34" i="192"/>
  <c r="I34" i="192"/>
  <c r="J34" i="192"/>
  <c r="K34" i="192"/>
  <c r="L34" i="192"/>
  <c r="M34" i="192"/>
  <c r="E35" i="192"/>
  <c r="F35" i="192"/>
  <c r="G35" i="192"/>
  <c r="H35" i="192"/>
  <c r="I35" i="192"/>
  <c r="J35" i="192"/>
  <c r="K35" i="192"/>
  <c r="L35" i="192"/>
  <c r="M35" i="192"/>
  <c r="E36" i="192"/>
  <c r="F36" i="192"/>
  <c r="G36" i="192"/>
  <c r="H36" i="192"/>
  <c r="I36" i="192"/>
  <c r="J36" i="192"/>
  <c r="K36" i="192"/>
  <c r="L36" i="192"/>
  <c r="M36" i="192"/>
  <c r="E37" i="192"/>
  <c r="F37" i="192"/>
  <c r="G37" i="192"/>
  <c r="H37" i="192"/>
  <c r="I37" i="192"/>
  <c r="J37" i="192"/>
  <c r="K37" i="192"/>
  <c r="L37" i="192"/>
  <c r="M37" i="192"/>
  <c r="E19" i="192"/>
  <c r="F19" i="192"/>
  <c r="G19" i="192"/>
  <c r="H19" i="192"/>
  <c r="I19" i="192"/>
  <c r="J19" i="192"/>
  <c r="K19" i="192"/>
  <c r="L19" i="192"/>
  <c r="M19" i="192"/>
  <c r="E20" i="192"/>
  <c r="F20" i="192"/>
  <c r="G20" i="192"/>
  <c r="H20" i="192"/>
  <c r="I20" i="192"/>
  <c r="J20" i="192"/>
  <c r="K20" i="192"/>
  <c r="L20" i="192"/>
  <c r="M20" i="192"/>
  <c r="E21" i="192"/>
  <c r="F21" i="192"/>
  <c r="G21" i="192"/>
  <c r="H21" i="192"/>
  <c r="I21" i="192"/>
  <c r="J21" i="192"/>
  <c r="K21" i="192"/>
  <c r="L21" i="192"/>
  <c r="M21" i="192"/>
  <c r="E22" i="192"/>
  <c r="F22" i="192"/>
  <c r="G22" i="192"/>
  <c r="H22" i="192"/>
  <c r="I22" i="192"/>
  <c r="J22" i="192"/>
  <c r="K22" i="192"/>
  <c r="L22" i="192"/>
  <c r="M22" i="192"/>
  <c r="E23" i="192"/>
  <c r="F23" i="192"/>
  <c r="G23" i="192"/>
  <c r="H23" i="192"/>
  <c r="I23" i="192"/>
  <c r="J23" i="192"/>
  <c r="K23" i="192"/>
  <c r="L23" i="192"/>
  <c r="M23" i="192"/>
  <c r="E24" i="192"/>
  <c r="F24" i="192"/>
  <c r="G24" i="192"/>
  <c r="H24" i="192"/>
  <c r="I24" i="192"/>
  <c r="J24" i="192"/>
  <c r="K24" i="192"/>
  <c r="L24" i="192"/>
  <c r="M24" i="192"/>
  <c r="E25" i="192"/>
  <c r="F25" i="192"/>
  <c r="G25" i="192"/>
  <c r="H25" i="192"/>
  <c r="I25" i="192"/>
  <c r="J25" i="192"/>
  <c r="K25" i="192"/>
  <c r="L25" i="192"/>
  <c r="M25" i="192"/>
  <c r="E26" i="192"/>
  <c r="F26" i="192"/>
  <c r="G26" i="192"/>
  <c r="H26" i="192"/>
  <c r="I26" i="192"/>
  <c r="J26" i="192"/>
  <c r="K26" i="192"/>
  <c r="L26" i="192"/>
  <c r="M26" i="192"/>
  <c r="E27" i="192"/>
  <c r="F27" i="192"/>
  <c r="G27" i="192"/>
  <c r="H27" i="192"/>
  <c r="I27" i="192"/>
  <c r="J27" i="192"/>
  <c r="K27" i="192"/>
  <c r="L27" i="192"/>
  <c r="M27" i="192"/>
  <c r="E28" i="192"/>
  <c r="F28" i="192"/>
  <c r="G28" i="192"/>
  <c r="H28" i="192"/>
  <c r="I28" i="192"/>
  <c r="J28" i="192"/>
  <c r="K28" i="192"/>
  <c r="L28" i="192"/>
  <c r="M28" i="192"/>
  <c r="E29" i="192"/>
  <c r="F29" i="192"/>
  <c r="G29" i="192"/>
  <c r="H29" i="192"/>
  <c r="I29" i="192"/>
  <c r="J29" i="192"/>
  <c r="K29" i="192"/>
  <c r="L29" i="192"/>
  <c r="M29" i="192"/>
  <c r="E30" i="192"/>
  <c r="F30" i="192"/>
  <c r="G30" i="192"/>
  <c r="H30" i="192"/>
  <c r="I30" i="192"/>
  <c r="J30" i="192"/>
  <c r="K30" i="192"/>
  <c r="L30" i="192"/>
  <c r="M30" i="192"/>
  <c r="E31" i="192"/>
  <c r="F31" i="192"/>
  <c r="G31" i="192"/>
  <c r="H31" i="192"/>
  <c r="I31" i="192"/>
  <c r="J31" i="192"/>
  <c r="K31" i="192"/>
  <c r="L31" i="192"/>
  <c r="M31" i="192"/>
  <c r="E32" i="192"/>
  <c r="F32" i="192"/>
  <c r="G32" i="192"/>
  <c r="H32" i="192"/>
  <c r="I32" i="192"/>
  <c r="J32" i="192"/>
  <c r="K32" i="192"/>
  <c r="L32" i="192"/>
  <c r="M32" i="192"/>
  <c r="E33" i="192"/>
  <c r="F33" i="192"/>
  <c r="G33" i="192"/>
  <c r="H33" i="192"/>
  <c r="I33" i="192"/>
  <c r="J33" i="192"/>
  <c r="K33" i="192"/>
  <c r="L33" i="192"/>
  <c r="M33" i="192"/>
  <c r="H87" i="190"/>
  <c r="I87" i="190"/>
  <c r="H68" i="190"/>
  <c r="I68" i="190"/>
  <c r="H69" i="190"/>
  <c r="I69" i="190"/>
  <c r="H70" i="190"/>
  <c r="I70" i="190"/>
  <c r="H71" i="190"/>
  <c r="I71" i="190"/>
  <c r="H72" i="190"/>
  <c r="I72" i="190"/>
  <c r="H73" i="190"/>
  <c r="I73" i="190"/>
  <c r="H74" i="190"/>
  <c r="I74" i="190"/>
  <c r="H75" i="190"/>
  <c r="I75" i="190"/>
  <c r="H76" i="190"/>
  <c r="I76" i="190"/>
  <c r="H77" i="190"/>
  <c r="I77" i="190"/>
  <c r="H78" i="190"/>
  <c r="I78" i="190"/>
  <c r="H79" i="190"/>
  <c r="I79" i="190"/>
  <c r="H80" i="190"/>
  <c r="I80" i="190"/>
  <c r="H81" i="190"/>
  <c r="I81" i="190"/>
  <c r="H82" i="190"/>
  <c r="I82" i="190"/>
  <c r="H83" i="190"/>
  <c r="I83" i="190"/>
  <c r="H84" i="190"/>
  <c r="I84" i="190"/>
  <c r="H85" i="190"/>
  <c r="I85" i="190"/>
  <c r="H86" i="190"/>
  <c r="I86" i="190"/>
  <c r="E19" i="189"/>
  <c r="F19" i="189"/>
  <c r="F24" i="190" s="1"/>
  <c r="G19" i="189"/>
  <c r="G24" i="190" s="1"/>
  <c r="H19" i="189"/>
  <c r="I19" i="189"/>
  <c r="J19" i="189"/>
  <c r="K19" i="189"/>
  <c r="L19" i="189"/>
  <c r="M19" i="189"/>
  <c r="E20" i="189"/>
  <c r="F20" i="189"/>
  <c r="G20" i="189"/>
  <c r="G25" i="190" s="1"/>
  <c r="H20" i="189"/>
  <c r="I20" i="189"/>
  <c r="J20" i="189"/>
  <c r="J69" i="190" s="1"/>
  <c r="K20" i="189"/>
  <c r="K69" i="190" s="1"/>
  <c r="L20" i="189"/>
  <c r="L69" i="190" s="1"/>
  <c r="M20" i="189"/>
  <c r="M69" i="190" s="1"/>
  <c r="E21" i="189"/>
  <c r="F21" i="189"/>
  <c r="F26" i="190" s="1"/>
  <c r="G21" i="189"/>
  <c r="H21" i="189"/>
  <c r="I21" i="189"/>
  <c r="J21" i="189"/>
  <c r="J70" i="190" s="1"/>
  <c r="K21" i="189"/>
  <c r="L21" i="189"/>
  <c r="M21" i="189"/>
  <c r="E22" i="189"/>
  <c r="F22" i="189"/>
  <c r="G22" i="189"/>
  <c r="G27" i="190" s="1"/>
  <c r="H22" i="189"/>
  <c r="I22" i="189"/>
  <c r="J22" i="189"/>
  <c r="J71" i="190" s="1"/>
  <c r="K22" i="189"/>
  <c r="K71" i="190" s="1"/>
  <c r="L22" i="189"/>
  <c r="L71" i="190" s="1"/>
  <c r="M22" i="189"/>
  <c r="M71" i="190" s="1"/>
  <c r="E23" i="189"/>
  <c r="F23" i="189"/>
  <c r="G23" i="189"/>
  <c r="G28" i="190" s="1"/>
  <c r="H23" i="189"/>
  <c r="I23" i="189"/>
  <c r="J23" i="189"/>
  <c r="J72" i="190" s="1"/>
  <c r="K23" i="189"/>
  <c r="L23" i="189"/>
  <c r="M23" i="189"/>
  <c r="E24" i="189"/>
  <c r="F24" i="189"/>
  <c r="G24" i="189"/>
  <c r="G29" i="190" s="1"/>
  <c r="H24" i="189"/>
  <c r="I24" i="189"/>
  <c r="J24" i="189"/>
  <c r="J73" i="190" s="1"/>
  <c r="K24" i="189"/>
  <c r="L24" i="189"/>
  <c r="M24" i="189"/>
  <c r="E25" i="189"/>
  <c r="F25" i="189"/>
  <c r="G25" i="189"/>
  <c r="G30" i="190" s="1"/>
  <c r="H25" i="189"/>
  <c r="I25" i="189"/>
  <c r="J25" i="189"/>
  <c r="J74" i="190" s="1"/>
  <c r="K25" i="189"/>
  <c r="K74" i="190" s="1"/>
  <c r="L25" i="189"/>
  <c r="L74" i="190" s="1"/>
  <c r="M25" i="189"/>
  <c r="M74" i="190" s="1"/>
  <c r="E26" i="189"/>
  <c r="F26" i="189"/>
  <c r="F31" i="190" s="1"/>
  <c r="G26" i="189"/>
  <c r="H26" i="189"/>
  <c r="I26" i="189"/>
  <c r="J26" i="189"/>
  <c r="J75" i="190" s="1"/>
  <c r="K26" i="189"/>
  <c r="L26" i="189"/>
  <c r="M26" i="189"/>
  <c r="E27" i="189"/>
  <c r="F27" i="189"/>
  <c r="G27" i="189"/>
  <c r="G32" i="190" s="1"/>
  <c r="H27" i="189"/>
  <c r="I27" i="189"/>
  <c r="J27" i="189"/>
  <c r="J76" i="190" s="1"/>
  <c r="K27" i="189"/>
  <c r="K76" i="190" s="1"/>
  <c r="L27" i="189"/>
  <c r="M27" i="189"/>
  <c r="M76" i="190" s="1"/>
  <c r="E28" i="189"/>
  <c r="F28" i="189"/>
  <c r="G28" i="189"/>
  <c r="G33" i="190" s="1"/>
  <c r="H28" i="189"/>
  <c r="I28" i="189"/>
  <c r="J28" i="189"/>
  <c r="J77" i="190" s="1"/>
  <c r="K28" i="189"/>
  <c r="L28" i="189"/>
  <c r="M28" i="189"/>
  <c r="M77" i="190" s="1"/>
  <c r="E29" i="189"/>
  <c r="F29" i="189"/>
  <c r="F34" i="190" s="1"/>
  <c r="G29" i="189"/>
  <c r="H29" i="189"/>
  <c r="I29" i="189"/>
  <c r="J29" i="189"/>
  <c r="J78" i="190" s="1"/>
  <c r="K29" i="189"/>
  <c r="K78" i="190" s="1"/>
  <c r="L29" i="189"/>
  <c r="M29" i="189"/>
  <c r="E30" i="189"/>
  <c r="F30" i="189"/>
  <c r="G30" i="189"/>
  <c r="G35" i="190" s="1"/>
  <c r="H30" i="189"/>
  <c r="I30" i="189"/>
  <c r="J30" i="189"/>
  <c r="J79" i="190" s="1"/>
  <c r="K30" i="189"/>
  <c r="L30" i="189"/>
  <c r="L79" i="190" s="1"/>
  <c r="M30" i="189"/>
  <c r="M79" i="190" s="1"/>
  <c r="E31" i="189"/>
  <c r="F31" i="189"/>
  <c r="G31" i="189"/>
  <c r="H31" i="189"/>
  <c r="I31" i="189"/>
  <c r="J31" i="189"/>
  <c r="J80" i="190" s="1"/>
  <c r="K31" i="189"/>
  <c r="L31" i="189"/>
  <c r="L80" i="190" s="1"/>
  <c r="M31" i="189"/>
  <c r="E32" i="189"/>
  <c r="F32" i="189"/>
  <c r="G32" i="189"/>
  <c r="G37" i="190" s="1"/>
  <c r="H32" i="189"/>
  <c r="I32" i="189"/>
  <c r="J32" i="189"/>
  <c r="J81" i="190" s="1"/>
  <c r="K32" i="189"/>
  <c r="L32" i="189"/>
  <c r="M32" i="189"/>
  <c r="M81" i="190" s="1"/>
  <c r="E33" i="189"/>
  <c r="F33" i="189"/>
  <c r="F82" i="190" s="1"/>
  <c r="G33" i="189"/>
  <c r="G82" i="190" s="1"/>
  <c r="H33" i="189"/>
  <c r="I33" i="189"/>
  <c r="J33" i="189"/>
  <c r="J82" i="190" s="1"/>
  <c r="K33" i="189"/>
  <c r="L33" i="189"/>
  <c r="M33" i="189"/>
  <c r="M82" i="190" s="1"/>
  <c r="E34" i="189"/>
  <c r="F34" i="189"/>
  <c r="F83" i="190" s="1"/>
  <c r="G34" i="189"/>
  <c r="H34" i="189"/>
  <c r="I34" i="189"/>
  <c r="J34" i="189"/>
  <c r="J83" i="190" s="1"/>
  <c r="K34" i="189"/>
  <c r="K83" i="190" s="1"/>
  <c r="L34" i="189"/>
  <c r="L83" i="190" s="1"/>
  <c r="M34" i="189"/>
  <c r="M83" i="190" s="1"/>
  <c r="E35" i="189"/>
  <c r="F35" i="189"/>
  <c r="F84" i="190" s="1"/>
  <c r="G35" i="189"/>
  <c r="H35" i="189"/>
  <c r="I35" i="189"/>
  <c r="J35" i="189"/>
  <c r="J84" i="190" s="1"/>
  <c r="K35" i="189"/>
  <c r="L35" i="189"/>
  <c r="M35" i="189"/>
  <c r="E36" i="189"/>
  <c r="F36" i="189"/>
  <c r="F85" i="190" s="1"/>
  <c r="G36" i="189"/>
  <c r="G85" i="190" s="1"/>
  <c r="H36" i="189"/>
  <c r="I36" i="189"/>
  <c r="J36" i="189"/>
  <c r="J85" i="190" s="1"/>
  <c r="K36" i="189"/>
  <c r="L36" i="189"/>
  <c r="M36" i="189"/>
  <c r="E37" i="189"/>
  <c r="F37" i="189"/>
  <c r="F86" i="190" s="1"/>
  <c r="G37" i="189"/>
  <c r="G86" i="190" s="1"/>
  <c r="H37" i="189"/>
  <c r="I37" i="189"/>
  <c r="J37" i="189"/>
  <c r="J86" i="190" s="1"/>
  <c r="K37" i="189"/>
  <c r="K86" i="190" s="1"/>
  <c r="L37" i="189"/>
  <c r="L86" i="190" s="1"/>
  <c r="M37" i="189"/>
  <c r="M86" i="190" s="1"/>
  <c r="E38" i="189"/>
  <c r="F38" i="189"/>
  <c r="G38" i="189"/>
  <c r="H38" i="189"/>
  <c r="I38" i="189"/>
  <c r="J38" i="189"/>
  <c r="J87" i="190" s="1"/>
  <c r="K38" i="189"/>
  <c r="K87" i="190" s="1"/>
  <c r="L38" i="189"/>
  <c r="M38" i="189"/>
  <c r="D18" i="22"/>
  <c r="F18" i="22"/>
  <c r="H18" i="22"/>
  <c r="I18" i="22"/>
  <c r="J18" i="22"/>
  <c r="Q18" i="22"/>
  <c r="R18" i="22"/>
  <c r="S18" i="22"/>
  <c r="T18" i="22"/>
  <c r="U18" i="22"/>
  <c r="V18" i="22"/>
  <c r="W18" i="22"/>
  <c r="X18" i="22"/>
  <c r="Y18" i="22"/>
  <c r="Z18" i="22"/>
  <c r="AA18" i="22"/>
  <c r="AB18" i="22"/>
  <c r="AC18" i="22"/>
  <c r="AD18" i="22"/>
  <c r="AE18" i="22"/>
  <c r="AR18" i="22"/>
  <c r="C38" i="28"/>
  <c r="D38" i="28"/>
  <c r="E38" i="28"/>
  <c r="F38" i="28"/>
  <c r="G38" i="28"/>
  <c r="H38" i="28"/>
  <c r="I38" i="28"/>
  <c r="J38" i="28"/>
  <c r="K38" i="28"/>
  <c r="C35" i="28"/>
  <c r="D35" i="28"/>
  <c r="E35" i="28"/>
  <c r="F35" i="28"/>
  <c r="G35" i="28"/>
  <c r="H35" i="28"/>
  <c r="I35" i="28"/>
  <c r="J35" i="28"/>
  <c r="K35" i="28"/>
  <c r="C36" i="28"/>
  <c r="D36" i="28"/>
  <c r="E36" i="28"/>
  <c r="F36" i="28"/>
  <c r="G36" i="28"/>
  <c r="H36" i="28"/>
  <c r="I36" i="28"/>
  <c r="J36" i="28"/>
  <c r="K36" i="28"/>
  <c r="C37" i="28"/>
  <c r="D37" i="28"/>
  <c r="E37" i="28"/>
  <c r="F37" i="28"/>
  <c r="G37" i="28"/>
  <c r="H37" i="28"/>
  <c r="I37" i="28"/>
  <c r="J37" i="28"/>
  <c r="K37" i="28"/>
  <c r="C19" i="28"/>
  <c r="D19" i="28"/>
  <c r="E19" i="28"/>
  <c r="F19" i="28"/>
  <c r="G19" i="28"/>
  <c r="H19" i="28"/>
  <c r="I19" i="28"/>
  <c r="J19" i="28"/>
  <c r="K19" i="28"/>
  <c r="C20" i="28"/>
  <c r="D20" i="28"/>
  <c r="E20" i="28"/>
  <c r="F20" i="28"/>
  <c r="G20" i="28"/>
  <c r="H20" i="28"/>
  <c r="I20" i="28"/>
  <c r="J20" i="28"/>
  <c r="K20" i="28"/>
  <c r="C21" i="28"/>
  <c r="D21" i="28"/>
  <c r="E21" i="28"/>
  <c r="F21" i="28"/>
  <c r="G21" i="28"/>
  <c r="H21" i="28"/>
  <c r="I21" i="28"/>
  <c r="J21" i="28"/>
  <c r="K21" i="28"/>
  <c r="C22" i="28"/>
  <c r="D22" i="28"/>
  <c r="E22" i="28"/>
  <c r="F22" i="28"/>
  <c r="G22" i="28"/>
  <c r="H22" i="28"/>
  <c r="I22" i="28"/>
  <c r="J22" i="28"/>
  <c r="K22" i="28"/>
  <c r="C23" i="28"/>
  <c r="D23" i="28"/>
  <c r="E23" i="28"/>
  <c r="F23" i="28"/>
  <c r="G23" i="28"/>
  <c r="H23" i="28"/>
  <c r="I23" i="28"/>
  <c r="J23" i="28"/>
  <c r="K23" i="28"/>
  <c r="C24" i="28"/>
  <c r="D24" i="28"/>
  <c r="E24" i="28"/>
  <c r="F24" i="28"/>
  <c r="G24" i="28"/>
  <c r="H24" i="28"/>
  <c r="I24" i="28"/>
  <c r="J24" i="28"/>
  <c r="K24" i="28"/>
  <c r="C25" i="28"/>
  <c r="D25" i="28"/>
  <c r="E25" i="28"/>
  <c r="F25" i="28"/>
  <c r="G25" i="28"/>
  <c r="H25" i="28"/>
  <c r="I25" i="28"/>
  <c r="J25" i="28"/>
  <c r="K25" i="28"/>
  <c r="C26" i="28"/>
  <c r="D26" i="28"/>
  <c r="E26" i="28"/>
  <c r="F26" i="28"/>
  <c r="G26" i="28"/>
  <c r="H26" i="28"/>
  <c r="I26" i="28"/>
  <c r="J26" i="28"/>
  <c r="K26" i="28"/>
  <c r="C27" i="28"/>
  <c r="D27" i="28"/>
  <c r="E27" i="28"/>
  <c r="F27" i="28"/>
  <c r="G27" i="28"/>
  <c r="H27" i="28"/>
  <c r="I27" i="28"/>
  <c r="J27" i="28"/>
  <c r="K27" i="28"/>
  <c r="C28" i="28"/>
  <c r="D28" i="28"/>
  <c r="E28" i="28"/>
  <c r="F28" i="28"/>
  <c r="G28" i="28"/>
  <c r="H28" i="28"/>
  <c r="I28" i="28"/>
  <c r="J28" i="28"/>
  <c r="K28" i="28"/>
  <c r="C29" i="28"/>
  <c r="D29" i="28"/>
  <c r="E29" i="28"/>
  <c r="F29" i="28"/>
  <c r="G29" i="28"/>
  <c r="H29" i="28"/>
  <c r="I29" i="28"/>
  <c r="J29" i="28"/>
  <c r="K29" i="28"/>
  <c r="C30" i="28"/>
  <c r="D30" i="28"/>
  <c r="E30" i="28"/>
  <c r="F30" i="28"/>
  <c r="G30" i="28"/>
  <c r="H30" i="28"/>
  <c r="I30" i="28"/>
  <c r="J30" i="28"/>
  <c r="K30" i="28"/>
  <c r="C31" i="28"/>
  <c r="D31" i="28"/>
  <c r="E31" i="28"/>
  <c r="F31" i="28"/>
  <c r="G31" i="28"/>
  <c r="H31" i="28"/>
  <c r="I31" i="28"/>
  <c r="J31" i="28"/>
  <c r="K31" i="28"/>
  <c r="C32" i="28"/>
  <c r="D32" i="28"/>
  <c r="E32" i="28"/>
  <c r="F32" i="28"/>
  <c r="G32" i="28"/>
  <c r="H32" i="28"/>
  <c r="I32" i="28"/>
  <c r="J32" i="28"/>
  <c r="K32" i="28"/>
  <c r="C33" i="28"/>
  <c r="D33" i="28"/>
  <c r="E33" i="28"/>
  <c r="F33" i="28"/>
  <c r="G33" i="28"/>
  <c r="H33" i="28"/>
  <c r="I33" i="28"/>
  <c r="J33" i="28"/>
  <c r="K33" i="28"/>
  <c r="C34" i="28"/>
  <c r="D34" i="28"/>
  <c r="E34" i="28"/>
  <c r="F34" i="28"/>
  <c r="G34" i="28"/>
  <c r="H34" i="28"/>
  <c r="I34" i="28"/>
  <c r="J34" i="28"/>
  <c r="K34" i="28"/>
  <c r="C57" i="92"/>
  <c r="F57" i="92"/>
  <c r="H57" i="92"/>
  <c r="I57" i="92"/>
  <c r="C52" i="92"/>
  <c r="F52" i="92"/>
  <c r="H52" i="92"/>
  <c r="I52" i="92"/>
  <c r="C53" i="92"/>
  <c r="F53" i="92"/>
  <c r="H53" i="92"/>
  <c r="I53" i="92"/>
  <c r="C54" i="92"/>
  <c r="F54" i="92"/>
  <c r="H54" i="92"/>
  <c r="I54" i="92"/>
  <c r="C55" i="92"/>
  <c r="F55" i="92"/>
  <c r="H55" i="92"/>
  <c r="I55" i="92"/>
  <c r="C56" i="92"/>
  <c r="F56" i="92"/>
  <c r="H56" i="92"/>
  <c r="I56" i="92"/>
  <c r="C38" i="92"/>
  <c r="F38" i="92"/>
  <c r="H38" i="92"/>
  <c r="I38" i="92"/>
  <c r="C39" i="92"/>
  <c r="D39" i="92"/>
  <c r="E39" i="92"/>
  <c r="F39" i="92"/>
  <c r="H39" i="92"/>
  <c r="I39" i="92"/>
  <c r="C40" i="92"/>
  <c r="D40" i="92"/>
  <c r="E40" i="92"/>
  <c r="F40" i="92"/>
  <c r="H40" i="92"/>
  <c r="I40" i="92"/>
  <c r="C41" i="92"/>
  <c r="F41" i="92"/>
  <c r="H41" i="92"/>
  <c r="I41" i="92"/>
  <c r="C42" i="92"/>
  <c r="F42" i="92"/>
  <c r="H42" i="92"/>
  <c r="I42" i="92"/>
  <c r="C43" i="92"/>
  <c r="F43" i="92"/>
  <c r="H43" i="92"/>
  <c r="I43" i="92"/>
  <c r="C44" i="92"/>
  <c r="F44" i="92"/>
  <c r="H44" i="92"/>
  <c r="I44" i="92"/>
  <c r="C45" i="92"/>
  <c r="F45" i="92"/>
  <c r="H45" i="92"/>
  <c r="I45" i="92"/>
  <c r="C46" i="92"/>
  <c r="F46" i="92"/>
  <c r="H46" i="92"/>
  <c r="I46" i="92"/>
  <c r="C47" i="92"/>
  <c r="F47" i="92"/>
  <c r="H47" i="92"/>
  <c r="I47" i="92"/>
  <c r="C48" i="92"/>
  <c r="F48" i="92"/>
  <c r="H48" i="92"/>
  <c r="I48" i="92"/>
  <c r="C49" i="92"/>
  <c r="F49" i="92"/>
  <c r="H49" i="92"/>
  <c r="I49" i="92"/>
  <c r="C50" i="92"/>
  <c r="F50" i="92"/>
  <c r="H50" i="92"/>
  <c r="I50" i="92"/>
  <c r="C51" i="92"/>
  <c r="F51" i="92"/>
  <c r="H51" i="92"/>
  <c r="I51" i="92"/>
  <c r="D320" i="827"/>
  <c r="E320" i="827"/>
  <c r="D321" i="827"/>
  <c r="E321" i="827"/>
  <c r="D37" i="189" s="1"/>
  <c r="AC37" i="189" s="1"/>
  <c r="D322" i="827"/>
  <c r="E322" i="827"/>
  <c r="D38" i="189" s="1"/>
  <c r="AC38" i="189" s="1"/>
  <c r="D323" i="827"/>
  <c r="E323" i="827"/>
  <c r="D303" i="827"/>
  <c r="E303" i="827"/>
  <c r="D19" i="189" s="1"/>
  <c r="AC19" i="189" s="1"/>
  <c r="D304" i="827"/>
  <c r="E304" i="827"/>
  <c r="D20" i="189" s="1"/>
  <c r="AC20" i="189" s="1"/>
  <c r="D305" i="827"/>
  <c r="E305" i="827"/>
  <c r="D21" i="189" s="1"/>
  <c r="AC21" i="189" s="1"/>
  <c r="D306" i="827"/>
  <c r="E306" i="827"/>
  <c r="D307" i="827"/>
  <c r="E307" i="827"/>
  <c r="D23" i="189" s="1"/>
  <c r="AC23" i="189" s="1"/>
  <c r="D308" i="827"/>
  <c r="E308" i="827"/>
  <c r="D24" i="189" s="1"/>
  <c r="AC24" i="189" s="1"/>
  <c r="D309" i="827"/>
  <c r="E309" i="827"/>
  <c r="D25" i="189" s="1"/>
  <c r="AC25" i="189" s="1"/>
  <c r="D310" i="827"/>
  <c r="E310" i="827"/>
  <c r="D26" i="189" s="1"/>
  <c r="AC26" i="189" s="1"/>
  <c r="D311" i="827"/>
  <c r="E311" i="827"/>
  <c r="D27" i="189" s="1"/>
  <c r="AC27" i="189" s="1"/>
  <c r="D312" i="827"/>
  <c r="E312" i="827"/>
  <c r="D28" i="189" s="1"/>
  <c r="AC28" i="189" s="1"/>
  <c r="D313" i="827"/>
  <c r="E313" i="827"/>
  <c r="D29" i="189" s="1"/>
  <c r="AC29" i="189" s="1"/>
  <c r="D314" i="827"/>
  <c r="E314" i="827"/>
  <c r="D315" i="827"/>
  <c r="E315" i="827"/>
  <c r="D31" i="189" s="1"/>
  <c r="AC31" i="189" s="1"/>
  <c r="D316" i="827"/>
  <c r="E316" i="827"/>
  <c r="D317" i="827"/>
  <c r="E317" i="827"/>
  <c r="D318" i="827"/>
  <c r="E318" i="827"/>
  <c r="D34" i="189" s="1"/>
  <c r="AC34" i="189" s="1"/>
  <c r="D319" i="827"/>
  <c r="E319" i="827"/>
  <c r="D151" i="827"/>
  <c r="D185" i="827" s="1"/>
  <c r="D253" i="827" s="1"/>
  <c r="D287" i="827" s="1"/>
  <c r="E151" i="827"/>
  <c r="D152" i="827"/>
  <c r="D186" i="827" s="1"/>
  <c r="D254" i="827" s="1"/>
  <c r="D288" i="827" s="1"/>
  <c r="E152" i="827"/>
  <c r="D133" i="827"/>
  <c r="D167" i="827" s="1"/>
  <c r="D235" i="827" s="1"/>
  <c r="D269" i="827" s="1"/>
  <c r="E133" i="827"/>
  <c r="D134" i="827"/>
  <c r="D168" i="827" s="1"/>
  <c r="D236" i="827" s="1"/>
  <c r="D270" i="827" s="1"/>
  <c r="E134" i="827"/>
  <c r="D135" i="827"/>
  <c r="D169" i="827" s="1"/>
  <c r="D237" i="827" s="1"/>
  <c r="D271" i="827" s="1"/>
  <c r="E135" i="827"/>
  <c r="D136" i="827"/>
  <c r="D170" i="827" s="1"/>
  <c r="D238" i="827" s="1"/>
  <c r="D272" i="827" s="1"/>
  <c r="E136" i="827"/>
  <c r="D137" i="827"/>
  <c r="D171" i="827" s="1"/>
  <c r="D239" i="827" s="1"/>
  <c r="D273" i="827" s="1"/>
  <c r="E137" i="827"/>
  <c r="D138" i="827"/>
  <c r="D172" i="827" s="1"/>
  <c r="D240" i="827" s="1"/>
  <c r="D274" i="827" s="1"/>
  <c r="E138" i="827"/>
  <c r="D139" i="827"/>
  <c r="D173" i="827" s="1"/>
  <c r="D241" i="827" s="1"/>
  <c r="D275" i="827" s="1"/>
  <c r="E139" i="827"/>
  <c r="D140" i="827"/>
  <c r="D174" i="827" s="1"/>
  <c r="D242" i="827" s="1"/>
  <c r="D276" i="827" s="1"/>
  <c r="E140" i="827"/>
  <c r="D141" i="827"/>
  <c r="D175" i="827" s="1"/>
  <c r="D243" i="827" s="1"/>
  <c r="D277" i="827" s="1"/>
  <c r="E141" i="827"/>
  <c r="D142" i="827"/>
  <c r="D176" i="827" s="1"/>
  <c r="D244" i="827" s="1"/>
  <c r="D278" i="827" s="1"/>
  <c r="E142" i="827"/>
  <c r="D143" i="827"/>
  <c r="D177" i="827" s="1"/>
  <c r="D245" i="827" s="1"/>
  <c r="D279" i="827" s="1"/>
  <c r="E143" i="827"/>
  <c r="D144" i="827"/>
  <c r="D178" i="827" s="1"/>
  <c r="D246" i="827" s="1"/>
  <c r="D280" i="827" s="1"/>
  <c r="E144" i="827"/>
  <c r="D145" i="827"/>
  <c r="D179" i="827" s="1"/>
  <c r="D247" i="827" s="1"/>
  <c r="D281" i="827" s="1"/>
  <c r="E145" i="827"/>
  <c r="D146" i="827"/>
  <c r="D180" i="827" s="1"/>
  <c r="D248" i="827" s="1"/>
  <c r="D282" i="827" s="1"/>
  <c r="E146" i="827"/>
  <c r="D147" i="827"/>
  <c r="D181" i="827" s="1"/>
  <c r="D249" i="827" s="1"/>
  <c r="D283" i="827" s="1"/>
  <c r="E147" i="827"/>
  <c r="D148" i="827"/>
  <c r="D182" i="827" s="1"/>
  <c r="D250" i="827" s="1"/>
  <c r="D284" i="827" s="1"/>
  <c r="E148" i="827"/>
  <c r="D149" i="827"/>
  <c r="D183" i="827" s="1"/>
  <c r="D251" i="827" s="1"/>
  <c r="D285" i="827" s="1"/>
  <c r="E149" i="827"/>
  <c r="D150" i="827"/>
  <c r="D184" i="827" s="1"/>
  <c r="D252" i="827" s="1"/>
  <c r="D286" i="827" s="1"/>
  <c r="E150" i="827"/>
  <c r="D133" i="192" l="1"/>
  <c r="D131" i="192"/>
  <c r="D127" i="192"/>
  <c r="D125" i="192"/>
  <c r="D121" i="192"/>
  <c r="D130" i="192"/>
  <c r="D129" i="192"/>
  <c r="D126" i="192"/>
  <c r="D123" i="192"/>
  <c r="D137" i="192"/>
  <c r="D136" i="192"/>
  <c r="D122" i="192"/>
  <c r="D132" i="192"/>
  <c r="D128" i="192"/>
  <c r="D124" i="192"/>
  <c r="V98" i="826"/>
  <c r="K29" i="2"/>
  <c r="K26" i="2"/>
  <c r="K38" i="2" s="1"/>
  <c r="S102" i="840"/>
  <c r="J3" i="841"/>
  <c r="E5" i="855"/>
  <c r="T41" i="826"/>
  <c r="T40" i="826"/>
  <c r="T43" i="826"/>
  <c r="T42" i="826"/>
  <c r="D130" i="829" a="1"/>
  <c r="T145" i="829"/>
  <c r="D151" i="829" a="1"/>
  <c r="T166" i="829"/>
  <c r="D172" i="829" a="1"/>
  <c r="E179" i="827"/>
  <c r="E247" i="827" s="1"/>
  <c r="E281" i="827" s="1"/>
  <c r="D30" i="190"/>
  <c r="D81" i="189"/>
  <c r="E175" i="827"/>
  <c r="E243" i="827" s="1"/>
  <c r="E277" i="827" s="1"/>
  <c r="D26" i="190"/>
  <c r="D77" i="189"/>
  <c r="E171" i="827"/>
  <c r="E239" i="827" s="1"/>
  <c r="E273" i="827" s="1"/>
  <c r="D22" i="190"/>
  <c r="D73" i="189"/>
  <c r="E167" i="827"/>
  <c r="E235" i="827" s="1"/>
  <c r="E269" i="827" s="1"/>
  <c r="D18" i="190"/>
  <c r="D69" i="189"/>
  <c r="D138" i="192"/>
  <c r="D134" i="192"/>
  <c r="F81" i="190"/>
  <c r="F37" i="190"/>
  <c r="G80" i="190"/>
  <c r="G36" i="190"/>
  <c r="F73" i="190"/>
  <c r="F29" i="190"/>
  <c r="E182" i="827"/>
  <c r="E250" i="827" s="1"/>
  <c r="E284" i="827" s="1"/>
  <c r="D33" i="190"/>
  <c r="F80" i="190"/>
  <c r="F36" i="190"/>
  <c r="F72" i="190"/>
  <c r="F28" i="190"/>
  <c r="E178" i="827"/>
  <c r="E246" i="827" s="1"/>
  <c r="E280" i="827" s="1"/>
  <c r="D29" i="190"/>
  <c r="D80" i="189"/>
  <c r="E174" i="827"/>
  <c r="E242" i="827" s="1"/>
  <c r="E276" i="827" s="1"/>
  <c r="D25" i="190"/>
  <c r="D76" i="189"/>
  <c r="E170" i="827"/>
  <c r="E238" i="827" s="1"/>
  <c r="E272" i="827" s="1"/>
  <c r="D21" i="190"/>
  <c r="D72" i="189"/>
  <c r="E186" i="827"/>
  <c r="E254" i="827" s="1"/>
  <c r="E288" i="827" s="1"/>
  <c r="D37" i="190"/>
  <c r="D120" i="192"/>
  <c r="D135" i="192"/>
  <c r="F79" i="190"/>
  <c r="F35" i="190"/>
  <c r="G78" i="190"/>
  <c r="G34" i="190"/>
  <c r="F71" i="190"/>
  <c r="F27" i="190"/>
  <c r="G70" i="190"/>
  <c r="G26" i="190"/>
  <c r="D139" i="192"/>
  <c r="E181" i="827"/>
  <c r="E249" i="827" s="1"/>
  <c r="E283" i="827" s="1"/>
  <c r="D32" i="190"/>
  <c r="E177" i="827"/>
  <c r="E245" i="827" s="1"/>
  <c r="E279" i="827" s="1"/>
  <c r="D28" i="190"/>
  <c r="D79" i="189"/>
  <c r="E173" i="827"/>
  <c r="E241" i="827" s="1"/>
  <c r="E275" i="827" s="1"/>
  <c r="D24" i="190"/>
  <c r="D75" i="189"/>
  <c r="E169" i="827"/>
  <c r="E237" i="827" s="1"/>
  <c r="E271" i="827" s="1"/>
  <c r="D20" i="190"/>
  <c r="D71" i="189"/>
  <c r="E185" i="827"/>
  <c r="E253" i="827" s="1"/>
  <c r="E287" i="827" s="1"/>
  <c r="D36" i="190"/>
  <c r="F77" i="190"/>
  <c r="F33" i="190"/>
  <c r="F69" i="190"/>
  <c r="F25" i="190"/>
  <c r="E183" i="827"/>
  <c r="E251" i="827" s="1"/>
  <c r="E285" i="827" s="1"/>
  <c r="D34" i="190"/>
  <c r="F74" i="190"/>
  <c r="F30" i="190"/>
  <c r="E184" i="827"/>
  <c r="E252" i="827" s="1"/>
  <c r="E286" i="827" s="1"/>
  <c r="D35" i="190"/>
  <c r="E180" i="827"/>
  <c r="E248" i="827" s="1"/>
  <c r="E282" i="827" s="1"/>
  <c r="D31" i="190"/>
  <c r="E176" i="827"/>
  <c r="E244" i="827" s="1"/>
  <c r="E278" i="827" s="1"/>
  <c r="D27" i="190"/>
  <c r="D78" i="189"/>
  <c r="E172" i="827"/>
  <c r="E240" i="827" s="1"/>
  <c r="E274" i="827" s="1"/>
  <c r="D23" i="190"/>
  <c r="D74" i="189"/>
  <c r="E168" i="827"/>
  <c r="E236" i="827" s="1"/>
  <c r="E270" i="827" s="1"/>
  <c r="D19" i="190"/>
  <c r="D70" i="189"/>
  <c r="F76" i="190"/>
  <c r="F32" i="190"/>
  <c r="G75" i="190"/>
  <c r="G31" i="190"/>
  <c r="L26" i="825"/>
  <c r="K17" i="829"/>
  <c r="V93" i="826"/>
  <c r="V145" i="826"/>
  <c r="V29" i="2"/>
  <c r="K99" i="826"/>
  <c r="K114" i="826" s="1"/>
  <c r="S55" i="840" s="1"/>
  <c r="S63" i="840" s="1"/>
  <c r="M146" i="829"/>
  <c r="N144" i="829" s="1"/>
  <c r="L150" i="829" s="1"/>
  <c r="L157" i="829" s="1"/>
  <c r="K26" i="825"/>
  <c r="V50" i="826"/>
  <c r="K12" i="829"/>
  <c r="V28" i="2"/>
  <c r="V97" i="826"/>
  <c r="V158" i="826"/>
  <c r="V27" i="2"/>
  <c r="V96" i="826"/>
  <c r="V95" i="826"/>
  <c r="L38" i="829"/>
  <c r="L17" i="829"/>
  <c r="K23" i="2"/>
  <c r="V23" i="2" s="1"/>
  <c r="M129" i="829"/>
  <c r="L108" i="829"/>
  <c r="M171" i="829"/>
  <c r="M75" i="829"/>
  <c r="M60" i="829" s="1"/>
  <c r="K69" i="826"/>
  <c r="G25" i="238"/>
  <c r="G33" i="238"/>
  <c r="G17" i="238"/>
  <c r="G30" i="238"/>
  <c r="G22" i="238"/>
  <c r="G14" i="238"/>
  <c r="G4" i="238"/>
  <c r="G28" i="238"/>
  <c r="G20" i="238"/>
  <c r="G32" i="238"/>
  <c r="G29" i="238"/>
  <c r="G24" i="238"/>
  <c r="G26" i="238"/>
  <c r="G18" i="238"/>
  <c r="G16" i="238"/>
  <c r="G21" i="238"/>
  <c r="P26" i="189"/>
  <c r="Q25" i="189"/>
  <c r="P28" i="189"/>
  <c r="U29" i="189"/>
  <c r="W29" i="189" s="1"/>
  <c r="U36" i="189"/>
  <c r="W36" i="189" s="1"/>
  <c r="S30" i="189"/>
  <c r="T29" i="189"/>
  <c r="R24" i="189"/>
  <c r="S24" i="189"/>
  <c r="U35" i="189"/>
  <c r="W35" i="189" s="1"/>
  <c r="T28" i="189"/>
  <c r="Q20" i="189"/>
  <c r="O34" i="189"/>
  <c r="P33" i="189"/>
  <c r="J41" i="92"/>
  <c r="R31" i="189"/>
  <c r="S38" i="189"/>
  <c r="S36" i="189"/>
  <c r="T35" i="189"/>
  <c r="O32" i="189"/>
  <c r="P31" i="189"/>
  <c r="Q30" i="189"/>
  <c r="Q37" i="189"/>
  <c r="Q29" i="189"/>
  <c r="J55" i="92"/>
  <c r="R36" i="189"/>
  <c r="O22" i="189"/>
  <c r="T32" i="189"/>
  <c r="P19" i="189"/>
  <c r="S35" i="189"/>
  <c r="P30" i="189"/>
  <c r="S28" i="189"/>
  <c r="T27" i="189"/>
  <c r="U19" i="189"/>
  <c r="W19" i="189" s="1"/>
  <c r="K84" i="190"/>
  <c r="S22" i="189"/>
  <c r="P36" i="189"/>
  <c r="Q28" i="189"/>
  <c r="G71" i="190"/>
  <c r="C18" i="22"/>
  <c r="AJ18" i="22" s="1"/>
  <c r="S32" i="189"/>
  <c r="O35" i="189"/>
  <c r="P34" i="189"/>
  <c r="Q33" i="189"/>
  <c r="S31" i="189"/>
  <c r="R29" i="189"/>
  <c r="O28" i="189"/>
  <c r="Q26" i="189"/>
  <c r="T24" i="189"/>
  <c r="U23" i="189"/>
  <c r="W23" i="189" s="1"/>
  <c r="P20" i="189"/>
  <c r="L78" i="190"/>
  <c r="M72" i="190"/>
  <c r="D27" i="192"/>
  <c r="D78" i="192" s="1"/>
  <c r="D36" i="192"/>
  <c r="D87" i="192" s="1"/>
  <c r="O38" i="189"/>
  <c r="T33" i="189"/>
  <c r="D33" i="189"/>
  <c r="AC33" i="189" s="1"/>
  <c r="O27" i="189"/>
  <c r="G76" i="190"/>
  <c r="O24" i="189"/>
  <c r="G73" i="190"/>
  <c r="D22" i="189"/>
  <c r="AC22" i="189" s="1"/>
  <c r="K80" i="190"/>
  <c r="D28" i="192"/>
  <c r="D79" i="192" s="1"/>
  <c r="D24" i="192"/>
  <c r="D75" i="192" s="1"/>
  <c r="D20" i="192"/>
  <c r="D71" i="192" s="1"/>
  <c r="D19" i="192"/>
  <c r="D70" i="192" s="1"/>
  <c r="D37" i="192"/>
  <c r="D88" i="192" s="1"/>
  <c r="R38" i="189"/>
  <c r="F87" i="190"/>
  <c r="P37" i="189"/>
  <c r="T36" i="189"/>
  <c r="D36" i="189"/>
  <c r="AC36" i="189" s="1"/>
  <c r="S34" i="189"/>
  <c r="S33" i="189"/>
  <c r="U32" i="189"/>
  <c r="W32" i="189" s="1"/>
  <c r="D30" i="189"/>
  <c r="AC30" i="189" s="1"/>
  <c r="O29" i="189"/>
  <c r="U27" i="189"/>
  <c r="W27" i="189" s="1"/>
  <c r="O21" i="189"/>
  <c r="R21" i="189"/>
  <c r="F70" i="190"/>
  <c r="F78" i="190"/>
  <c r="D32" i="192"/>
  <c r="D83" i="192" s="1"/>
  <c r="D31" i="192"/>
  <c r="D82" i="192" s="1"/>
  <c r="D35" i="192"/>
  <c r="D86" i="192" s="1"/>
  <c r="U38" i="189"/>
  <c r="W38" i="189" s="1"/>
  <c r="M87" i="190"/>
  <c r="U24" i="189"/>
  <c r="W24" i="189" s="1"/>
  <c r="M73" i="190"/>
  <c r="O23" i="189"/>
  <c r="G72" i="190"/>
  <c r="U21" i="189"/>
  <c r="W21" i="189" s="1"/>
  <c r="M70" i="190"/>
  <c r="O20" i="189"/>
  <c r="G69" i="190"/>
  <c r="G81" i="190"/>
  <c r="K79" i="190"/>
  <c r="M78" i="190"/>
  <c r="G77" i="190"/>
  <c r="D23" i="192"/>
  <c r="D74" i="192" s="1"/>
  <c r="D25" i="192"/>
  <c r="D76" i="192" s="1"/>
  <c r="T38" i="189"/>
  <c r="L87" i="190"/>
  <c r="D35" i="189"/>
  <c r="AC35" i="189" s="1"/>
  <c r="D32" i="189"/>
  <c r="AC32" i="189" s="1"/>
  <c r="T21" i="189"/>
  <c r="L70" i="190"/>
  <c r="L82" i="190"/>
  <c r="D29" i="192"/>
  <c r="D80" i="192" s="1"/>
  <c r="D21" i="192"/>
  <c r="D72" i="192" s="1"/>
  <c r="D30" i="192"/>
  <c r="D81" i="192" s="1"/>
  <c r="D26" i="192"/>
  <c r="D77" i="192" s="1"/>
  <c r="D22" i="192"/>
  <c r="D73" i="192" s="1"/>
  <c r="R26" i="189"/>
  <c r="F75" i="190"/>
  <c r="P25" i="189"/>
  <c r="P22" i="189"/>
  <c r="S21" i="189"/>
  <c r="K70" i="190"/>
  <c r="Q19" i="189"/>
  <c r="M85" i="190"/>
  <c r="G84" i="190"/>
  <c r="K82" i="190"/>
  <c r="D34" i="192"/>
  <c r="D85" i="192" s="1"/>
  <c r="D33" i="192"/>
  <c r="D84" i="192" s="1"/>
  <c r="D38" i="192"/>
  <c r="D89" i="192" s="1"/>
  <c r="U34" i="189"/>
  <c r="U31" i="189"/>
  <c r="W31" i="189" s="1"/>
  <c r="S29" i="189"/>
  <c r="U26" i="189"/>
  <c r="W26" i="189" s="1"/>
  <c r="M75" i="190"/>
  <c r="O25" i="189"/>
  <c r="G74" i="190"/>
  <c r="T23" i="189"/>
  <c r="L72" i="190"/>
  <c r="L85" i="190"/>
  <c r="L81" i="190"/>
  <c r="L77" i="190"/>
  <c r="L73" i="190"/>
  <c r="G87" i="190"/>
  <c r="S37" i="189"/>
  <c r="O36" i="189"/>
  <c r="T34" i="189"/>
  <c r="T31" i="189"/>
  <c r="O30" i="189"/>
  <c r="T26" i="189"/>
  <c r="L75" i="190"/>
  <c r="Q24" i="189"/>
  <c r="S23" i="189"/>
  <c r="K72" i="190"/>
  <c r="S20" i="189"/>
  <c r="O19" i="189"/>
  <c r="K85" i="190"/>
  <c r="M84" i="190"/>
  <c r="G83" i="190"/>
  <c r="K81" i="190"/>
  <c r="M80" i="190"/>
  <c r="G79" i="190"/>
  <c r="K77" i="190"/>
  <c r="K73" i="190"/>
  <c r="J57" i="92"/>
  <c r="P38" i="189"/>
  <c r="P32" i="189"/>
  <c r="P27" i="189"/>
  <c r="S26" i="189"/>
  <c r="K75" i="190"/>
  <c r="P21" i="189"/>
  <c r="L84" i="190"/>
  <c r="L76" i="190"/>
  <c r="G15" i="238"/>
  <c r="G23" i="238"/>
  <c r="G31" i="238"/>
  <c r="G27" i="238"/>
  <c r="G19" i="238"/>
  <c r="R34" i="189"/>
  <c r="S27" i="189"/>
  <c r="U28" i="189"/>
  <c r="W28" i="189" s="1"/>
  <c r="R25" i="189"/>
  <c r="Q22" i="189"/>
  <c r="R37" i="189"/>
  <c r="P35" i="189"/>
  <c r="R30" i="189"/>
  <c r="R28" i="189"/>
  <c r="U25" i="189"/>
  <c r="W25" i="189" s="1"/>
  <c r="P23" i="189"/>
  <c r="U22" i="189"/>
  <c r="W22" i="189" s="1"/>
  <c r="U37" i="189"/>
  <c r="W37" i="189" s="1"/>
  <c r="R33" i="189"/>
  <c r="U30" i="189"/>
  <c r="W30" i="189" s="1"/>
  <c r="T25" i="189"/>
  <c r="T22" i="189"/>
  <c r="T19" i="189"/>
  <c r="U20" i="189"/>
  <c r="W20" i="189" s="1"/>
  <c r="S19" i="189"/>
  <c r="R22" i="189"/>
  <c r="R20" i="189"/>
  <c r="R19" i="189"/>
  <c r="T37" i="189"/>
  <c r="Q36" i="189"/>
  <c r="U33" i="189"/>
  <c r="Q32" i="189"/>
  <c r="O31" i="189"/>
  <c r="T30" i="189"/>
  <c r="P29" i="189"/>
  <c r="O26" i="189"/>
  <c r="S25" i="189"/>
  <c r="P24" i="189"/>
  <c r="R23" i="189"/>
  <c r="Q21" i="189"/>
  <c r="T20" i="189"/>
  <c r="O37" i="189"/>
  <c r="O33" i="189"/>
  <c r="R27" i="189"/>
  <c r="Q35" i="189"/>
  <c r="Q31" i="189"/>
  <c r="Q27" i="189"/>
  <c r="R32" i="189"/>
  <c r="Q38" i="189"/>
  <c r="Q34" i="189"/>
  <c r="R35" i="189"/>
  <c r="Q23" i="189"/>
  <c r="J54" i="92"/>
  <c r="J56" i="92"/>
  <c r="J53" i="92"/>
  <c r="J52" i="92"/>
  <c r="J39" i="92"/>
  <c r="J43" i="92"/>
  <c r="J38" i="92"/>
  <c r="J47" i="92"/>
  <c r="J51" i="92"/>
  <c r="J44" i="92"/>
  <c r="J48" i="92"/>
  <c r="J50" i="92"/>
  <c r="J46" i="92"/>
  <c r="J42" i="92"/>
  <c r="J40" i="92"/>
  <c r="J49" i="92"/>
  <c r="J45" i="92"/>
  <c r="E220" i="827"/>
  <c r="D87" i="190" s="1"/>
  <c r="D220" i="827"/>
  <c r="E219" i="827"/>
  <c r="D86" i="190" s="1"/>
  <c r="D219" i="827"/>
  <c r="E218" i="827"/>
  <c r="D85" i="190" s="1"/>
  <c r="D218" i="827"/>
  <c r="E210" i="827"/>
  <c r="D77" i="190" s="1"/>
  <c r="D210" i="827"/>
  <c r="E205" i="827"/>
  <c r="D72" i="190" s="1"/>
  <c r="E208" i="827"/>
  <c r="D75" i="190" s="1"/>
  <c r="E216" i="827"/>
  <c r="D83" i="190" s="1"/>
  <c r="D216" i="827"/>
  <c r="D203" i="827"/>
  <c r="E213" i="827"/>
  <c r="D80" i="190" s="1"/>
  <c r="E202" i="827"/>
  <c r="D69" i="190" s="1"/>
  <c r="D208" i="827"/>
  <c r="D211" i="827"/>
  <c r="D202" i="827"/>
  <c r="E215" i="827"/>
  <c r="D82" i="190" s="1"/>
  <c r="D215" i="827"/>
  <c r="E217" i="827"/>
  <c r="D84" i="190" s="1"/>
  <c r="D212" i="827"/>
  <c r="E209" i="827"/>
  <c r="D76" i="190" s="1"/>
  <c r="D204" i="827"/>
  <c r="E201" i="827"/>
  <c r="D68" i="190" s="1"/>
  <c r="E207" i="827"/>
  <c r="D74" i="190" s="1"/>
  <c r="D217" i="827"/>
  <c r="E214" i="827"/>
  <c r="D81" i="190" s="1"/>
  <c r="D209" i="827"/>
  <c r="E206" i="827"/>
  <c r="D73" i="190" s="1"/>
  <c r="D201" i="827"/>
  <c r="D213" i="827"/>
  <c r="D205" i="827"/>
  <c r="E212" i="827"/>
  <c r="D79" i="190" s="1"/>
  <c r="D207" i="827"/>
  <c r="E204" i="827"/>
  <c r="D71" i="190" s="1"/>
  <c r="D214" i="827"/>
  <c r="E211" i="827"/>
  <c r="D78" i="190" s="1"/>
  <c r="D206" i="827"/>
  <c r="E203" i="827"/>
  <c r="D70" i="190" s="1"/>
  <c r="C6" i="837"/>
  <c r="V26" i="2" l="1"/>
  <c r="S47" i="840"/>
  <c r="S46" i="840"/>
  <c r="S45" i="840"/>
  <c r="S44" i="840"/>
  <c r="S43" i="840"/>
  <c r="S42" i="840"/>
  <c r="S38" i="840"/>
  <c r="S36" i="840"/>
  <c r="S37" i="840"/>
  <c r="S39" i="840"/>
  <c r="S51" i="840"/>
  <c r="K72" i="2"/>
  <c r="D47" i="854"/>
  <c r="S40" i="840"/>
  <c r="K70" i="2"/>
  <c r="D135" i="829"/>
  <c r="D131" i="829"/>
  <c r="D132" i="829"/>
  <c r="D133" i="829"/>
  <c r="D134" i="829"/>
  <c r="D130" i="829"/>
  <c r="M130" i="829" s="1"/>
  <c r="D156" i="829"/>
  <c r="D151" i="829"/>
  <c r="M151" i="829" s="1"/>
  <c r="D152" i="829"/>
  <c r="D153" i="829"/>
  <c r="D154" i="829"/>
  <c r="D155" i="829"/>
  <c r="D172" i="829"/>
  <c r="M172" i="829" s="1"/>
  <c r="D175" i="829"/>
  <c r="D173" i="829"/>
  <c r="D174" i="829"/>
  <c r="D176" i="829"/>
  <c r="D177" i="829"/>
  <c r="V33" i="189"/>
  <c r="AD33" i="189" s="1"/>
  <c r="V171" i="826"/>
  <c r="V99" i="826"/>
  <c r="V69" i="826"/>
  <c r="J21" i="825"/>
  <c r="M150" i="829"/>
  <c r="V114" i="826"/>
  <c r="J22" i="825"/>
  <c r="U25" i="826"/>
  <c r="U39" i="826"/>
  <c r="U38" i="826"/>
  <c r="U28" i="826"/>
  <c r="U37" i="826"/>
  <c r="U29" i="826"/>
  <c r="U42" i="826"/>
  <c r="U34" i="826"/>
  <c r="U24" i="826"/>
  <c r="U18" i="826"/>
  <c r="U41" i="826"/>
  <c r="U33" i="826"/>
  <c r="U23" i="826"/>
  <c r="U43" i="826"/>
  <c r="U40" i="826"/>
  <c r="U32" i="826"/>
  <c r="U22" i="826"/>
  <c r="U35" i="826"/>
  <c r="U21" i="826"/>
  <c r="U20" i="826"/>
  <c r="U27" i="826"/>
  <c r="U19" i="826"/>
  <c r="U36" i="826"/>
  <c r="U26" i="826"/>
  <c r="K34" i="829"/>
  <c r="K10" i="829"/>
  <c r="V167" i="826"/>
  <c r="K159" i="826"/>
  <c r="V159" i="826" s="1"/>
  <c r="V161" i="826"/>
  <c r="V162" i="826"/>
  <c r="V160" i="826"/>
  <c r="V29" i="189"/>
  <c r="AD29" i="189" s="1"/>
  <c r="AG18" i="22"/>
  <c r="AH18" i="22"/>
  <c r="AI18" i="22"/>
  <c r="V36" i="189"/>
  <c r="AD36" i="189" s="1"/>
  <c r="V35" i="189"/>
  <c r="AD35" i="189" s="1"/>
  <c r="AK18" i="22"/>
  <c r="AF18" i="22"/>
  <c r="V19" i="189"/>
  <c r="AD19" i="189" s="1"/>
  <c r="V21" i="189"/>
  <c r="AD21" i="189" s="1"/>
  <c r="V25" i="189"/>
  <c r="AD25" i="189" s="1"/>
  <c r="V23" i="189"/>
  <c r="AD23" i="189" s="1"/>
  <c r="V38" i="189"/>
  <c r="AD38" i="189" s="1"/>
  <c r="V34" i="189"/>
  <c r="AD34" i="189" s="1"/>
  <c r="V30" i="189"/>
  <c r="AD30" i="189" s="1"/>
  <c r="V32" i="189"/>
  <c r="AD32" i="189" s="1"/>
  <c r="V24" i="189"/>
  <c r="AD24" i="189" s="1"/>
  <c r="W33" i="189"/>
  <c r="W34" i="189"/>
  <c r="V27" i="189"/>
  <c r="AD27" i="189" s="1"/>
  <c r="V26" i="189"/>
  <c r="AD26" i="189" s="1"/>
  <c r="V31" i="189"/>
  <c r="AD31" i="189" s="1"/>
  <c r="V28" i="189"/>
  <c r="AD28" i="189" s="1"/>
  <c r="V37" i="189"/>
  <c r="AD37" i="189" s="1"/>
  <c r="V20" i="189"/>
  <c r="AD20" i="189" s="1"/>
  <c r="V22" i="189"/>
  <c r="AD22" i="189" s="1"/>
  <c r="B2" i="835"/>
  <c r="J43" i="2"/>
  <c r="J13" i="829" s="1"/>
  <c r="M43" i="2"/>
  <c r="M13" i="829" s="1"/>
  <c r="M28" i="829" s="1"/>
  <c r="U97" i="840" s="1"/>
  <c r="I43" i="2"/>
  <c r="I13" i="829" s="1"/>
  <c r="Q29" i="834"/>
  <c r="R29" i="834" s="1"/>
  <c r="R30" i="834"/>
  <c r="M27" i="834"/>
  <c r="L27" i="834"/>
  <c r="D7" i="834"/>
  <c r="E63" i="834"/>
  <c r="K68" i="2" l="1"/>
  <c r="V38" i="2"/>
  <c r="V163" i="826"/>
  <c r="V165" i="826"/>
  <c r="K40" i="2"/>
  <c r="J23" i="825"/>
  <c r="J31" i="825"/>
  <c r="J33" i="825"/>
  <c r="U50" i="2"/>
  <c r="U153" i="826"/>
  <c r="L43" i="2"/>
  <c r="L13" i="829" s="1"/>
  <c r="L28" i="829" s="1"/>
  <c r="T97" i="840" s="1"/>
  <c r="U146" i="826"/>
  <c r="L155" i="826"/>
  <c r="U45" i="2"/>
  <c r="U148" i="826"/>
  <c r="U46" i="2"/>
  <c r="U149" i="826"/>
  <c r="U47" i="2"/>
  <c r="U150" i="826"/>
  <c r="U51" i="2"/>
  <c r="U154" i="826"/>
  <c r="U44" i="2"/>
  <c r="U147" i="826"/>
  <c r="K11" i="829"/>
  <c r="K168" i="826"/>
  <c r="V168" i="826" s="1"/>
  <c r="Q72" i="829"/>
  <c r="Q73" i="829"/>
  <c r="E61" i="834"/>
  <c r="N69" i="829"/>
  <c r="N68" i="829"/>
  <c r="N67" i="829"/>
  <c r="N66" i="829"/>
  <c r="N74" i="829"/>
  <c r="N73" i="829"/>
  <c r="N72" i="829"/>
  <c r="N71" i="829"/>
  <c r="R171" i="829"/>
  <c r="Q171" i="829"/>
  <c r="P171" i="829"/>
  <c r="O171" i="829"/>
  <c r="N171" i="829"/>
  <c r="N167" i="829"/>
  <c r="O165" i="829" s="1"/>
  <c r="O150" i="829"/>
  <c r="R150" i="829"/>
  <c r="Q150" i="829"/>
  <c r="P150" i="829"/>
  <c r="N150" i="829"/>
  <c r="N146" i="829"/>
  <c r="O144" i="829" s="1"/>
  <c r="O129" i="829"/>
  <c r="P129" i="829"/>
  <c r="Q129" i="829"/>
  <c r="R129" i="829"/>
  <c r="N129" i="829"/>
  <c r="N125" i="829"/>
  <c r="O123" i="829" s="1"/>
  <c r="O108" i="829"/>
  <c r="P108" i="829"/>
  <c r="Q108" i="829"/>
  <c r="R108" i="829"/>
  <c r="N108" i="829"/>
  <c r="N104" i="829"/>
  <c r="O102" i="829" s="1"/>
  <c r="K11" i="863" l="1"/>
  <c r="V40" i="2"/>
  <c r="K69" i="2"/>
  <c r="K54" i="2"/>
  <c r="T108" i="829"/>
  <c r="T171" i="829"/>
  <c r="T129" i="829"/>
  <c r="T150" i="829"/>
  <c r="U43" i="2"/>
  <c r="L52" i="2"/>
  <c r="P73" i="829"/>
  <c r="P72" i="829"/>
  <c r="R73" i="829"/>
  <c r="T73" i="829" s="1"/>
  <c r="R72" i="829"/>
  <c r="T72" i="829" s="1"/>
  <c r="N75" i="829"/>
  <c r="N60" i="829" s="1"/>
  <c r="O67" i="829"/>
  <c r="O69" i="829"/>
  <c r="O68" i="829"/>
  <c r="O66" i="829"/>
  <c r="N61" i="829"/>
  <c r="M14" i="834" s="1"/>
  <c r="V54" i="2" l="1"/>
  <c r="K57" i="2"/>
  <c r="K71" i="2"/>
  <c r="J30" i="825"/>
  <c r="S66" i="840"/>
  <c r="M26" i="825"/>
  <c r="V105" i="840"/>
  <c r="V107" i="840" s="1"/>
  <c r="L12" i="829"/>
  <c r="O73" i="829"/>
  <c r="O72" i="829"/>
  <c r="O146" i="829"/>
  <c r="P144" i="829" s="1"/>
  <c r="P68" i="829" s="1"/>
  <c r="P74" i="829"/>
  <c r="Q74" i="829"/>
  <c r="R74" i="829"/>
  <c r="T74" i="829" s="1"/>
  <c r="O125" i="829"/>
  <c r="P123" i="829" s="1"/>
  <c r="P125" i="829" s="1"/>
  <c r="Q123" i="829" s="1"/>
  <c r="L29" i="829" l="1"/>
  <c r="T98" i="840" s="1"/>
  <c r="L31" i="829"/>
  <c r="T100" i="840" s="1"/>
  <c r="L23" i="829"/>
  <c r="T93" i="840" s="1"/>
  <c r="V57" i="2"/>
  <c r="P146" i="829"/>
  <c r="Q144" i="829" s="1"/>
  <c r="Q68" i="829" s="1"/>
  <c r="P67" i="829"/>
  <c r="O74" i="829"/>
  <c r="O167" i="829"/>
  <c r="P165" i="829" s="1"/>
  <c r="Q125" i="829"/>
  <c r="R123" i="829" s="1"/>
  <c r="T123" i="829" s="1"/>
  <c r="Q67" i="829"/>
  <c r="K10" i="835" l="1"/>
  <c r="J32" i="825"/>
  <c r="K60" i="2"/>
  <c r="V60" i="2" s="1"/>
  <c r="S67" i="840"/>
  <c r="Q146" i="829"/>
  <c r="R144" i="829" s="1"/>
  <c r="P69" i="829"/>
  <c r="P167" i="829"/>
  <c r="Q165" i="829" s="1"/>
  <c r="R125" i="829"/>
  <c r="T125" i="829" s="1"/>
  <c r="R67" i="829"/>
  <c r="T67" i="829" s="1"/>
  <c r="K186" i="826" l="1"/>
  <c r="K187" i="826" s="1"/>
  <c r="K62" i="2" s="1"/>
  <c r="R146" i="829"/>
  <c r="T146" i="829" s="1"/>
  <c r="T144" i="829"/>
  <c r="R68" i="829"/>
  <c r="T68" i="829" s="1"/>
  <c r="Q69" i="829"/>
  <c r="Q167" i="829"/>
  <c r="R165" i="829" s="1"/>
  <c r="T165" i="829" s="1"/>
  <c r="K14" i="829" l="1"/>
  <c r="K14" i="835"/>
  <c r="K18" i="835" s="1"/>
  <c r="V62" i="2"/>
  <c r="K63" i="2"/>
  <c r="V63" i="2" s="1"/>
  <c r="R167" i="829"/>
  <c r="T167" i="829" s="1"/>
  <c r="R69" i="829"/>
  <c r="T69" i="829" s="1"/>
  <c r="K73" i="2" l="1"/>
  <c r="E34" i="188"/>
  <c r="F11" i="587"/>
  <c r="G11" i="587"/>
  <c r="H11" i="587"/>
  <c r="I11" i="587"/>
  <c r="J11" i="587"/>
  <c r="K11" i="587"/>
  <c r="L11" i="587"/>
  <c r="M11" i="587"/>
  <c r="N11" i="587"/>
  <c r="O11" i="587"/>
  <c r="P11" i="587"/>
  <c r="Q11" i="587"/>
  <c r="R11" i="587"/>
  <c r="S11" i="587"/>
  <c r="T11" i="587"/>
  <c r="U11" i="587"/>
  <c r="V11" i="587"/>
  <c r="W11" i="587"/>
  <c r="X11" i="587"/>
  <c r="Y11" i="587"/>
  <c r="Z11" i="587"/>
  <c r="AA11" i="587"/>
  <c r="AB11" i="587"/>
  <c r="AC11" i="587"/>
  <c r="AD11" i="587"/>
  <c r="AE11" i="587"/>
  <c r="AF11" i="587"/>
  <c r="AG11" i="587"/>
  <c r="AH11" i="587"/>
  <c r="AI11" i="587"/>
  <c r="AJ11" i="587"/>
  <c r="AK11" i="587"/>
  <c r="AL11" i="587"/>
  <c r="AM11" i="587"/>
  <c r="AN11" i="587"/>
  <c r="AO11" i="587"/>
  <c r="AP11" i="587"/>
  <c r="F12" i="587"/>
  <c r="G12" i="587"/>
  <c r="H12" i="587"/>
  <c r="I12" i="587"/>
  <c r="J12" i="587"/>
  <c r="K12" i="587"/>
  <c r="L12" i="587"/>
  <c r="M12" i="587"/>
  <c r="N12" i="587"/>
  <c r="O12" i="587"/>
  <c r="P12" i="587"/>
  <c r="Q12" i="587"/>
  <c r="R12" i="587"/>
  <c r="S12" i="587"/>
  <c r="T12" i="587"/>
  <c r="U12" i="587"/>
  <c r="V12" i="587"/>
  <c r="W12" i="587"/>
  <c r="X12" i="587"/>
  <c r="Y12" i="587"/>
  <c r="Z12" i="587"/>
  <c r="AA12" i="587"/>
  <c r="AB12" i="587"/>
  <c r="AC12" i="587"/>
  <c r="AD12" i="587"/>
  <c r="AE12" i="587"/>
  <c r="AF12" i="587"/>
  <c r="AG12" i="587"/>
  <c r="AH12" i="587"/>
  <c r="AI12" i="587"/>
  <c r="AJ12" i="587"/>
  <c r="AK12" i="587"/>
  <c r="AL12" i="587"/>
  <c r="AM12" i="587"/>
  <c r="AN12" i="587"/>
  <c r="AO12" i="587"/>
  <c r="AP12" i="587"/>
  <c r="F13" i="587"/>
  <c r="G13" i="587"/>
  <c r="H13" i="587"/>
  <c r="I13" i="587"/>
  <c r="J13" i="587"/>
  <c r="K13" i="587"/>
  <c r="L13" i="587"/>
  <c r="M13" i="587"/>
  <c r="N13" i="587"/>
  <c r="O13" i="587"/>
  <c r="P13" i="587"/>
  <c r="Q13" i="587"/>
  <c r="R13" i="587"/>
  <c r="S13" i="587"/>
  <c r="T13" i="587"/>
  <c r="U13" i="587"/>
  <c r="V13" i="587"/>
  <c r="W13" i="587"/>
  <c r="X13" i="587"/>
  <c r="Y13" i="587"/>
  <c r="Z13" i="587"/>
  <c r="AA13" i="587"/>
  <c r="AB13" i="587"/>
  <c r="AC13" i="587"/>
  <c r="AD13" i="587"/>
  <c r="AE13" i="587"/>
  <c r="AF13" i="587"/>
  <c r="AG13" i="587"/>
  <c r="AH13" i="587"/>
  <c r="AI13" i="587"/>
  <c r="AJ13" i="587"/>
  <c r="AK13" i="587"/>
  <c r="AL13" i="587"/>
  <c r="AM13" i="587"/>
  <c r="AN13" i="587"/>
  <c r="AO13" i="587"/>
  <c r="AP13" i="587"/>
  <c r="F14" i="587"/>
  <c r="G14" i="587"/>
  <c r="H14" i="587"/>
  <c r="I14" i="587"/>
  <c r="J14" i="587"/>
  <c r="K14" i="587"/>
  <c r="L14" i="587"/>
  <c r="M14" i="587"/>
  <c r="N14" i="587"/>
  <c r="O14" i="587"/>
  <c r="P14" i="587"/>
  <c r="Q14" i="587"/>
  <c r="R14" i="587"/>
  <c r="S14" i="587"/>
  <c r="T14" i="587"/>
  <c r="U14" i="587"/>
  <c r="V14" i="587"/>
  <c r="W14" i="587"/>
  <c r="X14" i="587"/>
  <c r="Y14" i="587"/>
  <c r="Z14" i="587"/>
  <c r="AA14" i="587"/>
  <c r="AB14" i="587"/>
  <c r="AC14" i="587"/>
  <c r="AD14" i="587"/>
  <c r="AE14" i="587"/>
  <c r="AF14" i="587"/>
  <c r="AG14" i="587"/>
  <c r="AH14" i="587"/>
  <c r="AI14" i="587"/>
  <c r="AJ14" i="587"/>
  <c r="AK14" i="587"/>
  <c r="AL14" i="587"/>
  <c r="AM14" i="587"/>
  <c r="AN14" i="587"/>
  <c r="AO14" i="587"/>
  <c r="AP14" i="587"/>
  <c r="F15" i="587"/>
  <c r="G15" i="587"/>
  <c r="H15" i="587"/>
  <c r="I15" i="587"/>
  <c r="J15" i="587"/>
  <c r="K15" i="587"/>
  <c r="L15" i="587"/>
  <c r="M15" i="587"/>
  <c r="N15" i="587"/>
  <c r="O15" i="587"/>
  <c r="P15" i="587"/>
  <c r="Q15" i="587"/>
  <c r="R15" i="587"/>
  <c r="S15" i="587"/>
  <c r="T15" i="587"/>
  <c r="U15" i="587"/>
  <c r="V15" i="587"/>
  <c r="W15" i="587"/>
  <c r="X15" i="587"/>
  <c r="Y15" i="587"/>
  <c r="Z15" i="587"/>
  <c r="AA15" i="587"/>
  <c r="AB15" i="587"/>
  <c r="AC15" i="587"/>
  <c r="AD15" i="587"/>
  <c r="AE15" i="587"/>
  <c r="AF15" i="587"/>
  <c r="AG15" i="587"/>
  <c r="AH15" i="587"/>
  <c r="AI15" i="587"/>
  <c r="AJ15" i="587"/>
  <c r="AK15" i="587"/>
  <c r="AL15" i="587"/>
  <c r="AM15" i="587"/>
  <c r="AN15" i="587"/>
  <c r="AO15" i="587"/>
  <c r="AP15" i="587"/>
  <c r="F16" i="587"/>
  <c r="G16" i="587"/>
  <c r="H16" i="587"/>
  <c r="I16" i="587"/>
  <c r="J16" i="587"/>
  <c r="K16" i="587"/>
  <c r="L16" i="587"/>
  <c r="M16" i="587"/>
  <c r="N16" i="587"/>
  <c r="O16" i="587"/>
  <c r="P16" i="587"/>
  <c r="Q16" i="587"/>
  <c r="R16" i="587"/>
  <c r="S16" i="587"/>
  <c r="T16" i="587"/>
  <c r="U16" i="587"/>
  <c r="V16" i="587"/>
  <c r="W16" i="587"/>
  <c r="X16" i="587"/>
  <c r="Y16" i="587"/>
  <c r="Z16" i="587"/>
  <c r="AA16" i="587"/>
  <c r="AB16" i="587"/>
  <c r="AC16" i="587"/>
  <c r="AD16" i="587"/>
  <c r="AE16" i="587"/>
  <c r="AF16" i="587"/>
  <c r="AG16" i="587"/>
  <c r="AH16" i="587"/>
  <c r="AI16" i="587"/>
  <c r="AJ16" i="587"/>
  <c r="AK16" i="587"/>
  <c r="AL16" i="587"/>
  <c r="AM16" i="587"/>
  <c r="AN16" i="587"/>
  <c r="AO16" i="587"/>
  <c r="AP16" i="587"/>
  <c r="F17" i="587"/>
  <c r="G17" i="587"/>
  <c r="H17" i="587"/>
  <c r="I17" i="587"/>
  <c r="J17" i="587"/>
  <c r="K17" i="587"/>
  <c r="L17" i="587"/>
  <c r="M17" i="587"/>
  <c r="N17" i="587"/>
  <c r="O17" i="587"/>
  <c r="P17" i="587"/>
  <c r="Q17" i="587"/>
  <c r="R17" i="587"/>
  <c r="S17" i="587"/>
  <c r="T17" i="587"/>
  <c r="U17" i="587"/>
  <c r="V17" i="587"/>
  <c r="W17" i="587"/>
  <c r="X17" i="587"/>
  <c r="Y17" i="587"/>
  <c r="Z17" i="587"/>
  <c r="AA17" i="587"/>
  <c r="AB17" i="587"/>
  <c r="AC17" i="587"/>
  <c r="AD17" i="587"/>
  <c r="AE17" i="587"/>
  <c r="AF17" i="587"/>
  <c r="AG17" i="587"/>
  <c r="AH17" i="587"/>
  <c r="AI17" i="587"/>
  <c r="AJ17" i="587"/>
  <c r="AK17" i="587"/>
  <c r="AL17" i="587"/>
  <c r="AM17" i="587"/>
  <c r="AN17" i="587"/>
  <c r="AO17" i="587"/>
  <c r="AP17" i="587"/>
  <c r="F18" i="587"/>
  <c r="G18" i="587"/>
  <c r="H18" i="587"/>
  <c r="I18" i="587"/>
  <c r="J18" i="587"/>
  <c r="K18" i="587"/>
  <c r="L18" i="587"/>
  <c r="M18" i="587"/>
  <c r="N18" i="587"/>
  <c r="O18" i="587"/>
  <c r="P18" i="587"/>
  <c r="Q18" i="587"/>
  <c r="R18" i="587"/>
  <c r="S18" i="587"/>
  <c r="T18" i="587"/>
  <c r="U18" i="587"/>
  <c r="V18" i="587"/>
  <c r="W18" i="587"/>
  <c r="X18" i="587"/>
  <c r="Y18" i="587"/>
  <c r="Z18" i="587"/>
  <c r="AA18" i="587"/>
  <c r="AB18" i="587"/>
  <c r="AC18" i="587"/>
  <c r="AD18" i="587"/>
  <c r="AE18" i="587"/>
  <c r="AF18" i="587"/>
  <c r="AG18" i="587"/>
  <c r="AH18" i="587"/>
  <c r="AI18" i="587"/>
  <c r="AJ18" i="587"/>
  <c r="AK18" i="587"/>
  <c r="AL18" i="587"/>
  <c r="AM18" i="587"/>
  <c r="AN18" i="587"/>
  <c r="AO18" i="587"/>
  <c r="AP18" i="587"/>
  <c r="F19" i="587"/>
  <c r="G19" i="587"/>
  <c r="H19" i="587"/>
  <c r="I19" i="587"/>
  <c r="J19" i="587"/>
  <c r="K19" i="587"/>
  <c r="L19" i="587"/>
  <c r="M19" i="587"/>
  <c r="N19" i="587"/>
  <c r="O19" i="587"/>
  <c r="P19" i="587"/>
  <c r="Q19" i="587"/>
  <c r="R19" i="587"/>
  <c r="S19" i="587"/>
  <c r="T19" i="587"/>
  <c r="U19" i="587"/>
  <c r="V19" i="587"/>
  <c r="W19" i="587"/>
  <c r="X19" i="587"/>
  <c r="Y19" i="587"/>
  <c r="Z19" i="587"/>
  <c r="AA19" i="587"/>
  <c r="AB19" i="587"/>
  <c r="AC19" i="587"/>
  <c r="AD19" i="587"/>
  <c r="AE19" i="587"/>
  <c r="AF19" i="587"/>
  <c r="AG19" i="587"/>
  <c r="AH19" i="587"/>
  <c r="AI19" i="587"/>
  <c r="AJ19" i="587"/>
  <c r="AK19" i="587"/>
  <c r="AL19" i="587"/>
  <c r="AM19" i="587"/>
  <c r="AN19" i="587"/>
  <c r="AO19" i="587"/>
  <c r="AP19" i="587"/>
  <c r="F40" i="587"/>
  <c r="G40" i="587"/>
  <c r="H40" i="587"/>
  <c r="I40" i="587"/>
  <c r="J40" i="587"/>
  <c r="K40" i="587"/>
  <c r="L40" i="587"/>
  <c r="M40" i="587"/>
  <c r="N40" i="587"/>
  <c r="O40" i="587"/>
  <c r="P40" i="587"/>
  <c r="Q40" i="587"/>
  <c r="R40" i="587"/>
  <c r="S40" i="587"/>
  <c r="T40" i="587"/>
  <c r="U40" i="587"/>
  <c r="V40" i="587"/>
  <c r="W40" i="587"/>
  <c r="X40" i="587"/>
  <c r="Y40" i="587"/>
  <c r="Z40" i="587"/>
  <c r="AA40" i="587"/>
  <c r="AB40" i="587"/>
  <c r="AC40" i="587"/>
  <c r="AD40" i="587"/>
  <c r="AE40" i="587"/>
  <c r="AF40" i="587"/>
  <c r="AG40" i="587"/>
  <c r="AH40" i="587"/>
  <c r="AI40" i="587"/>
  <c r="AJ40" i="587"/>
  <c r="AK40" i="587"/>
  <c r="AL40" i="587"/>
  <c r="AM40" i="587"/>
  <c r="AN40" i="587"/>
  <c r="AO40" i="587"/>
  <c r="AP40" i="587"/>
  <c r="E224" i="827"/>
  <c r="D224" i="827"/>
  <c r="C224" i="827"/>
  <c r="E10" i="192"/>
  <c r="E11" i="192"/>
  <c r="E12" i="192"/>
  <c r="E13" i="192"/>
  <c r="E14" i="192"/>
  <c r="E15" i="192"/>
  <c r="E16" i="192"/>
  <c r="E17" i="192"/>
  <c r="E18" i="192"/>
  <c r="E39" i="192"/>
  <c r="E39" i="189"/>
  <c r="E18" i="189"/>
  <c r="E17" i="189"/>
  <c r="E16" i="189"/>
  <c r="E15" i="189"/>
  <c r="E14" i="189"/>
  <c r="E13" i="189"/>
  <c r="E12" i="189"/>
  <c r="E11" i="189"/>
  <c r="E10" i="189"/>
  <c r="D12" i="587"/>
  <c r="D13" i="587"/>
  <c r="D14" i="587"/>
  <c r="D15" i="587"/>
  <c r="D16" i="587"/>
  <c r="D17" i="587"/>
  <c r="D18" i="587"/>
  <c r="D19" i="587"/>
  <c r="D40" i="587"/>
  <c r="D11" i="587"/>
  <c r="C12" i="587"/>
  <c r="C13" i="587"/>
  <c r="C14" i="587"/>
  <c r="C15" i="587"/>
  <c r="C16" i="587"/>
  <c r="C17" i="587"/>
  <c r="C18" i="587"/>
  <c r="C19" i="587"/>
  <c r="C40" i="587"/>
  <c r="C11" i="587"/>
  <c r="H37" i="63"/>
  <c r="H16" i="63"/>
  <c r="H15" i="63"/>
  <c r="H14" i="63"/>
  <c r="H13" i="63"/>
  <c r="H12" i="63"/>
  <c r="H11" i="63"/>
  <c r="H10" i="63"/>
  <c r="H9" i="63"/>
  <c r="H8" i="63"/>
  <c r="F10" i="192"/>
  <c r="G10" i="192"/>
  <c r="H10" i="192"/>
  <c r="I10" i="192"/>
  <c r="J10" i="192"/>
  <c r="K10" i="192"/>
  <c r="L10" i="192"/>
  <c r="M10" i="192"/>
  <c r="F11" i="192"/>
  <c r="G11" i="192"/>
  <c r="H11" i="192"/>
  <c r="I11" i="192"/>
  <c r="J11" i="192"/>
  <c r="K11" i="192"/>
  <c r="L11" i="192"/>
  <c r="M11" i="192"/>
  <c r="F12" i="192"/>
  <c r="G12" i="192"/>
  <c r="H12" i="192"/>
  <c r="I12" i="192"/>
  <c r="J12" i="192"/>
  <c r="K12" i="192"/>
  <c r="L12" i="192"/>
  <c r="M12" i="192"/>
  <c r="F13" i="192"/>
  <c r="G13" i="192"/>
  <c r="H13" i="192"/>
  <c r="I13" i="192"/>
  <c r="J13" i="192"/>
  <c r="K13" i="192"/>
  <c r="L13" i="192"/>
  <c r="M13" i="192"/>
  <c r="F14" i="192"/>
  <c r="G14" i="192"/>
  <c r="H14" i="192"/>
  <c r="I14" i="192"/>
  <c r="J14" i="192"/>
  <c r="K14" i="192"/>
  <c r="L14" i="192"/>
  <c r="M14" i="192"/>
  <c r="F15" i="192"/>
  <c r="G15" i="192"/>
  <c r="H15" i="192"/>
  <c r="I15" i="192"/>
  <c r="J15" i="192"/>
  <c r="K15" i="192"/>
  <c r="L15" i="192"/>
  <c r="M15" i="192"/>
  <c r="F16" i="192"/>
  <c r="G16" i="192"/>
  <c r="H16" i="192"/>
  <c r="I16" i="192"/>
  <c r="J16" i="192"/>
  <c r="K16" i="192"/>
  <c r="L16" i="192"/>
  <c r="M16" i="192"/>
  <c r="F17" i="192"/>
  <c r="G17" i="192"/>
  <c r="H17" i="192"/>
  <c r="I17" i="192"/>
  <c r="J17" i="192"/>
  <c r="K17" i="192"/>
  <c r="L17" i="192"/>
  <c r="M17" i="192"/>
  <c r="F18" i="192"/>
  <c r="G18" i="192"/>
  <c r="H18" i="192"/>
  <c r="I18" i="192"/>
  <c r="J18" i="192"/>
  <c r="K18" i="192"/>
  <c r="L18" i="192"/>
  <c r="M18" i="192"/>
  <c r="F39" i="192"/>
  <c r="G39" i="192"/>
  <c r="H39" i="192"/>
  <c r="I39" i="192"/>
  <c r="J39" i="192"/>
  <c r="K39" i="192"/>
  <c r="L39" i="192"/>
  <c r="M39" i="192"/>
  <c r="F60" i="189"/>
  <c r="G60" i="189"/>
  <c r="H60" i="189"/>
  <c r="I60" i="189"/>
  <c r="J60" i="189"/>
  <c r="K60" i="189"/>
  <c r="L60" i="189"/>
  <c r="M60" i="189"/>
  <c r="F68" i="190"/>
  <c r="G68" i="190"/>
  <c r="J68" i="190"/>
  <c r="K68" i="190"/>
  <c r="L68" i="190"/>
  <c r="M68" i="190"/>
  <c r="F10" i="189"/>
  <c r="G10" i="189"/>
  <c r="H10" i="189"/>
  <c r="I10" i="189"/>
  <c r="J10" i="189"/>
  <c r="K10" i="189"/>
  <c r="L10" i="189"/>
  <c r="M10" i="189"/>
  <c r="F11" i="189"/>
  <c r="G11" i="189"/>
  <c r="H11" i="189"/>
  <c r="I11" i="189"/>
  <c r="J11" i="189"/>
  <c r="K11" i="189"/>
  <c r="L11" i="189"/>
  <c r="M11" i="189"/>
  <c r="F12" i="189"/>
  <c r="G12" i="189"/>
  <c r="H12" i="189"/>
  <c r="I12" i="189"/>
  <c r="J12" i="189"/>
  <c r="K12" i="189"/>
  <c r="L12" i="189"/>
  <c r="M12" i="189"/>
  <c r="F13" i="189"/>
  <c r="G13" i="189"/>
  <c r="H13" i="189"/>
  <c r="I13" i="189"/>
  <c r="J13" i="189"/>
  <c r="K13" i="189"/>
  <c r="L13" i="189"/>
  <c r="M13" i="189"/>
  <c r="F14" i="189"/>
  <c r="F19" i="190" s="1"/>
  <c r="G14" i="189"/>
  <c r="G19" i="190" s="1"/>
  <c r="H14" i="189"/>
  <c r="I14" i="189"/>
  <c r="J14" i="189"/>
  <c r="K14" i="189"/>
  <c r="L14" i="189"/>
  <c r="M14" i="189"/>
  <c r="F15" i="189"/>
  <c r="F20" i="190" s="1"/>
  <c r="G15" i="189"/>
  <c r="G20" i="190" s="1"/>
  <c r="H15" i="189"/>
  <c r="I15" i="189"/>
  <c r="J15" i="189"/>
  <c r="K15" i="189"/>
  <c r="L15" i="189"/>
  <c r="M15" i="189"/>
  <c r="F16" i="189"/>
  <c r="F21" i="190" s="1"/>
  <c r="G16" i="189"/>
  <c r="G21" i="190" s="1"/>
  <c r="H16" i="189"/>
  <c r="I16" i="189"/>
  <c r="J16" i="189"/>
  <c r="K16" i="189"/>
  <c r="L16" i="189"/>
  <c r="M16" i="189"/>
  <c r="F17" i="189"/>
  <c r="F22" i="190" s="1"/>
  <c r="G17" i="189"/>
  <c r="G22" i="190" s="1"/>
  <c r="H17" i="189"/>
  <c r="I17" i="189"/>
  <c r="J17" i="189"/>
  <c r="K17" i="189"/>
  <c r="L17" i="189"/>
  <c r="M17" i="189"/>
  <c r="F18" i="189"/>
  <c r="F23" i="190" s="1"/>
  <c r="G18" i="189"/>
  <c r="G23" i="190" s="1"/>
  <c r="H18" i="189"/>
  <c r="I18" i="189"/>
  <c r="J18" i="189"/>
  <c r="K18" i="189"/>
  <c r="L18" i="189"/>
  <c r="M18" i="189"/>
  <c r="F39" i="189"/>
  <c r="G39" i="189"/>
  <c r="H39" i="189"/>
  <c r="I39" i="189"/>
  <c r="J39" i="189"/>
  <c r="K39" i="189"/>
  <c r="L39" i="189"/>
  <c r="M39" i="189"/>
  <c r="H59" i="190"/>
  <c r="H60" i="190"/>
  <c r="H61" i="190"/>
  <c r="H62" i="190"/>
  <c r="H63" i="190"/>
  <c r="H64" i="190"/>
  <c r="H65" i="190"/>
  <c r="H66" i="190"/>
  <c r="H67" i="190"/>
  <c r="H88" i="190"/>
  <c r="I59" i="190"/>
  <c r="I60" i="190"/>
  <c r="I61" i="190"/>
  <c r="I62" i="190"/>
  <c r="I63" i="190"/>
  <c r="I64" i="190"/>
  <c r="I65" i="190"/>
  <c r="I66" i="190"/>
  <c r="I67" i="190"/>
  <c r="I88" i="190"/>
  <c r="T52" i="587" l="1" a="1"/>
  <c r="T52" i="587" s="1"/>
  <c r="G49" i="190" a="1"/>
  <c r="G49" i="190" s="1"/>
  <c r="G45" i="190"/>
  <c r="G46" i="190"/>
  <c r="G44" i="190"/>
  <c r="G50" i="190" a="1"/>
  <c r="G50" i="190" s="1"/>
  <c r="G53" i="190" a="1"/>
  <c r="G53" i="190" s="1"/>
  <c r="G54" i="190" a="1"/>
  <c r="G54" i="190" s="1"/>
  <c r="G41" i="190"/>
  <c r="G43" i="190"/>
  <c r="G52" i="190" a="1"/>
  <c r="G52" i="190" s="1"/>
  <c r="G42" i="190"/>
  <c r="F50" i="190" a="1"/>
  <c r="F50" i="190" s="1"/>
  <c r="F41" i="190"/>
  <c r="F45" i="190"/>
  <c r="F54" i="190" a="1"/>
  <c r="F54" i="190" s="1"/>
  <c r="F42" i="190"/>
  <c r="F46" i="190"/>
  <c r="F49" i="190" a="1"/>
  <c r="F49" i="190" s="1"/>
  <c r="F43" i="190"/>
  <c r="F52" i="190" a="1"/>
  <c r="F52" i="190" s="1"/>
  <c r="F44" i="190"/>
  <c r="F53" i="190" a="1"/>
  <c r="F53" i="190" s="1"/>
  <c r="R10" i="189"/>
  <c r="R53" i="189" s="1" a="1"/>
  <c r="R53" i="189" s="1"/>
  <c r="I45" i="587"/>
  <c r="I103" i="190" a="1"/>
  <c r="I103" i="190" s="1"/>
  <c r="I93" i="190"/>
  <c r="I104" i="190" a="1"/>
  <c r="I104" i="190" s="1"/>
  <c r="I94" i="190"/>
  <c r="I91" i="190"/>
  <c r="I95" i="190"/>
  <c r="I96" i="190"/>
  <c r="I99" i="190" a="1"/>
  <c r="I99" i="190" s="1"/>
  <c r="I100" i="190" a="1"/>
  <c r="I100" i="190" s="1"/>
  <c r="I101" i="190"/>
  <c r="I102" i="190" a="1"/>
  <c r="I102" i="190" s="1"/>
  <c r="I92" i="190"/>
  <c r="H102" i="190" a="1"/>
  <c r="H102" i="190" s="1"/>
  <c r="H92" i="190"/>
  <c r="H103" i="190" a="1"/>
  <c r="H103" i="190" s="1"/>
  <c r="H93" i="190"/>
  <c r="H104" i="190" a="1"/>
  <c r="H104" i="190" s="1"/>
  <c r="H94" i="190"/>
  <c r="H95" i="190"/>
  <c r="H96" i="190"/>
  <c r="H99" i="190" a="1"/>
  <c r="H99" i="190" s="1"/>
  <c r="H100" i="190" a="1"/>
  <c r="H100" i="190" s="1"/>
  <c r="H101" i="190"/>
  <c r="H91" i="190"/>
  <c r="F51" i="192"/>
  <c r="F41" i="192"/>
  <c r="F50" i="192" a="1"/>
  <c r="F50" i="192" s="1"/>
  <c r="F49" i="192" a="1"/>
  <c r="F49" i="192" s="1"/>
  <c r="F46" i="192"/>
  <c r="F52" i="192" a="1"/>
  <c r="F52" i="192" s="1"/>
  <c r="F45" i="192"/>
  <c r="F54" i="192" a="1"/>
  <c r="F54" i="192" s="1"/>
  <c r="F44" i="192"/>
  <c r="F42" i="192"/>
  <c r="F53" i="192" a="1"/>
  <c r="F53" i="192" s="1"/>
  <c r="F43" i="192"/>
  <c r="M50" i="192" a="1"/>
  <c r="M50" i="192" s="1"/>
  <c r="M43" i="192"/>
  <c r="M53" i="192" a="1"/>
  <c r="M53" i="192" s="1"/>
  <c r="M52" i="192" a="1"/>
  <c r="M52" i="192" s="1"/>
  <c r="M51" i="192"/>
  <c r="M44" i="192"/>
  <c r="M54" i="192" a="1"/>
  <c r="M54" i="192" s="1"/>
  <c r="M49" i="192" a="1"/>
  <c r="M49" i="192" s="1"/>
  <c r="M45" i="192"/>
  <c r="M46" i="192"/>
  <c r="M42" i="192"/>
  <c r="M41" i="192"/>
  <c r="L42" i="192"/>
  <c r="L43" i="192"/>
  <c r="L53" i="192" a="1"/>
  <c r="L53" i="192" s="1"/>
  <c r="L52" i="192" a="1"/>
  <c r="L52" i="192" s="1"/>
  <c r="L51" i="192"/>
  <c r="L50" i="192" a="1"/>
  <c r="L50" i="192" s="1"/>
  <c r="L44" i="192"/>
  <c r="L54" i="192" a="1"/>
  <c r="L54" i="192" s="1"/>
  <c r="L49" i="192" a="1"/>
  <c r="L49" i="192" s="1"/>
  <c r="L45" i="192"/>
  <c r="L46" i="192"/>
  <c r="L41" i="192"/>
  <c r="K41" i="192"/>
  <c r="K42" i="192"/>
  <c r="K43" i="192"/>
  <c r="K53" i="192" a="1"/>
  <c r="K53" i="192" s="1"/>
  <c r="K52" i="192" a="1"/>
  <c r="K52" i="192" s="1"/>
  <c r="K51" i="192"/>
  <c r="K50" i="192" a="1"/>
  <c r="K50" i="192" s="1"/>
  <c r="K44" i="192"/>
  <c r="K54" i="192" a="1"/>
  <c r="K54" i="192" s="1"/>
  <c r="K45" i="192"/>
  <c r="K49" i="192" a="1"/>
  <c r="K49" i="192" s="1"/>
  <c r="K46" i="192"/>
  <c r="J41" i="192"/>
  <c r="J49" i="192" a="1"/>
  <c r="J49" i="192" s="1"/>
  <c r="J42" i="192"/>
  <c r="J43" i="192"/>
  <c r="J53" i="192" a="1"/>
  <c r="J53" i="192" s="1"/>
  <c r="J51" i="192"/>
  <c r="J50" i="192" a="1"/>
  <c r="J50" i="192" s="1"/>
  <c r="J44" i="192"/>
  <c r="J54" i="192" a="1"/>
  <c r="J54" i="192" s="1"/>
  <c r="J52" i="192" a="1"/>
  <c r="J52" i="192" s="1"/>
  <c r="J45" i="192"/>
  <c r="J46" i="192"/>
  <c r="I49" i="192" a="1"/>
  <c r="I49" i="192" s="1"/>
  <c r="I41" i="192"/>
  <c r="I42" i="192"/>
  <c r="I43" i="192"/>
  <c r="I53" i="192" a="1"/>
  <c r="I53" i="192" s="1"/>
  <c r="I51" i="192"/>
  <c r="I50" i="192" a="1"/>
  <c r="I50" i="192" s="1"/>
  <c r="I44" i="192"/>
  <c r="I46" i="192"/>
  <c r="I54" i="192" a="1"/>
  <c r="I54" i="192" s="1"/>
  <c r="I52" i="192" a="1"/>
  <c r="I52" i="192" s="1"/>
  <c r="I45" i="192"/>
  <c r="H46" i="192"/>
  <c r="H52" i="192" a="1"/>
  <c r="H52" i="192" s="1"/>
  <c r="H49" i="192" a="1"/>
  <c r="H49" i="192" s="1"/>
  <c r="H54" i="192" a="1"/>
  <c r="H54" i="192" s="1"/>
  <c r="H41" i="192"/>
  <c r="H42" i="192"/>
  <c r="H43" i="192"/>
  <c r="H45" i="192"/>
  <c r="H53" i="192" a="1"/>
  <c r="H53" i="192" s="1"/>
  <c r="H51" i="192"/>
  <c r="H50" i="192" a="1"/>
  <c r="H50" i="192" s="1"/>
  <c r="H44" i="192"/>
  <c r="G54" i="192" a="1"/>
  <c r="G54" i="192" s="1"/>
  <c r="G53" i="192" a="1"/>
  <c r="G53" i="192" s="1"/>
  <c r="G52" i="192" a="1"/>
  <c r="G52" i="192" s="1"/>
  <c r="G50" i="192" a="1"/>
  <c r="G50" i="192" s="1"/>
  <c r="G45" i="192"/>
  <c r="G46" i="192"/>
  <c r="G49" i="192" a="1"/>
  <c r="G49" i="192" s="1"/>
  <c r="G51" i="192"/>
  <c r="G44" i="192"/>
  <c r="G41" i="192"/>
  <c r="G42" i="192"/>
  <c r="G43" i="192"/>
  <c r="P60" i="189"/>
  <c r="S39" i="189"/>
  <c r="P39" i="189"/>
  <c r="P18" i="189"/>
  <c r="P17" i="189"/>
  <c r="P15" i="189"/>
  <c r="P14" i="189"/>
  <c r="P12" i="189"/>
  <c r="P11" i="189"/>
  <c r="P10" i="189"/>
  <c r="U18" i="189"/>
  <c r="W18" i="189" s="1"/>
  <c r="U39" i="189"/>
  <c r="W39" i="189" s="1"/>
  <c r="U17" i="189"/>
  <c r="W17" i="189" s="1"/>
  <c r="U16" i="189"/>
  <c r="W16" i="189" s="1"/>
  <c r="U15" i="189"/>
  <c r="W15" i="189" s="1"/>
  <c r="U14" i="189"/>
  <c r="W14" i="189" s="1"/>
  <c r="U13" i="189"/>
  <c r="W13" i="189" s="1"/>
  <c r="U12" i="189"/>
  <c r="W12" i="189" s="1"/>
  <c r="U11" i="189"/>
  <c r="W11" i="189" s="1"/>
  <c r="U60" i="189"/>
  <c r="U10" i="189"/>
  <c r="Q18" i="189"/>
  <c r="Q14" i="189"/>
  <c r="Q10" i="189"/>
  <c r="R60" i="189"/>
  <c r="T17" i="189"/>
  <c r="T14" i="189"/>
  <c r="T13" i="189"/>
  <c r="T10" i="189"/>
  <c r="O60" i="189"/>
  <c r="R17" i="189"/>
  <c r="R15" i="189"/>
  <c r="T60" i="189"/>
  <c r="R16" i="189"/>
  <c r="O15" i="189"/>
  <c r="S60" i="189"/>
  <c r="O16" i="189"/>
  <c r="Q60" i="189"/>
  <c r="S18" i="189"/>
  <c r="S16" i="189"/>
  <c r="S11" i="189"/>
  <c r="T18" i="189"/>
  <c r="Q16" i="189"/>
  <c r="Q13" i="189"/>
  <c r="S10" i="189"/>
  <c r="O39" i="189"/>
  <c r="O18" i="189"/>
  <c r="O17" i="189"/>
  <c r="O14" i="189"/>
  <c r="O13" i="189"/>
  <c r="O12" i="189"/>
  <c r="O11" i="189"/>
  <c r="O10" i="189"/>
  <c r="R39" i="189"/>
  <c r="R14" i="189"/>
  <c r="R13" i="189"/>
  <c r="R12" i="189"/>
  <c r="R11" i="189"/>
  <c r="S15" i="189"/>
  <c r="R18" i="189"/>
  <c r="T39" i="189"/>
  <c r="T16" i="189"/>
  <c r="T15" i="189"/>
  <c r="T12" i="189"/>
  <c r="T11" i="189"/>
  <c r="S17" i="189"/>
  <c r="S14" i="189"/>
  <c r="S13" i="189"/>
  <c r="S12" i="189"/>
  <c r="Q11" i="189"/>
  <c r="Q39" i="189"/>
  <c r="Q12" i="189"/>
  <c r="P13" i="189"/>
  <c r="Q17" i="189"/>
  <c r="Q15" i="189"/>
  <c r="P16" i="189"/>
  <c r="C329" i="827"/>
  <c r="C330" i="827" s="1"/>
  <c r="C331" i="827" s="1"/>
  <c r="C332" i="827" s="1"/>
  <c r="C333" i="827" s="1"/>
  <c r="C334" i="827" s="1"/>
  <c r="C335" i="827" s="1"/>
  <c r="C336" i="827" s="1"/>
  <c r="B2" i="587"/>
  <c r="B2" i="63"/>
  <c r="B2" i="192"/>
  <c r="B2" i="190"/>
  <c r="B2" i="189"/>
  <c r="B2" i="22"/>
  <c r="J34" i="825" l="1"/>
  <c r="S68" i="840"/>
  <c r="Q94" i="189" a="1"/>
  <c r="Q94" i="189" s="1"/>
  <c r="Q86" i="189"/>
  <c r="Q93" i="189"/>
  <c r="Q85" i="189"/>
  <c r="Q92" i="189" a="1"/>
  <c r="Q92" i="189" s="1"/>
  <c r="Q84" i="189"/>
  <c r="Q95" i="189" a="1"/>
  <c r="Q95" i="189" s="1"/>
  <c r="Q88" i="189"/>
  <c r="Q91" i="189" a="1"/>
  <c r="Q91" i="189" s="1"/>
  <c r="Q87" i="189"/>
  <c r="Q96" i="189" a="1"/>
  <c r="Q96" i="189" s="1"/>
  <c r="Q89" i="189"/>
  <c r="Q50" i="189" a="1"/>
  <c r="Q50" i="189" s="1"/>
  <c r="Q42" i="189"/>
  <c r="S92" i="189" a="1"/>
  <c r="S92" i="189" s="1"/>
  <c r="S84" i="189"/>
  <c r="S86" i="189"/>
  <c r="S93" i="189"/>
  <c r="S91" i="189" a="1"/>
  <c r="S91" i="189" s="1"/>
  <c r="S96" i="189" a="1"/>
  <c r="S96" i="189" s="1"/>
  <c r="S89" i="189"/>
  <c r="S85" i="189"/>
  <c r="S95" i="189" a="1"/>
  <c r="S95" i="189" s="1"/>
  <c r="S88" i="189"/>
  <c r="S87" i="189"/>
  <c r="S94" i="189" a="1"/>
  <c r="S94" i="189" s="1"/>
  <c r="W60" i="189"/>
  <c r="U96" i="189" a="1"/>
  <c r="U96" i="189" s="1"/>
  <c r="U89" i="189"/>
  <c r="U92" i="189" a="1"/>
  <c r="U92" i="189" s="1"/>
  <c r="U95" i="189" a="1"/>
  <c r="U95" i="189" s="1"/>
  <c r="U88" i="189"/>
  <c r="U91" i="189" a="1"/>
  <c r="U91" i="189" s="1"/>
  <c r="U94" i="189" a="1"/>
  <c r="U94" i="189" s="1"/>
  <c r="U87" i="189"/>
  <c r="U86" i="189"/>
  <c r="U93" i="189"/>
  <c r="U85" i="189"/>
  <c r="U84" i="189"/>
  <c r="O50" i="189" a="1"/>
  <c r="O50" i="189" s="1"/>
  <c r="O51" i="189"/>
  <c r="O49" i="189" a="1"/>
  <c r="O49" i="189" s="1"/>
  <c r="W10" i="189"/>
  <c r="V10" i="189"/>
  <c r="V43" i="189" s="1"/>
  <c r="O95" i="189" a="1"/>
  <c r="O95" i="189" s="1"/>
  <c r="O88" i="189"/>
  <c r="O87" i="189"/>
  <c r="O94" i="189" a="1"/>
  <c r="O94" i="189" s="1"/>
  <c r="O86" i="189"/>
  <c r="O93" i="189"/>
  <c r="O85" i="189"/>
  <c r="O89" i="189"/>
  <c r="O92" i="189" a="1"/>
  <c r="O92" i="189" s="1"/>
  <c r="O84" i="189"/>
  <c r="O91" i="189" a="1"/>
  <c r="O91" i="189" s="1"/>
  <c r="O96" i="189" a="1"/>
  <c r="O96" i="189" s="1"/>
  <c r="T91" i="189" a="1"/>
  <c r="T91" i="189" s="1"/>
  <c r="T93" i="189"/>
  <c r="T92" i="189" a="1"/>
  <c r="T92" i="189" s="1"/>
  <c r="T96" i="189" a="1"/>
  <c r="T96" i="189" s="1"/>
  <c r="T89" i="189"/>
  <c r="T95" i="189" a="1"/>
  <c r="T95" i="189" s="1"/>
  <c r="T88" i="189"/>
  <c r="T85" i="189"/>
  <c r="T87" i="189"/>
  <c r="T94" i="189" a="1"/>
  <c r="T94" i="189" s="1"/>
  <c r="T86" i="189"/>
  <c r="T84" i="189"/>
  <c r="R93" i="189"/>
  <c r="R85" i="189"/>
  <c r="R92" i="189" a="1"/>
  <c r="R92" i="189" s="1"/>
  <c r="R84" i="189"/>
  <c r="R94" i="189" a="1"/>
  <c r="R94" i="189" s="1"/>
  <c r="R91" i="189" a="1"/>
  <c r="R91" i="189" s="1"/>
  <c r="R86" i="189"/>
  <c r="R96" i="189" a="1"/>
  <c r="R96" i="189" s="1"/>
  <c r="R89" i="189"/>
  <c r="R87" i="189"/>
  <c r="R95" i="189" a="1"/>
  <c r="R95" i="189" s="1"/>
  <c r="R88" i="189"/>
  <c r="P87" i="189"/>
  <c r="P94" i="189" a="1"/>
  <c r="P94" i="189" s="1"/>
  <c r="P86" i="189"/>
  <c r="P93" i="189"/>
  <c r="P85" i="189"/>
  <c r="P92" i="189" a="1"/>
  <c r="P92" i="189" s="1"/>
  <c r="P84" i="189"/>
  <c r="P89" i="189"/>
  <c r="P88" i="189"/>
  <c r="P91" i="189" a="1"/>
  <c r="P91" i="189" s="1"/>
  <c r="P96" i="189" a="1"/>
  <c r="P96" i="189" s="1"/>
  <c r="P95" i="189" a="1"/>
  <c r="P95" i="189" s="1"/>
  <c r="C337" i="827"/>
  <c r="C338" i="827" s="1"/>
  <c r="C339" i="827" s="1"/>
  <c r="C340" i="827" s="1"/>
  <c r="C341" i="827" s="1"/>
  <c r="C342" i="827" s="1"/>
  <c r="C343" i="827" s="1"/>
  <c r="C344" i="827" s="1"/>
  <c r="C345" i="827" s="1"/>
  <c r="C346" i="827" s="1"/>
  <c r="C347" i="827" s="1"/>
  <c r="C348" i="827" s="1"/>
  <c r="C349" i="827" s="1"/>
  <c r="C350" i="827" s="1"/>
  <c r="C351" i="827" s="1"/>
  <c r="C352" i="827" s="1"/>
  <c r="C353" i="827" s="1"/>
  <c r="C354" i="827" s="1"/>
  <c r="C355" i="827" s="1"/>
  <c r="C356" i="827" s="1"/>
  <c r="C357" i="827" s="1"/>
  <c r="V16" i="189"/>
  <c r="V17" i="189"/>
  <c r="V14" i="189"/>
  <c r="V60" i="189"/>
  <c r="V12" i="189"/>
  <c r="V11" i="189"/>
  <c r="V13" i="189"/>
  <c r="V39" i="189"/>
  <c r="V15" i="189"/>
  <c r="V18" i="189"/>
  <c r="W95" i="189" l="1" a="1"/>
  <c r="W95" i="189" s="1"/>
  <c r="W88" i="189"/>
  <c r="W94" i="189" a="1"/>
  <c r="W94" i="189" s="1"/>
  <c r="W87" i="189"/>
  <c r="W86" i="189"/>
  <c r="W93" i="189"/>
  <c r="W85" i="189"/>
  <c r="W96" i="189" a="1"/>
  <c r="W96" i="189" s="1"/>
  <c r="W89" i="189"/>
  <c r="W92" i="189" a="1"/>
  <c r="W92" i="189" s="1"/>
  <c r="W84" i="189"/>
  <c r="W91" i="189" a="1"/>
  <c r="W91" i="189" s="1"/>
  <c r="V96" i="189" a="1"/>
  <c r="V96" i="189" s="1"/>
  <c r="V89" i="189"/>
  <c r="V95" i="189" a="1"/>
  <c r="V95" i="189" s="1"/>
  <c r="V88" i="189"/>
  <c r="V94" i="189" a="1"/>
  <c r="V94" i="189" s="1"/>
  <c r="V87" i="189"/>
  <c r="V86" i="189"/>
  <c r="V91" i="189" a="1"/>
  <c r="V91" i="189" s="1"/>
  <c r="V93" i="189"/>
  <c r="V85" i="189"/>
  <c r="V92" i="189" a="1"/>
  <c r="V92" i="189" s="1"/>
  <c r="V84" i="189"/>
  <c r="P71" i="829"/>
  <c r="P61" i="829" s="1"/>
  <c r="O14" i="834" s="1"/>
  <c r="Q71" i="829"/>
  <c r="Q61" i="829" s="1"/>
  <c r="P14" i="834" s="1"/>
  <c r="R71" i="829"/>
  <c r="E21" i="92"/>
  <c r="E20" i="92"/>
  <c r="D16" i="92"/>
  <c r="D17" i="92" s="1"/>
  <c r="R61" i="829" l="1"/>
  <c r="T71" i="829"/>
  <c r="X105" i="840"/>
  <c r="X107" i="840" s="1"/>
  <c r="O26" i="825"/>
  <c r="Y105" i="840"/>
  <c r="Y107" i="840" s="1"/>
  <c r="P26" i="825"/>
  <c r="O71" i="829"/>
  <c r="O104" i="829"/>
  <c r="T61" i="829" l="1"/>
  <c r="Q14" i="834"/>
  <c r="Q26" i="825"/>
  <c r="Z105" i="840"/>
  <c r="Z107" i="840" s="1"/>
  <c r="P102" i="829"/>
  <c r="O61" i="829"/>
  <c r="N14" i="834" s="1"/>
  <c r="O75" i="829"/>
  <c r="O60" i="829" s="1"/>
  <c r="W105" i="840" l="1"/>
  <c r="W107" i="840" s="1"/>
  <c r="N26" i="825"/>
  <c r="P104" i="829"/>
  <c r="P66" i="829"/>
  <c r="P75" i="829" s="1"/>
  <c r="P60" i="829" s="1"/>
  <c r="B3" i="845"/>
  <c r="B3" i="839" l="1"/>
  <c r="B3" i="844"/>
  <c r="C3" i="834"/>
  <c r="B3" i="835"/>
  <c r="Q102" i="829"/>
  <c r="B3" i="822"/>
  <c r="B3" i="63"/>
  <c r="B3" i="22"/>
  <c r="B3" i="825"/>
  <c r="B3" i="829"/>
  <c r="B3" i="824"/>
  <c r="B3" i="122"/>
  <c r="B3" i="826"/>
  <c r="B3" i="192"/>
  <c r="B3" i="190"/>
  <c r="B3" i="2"/>
  <c r="B3" i="830"/>
  <c r="B3" i="189"/>
  <c r="B3" i="28"/>
  <c r="B3" i="587"/>
  <c r="B3" i="92"/>
  <c r="Q104" i="829" l="1"/>
  <c r="Q66" i="829"/>
  <c r="Q75" i="829" s="1"/>
  <c r="Q60" i="829" s="1"/>
  <c r="R102" i="829" l="1"/>
  <c r="T102" i="829" s="1"/>
  <c r="B2" i="816"/>
  <c r="R104" i="829" l="1"/>
  <c r="T104" i="829" s="1"/>
  <c r="R66" i="829"/>
  <c r="R75" i="829" l="1"/>
  <c r="T66" i="829"/>
  <c r="G37" i="63"/>
  <c r="C37" i="63"/>
  <c r="G16" i="63"/>
  <c r="C16" i="63"/>
  <c r="G15" i="63"/>
  <c r="C15" i="63"/>
  <c r="G14" i="63"/>
  <c r="C14" i="63"/>
  <c r="G13" i="63"/>
  <c r="C13" i="63"/>
  <c r="G12" i="63"/>
  <c r="C12" i="63"/>
  <c r="G11" i="63"/>
  <c r="C11" i="63"/>
  <c r="G10" i="63"/>
  <c r="C10" i="63"/>
  <c r="G9" i="63"/>
  <c r="C9" i="63"/>
  <c r="G8" i="63"/>
  <c r="C8" i="63"/>
  <c r="H29" i="92"/>
  <c r="H30" i="92"/>
  <c r="H31" i="92"/>
  <c r="H32" i="92"/>
  <c r="H33" i="92"/>
  <c r="H34" i="92"/>
  <c r="H35" i="92"/>
  <c r="H36" i="92"/>
  <c r="H37" i="92"/>
  <c r="H58" i="92"/>
  <c r="F58" i="92"/>
  <c r="F37" i="92"/>
  <c r="F36" i="92"/>
  <c r="F35" i="92"/>
  <c r="F34" i="92"/>
  <c r="F33" i="92"/>
  <c r="F32" i="92"/>
  <c r="F31" i="92"/>
  <c r="F30" i="92"/>
  <c r="F29" i="92"/>
  <c r="AC9" i="22"/>
  <c r="AD9" i="22"/>
  <c r="AE9" i="22"/>
  <c r="AC10" i="22"/>
  <c r="AD10" i="22"/>
  <c r="AE10" i="22"/>
  <c r="AC11" i="22"/>
  <c r="AD11" i="22"/>
  <c r="AE11" i="22"/>
  <c r="AC12" i="22"/>
  <c r="AD12" i="22"/>
  <c r="AE12" i="22"/>
  <c r="AC13" i="22"/>
  <c r="AD13" i="22"/>
  <c r="AE13" i="22"/>
  <c r="AC14" i="22"/>
  <c r="AD14" i="22"/>
  <c r="AE14" i="22"/>
  <c r="AC15" i="22"/>
  <c r="AD15" i="22"/>
  <c r="AE15" i="22"/>
  <c r="AC16" i="22"/>
  <c r="AD16" i="22"/>
  <c r="AE16" i="22"/>
  <c r="AC17" i="22"/>
  <c r="AD17" i="22"/>
  <c r="AE17" i="22"/>
  <c r="Z9" i="22"/>
  <c r="AA9" i="22"/>
  <c r="AB9" i="22"/>
  <c r="Z10" i="22"/>
  <c r="AA10" i="22"/>
  <c r="AB10" i="22"/>
  <c r="Z11" i="22"/>
  <c r="AA11" i="22"/>
  <c r="AB11" i="22"/>
  <c r="Z12" i="22"/>
  <c r="AA12" i="22"/>
  <c r="AB12" i="22"/>
  <c r="Z13" i="22"/>
  <c r="AA13" i="22"/>
  <c r="AB13" i="22"/>
  <c r="Z14" i="22"/>
  <c r="AA14" i="22"/>
  <c r="AB14" i="22"/>
  <c r="Z15" i="22"/>
  <c r="AA15" i="22"/>
  <c r="AB15" i="22"/>
  <c r="Z16" i="22"/>
  <c r="AA16" i="22"/>
  <c r="AB16" i="22"/>
  <c r="Z17" i="22"/>
  <c r="AA17" i="22"/>
  <c r="AB17" i="22"/>
  <c r="W9" i="22"/>
  <c r="X9" i="22"/>
  <c r="Y9" i="22"/>
  <c r="W10" i="22"/>
  <c r="X10" i="22"/>
  <c r="Y10" i="22"/>
  <c r="W11" i="22"/>
  <c r="X11" i="22"/>
  <c r="Y11" i="22"/>
  <c r="W12" i="22"/>
  <c r="X12" i="22"/>
  <c r="Y12" i="22"/>
  <c r="W13" i="22"/>
  <c r="X13" i="22"/>
  <c r="Y13" i="22"/>
  <c r="W14" i="22"/>
  <c r="X14" i="22"/>
  <c r="Y14" i="22"/>
  <c r="W15" i="22"/>
  <c r="X15" i="22"/>
  <c r="Y15" i="22"/>
  <c r="W16" i="22"/>
  <c r="X16" i="22"/>
  <c r="Y16" i="22"/>
  <c r="W17" i="22"/>
  <c r="X17" i="22"/>
  <c r="Y17" i="22"/>
  <c r="T9" i="22"/>
  <c r="U9" i="22"/>
  <c r="V9" i="22"/>
  <c r="T10" i="22"/>
  <c r="U10" i="22"/>
  <c r="V10" i="22"/>
  <c r="T11" i="22"/>
  <c r="U11" i="22"/>
  <c r="V11" i="22"/>
  <c r="T12" i="22"/>
  <c r="U12" i="22"/>
  <c r="V12" i="22"/>
  <c r="T13" i="22"/>
  <c r="U13" i="22"/>
  <c r="V13" i="22"/>
  <c r="T14" i="22"/>
  <c r="U14" i="22"/>
  <c r="V14" i="22"/>
  <c r="T15" i="22"/>
  <c r="U15" i="22"/>
  <c r="V15" i="22"/>
  <c r="T16" i="22"/>
  <c r="U16" i="22"/>
  <c r="V16" i="22"/>
  <c r="T17" i="22"/>
  <c r="U17" i="22"/>
  <c r="V17" i="22"/>
  <c r="S17" i="22"/>
  <c r="R17" i="22"/>
  <c r="Q17" i="22"/>
  <c r="S16" i="22"/>
  <c r="R16" i="22"/>
  <c r="Q16" i="22"/>
  <c r="S15" i="22"/>
  <c r="R15" i="22"/>
  <c r="Q15" i="22"/>
  <c r="S14" i="22"/>
  <c r="R14" i="22"/>
  <c r="Q14" i="22"/>
  <c r="S13" i="22"/>
  <c r="R13" i="22"/>
  <c r="Q13" i="22"/>
  <c r="S12" i="22"/>
  <c r="R12" i="22"/>
  <c r="Q12" i="22"/>
  <c r="S11" i="22"/>
  <c r="R11" i="22"/>
  <c r="Q11" i="22"/>
  <c r="S10" i="22"/>
  <c r="R10" i="22"/>
  <c r="Q10" i="22"/>
  <c r="S9" i="22"/>
  <c r="R9" i="22"/>
  <c r="Q9" i="22"/>
  <c r="M9" i="22"/>
  <c r="L9" i="22"/>
  <c r="K9" i="22"/>
  <c r="J17" i="22"/>
  <c r="J16" i="22"/>
  <c r="J15" i="22"/>
  <c r="J14" i="22"/>
  <c r="J13" i="22"/>
  <c r="J12" i="22"/>
  <c r="J11" i="22"/>
  <c r="J10" i="22"/>
  <c r="J9" i="22"/>
  <c r="I17" i="22"/>
  <c r="I16" i="22"/>
  <c r="I15" i="22"/>
  <c r="I14" i="22"/>
  <c r="I13" i="22"/>
  <c r="I12" i="22"/>
  <c r="I11" i="22"/>
  <c r="I10" i="22"/>
  <c r="I9" i="22"/>
  <c r="C190" i="827"/>
  <c r="D190" i="827"/>
  <c r="E190" i="827"/>
  <c r="H17" i="22"/>
  <c r="H16" i="22"/>
  <c r="H15" i="22"/>
  <c r="H14" i="22"/>
  <c r="H13" i="22"/>
  <c r="H12" i="22"/>
  <c r="H11" i="22"/>
  <c r="H10" i="22"/>
  <c r="H9" i="22"/>
  <c r="F17" i="22"/>
  <c r="F16" i="22"/>
  <c r="F15" i="22"/>
  <c r="F14" i="22"/>
  <c r="F13" i="22"/>
  <c r="F12" i="22"/>
  <c r="F11" i="22"/>
  <c r="F10" i="22"/>
  <c r="F9" i="22"/>
  <c r="E9" i="22"/>
  <c r="D17" i="22"/>
  <c r="D16" i="22"/>
  <c r="D15" i="22"/>
  <c r="D14" i="22"/>
  <c r="D13" i="22"/>
  <c r="D12" i="22"/>
  <c r="D11" i="22"/>
  <c r="D10" i="22"/>
  <c r="D9" i="22"/>
  <c r="C10" i="28"/>
  <c r="D10" i="28"/>
  <c r="E10" i="28"/>
  <c r="F10" i="28"/>
  <c r="G10" i="28"/>
  <c r="H10" i="28"/>
  <c r="I10" i="28"/>
  <c r="J10" i="28"/>
  <c r="K10" i="28"/>
  <c r="C11" i="28"/>
  <c r="D11" i="28"/>
  <c r="E11" i="28"/>
  <c r="F11" i="28"/>
  <c r="G11" i="28"/>
  <c r="H11" i="28"/>
  <c r="I11" i="28"/>
  <c r="J11" i="28"/>
  <c r="K11" i="28"/>
  <c r="C12" i="28"/>
  <c r="D12" i="28"/>
  <c r="E12" i="28"/>
  <c r="F12" i="28"/>
  <c r="G12" i="28"/>
  <c r="H12" i="28"/>
  <c r="I12" i="28"/>
  <c r="J12" i="28"/>
  <c r="K12" i="28"/>
  <c r="C13" i="28"/>
  <c r="D13" i="28"/>
  <c r="E13" i="28"/>
  <c r="F13" i="28"/>
  <c r="G13" i="28"/>
  <c r="H13" i="28"/>
  <c r="I13" i="28"/>
  <c r="J13" i="28"/>
  <c r="K13" i="28"/>
  <c r="C14" i="28"/>
  <c r="D14" i="28"/>
  <c r="E14" i="28"/>
  <c r="F14" i="28"/>
  <c r="G14" i="28"/>
  <c r="H14" i="28"/>
  <c r="I14" i="28"/>
  <c r="J14" i="28"/>
  <c r="K14" i="28"/>
  <c r="C15" i="28"/>
  <c r="D15" i="28"/>
  <c r="E15" i="28"/>
  <c r="F15" i="28"/>
  <c r="G15" i="28"/>
  <c r="H15" i="28"/>
  <c r="I15" i="28"/>
  <c r="J15" i="28"/>
  <c r="K15" i="28"/>
  <c r="C16" i="28"/>
  <c r="D16" i="28"/>
  <c r="E16" i="28"/>
  <c r="F16" i="28"/>
  <c r="G16" i="28"/>
  <c r="H16" i="28"/>
  <c r="I16" i="28"/>
  <c r="J16" i="28"/>
  <c r="K16" i="28"/>
  <c r="C17" i="28"/>
  <c r="D17" i="28"/>
  <c r="E17" i="28"/>
  <c r="F17" i="28"/>
  <c r="G17" i="28"/>
  <c r="H17" i="28"/>
  <c r="I17" i="28"/>
  <c r="J17" i="28"/>
  <c r="K17" i="28"/>
  <c r="C18" i="28"/>
  <c r="D18" i="28"/>
  <c r="E18" i="28"/>
  <c r="F18" i="28"/>
  <c r="G18" i="28"/>
  <c r="H18" i="28"/>
  <c r="I18" i="28"/>
  <c r="J18" i="28"/>
  <c r="K18" i="28"/>
  <c r="C39" i="28"/>
  <c r="D39" i="28"/>
  <c r="E39" i="28"/>
  <c r="F39" i="28"/>
  <c r="G39" i="28"/>
  <c r="H39" i="28"/>
  <c r="I39" i="28"/>
  <c r="J39" i="28"/>
  <c r="K39" i="28"/>
  <c r="I32" i="829"/>
  <c r="I33" i="829" s="1"/>
  <c r="I21" i="835" s="1"/>
  <c r="I22" i="835" s="1"/>
  <c r="C46" i="829"/>
  <c r="O91" i="840"/>
  <c r="O90" i="840"/>
  <c r="O73" i="840"/>
  <c r="O89" i="840" s="1"/>
  <c r="C39" i="829"/>
  <c r="M53" i="829"/>
  <c r="J53" i="829"/>
  <c r="I53" i="829"/>
  <c r="J32" i="829"/>
  <c r="O95" i="840"/>
  <c r="O96" i="840"/>
  <c r="O97" i="840"/>
  <c r="O98" i="840"/>
  <c r="O99" i="840"/>
  <c r="O100" i="840"/>
  <c r="O93" i="840"/>
  <c r="O92" i="840"/>
  <c r="M63" i="122"/>
  <c r="M51" i="122"/>
  <c r="M43" i="122"/>
  <c r="M29" i="122"/>
  <c r="M16" i="122"/>
  <c r="I58" i="92"/>
  <c r="I37" i="92"/>
  <c r="I36" i="92"/>
  <c r="I35" i="92"/>
  <c r="I34" i="92"/>
  <c r="I33" i="92"/>
  <c r="I32" i="92"/>
  <c r="I31" i="92"/>
  <c r="I30" i="92"/>
  <c r="I29" i="92"/>
  <c r="C59" i="92"/>
  <c r="C58" i="92"/>
  <c r="C37" i="92"/>
  <c r="C36" i="92"/>
  <c r="C35" i="92"/>
  <c r="C34" i="92"/>
  <c r="C33" i="92"/>
  <c r="C32" i="92"/>
  <c r="C31" i="92"/>
  <c r="C30" i="92"/>
  <c r="C29" i="92"/>
  <c r="B2" i="829"/>
  <c r="J174" i="826"/>
  <c r="I174" i="826"/>
  <c r="B2" i="122"/>
  <c r="B2" i="28" s="1"/>
  <c r="D43" i="2"/>
  <c r="J19" i="2"/>
  <c r="M19" i="2"/>
  <c r="U19" i="2" s="1"/>
  <c r="J20" i="2"/>
  <c r="M20" i="2"/>
  <c r="U20" i="2" s="1"/>
  <c r="J21" i="2"/>
  <c r="M21" i="2"/>
  <c r="U21" i="2" s="1"/>
  <c r="J22" i="2"/>
  <c r="M22" i="2"/>
  <c r="U22" i="2" s="1"/>
  <c r="I20" i="2"/>
  <c r="I21" i="2"/>
  <c r="I22" i="2"/>
  <c r="I19" i="2"/>
  <c r="J15" i="2"/>
  <c r="M15" i="2"/>
  <c r="U15" i="2" s="1"/>
  <c r="J16" i="2"/>
  <c r="M16" i="2"/>
  <c r="U16" i="2" s="1"/>
  <c r="J17" i="2"/>
  <c r="M17" i="2"/>
  <c r="U17" i="2" s="1"/>
  <c r="J18" i="2"/>
  <c r="M18" i="2"/>
  <c r="U18" i="2" s="1"/>
  <c r="I16" i="2"/>
  <c r="I17" i="2"/>
  <c r="I18" i="2"/>
  <c r="I15" i="2"/>
  <c r="B2" i="2"/>
  <c r="D113" i="192" l="1"/>
  <c r="D114" i="192"/>
  <c r="D111" i="192"/>
  <c r="D115" i="192"/>
  <c r="D119" i="192"/>
  <c r="D117" i="192"/>
  <c r="D118" i="192"/>
  <c r="D112" i="192"/>
  <c r="D116" i="192"/>
  <c r="D140" i="192"/>
  <c r="I20" i="22"/>
  <c r="F62" i="92"/>
  <c r="F69" i="92" a="1"/>
  <c r="F69" i="92" s="1"/>
  <c r="R60" i="829"/>
  <c r="T60" i="829" s="1"/>
  <c r="T75" i="829"/>
  <c r="H23" i="22"/>
  <c r="H31" i="22" a="1"/>
  <c r="H31" i="22" s="1"/>
  <c r="H29" i="22" a="1"/>
  <c r="H29" i="22" s="1"/>
  <c r="H28" i="22" a="1"/>
  <c r="H28" i="22" s="1"/>
  <c r="H22" i="22"/>
  <c r="H33" i="22" a="1"/>
  <c r="H33" i="22" s="1"/>
  <c r="H30" i="22" a="1"/>
  <c r="H30" i="22" s="1"/>
  <c r="H25" i="22"/>
  <c r="H21" i="22"/>
  <c r="H24" i="22"/>
  <c r="H20" i="22"/>
  <c r="H32" i="22" a="1"/>
  <c r="H32" i="22" s="1"/>
  <c r="J28" i="22" a="1"/>
  <c r="J28" i="22" s="1"/>
  <c r="J33" i="22" a="1"/>
  <c r="J33" i="22" s="1"/>
  <c r="J29" i="22" a="1"/>
  <c r="J29" i="22" s="1"/>
  <c r="J30" i="22" a="1"/>
  <c r="J30" i="22" s="1"/>
  <c r="J24" i="22"/>
  <c r="J22" i="22"/>
  <c r="J20" i="22"/>
  <c r="J21" i="22"/>
  <c r="J32" i="22" a="1"/>
  <c r="J32" i="22" s="1"/>
  <c r="J31" i="22" a="1"/>
  <c r="J31" i="22" s="1"/>
  <c r="J25" i="22"/>
  <c r="J23" i="22"/>
  <c r="I31" i="22" a="1"/>
  <c r="I31" i="22" s="1"/>
  <c r="I32" i="22" a="1"/>
  <c r="I32" i="22" s="1"/>
  <c r="I25" i="22"/>
  <c r="I23" i="22"/>
  <c r="I21" i="22"/>
  <c r="I33" i="22" a="1"/>
  <c r="I33" i="22" s="1"/>
  <c r="I24" i="22"/>
  <c r="I22" i="22"/>
  <c r="I30" i="22" a="1"/>
  <c r="I30" i="22" s="1"/>
  <c r="I28" i="22" a="1"/>
  <c r="I28" i="22" s="1"/>
  <c r="I29" i="22" a="1"/>
  <c r="I29" i="22" s="1"/>
  <c r="L10" i="22"/>
  <c r="L11" i="22" s="1"/>
  <c r="L12" i="22" s="1"/>
  <c r="L13" i="22" s="1"/>
  <c r="L14" i="22" s="1"/>
  <c r="L15" i="22" s="1"/>
  <c r="L16" i="22" s="1"/>
  <c r="L17" i="22" s="1"/>
  <c r="M10" i="22"/>
  <c r="M11" i="22" s="1"/>
  <c r="M12" i="22" s="1"/>
  <c r="M13" i="22" s="1"/>
  <c r="M14" i="22" s="1"/>
  <c r="M15" i="22" s="1"/>
  <c r="M16" i="22" s="1"/>
  <c r="M17" i="22" s="1"/>
  <c r="K10" i="22"/>
  <c r="K11" i="22" s="1"/>
  <c r="K12" i="22" s="1"/>
  <c r="K13" i="22" s="1"/>
  <c r="K14" i="22" s="1"/>
  <c r="K15" i="22" s="1"/>
  <c r="K16" i="22" s="1"/>
  <c r="K17" i="22" s="1"/>
  <c r="Z28" i="22" a="1"/>
  <c r="Z28" i="22" s="1"/>
  <c r="X20" i="22"/>
  <c r="H69" i="92" a="1"/>
  <c r="H69" i="92" s="1"/>
  <c r="H71" i="92" a="1"/>
  <c r="H71" i="92" s="1"/>
  <c r="H70" i="92"/>
  <c r="H68" i="92" a="1"/>
  <c r="H68" i="92" s="1"/>
  <c r="I71" i="92" a="1"/>
  <c r="I71" i="92" s="1"/>
  <c r="I69" i="92" a="1"/>
  <c r="I69" i="92" s="1"/>
  <c r="I70" i="92"/>
  <c r="I68" i="92" a="1"/>
  <c r="I68" i="92" s="1"/>
  <c r="F68" i="92" a="1"/>
  <c r="F68" i="92" s="1"/>
  <c r="F70" i="92"/>
  <c r="F71" i="92" a="1"/>
  <c r="F71" i="92" s="1"/>
  <c r="K33" i="829"/>
  <c r="K21" i="835" s="1"/>
  <c r="K22" i="835" s="1"/>
  <c r="K24" i="835" s="1"/>
  <c r="K41" i="835" s="1"/>
  <c r="J33" i="829"/>
  <c r="J21" i="835" s="1"/>
  <c r="J22" i="835" s="1"/>
  <c r="J59" i="2"/>
  <c r="I59" i="2"/>
  <c r="Y23" i="22"/>
  <c r="I42" i="28"/>
  <c r="E11" i="22"/>
  <c r="E25" i="587"/>
  <c r="E38" i="587"/>
  <c r="E37" i="587"/>
  <c r="E22" i="587"/>
  <c r="E26" i="587"/>
  <c r="E27" i="587"/>
  <c r="E29" i="587"/>
  <c r="E30" i="587"/>
  <c r="E39" i="587"/>
  <c r="E18" i="22"/>
  <c r="E20" i="587" s="1"/>
  <c r="E28" i="587"/>
  <c r="E31" i="587"/>
  <c r="E21" i="587"/>
  <c r="E32" i="587"/>
  <c r="E33" i="587"/>
  <c r="E23" i="587"/>
  <c r="E34" i="587"/>
  <c r="E35" i="587"/>
  <c r="E24" i="587"/>
  <c r="E36" i="587"/>
  <c r="W28" i="22" a="1"/>
  <c r="W28" i="22" s="1"/>
  <c r="W20" i="22"/>
  <c r="M31" i="122"/>
  <c r="M53" i="122"/>
  <c r="M65" i="122" s="1"/>
  <c r="M52" i="2"/>
  <c r="U52" i="2" s="1"/>
  <c r="J29" i="92"/>
  <c r="F46" i="28" a="1"/>
  <c r="F46" i="28" s="1"/>
  <c r="J31" i="92"/>
  <c r="E10" i="22"/>
  <c r="E17" i="22"/>
  <c r="E16" i="22"/>
  <c r="E14" i="22"/>
  <c r="E15" i="22"/>
  <c r="E13" i="22"/>
  <c r="E12" i="22"/>
  <c r="N53" i="829"/>
  <c r="J52" i="2"/>
  <c r="J12" i="829" s="1"/>
  <c r="I52" i="2"/>
  <c r="I12" i="829" s="1"/>
  <c r="R168" i="826"/>
  <c r="Q168" i="826"/>
  <c r="P168" i="826"/>
  <c r="O168" i="826"/>
  <c r="N168" i="826"/>
  <c r="M155" i="826"/>
  <c r="U155" i="826" s="1"/>
  <c r="J155" i="826"/>
  <c r="I155" i="826"/>
  <c r="M105" i="826"/>
  <c r="M33" i="2" s="1"/>
  <c r="M104" i="826"/>
  <c r="M32" i="2" s="1"/>
  <c r="M103" i="826"/>
  <c r="M31" i="2" s="1"/>
  <c r="M102" i="826"/>
  <c r="M30" i="2" s="1"/>
  <c r="I49" i="826"/>
  <c r="J49" i="826"/>
  <c r="J48" i="826"/>
  <c r="I48" i="826"/>
  <c r="J47" i="826"/>
  <c r="I47" i="826"/>
  <c r="J46" i="826"/>
  <c r="I46" i="826"/>
  <c r="C89" i="826"/>
  <c r="C88" i="826"/>
  <c r="C87" i="826"/>
  <c r="C86" i="826"/>
  <c r="C85" i="826"/>
  <c r="C84" i="826"/>
  <c r="C83" i="826"/>
  <c r="C82" i="826"/>
  <c r="C28" i="853"/>
  <c r="C27" i="853"/>
  <c r="C26" i="853"/>
  <c r="C25" i="853"/>
  <c r="I12" i="826"/>
  <c r="I8" i="826" s="1"/>
  <c r="I8" i="863" s="1"/>
  <c r="I7" i="826"/>
  <c r="J11" i="826"/>
  <c r="J7" i="826" s="1"/>
  <c r="D295" i="827"/>
  <c r="E295" i="827"/>
  <c r="D11" i="189" s="1"/>
  <c r="D296" i="827"/>
  <c r="E296" i="827"/>
  <c r="D12" i="189" s="1"/>
  <c r="D297" i="827"/>
  <c r="E297" i="827"/>
  <c r="D13" i="189" s="1"/>
  <c r="D298" i="827"/>
  <c r="E298" i="827"/>
  <c r="D14" i="189" s="1"/>
  <c r="D299" i="827"/>
  <c r="E299" i="827"/>
  <c r="D15" i="189" s="1"/>
  <c r="D300" i="827"/>
  <c r="E300" i="827"/>
  <c r="D16" i="189" s="1"/>
  <c r="D301" i="827"/>
  <c r="E301" i="827"/>
  <c r="D17" i="189" s="1"/>
  <c r="D302" i="827"/>
  <c r="E302" i="827"/>
  <c r="D18" i="189" s="1"/>
  <c r="D39" i="189"/>
  <c r="E294" i="827"/>
  <c r="D10" i="189" s="1"/>
  <c r="D294" i="827"/>
  <c r="D124" i="827"/>
  <c r="D125" i="827"/>
  <c r="E125" i="827"/>
  <c r="D126" i="827"/>
  <c r="E126" i="827"/>
  <c r="D127" i="827"/>
  <c r="E127" i="827"/>
  <c r="D128" i="827"/>
  <c r="E128" i="827"/>
  <c r="D129" i="827"/>
  <c r="E129" i="827"/>
  <c r="D130" i="827"/>
  <c r="E130" i="827"/>
  <c r="D131" i="827"/>
  <c r="E131" i="827"/>
  <c r="D132" i="827"/>
  <c r="E132" i="827"/>
  <c r="D153" i="827"/>
  <c r="E153" i="827"/>
  <c r="D38" i="190" s="1"/>
  <c r="S38" i="190" s="1"/>
  <c r="E124" i="827"/>
  <c r="C295" i="827"/>
  <c r="C124" i="827"/>
  <c r="C158" i="827" s="1"/>
  <c r="C226" i="827" s="1"/>
  <c r="C260" i="827" s="1"/>
  <c r="C23" i="827"/>
  <c r="C24" i="827" s="1"/>
  <c r="C25" i="827" s="1"/>
  <c r="C26" i="827" s="1"/>
  <c r="C27" i="827" s="1"/>
  <c r="C28" i="827" s="1"/>
  <c r="C130" i="827" s="1"/>
  <c r="C164" i="827" s="1"/>
  <c r="C232" i="827" s="1"/>
  <c r="C266" i="827" s="1"/>
  <c r="B3" i="827"/>
  <c r="B2" i="827"/>
  <c r="J8" i="853" l="1"/>
  <c r="J7" i="863"/>
  <c r="I8" i="853"/>
  <c r="I7" i="863"/>
  <c r="D13" i="853"/>
  <c r="C78" i="826"/>
  <c r="D14" i="853"/>
  <c r="C79" i="826"/>
  <c r="D16" i="853"/>
  <c r="C81" i="826"/>
  <c r="D15" i="853"/>
  <c r="C80" i="826"/>
  <c r="H8" i="847"/>
  <c r="I171" i="826"/>
  <c r="I177" i="826"/>
  <c r="J170" i="826"/>
  <c r="J176" i="826"/>
  <c r="I170" i="826"/>
  <c r="I176" i="826"/>
  <c r="D11" i="190"/>
  <c r="S11" i="190" s="1"/>
  <c r="D62" i="189"/>
  <c r="D10" i="190"/>
  <c r="S10" i="190" s="1"/>
  <c r="D61" i="189"/>
  <c r="D14" i="190"/>
  <c r="S14" i="190" s="1"/>
  <c r="D65" i="189"/>
  <c r="D15" i="190"/>
  <c r="S15" i="190" s="1"/>
  <c r="D66" i="189"/>
  <c r="D17" i="190"/>
  <c r="S17" i="190" s="1"/>
  <c r="D68" i="189"/>
  <c r="D13" i="190"/>
  <c r="S13" i="190" s="1"/>
  <c r="D64" i="189"/>
  <c r="D12" i="190"/>
  <c r="S12" i="190" s="1"/>
  <c r="D63" i="189"/>
  <c r="D60" i="189"/>
  <c r="D9" i="190"/>
  <c r="S9" i="190" s="1"/>
  <c r="D16" i="190"/>
  <c r="S16" i="190" s="1"/>
  <c r="D67" i="189"/>
  <c r="T131" i="826"/>
  <c r="T132" i="826"/>
  <c r="T133" i="826"/>
  <c r="T134" i="826"/>
  <c r="T135" i="826"/>
  <c r="T136" i="826"/>
  <c r="T137" i="826"/>
  <c r="T138" i="826"/>
  <c r="T139" i="826"/>
  <c r="T140" i="826"/>
  <c r="T141" i="826"/>
  <c r="T142" i="826"/>
  <c r="T168" i="826"/>
  <c r="T54" i="826"/>
  <c r="T55" i="826"/>
  <c r="T56" i="826"/>
  <c r="T46" i="826"/>
  <c r="T48" i="826"/>
  <c r="T49" i="826"/>
  <c r="T47" i="826"/>
  <c r="T57" i="826"/>
  <c r="L18" i="22"/>
  <c r="L30" i="22" s="1" a="1"/>
  <c r="L30" i="22" s="1"/>
  <c r="M18" i="22"/>
  <c r="M30" i="22" s="1" a="1"/>
  <c r="M30" i="22" s="1"/>
  <c r="K18" i="22"/>
  <c r="K30" i="22" s="1" a="1"/>
  <c r="K30" i="22" s="1"/>
  <c r="J7" i="835"/>
  <c r="I7" i="847"/>
  <c r="I7" i="835"/>
  <c r="H7" i="847"/>
  <c r="M12" i="829"/>
  <c r="V85" i="840"/>
  <c r="C109" i="826"/>
  <c r="O44" i="840"/>
  <c r="C110" i="826"/>
  <c r="O45" i="840"/>
  <c r="C111" i="826"/>
  <c r="O46" i="840"/>
  <c r="I8" i="829"/>
  <c r="I56" i="829" s="1"/>
  <c r="I8" i="835"/>
  <c r="C96" i="826"/>
  <c r="O37" i="840"/>
  <c r="C112" i="826"/>
  <c r="O47" i="840"/>
  <c r="C104" i="826"/>
  <c r="O42" i="840"/>
  <c r="C95" i="826"/>
  <c r="O36" i="840"/>
  <c r="C97" i="826"/>
  <c r="O38" i="840"/>
  <c r="C98" i="826"/>
  <c r="O39" i="840"/>
  <c r="C105" i="826"/>
  <c r="O43" i="840"/>
  <c r="C102" i="826"/>
  <c r="O40" i="840"/>
  <c r="C103" i="826"/>
  <c r="O41" i="840"/>
  <c r="AM18" i="22"/>
  <c r="AQ18" i="22"/>
  <c r="AO18" i="22"/>
  <c r="AL18" i="22"/>
  <c r="AP18" i="22"/>
  <c r="I7" i="122"/>
  <c r="I7" i="829"/>
  <c r="I55" i="829" s="1"/>
  <c r="C12" i="22"/>
  <c r="C15" i="22"/>
  <c r="C9" i="22"/>
  <c r="C11" i="22"/>
  <c r="C14" i="22"/>
  <c r="C10" i="22"/>
  <c r="C16" i="22"/>
  <c r="C296" i="827"/>
  <c r="C17" i="22"/>
  <c r="C13" i="22"/>
  <c r="J7" i="122"/>
  <c r="J7" i="829"/>
  <c r="J55" i="829" s="1"/>
  <c r="D197" i="827"/>
  <c r="D163" i="827"/>
  <c r="D231" i="827" s="1"/>
  <c r="D265" i="827" s="1"/>
  <c r="D193" i="827"/>
  <c r="D159" i="827"/>
  <c r="D227" i="827" s="1"/>
  <c r="D261" i="827" s="1"/>
  <c r="E200" i="827"/>
  <c r="E166" i="827"/>
  <c r="E234" i="827" s="1"/>
  <c r="E268" i="827" s="1"/>
  <c r="E196" i="827"/>
  <c r="E162" i="827"/>
  <c r="E230" i="827" s="1"/>
  <c r="E264" i="827" s="1"/>
  <c r="D192" i="827"/>
  <c r="D158" i="827"/>
  <c r="D226" i="827" s="1"/>
  <c r="D260" i="827" s="1"/>
  <c r="E192" i="827"/>
  <c r="E158" i="827"/>
  <c r="E226" i="827" s="1"/>
  <c r="E260" i="827" s="1"/>
  <c r="D194" i="827"/>
  <c r="D160" i="827"/>
  <c r="D228" i="827" s="1"/>
  <c r="D262" i="827" s="1"/>
  <c r="E193" i="827"/>
  <c r="E159" i="827"/>
  <c r="E227" i="827" s="1"/>
  <c r="E261" i="827" s="1"/>
  <c r="D221" i="827"/>
  <c r="D187" i="827"/>
  <c r="D255" i="827" s="1"/>
  <c r="D289" i="827" s="1"/>
  <c r="D196" i="827"/>
  <c r="D162" i="827"/>
  <c r="D230" i="827" s="1"/>
  <c r="D264" i="827" s="1"/>
  <c r="E199" i="827"/>
  <c r="E165" i="827"/>
  <c r="E233" i="827" s="1"/>
  <c r="E267" i="827" s="1"/>
  <c r="E195" i="827"/>
  <c r="E161" i="827"/>
  <c r="E229" i="827" s="1"/>
  <c r="E263" i="827" s="1"/>
  <c r="D199" i="827"/>
  <c r="D165" i="827"/>
  <c r="D233" i="827" s="1"/>
  <c r="D267" i="827" s="1"/>
  <c r="D198" i="827"/>
  <c r="D164" i="827"/>
  <c r="D232" i="827" s="1"/>
  <c r="D266" i="827" s="1"/>
  <c r="E221" i="827"/>
  <c r="D88" i="190" s="1"/>
  <c r="E187" i="827"/>
  <c r="E255" i="827" s="1"/>
  <c r="E289" i="827" s="1"/>
  <c r="D200" i="827"/>
  <c r="D166" i="827"/>
  <c r="D234" i="827" s="1"/>
  <c r="D268" i="827" s="1"/>
  <c r="D195" i="827"/>
  <c r="D161" i="827"/>
  <c r="D229" i="827" s="1"/>
  <c r="D263" i="827" s="1"/>
  <c r="E198" i="827"/>
  <c r="E164" i="827"/>
  <c r="E232" i="827" s="1"/>
  <c r="E266" i="827" s="1"/>
  <c r="E194" i="827"/>
  <c r="E160" i="827"/>
  <c r="E228" i="827" s="1"/>
  <c r="E262" i="827" s="1"/>
  <c r="E197" i="827"/>
  <c r="E163" i="827"/>
  <c r="E231" i="827" s="1"/>
  <c r="E265" i="827" s="1"/>
  <c r="C198" i="827"/>
  <c r="C192" i="827"/>
  <c r="O53" i="829"/>
  <c r="Q95" i="826"/>
  <c r="Q26" i="2" s="1"/>
  <c r="Q11" i="2"/>
  <c r="R98" i="826"/>
  <c r="R29" i="2" s="1"/>
  <c r="R14" i="2"/>
  <c r="R104" i="826"/>
  <c r="R32" i="2" s="1"/>
  <c r="R17" i="2"/>
  <c r="T17" i="2" s="1"/>
  <c r="R95" i="826"/>
  <c r="R26" i="2" s="1"/>
  <c r="R11" i="2"/>
  <c r="R96" i="826"/>
  <c r="R27" i="2" s="1"/>
  <c r="R12" i="2"/>
  <c r="R97" i="826"/>
  <c r="R28" i="2" s="1"/>
  <c r="R13" i="2"/>
  <c r="I98" i="826"/>
  <c r="I29" i="2" s="1"/>
  <c r="I14" i="2"/>
  <c r="J98" i="826"/>
  <c r="J29" i="2" s="1"/>
  <c r="J14" i="2"/>
  <c r="J95" i="826"/>
  <c r="J26" i="2" s="1"/>
  <c r="J11" i="2"/>
  <c r="J96" i="826"/>
  <c r="J27" i="2" s="1"/>
  <c r="J12" i="2"/>
  <c r="J97" i="826"/>
  <c r="J28" i="2" s="1"/>
  <c r="J13" i="2"/>
  <c r="M98" i="826"/>
  <c r="M14" i="2"/>
  <c r="M106" i="826"/>
  <c r="M95" i="826"/>
  <c r="M26" i="2" s="1"/>
  <c r="M11" i="2"/>
  <c r="M96" i="826"/>
  <c r="M12" i="2"/>
  <c r="M97" i="826"/>
  <c r="M13" i="2"/>
  <c r="N98" i="826"/>
  <c r="N29" i="2" s="1"/>
  <c r="N14" i="2"/>
  <c r="N58" i="826"/>
  <c r="N15" i="2"/>
  <c r="N103" i="826"/>
  <c r="N31" i="2" s="1"/>
  <c r="N16" i="2"/>
  <c r="N104" i="826"/>
  <c r="N32" i="2" s="1"/>
  <c r="N17" i="2"/>
  <c r="N105" i="826"/>
  <c r="N33" i="2" s="1"/>
  <c r="N18" i="2"/>
  <c r="I96" i="826"/>
  <c r="I27" i="2" s="1"/>
  <c r="I12" i="2"/>
  <c r="I158" i="826"/>
  <c r="I8" i="2"/>
  <c r="I8" i="122"/>
  <c r="N95" i="826"/>
  <c r="N26" i="2" s="1"/>
  <c r="N11" i="2"/>
  <c r="N96" i="826"/>
  <c r="N27" i="2" s="1"/>
  <c r="N12" i="2"/>
  <c r="N97" i="826"/>
  <c r="N28" i="2" s="1"/>
  <c r="N13" i="2"/>
  <c r="O98" i="826"/>
  <c r="O29" i="2" s="1"/>
  <c r="O14" i="2"/>
  <c r="O102" i="826"/>
  <c r="O30" i="2" s="1"/>
  <c r="O15" i="2"/>
  <c r="O103" i="826"/>
  <c r="O31" i="2" s="1"/>
  <c r="O16" i="2"/>
  <c r="O104" i="826"/>
  <c r="O32" i="2" s="1"/>
  <c r="O17" i="2"/>
  <c r="O105" i="826"/>
  <c r="O33" i="2" s="1"/>
  <c r="O18" i="2"/>
  <c r="Q96" i="826"/>
  <c r="Q27" i="2" s="1"/>
  <c r="Q12" i="2"/>
  <c r="R58" i="826"/>
  <c r="R15" i="2"/>
  <c r="T15" i="2" s="1"/>
  <c r="O95" i="826"/>
  <c r="O26" i="2" s="1"/>
  <c r="O11" i="2"/>
  <c r="O96" i="826"/>
  <c r="O27" i="2" s="1"/>
  <c r="O12" i="2"/>
  <c r="O97" i="826"/>
  <c r="O28" i="2" s="1"/>
  <c r="O13" i="2"/>
  <c r="P98" i="826"/>
  <c r="P29" i="2" s="1"/>
  <c r="P14" i="2"/>
  <c r="P102" i="826"/>
  <c r="P30" i="2" s="1"/>
  <c r="P15" i="2"/>
  <c r="P103" i="826"/>
  <c r="P31" i="2" s="1"/>
  <c r="P16" i="2"/>
  <c r="P104" i="826"/>
  <c r="P32" i="2" s="1"/>
  <c r="P17" i="2"/>
  <c r="P105" i="826"/>
  <c r="P33" i="2" s="1"/>
  <c r="P18" i="2"/>
  <c r="I15" i="826"/>
  <c r="Q97" i="826"/>
  <c r="Q28" i="2" s="1"/>
  <c r="Q13" i="2"/>
  <c r="R103" i="826"/>
  <c r="R31" i="2" s="1"/>
  <c r="R16" i="2"/>
  <c r="T16" i="2" s="1"/>
  <c r="R105" i="826"/>
  <c r="R33" i="2" s="1"/>
  <c r="R18" i="2"/>
  <c r="T18" i="2" s="1"/>
  <c r="I95" i="826"/>
  <c r="I26" i="2" s="1"/>
  <c r="I11" i="2"/>
  <c r="I97" i="826"/>
  <c r="I28" i="2" s="1"/>
  <c r="I13" i="2"/>
  <c r="P95" i="826"/>
  <c r="P26" i="2" s="1"/>
  <c r="P11" i="2"/>
  <c r="P96" i="826"/>
  <c r="P27" i="2" s="1"/>
  <c r="P12" i="2"/>
  <c r="P97" i="826"/>
  <c r="P28" i="2" s="1"/>
  <c r="P13" i="2"/>
  <c r="Q98" i="826"/>
  <c r="Q29" i="2" s="1"/>
  <c r="Q14" i="2"/>
  <c r="Q102" i="826"/>
  <c r="Q30" i="2" s="1"/>
  <c r="Q15" i="2"/>
  <c r="Q103" i="826"/>
  <c r="Q31" i="2" s="1"/>
  <c r="Q16" i="2"/>
  <c r="Q104" i="826"/>
  <c r="Q32" i="2" s="1"/>
  <c r="Q17" i="2"/>
  <c r="Q105" i="826"/>
  <c r="Q33" i="2" s="1"/>
  <c r="Q18" i="2"/>
  <c r="D40" i="826"/>
  <c r="D19" i="2"/>
  <c r="D34" i="2" s="1"/>
  <c r="D33" i="826"/>
  <c r="D20" i="853" s="1"/>
  <c r="D12" i="2"/>
  <c r="D34" i="826"/>
  <c r="D21" i="853" s="1"/>
  <c r="D13" i="2"/>
  <c r="D42" i="826"/>
  <c r="D21" i="2"/>
  <c r="D36" i="2" s="1"/>
  <c r="D41" i="826"/>
  <c r="D20" i="2"/>
  <c r="D35" i="2" s="1"/>
  <c r="D35" i="826"/>
  <c r="D22" i="853" s="1"/>
  <c r="D14" i="2"/>
  <c r="D43" i="826"/>
  <c r="D22" i="2"/>
  <c r="D37" i="2" s="1"/>
  <c r="D32" i="826"/>
  <c r="D19" i="853" s="1"/>
  <c r="D11" i="2"/>
  <c r="D36" i="826"/>
  <c r="D15" i="2"/>
  <c r="D30" i="2" s="1"/>
  <c r="I19" i="825"/>
  <c r="J7" i="2"/>
  <c r="B67" i="844" s="1"/>
  <c r="D37" i="826"/>
  <c r="D16" i="2"/>
  <c r="D31" i="2" s="1"/>
  <c r="H19" i="825"/>
  <c r="I7" i="2"/>
  <c r="D38" i="826"/>
  <c r="D17" i="2"/>
  <c r="D32" i="2" s="1"/>
  <c r="D39" i="826"/>
  <c r="D18" i="2"/>
  <c r="D33" i="2" s="1"/>
  <c r="J14" i="826"/>
  <c r="I14" i="826"/>
  <c r="I92" i="826"/>
  <c r="I93" i="826"/>
  <c r="J92" i="826"/>
  <c r="I113" i="826"/>
  <c r="J113" i="826"/>
  <c r="J144" i="826"/>
  <c r="J157" i="826"/>
  <c r="I145" i="826"/>
  <c r="I144" i="826"/>
  <c r="I157" i="826"/>
  <c r="J106" i="826"/>
  <c r="M113" i="826"/>
  <c r="N102" i="826"/>
  <c r="N30" i="2" s="1"/>
  <c r="R102" i="826"/>
  <c r="R30" i="2" s="1"/>
  <c r="C128" i="826"/>
  <c r="C142" i="826" s="1"/>
  <c r="C127" i="826"/>
  <c r="C141" i="826" s="1"/>
  <c r="C125" i="826"/>
  <c r="C139" i="826" s="1"/>
  <c r="C124" i="826"/>
  <c r="C138" i="826" s="1"/>
  <c r="C123" i="826"/>
  <c r="C137" i="826" s="1"/>
  <c r="C122" i="826"/>
  <c r="C136" i="826" s="1"/>
  <c r="C121" i="826"/>
  <c r="C135" i="826" s="1"/>
  <c r="C120" i="826"/>
  <c r="C134" i="826" s="1"/>
  <c r="C117" i="826"/>
  <c r="C131" i="826" s="1"/>
  <c r="C119" i="826"/>
  <c r="C133" i="826" s="1"/>
  <c r="C126" i="826"/>
  <c r="C140" i="826" s="1"/>
  <c r="C118" i="826"/>
  <c r="C132" i="826" s="1"/>
  <c r="P58" i="826"/>
  <c r="O58" i="826"/>
  <c r="Q58" i="826"/>
  <c r="O50" i="826"/>
  <c r="R50" i="826"/>
  <c r="P50" i="826"/>
  <c r="Q50" i="826"/>
  <c r="J50" i="826"/>
  <c r="N50" i="826"/>
  <c r="M50" i="826"/>
  <c r="I50" i="826"/>
  <c r="J12" i="826"/>
  <c r="J8" i="826" s="1"/>
  <c r="J8" i="863" s="1"/>
  <c r="M10" i="826"/>
  <c r="M11" i="826" s="1"/>
  <c r="C129" i="827"/>
  <c r="C163" i="827" s="1"/>
  <c r="C231" i="827" s="1"/>
  <c r="C265" i="827" s="1"/>
  <c r="C127" i="827"/>
  <c r="C161" i="827" s="1"/>
  <c r="C229" i="827" s="1"/>
  <c r="C263" i="827" s="1"/>
  <c r="C128" i="827"/>
  <c r="C162" i="827" s="1"/>
  <c r="C230" i="827" s="1"/>
  <c r="C264" i="827" s="1"/>
  <c r="C126" i="827"/>
  <c r="C160" i="827" s="1"/>
  <c r="C228" i="827" s="1"/>
  <c r="C262" i="827" s="1"/>
  <c r="C125" i="827"/>
  <c r="C159" i="827" s="1"/>
  <c r="C227" i="827" s="1"/>
  <c r="C261" i="827" s="1"/>
  <c r="C29" i="827"/>
  <c r="B2" i="826"/>
  <c r="S4" i="834"/>
  <c r="J38" i="2" l="1"/>
  <c r="I38" i="2"/>
  <c r="L96" i="826"/>
  <c r="L27" i="2" s="1"/>
  <c r="M27" i="2"/>
  <c r="L98" i="826"/>
  <c r="L29" i="2" s="1"/>
  <c r="M29" i="2"/>
  <c r="L97" i="826"/>
  <c r="L28" i="2" s="1"/>
  <c r="M28" i="2"/>
  <c r="L95" i="826"/>
  <c r="L26" i="2" s="1"/>
  <c r="M99" i="826"/>
  <c r="T13" i="2"/>
  <c r="T14" i="2"/>
  <c r="T12" i="2"/>
  <c r="T11" i="2"/>
  <c r="J177" i="826"/>
  <c r="J171" i="826"/>
  <c r="H3" i="841"/>
  <c r="C5" i="855"/>
  <c r="I28" i="825"/>
  <c r="D4" i="855"/>
  <c r="Q102" i="840"/>
  <c r="R102" i="840"/>
  <c r="H28" i="825"/>
  <c r="C4" i="855"/>
  <c r="M31" i="829"/>
  <c r="U100" i="840" s="1"/>
  <c r="M29" i="829"/>
  <c r="U98" i="840" s="1"/>
  <c r="M23" i="829"/>
  <c r="U93" i="840" s="1"/>
  <c r="T105" i="826"/>
  <c r="T96" i="826"/>
  <c r="T32" i="2"/>
  <c r="T104" i="826"/>
  <c r="T50" i="826"/>
  <c r="T97" i="826"/>
  <c r="T31" i="2"/>
  <c r="T103" i="826"/>
  <c r="T95" i="826"/>
  <c r="T98" i="826"/>
  <c r="J8" i="122"/>
  <c r="I8" i="847"/>
  <c r="T102" i="826"/>
  <c r="T58" i="826"/>
  <c r="AN18" i="22"/>
  <c r="U49" i="826"/>
  <c r="L14" i="2"/>
  <c r="U14" i="2" s="1"/>
  <c r="U47" i="826"/>
  <c r="L12" i="2"/>
  <c r="U12" i="2" s="1"/>
  <c r="L13" i="2"/>
  <c r="U13" i="2" s="1"/>
  <c r="U48" i="826"/>
  <c r="L50" i="826"/>
  <c r="U46" i="826"/>
  <c r="L11" i="2"/>
  <c r="R30" i="840"/>
  <c r="R35" i="840" s="1"/>
  <c r="R54" i="840" s="1"/>
  <c r="I2" i="841"/>
  <c r="K51" i="826"/>
  <c r="Q30" i="840"/>
  <c r="Q35" i="840" s="1"/>
  <c r="Q54" i="840" s="1"/>
  <c r="H2" i="841"/>
  <c r="W85" i="840"/>
  <c r="M7" i="826"/>
  <c r="L11" i="826"/>
  <c r="L7" i="826" s="1"/>
  <c r="K11" i="826"/>
  <c r="K7" i="826" s="1"/>
  <c r="C17" i="829"/>
  <c r="C56" i="829"/>
  <c r="J8" i="829"/>
  <c r="J56" i="829" s="1"/>
  <c r="J8" i="835"/>
  <c r="T33" i="2"/>
  <c r="D9" i="834" a="1"/>
  <c r="D9" i="834" s="1"/>
  <c r="K31" i="834"/>
  <c r="L8" i="834"/>
  <c r="C7" i="829"/>
  <c r="C15" i="826"/>
  <c r="C93" i="826"/>
  <c r="C171" i="826"/>
  <c r="C158" i="826"/>
  <c r="C145" i="826"/>
  <c r="C7" i="826"/>
  <c r="C7" i="863" s="1"/>
  <c r="D65" i="190"/>
  <c r="D59" i="190"/>
  <c r="D61" i="190"/>
  <c r="D66" i="190"/>
  <c r="D64" i="190"/>
  <c r="D62" i="190"/>
  <c r="D60" i="190"/>
  <c r="D63" i="190"/>
  <c r="D67" i="190"/>
  <c r="O59" i="826"/>
  <c r="R59" i="826"/>
  <c r="I37" i="829"/>
  <c r="I16" i="829"/>
  <c r="J37" i="829"/>
  <c r="J16" i="829"/>
  <c r="I23" i="2"/>
  <c r="I38" i="829"/>
  <c r="I17" i="829"/>
  <c r="C297" i="827"/>
  <c r="C197" i="827"/>
  <c r="C193" i="827"/>
  <c r="C195" i="827"/>
  <c r="C194" i="827"/>
  <c r="C196" i="827"/>
  <c r="P53" i="829"/>
  <c r="N99" i="826"/>
  <c r="Q99" i="826"/>
  <c r="I99" i="826"/>
  <c r="Q106" i="826"/>
  <c r="M23" i="2"/>
  <c r="P106" i="826"/>
  <c r="J99" i="826"/>
  <c r="P99" i="826"/>
  <c r="N106" i="826"/>
  <c r="O106" i="826"/>
  <c r="R99" i="826"/>
  <c r="I106" i="826"/>
  <c r="J23" i="2"/>
  <c r="R106" i="826"/>
  <c r="T30" i="2"/>
  <c r="O99" i="826"/>
  <c r="J8" i="2"/>
  <c r="J15" i="826"/>
  <c r="J158" i="826"/>
  <c r="J145" i="826"/>
  <c r="J93" i="826"/>
  <c r="P59" i="826"/>
  <c r="J69" i="826"/>
  <c r="R40" i="840" s="1"/>
  <c r="N59" i="826"/>
  <c r="M69" i="826"/>
  <c r="Q59" i="826"/>
  <c r="I69" i="826"/>
  <c r="Q40" i="840" s="1"/>
  <c r="O51" i="826"/>
  <c r="P51" i="826"/>
  <c r="M51" i="826"/>
  <c r="N51" i="826"/>
  <c r="Q51" i="826"/>
  <c r="R51" i="826"/>
  <c r="J51" i="826"/>
  <c r="N10" i="826"/>
  <c r="M8" i="826"/>
  <c r="M8" i="863" s="1"/>
  <c r="C131" i="827"/>
  <c r="C165" i="827" s="1"/>
  <c r="C233" i="827" s="1"/>
  <c r="C267" i="827" s="1"/>
  <c r="C30" i="827"/>
  <c r="C31" i="827" s="1"/>
  <c r="M162" i="826" l="1"/>
  <c r="M166" i="826"/>
  <c r="M165" i="826"/>
  <c r="M160" i="826"/>
  <c r="M164" i="826"/>
  <c r="M161" i="826"/>
  <c r="M163" i="826"/>
  <c r="M167" i="826"/>
  <c r="M38" i="2"/>
  <c r="D48" i="854"/>
  <c r="I26" i="854" s="1"/>
  <c r="K42" i="834"/>
  <c r="K7" i="863"/>
  <c r="L7" i="863"/>
  <c r="M7" i="835"/>
  <c r="M7" i="863"/>
  <c r="T28" i="2"/>
  <c r="M73" i="826"/>
  <c r="U32" i="840" s="1"/>
  <c r="M74" i="826"/>
  <c r="U33" i="840" s="1"/>
  <c r="T29" i="2"/>
  <c r="T26" i="2"/>
  <c r="T27" i="2"/>
  <c r="M72" i="826"/>
  <c r="D30" i="854"/>
  <c r="D40" i="854"/>
  <c r="D39" i="854"/>
  <c r="U40" i="840"/>
  <c r="M83" i="826"/>
  <c r="M86" i="826"/>
  <c r="M82" i="826"/>
  <c r="M88" i="826"/>
  <c r="M89" i="826"/>
  <c r="M87" i="826"/>
  <c r="M85" i="826"/>
  <c r="M84" i="826"/>
  <c r="M78" i="826"/>
  <c r="M79" i="826"/>
  <c r="M81" i="826"/>
  <c r="M80" i="826"/>
  <c r="R41" i="840"/>
  <c r="I68" i="2"/>
  <c r="I3" i="841"/>
  <c r="D5" i="855"/>
  <c r="K8" i="853"/>
  <c r="K7" i="835"/>
  <c r="L8" i="847"/>
  <c r="M8" i="835"/>
  <c r="M171" i="826"/>
  <c r="M177" i="826"/>
  <c r="L176" i="826"/>
  <c r="L7" i="835"/>
  <c r="I21" i="825"/>
  <c r="R44" i="840"/>
  <c r="R46" i="840"/>
  <c r="R42" i="840"/>
  <c r="R47" i="840"/>
  <c r="R43" i="840"/>
  <c r="R45" i="840"/>
  <c r="R36" i="840"/>
  <c r="R39" i="840"/>
  <c r="R37" i="840"/>
  <c r="R38" i="840"/>
  <c r="J68" i="2"/>
  <c r="V51" i="826"/>
  <c r="S41" i="840"/>
  <c r="S48" i="840" s="1"/>
  <c r="I34" i="829"/>
  <c r="Q51" i="840"/>
  <c r="I67" i="2"/>
  <c r="I75" i="2" s="1"/>
  <c r="I70" i="2"/>
  <c r="H31" i="825" s="1"/>
  <c r="I72" i="2"/>
  <c r="H33" i="825" s="1"/>
  <c r="Q42" i="840"/>
  <c r="Q36" i="840"/>
  <c r="Q43" i="840"/>
  <c r="Q41" i="840"/>
  <c r="Q45" i="840"/>
  <c r="Q39" i="840"/>
  <c r="Q44" i="840"/>
  <c r="Q46" i="840"/>
  <c r="Q47" i="840"/>
  <c r="Q37" i="840"/>
  <c r="Q38" i="840"/>
  <c r="J70" i="2"/>
  <c r="I31" i="825" s="1"/>
  <c r="J72" i="2"/>
  <c r="I33" i="825" s="1"/>
  <c r="R51" i="840"/>
  <c r="K67" i="2"/>
  <c r="J67" i="2"/>
  <c r="Q65" i="840"/>
  <c r="Q72" i="840" s="1"/>
  <c r="Q87" i="840" s="1"/>
  <c r="Q104" i="840" s="1"/>
  <c r="Q50" i="840"/>
  <c r="R65" i="840"/>
  <c r="R72" i="840" s="1"/>
  <c r="R87" i="840" s="1"/>
  <c r="R104" i="840" s="1"/>
  <c r="R50" i="840"/>
  <c r="U45" i="840"/>
  <c r="U37" i="840"/>
  <c r="U43" i="840"/>
  <c r="U42" i="840"/>
  <c r="U47" i="840"/>
  <c r="U44" i="840"/>
  <c r="U39" i="840"/>
  <c r="U38" i="840"/>
  <c r="U46" i="840"/>
  <c r="U36" i="840"/>
  <c r="U41" i="840"/>
  <c r="U51" i="840"/>
  <c r="M70" i="2"/>
  <c r="L31" i="825" s="1"/>
  <c r="H21" i="825"/>
  <c r="I159" i="826"/>
  <c r="M159" i="826"/>
  <c r="K170" i="826"/>
  <c r="K176" i="826"/>
  <c r="M170" i="826"/>
  <c r="M176" i="826"/>
  <c r="K7" i="847"/>
  <c r="L170" i="826"/>
  <c r="T59" i="826"/>
  <c r="J11" i="829"/>
  <c r="T51" i="826"/>
  <c r="T106" i="826"/>
  <c r="T99" i="826"/>
  <c r="M68" i="2"/>
  <c r="U98" i="826"/>
  <c r="U29" i="2"/>
  <c r="U28" i="2"/>
  <c r="U97" i="826"/>
  <c r="U27" i="2"/>
  <c r="U96" i="826"/>
  <c r="L23" i="2"/>
  <c r="U11" i="2"/>
  <c r="U50" i="826"/>
  <c r="L69" i="826"/>
  <c r="L51" i="826"/>
  <c r="L99" i="826"/>
  <c r="U95" i="826"/>
  <c r="L21" i="825"/>
  <c r="C7" i="835"/>
  <c r="C7" i="847"/>
  <c r="J19" i="825"/>
  <c r="J7" i="847"/>
  <c r="K19" i="825"/>
  <c r="L7" i="847"/>
  <c r="K7" i="122"/>
  <c r="K7" i="2"/>
  <c r="K7" i="829"/>
  <c r="K55" i="829" s="1"/>
  <c r="L7" i="122"/>
  <c r="L7" i="829"/>
  <c r="L55" i="829" s="1"/>
  <c r="L7" i="2"/>
  <c r="F4" i="855" s="1"/>
  <c r="M4" i="855" s="1"/>
  <c r="J34" i="829"/>
  <c r="X85" i="840"/>
  <c r="T51" i="829"/>
  <c r="T50" i="829"/>
  <c r="T52" i="829"/>
  <c r="T40" i="829"/>
  <c r="T47" i="829"/>
  <c r="T44" i="829"/>
  <c r="T43" i="829"/>
  <c r="T42" i="829"/>
  <c r="T49" i="829"/>
  <c r="M14" i="826"/>
  <c r="M37" i="829" s="1"/>
  <c r="M7" i="2"/>
  <c r="G4" i="855" s="1"/>
  <c r="N4" i="855" s="1"/>
  <c r="M7" i="829"/>
  <c r="M55" i="829" s="1"/>
  <c r="M92" i="826"/>
  <c r="L19" i="825"/>
  <c r="M7" i="122"/>
  <c r="M144" i="826"/>
  <c r="M157" i="826"/>
  <c r="L14" i="826"/>
  <c r="L92" i="826"/>
  <c r="L157" i="826"/>
  <c r="L144" i="826"/>
  <c r="K92" i="826"/>
  <c r="K144" i="826"/>
  <c r="K157" i="826"/>
  <c r="K14" i="826"/>
  <c r="N12" i="826"/>
  <c r="N8" i="826" s="1"/>
  <c r="N8" i="863" s="1"/>
  <c r="N11" i="826"/>
  <c r="N7" i="826" s="1"/>
  <c r="M8" i="829"/>
  <c r="M56" i="829" s="1"/>
  <c r="M114" i="826"/>
  <c r="U55" i="840" s="1"/>
  <c r="U63" i="840" s="1"/>
  <c r="J114" i="826"/>
  <c r="C32" i="827"/>
  <c r="C133" i="827"/>
  <c r="J40" i="2"/>
  <c r="M10" i="829"/>
  <c r="I10" i="829"/>
  <c r="I40" i="2"/>
  <c r="C7" i="122"/>
  <c r="C7" i="2"/>
  <c r="I114" i="826"/>
  <c r="C298" i="827"/>
  <c r="I11" i="829"/>
  <c r="J38" i="829"/>
  <c r="J17" i="829"/>
  <c r="J10" i="829"/>
  <c r="C199" i="827"/>
  <c r="Q53" i="829"/>
  <c r="M8" i="2"/>
  <c r="G5" i="855" s="1"/>
  <c r="N5" i="855" s="1"/>
  <c r="M8" i="122"/>
  <c r="M15" i="826"/>
  <c r="J159" i="826"/>
  <c r="M158" i="826"/>
  <c r="M145" i="826"/>
  <c r="U145" i="826" s="1"/>
  <c r="M93" i="826"/>
  <c r="U93" i="826" s="1"/>
  <c r="O10" i="826"/>
  <c r="O12" i="826" s="1"/>
  <c r="O8" i="826" s="1"/>
  <c r="O8" i="863" s="1"/>
  <c r="C132" i="827"/>
  <c r="C166" i="827" s="1"/>
  <c r="C234" i="827" s="1"/>
  <c r="C268" i="827" s="1"/>
  <c r="L161" i="826" l="1"/>
  <c r="L165" i="826"/>
  <c r="L163" i="826"/>
  <c r="L167" i="826"/>
  <c r="L164" i="826"/>
  <c r="L162" i="826"/>
  <c r="L166" i="826"/>
  <c r="L160" i="826"/>
  <c r="U160" i="826" s="1"/>
  <c r="M42" i="834"/>
  <c r="L42" i="834"/>
  <c r="M67" i="2"/>
  <c r="L29" i="825" s="1"/>
  <c r="M27" i="829"/>
  <c r="U96" i="840" s="1"/>
  <c r="M21" i="829"/>
  <c r="U91" i="840" s="1"/>
  <c r="N7" i="863"/>
  <c r="J69" i="2"/>
  <c r="J11" i="863"/>
  <c r="I69" i="2"/>
  <c r="I11" i="863"/>
  <c r="I25" i="854"/>
  <c r="L73" i="826"/>
  <c r="L74" i="826"/>
  <c r="U31" i="840"/>
  <c r="M75" i="826"/>
  <c r="I22" i="825"/>
  <c r="I23" i="825" s="1"/>
  <c r="R55" i="840"/>
  <c r="R63" i="840" s="1"/>
  <c r="L72" i="826"/>
  <c r="H22" i="825"/>
  <c r="H23" i="825" s="1"/>
  <c r="Q55" i="840"/>
  <c r="Q63" i="840" s="1"/>
  <c r="K75" i="2"/>
  <c r="M90" i="826"/>
  <c r="L88" i="826"/>
  <c r="L83" i="826"/>
  <c r="L85" i="826"/>
  <c r="L84" i="826"/>
  <c r="L82" i="826"/>
  <c r="L89" i="826"/>
  <c r="L87" i="826"/>
  <c r="L86" i="826"/>
  <c r="L81" i="826"/>
  <c r="L80" i="826"/>
  <c r="N8" i="847"/>
  <c r="O8" i="835"/>
  <c r="O177" i="826"/>
  <c r="O171" i="826"/>
  <c r="M8" i="847"/>
  <c r="N8" i="835"/>
  <c r="N171" i="826"/>
  <c r="N177" i="826"/>
  <c r="R48" i="840"/>
  <c r="N176" i="826"/>
  <c r="N7" i="835"/>
  <c r="Q48" i="840"/>
  <c r="J28" i="825"/>
  <c r="E4" i="855"/>
  <c r="U48" i="840"/>
  <c r="U51" i="826"/>
  <c r="T41" i="840"/>
  <c r="T46" i="840"/>
  <c r="T38" i="840"/>
  <c r="T42" i="840"/>
  <c r="T45" i="840"/>
  <c r="T37" i="840"/>
  <c r="T44" i="840"/>
  <c r="T43" i="840"/>
  <c r="T39" i="840"/>
  <c r="T47" i="840"/>
  <c r="T36" i="840"/>
  <c r="U23" i="2"/>
  <c r="T51" i="840"/>
  <c r="L70" i="2"/>
  <c r="K31" i="825" s="1"/>
  <c r="L67" i="2"/>
  <c r="T40" i="840"/>
  <c r="M168" i="826"/>
  <c r="M19" i="829"/>
  <c r="U89" i="840" s="1"/>
  <c r="M7" i="847"/>
  <c r="N170" i="826"/>
  <c r="M40" i="2"/>
  <c r="M11" i="863" s="1"/>
  <c r="H18" i="849"/>
  <c r="I18" i="849" s="1"/>
  <c r="U171" i="826"/>
  <c r="U158" i="826"/>
  <c r="N93" i="826"/>
  <c r="I29" i="825"/>
  <c r="J75" i="2"/>
  <c r="L28" i="825"/>
  <c r="M11" i="829"/>
  <c r="U161" i="826"/>
  <c r="L159" i="826"/>
  <c r="U159" i="826" s="1"/>
  <c r="U167" i="826"/>
  <c r="U162" i="826"/>
  <c r="K21" i="825"/>
  <c r="U69" i="826"/>
  <c r="U26" i="2"/>
  <c r="U99" i="826"/>
  <c r="L10" i="829"/>
  <c r="J29" i="825"/>
  <c r="L22" i="825"/>
  <c r="L23" i="825" s="1"/>
  <c r="U157" i="826"/>
  <c r="V144" i="826"/>
  <c r="U144" i="826"/>
  <c r="T30" i="840"/>
  <c r="T35" i="840" s="1"/>
  <c r="T54" i="840" s="1"/>
  <c r="K28" i="825"/>
  <c r="V92" i="826"/>
  <c r="U92" i="826"/>
  <c r="J2" i="841"/>
  <c r="S30" i="840"/>
  <c r="S35" i="840" s="1"/>
  <c r="S54" i="840" s="1"/>
  <c r="V157" i="826"/>
  <c r="L9" i="834"/>
  <c r="K37" i="829"/>
  <c r="K16" i="829"/>
  <c r="U30" i="840"/>
  <c r="U35" i="840" s="1"/>
  <c r="U54" i="840" s="1"/>
  <c r="L37" i="829"/>
  <c r="L16" i="829"/>
  <c r="Y85" i="840"/>
  <c r="M16" i="829"/>
  <c r="N158" i="826"/>
  <c r="N145" i="826"/>
  <c r="N8" i="829"/>
  <c r="N56" i="829" s="1"/>
  <c r="N15" i="826"/>
  <c r="N17" i="829" s="1"/>
  <c r="N8" i="2"/>
  <c r="H5" i="855" s="1"/>
  <c r="O5" i="855" s="1"/>
  <c r="O8" i="829"/>
  <c r="O56" i="829" s="1"/>
  <c r="J54" i="2"/>
  <c r="I54" i="2"/>
  <c r="C167" i="827"/>
  <c r="C235" i="827" s="1"/>
  <c r="C269" i="827" s="1"/>
  <c r="C201" i="827"/>
  <c r="C33" i="827"/>
  <c r="C134" i="827"/>
  <c r="M38" i="829"/>
  <c r="M17" i="829"/>
  <c r="C299" i="827"/>
  <c r="N7" i="829"/>
  <c r="N55" i="829" s="1"/>
  <c r="C200" i="827"/>
  <c r="R53" i="829"/>
  <c r="T53" i="829" s="1"/>
  <c r="O8" i="2"/>
  <c r="I5" i="855" s="1"/>
  <c r="P5" i="855" s="1"/>
  <c r="O15" i="826"/>
  <c r="N7" i="2"/>
  <c r="N14" i="826"/>
  <c r="I168" i="826"/>
  <c r="J168" i="826"/>
  <c r="M19" i="825"/>
  <c r="N157" i="826"/>
  <c r="N144" i="826"/>
  <c r="N92" i="826"/>
  <c r="O158" i="826"/>
  <c r="O93" i="826"/>
  <c r="O145" i="826"/>
  <c r="O11" i="826"/>
  <c r="O7" i="826" s="1"/>
  <c r="P10" i="826"/>
  <c r="P12" i="826" s="1"/>
  <c r="P8" i="826" s="1"/>
  <c r="P8" i="863" s="1"/>
  <c r="F10" i="816"/>
  <c r="M75" i="2" l="1"/>
  <c r="L21" i="829"/>
  <c r="T91" i="840" s="1"/>
  <c r="L27" i="829"/>
  <c r="T96" i="840" s="1"/>
  <c r="L19" i="829"/>
  <c r="T89" i="840" s="1"/>
  <c r="I57" i="2"/>
  <c r="I71" i="2"/>
  <c r="J71" i="2"/>
  <c r="J57" i="2"/>
  <c r="M26" i="829"/>
  <c r="U95" i="840" s="1"/>
  <c r="M20" i="829"/>
  <c r="M22" i="829"/>
  <c r="U92" i="840" s="1"/>
  <c r="L90" i="826"/>
  <c r="O7" i="863"/>
  <c r="U75" i="826"/>
  <c r="T31" i="840"/>
  <c r="U72" i="826"/>
  <c r="T33" i="840"/>
  <c r="U74" i="826"/>
  <c r="T32" i="840"/>
  <c r="U73" i="826"/>
  <c r="O8" i="847"/>
  <c r="P8" i="835"/>
  <c r="P171" i="826"/>
  <c r="P177" i="826"/>
  <c r="O176" i="826"/>
  <c r="O7" i="835"/>
  <c r="M28" i="825"/>
  <c r="H4" i="855"/>
  <c r="O4" i="855" s="1"/>
  <c r="S65" i="840"/>
  <c r="S72" i="840" s="1"/>
  <c r="S87" i="840" s="1"/>
  <c r="S104" i="840" s="1"/>
  <c r="S50" i="840"/>
  <c r="U65" i="840"/>
  <c r="U72" i="840" s="1"/>
  <c r="U87" i="840" s="1"/>
  <c r="U104" i="840" s="1"/>
  <c r="U50" i="840"/>
  <c r="T65" i="840"/>
  <c r="T72" i="840" s="1"/>
  <c r="T87" i="840" s="1"/>
  <c r="T104" i="840" s="1"/>
  <c r="T50" i="840"/>
  <c r="T48" i="840"/>
  <c r="M54" i="2"/>
  <c r="M69" i="2"/>
  <c r="L30" i="825" s="1"/>
  <c r="U90" i="840"/>
  <c r="N7" i="847"/>
  <c r="O170" i="826"/>
  <c r="U163" i="826"/>
  <c r="U165" i="826"/>
  <c r="K29" i="825"/>
  <c r="L75" i="2"/>
  <c r="L168" i="826"/>
  <c r="U168" i="826" s="1"/>
  <c r="Q66" i="840"/>
  <c r="H30" i="825"/>
  <c r="R66" i="840"/>
  <c r="I30" i="825"/>
  <c r="V170" i="826"/>
  <c r="U170" i="826"/>
  <c r="V30" i="840"/>
  <c r="V35" i="840" s="1"/>
  <c r="V54" i="840" s="1"/>
  <c r="M9" i="834"/>
  <c r="N38" i="829"/>
  <c r="Z85" i="840"/>
  <c r="P8" i="829"/>
  <c r="P56" i="829" s="1"/>
  <c r="C168" i="827"/>
  <c r="C236" i="827" s="1"/>
  <c r="C270" i="827" s="1"/>
  <c r="C202" i="827"/>
  <c r="C34" i="827"/>
  <c r="C135" i="827"/>
  <c r="N37" i="829"/>
  <c r="N16" i="829"/>
  <c r="C300" i="827"/>
  <c r="O7" i="829"/>
  <c r="O55" i="829" s="1"/>
  <c r="O38" i="829"/>
  <c r="O17" i="829"/>
  <c r="P8" i="2"/>
  <c r="J5" i="855" s="1"/>
  <c r="Q5" i="855" s="1"/>
  <c r="P15" i="826"/>
  <c r="O7" i="2"/>
  <c r="O14" i="826"/>
  <c r="N19" i="825"/>
  <c r="O157" i="826"/>
  <c r="O92" i="826"/>
  <c r="O144" i="826"/>
  <c r="P158" i="826"/>
  <c r="P145" i="826"/>
  <c r="P93" i="826"/>
  <c r="P11" i="826"/>
  <c r="P7" i="826" s="1"/>
  <c r="Q10" i="826"/>
  <c r="Q12" i="826" s="1"/>
  <c r="Q8" i="826" s="1"/>
  <c r="Q8" i="863" s="1"/>
  <c r="D16" i="63"/>
  <c r="F37" i="63"/>
  <c r="D14" i="63"/>
  <c r="D15" i="63"/>
  <c r="D12" i="63"/>
  <c r="D13" i="63"/>
  <c r="D9" i="63"/>
  <c r="B34" i="238"/>
  <c r="L1" i="188"/>
  <c r="P1" i="188" s="1"/>
  <c r="AX7" i="188"/>
  <c r="AY7" i="188"/>
  <c r="AX8" i="188"/>
  <c r="AY8" i="188"/>
  <c r="AX9" i="188"/>
  <c r="AY9" i="188"/>
  <c r="D26" i="2"/>
  <c r="D31" i="853" s="1"/>
  <c r="D27" i="2"/>
  <c r="D32" i="853" s="1"/>
  <c r="D28" i="2"/>
  <c r="D33" i="853" s="1"/>
  <c r="D29" i="2"/>
  <c r="D34" i="853" s="1"/>
  <c r="C9" i="587"/>
  <c r="B12" i="587"/>
  <c r="B13" i="587" s="1"/>
  <c r="B14" i="587" s="1"/>
  <c r="B15" i="587" s="1"/>
  <c r="B16" i="587" s="1"/>
  <c r="B17" i="587" s="1"/>
  <c r="B18" i="587" s="1"/>
  <c r="B19" i="587" s="1"/>
  <c r="C11" i="189"/>
  <c r="C12" i="189" s="1"/>
  <c r="C13" i="189" s="1"/>
  <c r="C14" i="189" s="1"/>
  <c r="C15" i="189" s="1"/>
  <c r="C16" i="189" s="1"/>
  <c r="C17" i="189" s="1"/>
  <c r="C18" i="189" s="1"/>
  <c r="B5" i="192"/>
  <c r="S58" i="190"/>
  <c r="D89" i="190"/>
  <c r="X4" i="189"/>
  <c r="AC9" i="189"/>
  <c r="B10" i="22"/>
  <c r="B11" i="22" s="1"/>
  <c r="B12" i="22" s="1"/>
  <c r="B13" i="22" s="1"/>
  <c r="B14" i="22" s="1"/>
  <c r="B15" i="22" s="1"/>
  <c r="B16" i="22" s="1"/>
  <c r="B17" i="22" s="1"/>
  <c r="AR15" i="22"/>
  <c r="AR16" i="22"/>
  <c r="AR17" i="22"/>
  <c r="C8" i="28"/>
  <c r="S41" i="28" a="1"/>
  <c r="S42" i="28" s="1"/>
  <c r="F42" i="28"/>
  <c r="G42" i="28"/>
  <c r="H42" i="28"/>
  <c r="J42" i="28"/>
  <c r="K42" i="28"/>
  <c r="F43" i="28"/>
  <c r="G43" i="28"/>
  <c r="H43" i="28"/>
  <c r="I43" i="28"/>
  <c r="J43" i="28"/>
  <c r="K43" i="28"/>
  <c r="F44" i="28"/>
  <c r="G44" i="28"/>
  <c r="H44" i="28"/>
  <c r="I44" i="28"/>
  <c r="J44" i="28"/>
  <c r="K44" i="28"/>
  <c r="F45" i="28"/>
  <c r="G45" i="28"/>
  <c r="H45" i="28"/>
  <c r="I45" i="28"/>
  <c r="J45" i="28"/>
  <c r="K45" i="28"/>
  <c r="G46" i="28" a="1"/>
  <c r="G46" i="28" s="1"/>
  <c r="H46" i="28" a="1"/>
  <c r="H46" i="28" s="1"/>
  <c r="I46" i="28" a="1"/>
  <c r="I46" i="28" s="1"/>
  <c r="J46" i="28" a="1"/>
  <c r="J46" i="28" s="1"/>
  <c r="K46" i="28" a="1"/>
  <c r="K46" i="28" s="1"/>
  <c r="F47" i="28"/>
  <c r="G47" i="28"/>
  <c r="H47" i="28"/>
  <c r="I47" i="28"/>
  <c r="J47" i="28"/>
  <c r="K47" i="28"/>
  <c r="F48" i="28" a="1"/>
  <c r="F48" i="28" s="1"/>
  <c r="G48" i="28" a="1"/>
  <c r="G48" i="28" s="1"/>
  <c r="H48" i="28" a="1"/>
  <c r="H48" i="28" s="1"/>
  <c r="I48" i="28" a="1"/>
  <c r="I48" i="28" s="1"/>
  <c r="J48" i="28" a="1"/>
  <c r="J48" i="28" s="1"/>
  <c r="K48" i="28" a="1"/>
  <c r="K48" i="28" s="1"/>
  <c r="F49" i="28" a="1"/>
  <c r="F49" i="28" s="1"/>
  <c r="G49" i="28" a="1"/>
  <c r="G49" i="28" s="1"/>
  <c r="H49" i="28" a="1"/>
  <c r="H49" i="28" s="1"/>
  <c r="I49" i="28" a="1"/>
  <c r="I49" i="28" s="1"/>
  <c r="J49" i="28" a="1"/>
  <c r="J49" i="28" s="1"/>
  <c r="K49" i="28" a="1"/>
  <c r="K49" i="28" s="1"/>
  <c r="O56" i="28"/>
  <c r="K4" i="92"/>
  <c r="I28" i="92"/>
  <c r="J28" i="92"/>
  <c r="C1" i="125"/>
  <c r="D1" i="125"/>
  <c r="C2" i="125"/>
  <c r="D2" i="125"/>
  <c r="C3" i="125"/>
  <c r="D3" i="125"/>
  <c r="C4" i="125"/>
  <c r="D4" i="125"/>
  <c r="C5" i="125"/>
  <c r="D5" i="125"/>
  <c r="C6" i="125"/>
  <c r="D6" i="125"/>
  <c r="C7" i="125"/>
  <c r="D7" i="125"/>
  <c r="C8" i="125"/>
  <c r="D8" i="125"/>
  <c r="C9" i="125"/>
  <c r="D9" i="125"/>
  <c r="C10" i="125"/>
  <c r="D10" i="125"/>
  <c r="C11" i="125"/>
  <c r="D11" i="125"/>
  <c r="C12" i="125"/>
  <c r="D12" i="125"/>
  <c r="C13" i="125"/>
  <c r="D13" i="125"/>
  <c r="C14" i="125"/>
  <c r="D14" i="125"/>
  <c r="C15" i="125"/>
  <c r="D15" i="125"/>
  <c r="C16" i="125"/>
  <c r="D16" i="125"/>
  <c r="C17" i="125"/>
  <c r="D17" i="125"/>
  <c r="C18" i="125"/>
  <c r="D18" i="125"/>
  <c r="C19" i="125"/>
  <c r="D19" i="125"/>
  <c r="C20" i="125"/>
  <c r="D20" i="125"/>
  <c r="C21" i="125"/>
  <c r="D21" i="125"/>
  <c r="C22" i="125"/>
  <c r="D22" i="125"/>
  <c r="C23" i="125"/>
  <c r="D23" i="125"/>
  <c r="C24" i="125"/>
  <c r="D24" i="125"/>
  <c r="C25" i="125"/>
  <c r="D25" i="125"/>
  <c r="C26" i="125"/>
  <c r="D26" i="125"/>
  <c r="C27" i="125"/>
  <c r="D27" i="125"/>
  <c r="C28" i="125"/>
  <c r="D28" i="125"/>
  <c r="C29" i="125"/>
  <c r="D29" i="125"/>
  <c r="C30" i="125"/>
  <c r="D30" i="125"/>
  <c r="C31" i="125"/>
  <c r="D31" i="125"/>
  <c r="C32" i="125"/>
  <c r="D32" i="125"/>
  <c r="C33" i="125"/>
  <c r="D33" i="125"/>
  <c r="C34" i="125"/>
  <c r="D34" i="125"/>
  <c r="C35" i="125"/>
  <c r="D35" i="125"/>
  <c r="C36" i="125"/>
  <c r="D36" i="125"/>
  <c r="C37" i="125"/>
  <c r="D37" i="125"/>
  <c r="C38" i="125"/>
  <c r="D38" i="125"/>
  <c r="C39" i="125"/>
  <c r="D39" i="125"/>
  <c r="C40" i="125"/>
  <c r="D40" i="125"/>
  <c r="C41" i="125"/>
  <c r="D41" i="125"/>
  <c r="C42" i="125"/>
  <c r="D42" i="125"/>
  <c r="C43" i="125"/>
  <c r="D43" i="125"/>
  <c r="C44" i="125"/>
  <c r="D44" i="125"/>
  <c r="C45" i="125"/>
  <c r="D45" i="125"/>
  <c r="C46" i="125"/>
  <c r="D46" i="125"/>
  <c r="C47" i="125"/>
  <c r="D47" i="125"/>
  <c r="C48" i="125"/>
  <c r="D48" i="125"/>
  <c r="C49" i="125"/>
  <c r="D49" i="125"/>
  <c r="C50" i="125"/>
  <c r="D50" i="125"/>
  <c r="C51" i="125"/>
  <c r="D51" i="125"/>
  <c r="C52" i="125"/>
  <c r="D52" i="125"/>
  <c r="C53" i="125"/>
  <c r="D53" i="125"/>
  <c r="C54" i="125"/>
  <c r="D54" i="125"/>
  <c r="C55" i="125"/>
  <c r="D55" i="125"/>
  <c r="C56" i="125"/>
  <c r="D56" i="125"/>
  <c r="C57" i="125"/>
  <c r="D57" i="125"/>
  <c r="C58" i="125"/>
  <c r="D58" i="125"/>
  <c r="C59" i="125"/>
  <c r="D59" i="125"/>
  <c r="C60" i="125"/>
  <c r="D60" i="125"/>
  <c r="C61" i="125"/>
  <c r="D61" i="125"/>
  <c r="C62" i="125"/>
  <c r="D62" i="125"/>
  <c r="C63" i="125"/>
  <c r="D63" i="125"/>
  <c r="C64" i="125"/>
  <c r="D64" i="125"/>
  <c r="C65" i="125"/>
  <c r="D65" i="125"/>
  <c r="C66" i="125"/>
  <c r="D66" i="125"/>
  <c r="C67" i="125"/>
  <c r="D67" i="125"/>
  <c r="C68" i="125"/>
  <c r="D68" i="125"/>
  <c r="C69" i="125"/>
  <c r="D69" i="125"/>
  <c r="C70" i="125"/>
  <c r="D70" i="125"/>
  <c r="C71" i="125"/>
  <c r="D71" i="125"/>
  <c r="C72" i="125"/>
  <c r="D72" i="125"/>
  <c r="C73" i="125"/>
  <c r="D73" i="125"/>
  <c r="C74" i="125"/>
  <c r="D74" i="125"/>
  <c r="C75" i="125"/>
  <c r="D75" i="125"/>
  <c r="C76" i="125"/>
  <c r="D76" i="125"/>
  <c r="C77" i="125"/>
  <c r="D77" i="125"/>
  <c r="C78" i="125"/>
  <c r="D78" i="125"/>
  <c r="C79" i="125"/>
  <c r="D79" i="125"/>
  <c r="C80" i="125"/>
  <c r="D80" i="125"/>
  <c r="C81" i="125"/>
  <c r="D81" i="125"/>
  <c r="C82" i="125"/>
  <c r="D82" i="125"/>
  <c r="C83" i="125"/>
  <c r="D83" i="125"/>
  <c r="C84" i="125"/>
  <c r="D84" i="125"/>
  <c r="C85" i="125"/>
  <c r="D85" i="125"/>
  <c r="C86" i="125"/>
  <c r="D86" i="125"/>
  <c r="C87" i="125"/>
  <c r="D87" i="125"/>
  <c r="C88" i="125"/>
  <c r="D88" i="125"/>
  <c r="C89" i="125"/>
  <c r="D89" i="125"/>
  <c r="C90" i="125"/>
  <c r="D90" i="125"/>
  <c r="C91" i="125"/>
  <c r="D91" i="125"/>
  <c r="C92" i="125"/>
  <c r="D92" i="125"/>
  <c r="C93" i="125"/>
  <c r="D93" i="125"/>
  <c r="C94" i="125"/>
  <c r="D94" i="125"/>
  <c r="C95" i="125"/>
  <c r="D95" i="125"/>
  <c r="C96" i="125"/>
  <c r="D96" i="125"/>
  <c r="C97" i="125"/>
  <c r="D97" i="125"/>
  <c r="C98" i="125"/>
  <c r="D98" i="125"/>
  <c r="C99" i="125"/>
  <c r="D99" i="125"/>
  <c r="C100" i="125"/>
  <c r="D100" i="125"/>
  <c r="C101" i="125"/>
  <c r="D101" i="125"/>
  <c r="C102" i="125"/>
  <c r="D102" i="125"/>
  <c r="C103" i="125"/>
  <c r="D103" i="125"/>
  <c r="C104" i="125"/>
  <c r="D104" i="125"/>
  <c r="C105" i="125"/>
  <c r="D105" i="125"/>
  <c r="E2" i="125"/>
  <c r="E3" i="125"/>
  <c r="D51" i="844" l="1"/>
  <c r="E51" i="844" s="1"/>
  <c r="K41" i="834"/>
  <c r="M71" i="2"/>
  <c r="P7" i="863"/>
  <c r="J60" i="2"/>
  <c r="J186" i="826" s="1"/>
  <c r="J187" i="826" s="1"/>
  <c r="J62" i="2" s="1"/>
  <c r="J14" i="835" s="1"/>
  <c r="J10" i="835"/>
  <c r="I60" i="2"/>
  <c r="I186" i="826" s="1"/>
  <c r="I187" i="826" s="1"/>
  <c r="I62" i="2" s="1"/>
  <c r="I14" i="835" s="1"/>
  <c r="I10" i="835"/>
  <c r="P8" i="847"/>
  <c r="Q8" i="835"/>
  <c r="Q171" i="826"/>
  <c r="Q177" i="826"/>
  <c r="P176" i="826"/>
  <c r="P7" i="835"/>
  <c r="N28" i="825"/>
  <c r="I4" i="855"/>
  <c r="P4" i="855" s="1"/>
  <c r="V65" i="840"/>
  <c r="V72" i="840" s="1"/>
  <c r="V87" i="840" s="1"/>
  <c r="V104" i="840" s="1"/>
  <c r="V50" i="840"/>
  <c r="O7" i="847"/>
  <c r="P170" i="826"/>
  <c r="U66" i="840"/>
  <c r="R67" i="840"/>
  <c r="I32" i="825"/>
  <c r="Q67" i="840"/>
  <c r="H32" i="825"/>
  <c r="W30" i="840"/>
  <c r="W35" i="840" s="1"/>
  <c r="W54" i="840" s="1"/>
  <c r="N9" i="834"/>
  <c r="N19" i="2"/>
  <c r="N109" i="826"/>
  <c r="N34" i="2" s="1"/>
  <c r="N66" i="826"/>
  <c r="N111" i="826"/>
  <c r="N36" i="2" s="1"/>
  <c r="N21" i="2"/>
  <c r="N22" i="2"/>
  <c r="N112" i="826"/>
  <c r="N37" i="2" s="1"/>
  <c r="N110" i="826"/>
  <c r="N35" i="2" s="1"/>
  <c r="N20" i="2"/>
  <c r="Q8" i="829"/>
  <c r="Q56" i="829" s="1"/>
  <c r="B40" i="587"/>
  <c r="B20" i="587"/>
  <c r="B21" i="587" s="1"/>
  <c r="B22" i="587" s="1"/>
  <c r="B23" i="587" s="1"/>
  <c r="B24" i="587" s="1"/>
  <c r="B25" i="587" s="1"/>
  <c r="B26" i="587" s="1"/>
  <c r="B27" i="587" s="1"/>
  <c r="B28" i="587" s="1"/>
  <c r="B29" i="587" s="1"/>
  <c r="B30" i="587" s="1"/>
  <c r="B31" i="587" s="1"/>
  <c r="B32" i="587" s="1"/>
  <c r="B33" i="587" s="1"/>
  <c r="B34" i="587" s="1"/>
  <c r="B35" i="587" s="1"/>
  <c r="B36" i="587" s="1"/>
  <c r="B37" i="587" s="1"/>
  <c r="B38" i="587" s="1"/>
  <c r="B39" i="587" s="1"/>
  <c r="C39" i="189"/>
  <c r="C19" i="189"/>
  <c r="C20" i="189" s="1"/>
  <c r="C21" i="189" s="1"/>
  <c r="C22" i="189" s="1"/>
  <c r="C23" i="189" s="1"/>
  <c r="C24" i="189" s="1"/>
  <c r="C25" i="189" s="1"/>
  <c r="C26" i="189" s="1"/>
  <c r="C27" i="189" s="1"/>
  <c r="C28" i="189" s="1"/>
  <c r="C29" i="189" s="1"/>
  <c r="C30" i="189" s="1"/>
  <c r="C31" i="189" s="1"/>
  <c r="C32" i="189" s="1"/>
  <c r="C33" i="189" s="1"/>
  <c r="C34" i="189" s="1"/>
  <c r="C35" i="189" s="1"/>
  <c r="C36" i="189" s="1"/>
  <c r="C37" i="189" s="1"/>
  <c r="C38" i="189" s="1"/>
  <c r="B18" i="22"/>
  <c r="C169" i="827"/>
  <c r="C237" i="827" s="1"/>
  <c r="C271" i="827" s="1"/>
  <c r="C203" i="827"/>
  <c r="C35" i="827"/>
  <c r="C136" i="827"/>
  <c r="S57" i="28"/>
  <c r="S56" i="28"/>
  <c r="T1" i="188"/>
  <c r="X1" i="188" s="1"/>
  <c r="AB1" i="188" s="1"/>
  <c r="AF1" i="188" s="1"/>
  <c r="AJ1" i="188" s="1"/>
  <c r="AN1" i="188" s="1"/>
  <c r="AR1" i="188" s="1"/>
  <c r="AV1" i="188" s="1"/>
  <c r="AZ1" i="188" s="1"/>
  <c r="BD1" i="188" s="1"/>
  <c r="BH1" i="188" s="1"/>
  <c r="BL1" i="188" s="1"/>
  <c r="D10" i="63"/>
  <c r="D37" i="63"/>
  <c r="S49" i="28"/>
  <c r="S48" i="28"/>
  <c r="S41" i="28"/>
  <c r="D11" i="63"/>
  <c r="C301" i="827"/>
  <c r="P38" i="829"/>
  <c r="P17" i="829"/>
  <c r="P7" i="829"/>
  <c r="P55" i="829" s="1"/>
  <c r="O37" i="829"/>
  <c r="O16" i="829"/>
  <c r="S55" i="28"/>
  <c r="S47" i="28"/>
  <c r="S54" i="28"/>
  <c r="S46" i="28"/>
  <c r="S53" i="28"/>
  <c r="S45" i="28"/>
  <c r="S52" i="28"/>
  <c r="S44" i="28"/>
  <c r="S59" i="28"/>
  <c r="S51" i="28"/>
  <c r="S43" i="28"/>
  <c r="S58" i="28"/>
  <c r="S50" i="28"/>
  <c r="Q8" i="2"/>
  <c r="K5" i="855" s="1"/>
  <c r="R5" i="855" s="1"/>
  <c r="Q15" i="826"/>
  <c r="P7" i="2"/>
  <c r="P14" i="826"/>
  <c r="AD9" i="189"/>
  <c r="O19" i="825"/>
  <c r="P92" i="826"/>
  <c r="P144" i="826"/>
  <c r="P157" i="826"/>
  <c r="Q93" i="826"/>
  <c r="Q158" i="826"/>
  <c r="Q145" i="826"/>
  <c r="Q11" i="826"/>
  <c r="Q7" i="826" s="1"/>
  <c r="R10" i="826"/>
  <c r="L24" i="437"/>
  <c r="L22" i="437"/>
  <c r="L18" i="437"/>
  <c r="L8" i="437"/>
  <c r="F11" i="63"/>
  <c r="L27" i="437"/>
  <c r="L31" i="437"/>
  <c r="M16" i="437"/>
  <c r="L21" i="437"/>
  <c r="F12" i="63"/>
  <c r="E15" i="63"/>
  <c r="F15" i="63"/>
  <c r="E14" i="63"/>
  <c r="M11" i="437"/>
  <c r="F8" i="63"/>
  <c r="E8" i="63"/>
  <c r="E37" i="63"/>
  <c r="D8" i="63"/>
  <c r="F14" i="63"/>
  <c r="F10" i="63"/>
  <c r="E10" i="63"/>
  <c r="F9" i="63"/>
  <c r="E16" i="63"/>
  <c r="F16" i="63"/>
  <c r="M22" i="437"/>
  <c r="M18" i="437"/>
  <c r="AD56" i="22"/>
  <c r="M21" i="437"/>
  <c r="M32" i="437"/>
  <c r="D13" i="192"/>
  <c r="D64" i="192" s="1"/>
  <c r="AC13" i="189"/>
  <c r="L33" i="437"/>
  <c r="F13" i="63"/>
  <c r="E12" i="63"/>
  <c r="L32" i="437"/>
  <c r="AC56" i="22"/>
  <c r="E9" i="63"/>
  <c r="E13" i="63"/>
  <c r="M8" i="437"/>
  <c r="AE56" i="22"/>
  <c r="L15" i="437"/>
  <c r="AQ4" i="587"/>
  <c r="N4" i="190"/>
  <c r="I4" i="63"/>
  <c r="N4" i="192"/>
  <c r="L4" i="28"/>
  <c r="AT4" i="22"/>
  <c r="M41" i="834" l="1"/>
  <c r="L41" i="834"/>
  <c r="N38" i="2"/>
  <c r="Q7" i="863"/>
  <c r="J18" i="835"/>
  <c r="J24" i="835" s="1"/>
  <c r="J41" i="835" s="1"/>
  <c r="I18" i="835"/>
  <c r="I24" i="835" s="1"/>
  <c r="I41" i="835" s="1"/>
  <c r="I43" i="835" s="1"/>
  <c r="J42" i="835" s="1"/>
  <c r="Q176" i="826"/>
  <c r="Q7" i="835"/>
  <c r="O28" i="825"/>
  <c r="J4" i="855"/>
  <c r="Q4" i="855" s="1"/>
  <c r="W65" i="840"/>
  <c r="W72" i="840" s="1"/>
  <c r="W87" i="840" s="1"/>
  <c r="W104" i="840" s="1"/>
  <c r="W50" i="840"/>
  <c r="I63" i="2"/>
  <c r="I14" i="829"/>
  <c r="J63" i="2"/>
  <c r="J14" i="829"/>
  <c r="P7" i="847"/>
  <c r="Q170" i="826"/>
  <c r="X30" i="840"/>
  <c r="X35" i="840" s="1"/>
  <c r="X54" i="840" s="1"/>
  <c r="O9" i="834"/>
  <c r="O21" i="2"/>
  <c r="O111" i="826"/>
  <c r="O36" i="2" s="1"/>
  <c r="O112" i="826"/>
  <c r="O37" i="2" s="1"/>
  <c r="O22" i="2"/>
  <c r="N69" i="826"/>
  <c r="N67" i="826"/>
  <c r="O20" i="2"/>
  <c r="O110" i="826"/>
  <c r="O35" i="2" s="1"/>
  <c r="N113" i="826"/>
  <c r="N23" i="2"/>
  <c r="O66" i="826"/>
  <c r="O19" i="2"/>
  <c r="O109" i="826"/>
  <c r="O34" i="2" s="1"/>
  <c r="C170" i="827"/>
  <c r="C238" i="827" s="1"/>
  <c r="C272" i="827" s="1"/>
  <c r="C204" i="827"/>
  <c r="C36" i="827"/>
  <c r="C137" i="827"/>
  <c r="R11" i="826"/>
  <c r="R7" i="826" s="1"/>
  <c r="Q7" i="829"/>
  <c r="Q55" i="829" s="1"/>
  <c r="Q38" i="829"/>
  <c r="Q17" i="829"/>
  <c r="E11" i="63"/>
  <c r="C302" i="827"/>
  <c r="C303" i="827" s="1"/>
  <c r="C304" i="827" s="1"/>
  <c r="C305" i="827" s="1"/>
  <c r="C306" i="827" s="1"/>
  <c r="C307" i="827" s="1"/>
  <c r="C308" i="827" s="1"/>
  <c r="C309" i="827" s="1"/>
  <c r="C310" i="827" s="1"/>
  <c r="C311" i="827" s="1"/>
  <c r="C312" i="827" s="1"/>
  <c r="C313" i="827" s="1"/>
  <c r="C314" i="827" s="1"/>
  <c r="C315" i="827" s="1"/>
  <c r="C316" i="827" s="1"/>
  <c r="C317" i="827" s="1"/>
  <c r="C318" i="827" s="1"/>
  <c r="C319" i="827" s="1"/>
  <c r="C320" i="827" s="1"/>
  <c r="C321" i="827" s="1"/>
  <c r="C322" i="827" s="1"/>
  <c r="C323" i="827" s="1"/>
  <c r="P37" i="829"/>
  <c r="P16" i="829"/>
  <c r="Q7" i="2"/>
  <c r="K4" i="855" s="1"/>
  <c r="R4" i="855" s="1"/>
  <c r="Q14" i="826"/>
  <c r="P19" i="825"/>
  <c r="Q92" i="826"/>
  <c r="Q157" i="826"/>
  <c r="Q144" i="826"/>
  <c r="R12" i="826"/>
  <c r="R8" i="826" s="1"/>
  <c r="R8" i="863" s="1"/>
  <c r="AE52" i="22"/>
  <c r="M24" i="437"/>
  <c r="L7" i="437"/>
  <c r="L14" i="437"/>
  <c r="L9" i="437"/>
  <c r="AC66" i="22"/>
  <c r="AD66" i="22"/>
  <c r="AE66" i="22"/>
  <c r="L10" i="437"/>
  <c r="M30" i="437"/>
  <c r="M14" i="437"/>
  <c r="M27" i="437"/>
  <c r="M15" i="437"/>
  <c r="M31" i="437"/>
  <c r="K88" i="190"/>
  <c r="U88" i="190" s="1"/>
  <c r="L16" i="437"/>
  <c r="L12" i="437"/>
  <c r="L5" i="437"/>
  <c r="AC10" i="189"/>
  <c r="M5" i="437"/>
  <c r="L30" i="437"/>
  <c r="M19" i="437"/>
  <c r="L20" i="437"/>
  <c r="M29" i="437"/>
  <c r="M34" i="437"/>
  <c r="L26" i="437"/>
  <c r="L28" i="437"/>
  <c r="L29" i="437"/>
  <c r="L11" i="437"/>
  <c r="AC12" i="189"/>
  <c r="D12" i="192"/>
  <c r="D63" i="192" s="1"/>
  <c r="M20" i="437"/>
  <c r="M7" i="437"/>
  <c r="L6" i="437"/>
  <c r="L25" i="437"/>
  <c r="L19" i="437"/>
  <c r="AC16" i="189"/>
  <c r="M25" i="437"/>
  <c r="AC17" i="189"/>
  <c r="M12" i="437"/>
  <c r="M26" i="437"/>
  <c r="AC39" i="189"/>
  <c r="L34" i="437"/>
  <c r="M28" i="437"/>
  <c r="E18" i="587"/>
  <c r="L23" i="437"/>
  <c r="L17" i="437"/>
  <c r="S62" i="190"/>
  <c r="S64" i="190"/>
  <c r="L13" i="437"/>
  <c r="M13" i="437"/>
  <c r="AC18" i="189"/>
  <c r="D10" i="192"/>
  <c r="D61" i="192" s="1"/>
  <c r="M9" i="437"/>
  <c r="AC15" i="189"/>
  <c r="M10" i="437"/>
  <c r="AC11" i="189"/>
  <c r="M6" i="437"/>
  <c r="E19" i="587"/>
  <c r="AC14" i="189"/>
  <c r="M23" i="437"/>
  <c r="M17" i="437"/>
  <c r="M33" i="437"/>
  <c r="M88" i="190"/>
  <c r="K67" i="190"/>
  <c r="E15" i="587"/>
  <c r="J88" i="190"/>
  <c r="O38" i="2" l="1"/>
  <c r="J43" i="835"/>
  <c r="K42" i="835" s="1"/>
  <c r="K43" i="835" s="1"/>
  <c r="L42" i="835" s="1"/>
  <c r="R7" i="863"/>
  <c r="N88" i="826"/>
  <c r="N86" i="826"/>
  <c r="N89" i="826"/>
  <c r="N87" i="826"/>
  <c r="N82" i="826"/>
  <c r="N79" i="826"/>
  <c r="N83" i="826"/>
  <c r="N80" i="826"/>
  <c r="N84" i="826"/>
  <c r="N85" i="826"/>
  <c r="N81" i="826"/>
  <c r="N78" i="826"/>
  <c r="Q8" i="847"/>
  <c r="R8" i="835"/>
  <c r="R177" i="826"/>
  <c r="R171" i="826"/>
  <c r="R176" i="826"/>
  <c r="R7" i="835"/>
  <c r="J73" i="2"/>
  <c r="I34" i="825" s="1"/>
  <c r="I73" i="2"/>
  <c r="Q68" i="840" s="1"/>
  <c r="X65" i="840"/>
  <c r="X72" i="840" s="1"/>
  <c r="X87" i="840" s="1"/>
  <c r="X104" i="840" s="1"/>
  <c r="X50" i="840"/>
  <c r="V44" i="840"/>
  <c r="V47" i="840"/>
  <c r="V38" i="840"/>
  <c r="V43" i="840"/>
  <c r="V42" i="840"/>
  <c r="V39" i="840"/>
  <c r="V46" i="840"/>
  <c r="V45" i="840"/>
  <c r="V37" i="840"/>
  <c r="V36" i="840"/>
  <c r="V40" i="840"/>
  <c r="V41" i="840"/>
  <c r="N67" i="2"/>
  <c r="V51" i="840"/>
  <c r="Q7" i="847"/>
  <c r="R170" i="826"/>
  <c r="P28" i="825"/>
  <c r="Y30" i="840"/>
  <c r="Y35" i="840" s="1"/>
  <c r="Y54" i="840" s="1"/>
  <c r="P9" i="834"/>
  <c r="O23" i="2"/>
  <c r="O113" i="826"/>
  <c r="N72" i="826"/>
  <c r="N73" i="826"/>
  <c r="M21" i="825"/>
  <c r="P20" i="2"/>
  <c r="P110" i="826"/>
  <c r="P35" i="2" s="1"/>
  <c r="N10" i="829"/>
  <c r="N27" i="829" s="1"/>
  <c r="V96" i="840" s="1"/>
  <c r="P111" i="826"/>
  <c r="P36" i="2" s="1"/>
  <c r="P21" i="2"/>
  <c r="O69" i="826"/>
  <c r="O67" i="826"/>
  <c r="P112" i="826"/>
  <c r="P37" i="2" s="1"/>
  <c r="P22" i="2"/>
  <c r="R7" i="2"/>
  <c r="D51" i="854" s="1"/>
  <c r="P66" i="826"/>
  <c r="P109" i="826"/>
  <c r="P34" i="2" s="1"/>
  <c r="P19" i="2"/>
  <c r="N74" i="826"/>
  <c r="N114" i="826"/>
  <c r="N68" i="2"/>
  <c r="R8" i="829"/>
  <c r="R56" i="829" s="1"/>
  <c r="T56" i="829" s="1"/>
  <c r="C171" i="827"/>
  <c r="C239" i="827" s="1"/>
  <c r="C273" i="827" s="1"/>
  <c r="C205" i="827"/>
  <c r="C37" i="827"/>
  <c r="C138" i="827"/>
  <c r="R14" i="826"/>
  <c r="R37" i="829" s="1"/>
  <c r="T37" i="829" s="1"/>
  <c r="R144" i="826"/>
  <c r="T144" i="826" s="1"/>
  <c r="R157" i="826"/>
  <c r="R7" i="829"/>
  <c r="R55" i="829" s="1"/>
  <c r="T55" i="829" s="1"/>
  <c r="R92" i="826"/>
  <c r="T92" i="826" s="1"/>
  <c r="Q19" i="825"/>
  <c r="Q37" i="829"/>
  <c r="Q16" i="829"/>
  <c r="R8" i="2"/>
  <c r="L5" i="855" s="1"/>
  <c r="S5" i="855" s="1"/>
  <c r="R15" i="826"/>
  <c r="R93" i="826"/>
  <c r="T93" i="826" s="1"/>
  <c r="R158" i="826"/>
  <c r="R145" i="826"/>
  <c r="T145" i="826" s="1"/>
  <c r="E13" i="587"/>
  <c r="AC52" i="22"/>
  <c r="AD52" i="22"/>
  <c r="E11" i="587"/>
  <c r="E14" i="587"/>
  <c r="E17" i="587"/>
  <c r="D16" i="192"/>
  <c r="D67" i="192" s="1"/>
  <c r="AC49" i="22"/>
  <c r="AE49" i="22"/>
  <c r="AD49" i="22"/>
  <c r="S59" i="190"/>
  <c r="AE61" i="22"/>
  <c r="AC61" i="22"/>
  <c r="AD61" i="22"/>
  <c r="AE65" i="22"/>
  <c r="AC65" i="22"/>
  <c r="AD65" i="22"/>
  <c r="S61" i="190"/>
  <c r="G9" i="238"/>
  <c r="G8" i="238"/>
  <c r="G10" i="238"/>
  <c r="S65" i="190"/>
  <c r="E12" i="587"/>
  <c r="G11" i="238"/>
  <c r="AD58" i="22"/>
  <c r="AE58" i="22"/>
  <c r="AC58" i="22"/>
  <c r="G12" i="238"/>
  <c r="G13" i="238"/>
  <c r="AE54" i="22"/>
  <c r="AD54" i="22"/>
  <c r="AC54" i="22"/>
  <c r="AC62" i="22"/>
  <c r="AE62" i="22"/>
  <c r="AD62" i="22"/>
  <c r="S88" i="190"/>
  <c r="AD53" i="22"/>
  <c r="AC53" i="22"/>
  <c r="AE53" i="22"/>
  <c r="AC64" i="22"/>
  <c r="AD64" i="22"/>
  <c r="AE64" i="22"/>
  <c r="AC68" i="22"/>
  <c r="AE68" i="22"/>
  <c r="AD68" i="22"/>
  <c r="AE63" i="22"/>
  <c r="AD63" i="22"/>
  <c r="AC63" i="22"/>
  <c r="AD59" i="22"/>
  <c r="AC59" i="22"/>
  <c r="AE59" i="22"/>
  <c r="AE55" i="22"/>
  <c r="AD55" i="22"/>
  <c r="AC55" i="22"/>
  <c r="G5" i="238"/>
  <c r="AE60" i="22"/>
  <c r="AD60" i="22"/>
  <c r="AC60" i="22"/>
  <c r="S66" i="190"/>
  <c r="AD50" i="22"/>
  <c r="AC50" i="22"/>
  <c r="AE50" i="22"/>
  <c r="D17" i="192"/>
  <c r="D68" i="192" s="1"/>
  <c r="D39" i="192"/>
  <c r="D90" i="192" s="1"/>
  <c r="G7" i="238"/>
  <c r="H64" i="92"/>
  <c r="E16" i="587"/>
  <c r="AC47" i="22"/>
  <c r="D18" i="192"/>
  <c r="D69" i="192" s="1"/>
  <c r="AD47" i="22"/>
  <c r="S67" i="190"/>
  <c r="D11" i="192"/>
  <c r="D62" i="192" s="1"/>
  <c r="D15" i="192"/>
  <c r="D66" i="192" s="1"/>
  <c r="AD57" i="22"/>
  <c r="AE57" i="22"/>
  <c r="AC57" i="22"/>
  <c r="D14" i="192"/>
  <c r="D65" i="192" s="1"/>
  <c r="AD67" i="22"/>
  <c r="AE67" i="22"/>
  <c r="AC67" i="22"/>
  <c r="AD51" i="22"/>
  <c r="AE51" i="22"/>
  <c r="AC51" i="22"/>
  <c r="S60" i="190"/>
  <c r="S63" i="190"/>
  <c r="E40" i="587"/>
  <c r="D58" i="92"/>
  <c r="J67" i="190"/>
  <c r="L88" i="190"/>
  <c r="G35" i="92"/>
  <c r="G33" i="92"/>
  <c r="K66" i="190"/>
  <c r="L66" i="190"/>
  <c r="M66" i="190"/>
  <c r="M67" i="190"/>
  <c r="U67" i="190"/>
  <c r="G32" i="92"/>
  <c r="P38" i="2" l="1"/>
  <c r="V31" i="840"/>
  <c r="D52" i="854"/>
  <c r="M22" i="825"/>
  <c r="M23" i="825" s="1"/>
  <c r="V55" i="840"/>
  <c r="V63" i="840" s="1"/>
  <c r="V33" i="840"/>
  <c r="V32" i="840"/>
  <c r="N90" i="826"/>
  <c r="O87" i="826"/>
  <c r="O86" i="826"/>
  <c r="O89" i="826"/>
  <c r="O88" i="826"/>
  <c r="O78" i="826"/>
  <c r="O79" i="826"/>
  <c r="O80" i="826"/>
  <c r="O81" i="826"/>
  <c r="O84" i="826"/>
  <c r="O82" i="826"/>
  <c r="O83" i="826"/>
  <c r="O85" i="826"/>
  <c r="N75" i="826"/>
  <c r="H34" i="825"/>
  <c r="R68" i="840"/>
  <c r="Q28" i="825"/>
  <c r="L4" i="855"/>
  <c r="S4" i="855" s="1"/>
  <c r="Y65" i="840"/>
  <c r="Y72" i="840" s="1"/>
  <c r="Y87" i="840" s="1"/>
  <c r="Y104" i="840" s="1"/>
  <c r="Y50" i="840"/>
  <c r="V48" i="840"/>
  <c r="O67" i="2"/>
  <c r="W51" i="840"/>
  <c r="W43" i="840"/>
  <c r="W39" i="840"/>
  <c r="W38" i="840"/>
  <c r="W45" i="840"/>
  <c r="W42" i="840"/>
  <c r="W47" i="840"/>
  <c r="W46" i="840"/>
  <c r="W44" i="840"/>
  <c r="W37" i="840"/>
  <c r="W36" i="840"/>
  <c r="W40" i="840"/>
  <c r="W41" i="840"/>
  <c r="O68" i="2"/>
  <c r="N21" i="829"/>
  <c r="V91" i="840" s="1"/>
  <c r="N19" i="829"/>
  <c r="V89" i="840" s="1"/>
  <c r="H12" i="849"/>
  <c r="I12" i="849" s="1"/>
  <c r="T72" i="826"/>
  <c r="T171" i="826"/>
  <c r="T158" i="826"/>
  <c r="T170" i="826"/>
  <c r="T157" i="826"/>
  <c r="M29" i="825"/>
  <c r="N75" i="2"/>
  <c r="Z30" i="840"/>
  <c r="Z35" i="840" s="1"/>
  <c r="Z54" i="840" s="1"/>
  <c r="Q9" i="834"/>
  <c r="O10" i="829"/>
  <c r="O27" i="829" s="1"/>
  <c r="W96" i="840" s="1"/>
  <c r="O73" i="826"/>
  <c r="W32" i="840" s="1"/>
  <c r="N21" i="825"/>
  <c r="T65" i="826"/>
  <c r="T63" i="826"/>
  <c r="T62" i="826"/>
  <c r="T64" i="826"/>
  <c r="N11" i="829"/>
  <c r="N20" i="829" s="1"/>
  <c r="Q111" i="826"/>
  <c r="Q36" i="2" s="1"/>
  <c r="Q21" i="2"/>
  <c r="P23" i="2"/>
  <c r="Q109" i="826"/>
  <c r="Q34" i="2" s="1"/>
  <c r="Q19" i="2"/>
  <c r="Q66" i="826"/>
  <c r="Q20" i="2"/>
  <c r="Q110" i="826"/>
  <c r="Q35" i="2" s="1"/>
  <c r="P113" i="826"/>
  <c r="N40" i="2"/>
  <c r="O114" i="826"/>
  <c r="Q22" i="2"/>
  <c r="Q112" i="826"/>
  <c r="Q37" i="2" s="1"/>
  <c r="P69" i="826"/>
  <c r="P67" i="826"/>
  <c r="O74" i="826"/>
  <c r="W33" i="840" s="1"/>
  <c r="N155" i="826"/>
  <c r="N43" i="2"/>
  <c r="N13" i="829" s="1"/>
  <c r="N28" i="829" s="1"/>
  <c r="V97" i="840" s="1"/>
  <c r="O40" i="2"/>
  <c r="O11" i="829"/>
  <c r="C172" i="827"/>
  <c r="C240" i="827" s="1"/>
  <c r="C274" i="827" s="1"/>
  <c r="C206" i="827"/>
  <c r="C38" i="827"/>
  <c r="C139" i="827"/>
  <c r="R16" i="829"/>
  <c r="N45" i="587"/>
  <c r="G6" i="238"/>
  <c r="R38" i="829"/>
  <c r="T38" i="829" s="1"/>
  <c r="R17" i="829"/>
  <c r="AE31" i="22" a="1"/>
  <c r="AE31" i="22" s="1"/>
  <c r="AO16" i="22"/>
  <c r="AI16" i="22"/>
  <c r="AF16" i="22"/>
  <c r="AP16" i="22"/>
  <c r="AG16" i="22"/>
  <c r="AE46" i="22"/>
  <c r="AJ16" i="22"/>
  <c r="AE47" i="22"/>
  <c r="AK16" i="22"/>
  <c r="AD46" i="22"/>
  <c r="AQ16" i="22"/>
  <c r="AC46" i="22"/>
  <c r="J63" i="190"/>
  <c r="J59" i="190"/>
  <c r="F65" i="190"/>
  <c r="AN9" i="22"/>
  <c r="AL10" i="22"/>
  <c r="AQ11" i="22"/>
  <c r="F62" i="190"/>
  <c r="AM16" i="22"/>
  <c r="AL16" i="22"/>
  <c r="AH16" i="22"/>
  <c r="AN16" i="22"/>
  <c r="G62" i="190"/>
  <c r="G61" i="190"/>
  <c r="Q46" i="587"/>
  <c r="V55" i="587" a="1"/>
  <c r="V55" i="587" s="1"/>
  <c r="V47" i="587"/>
  <c r="V51" i="587" a="1"/>
  <c r="V51" i="587" s="1"/>
  <c r="K52" i="587" a="1"/>
  <c r="K52" i="587" s="1"/>
  <c r="G34" i="92"/>
  <c r="AN56" i="587" a="1"/>
  <c r="AN56" i="587" s="1"/>
  <c r="V53" i="587" a="1"/>
  <c r="V53" i="587" s="1"/>
  <c r="K54" i="587" a="1"/>
  <c r="K54" i="587" s="1"/>
  <c r="V54" i="587" a="1"/>
  <c r="V54" i="587" s="1"/>
  <c r="K51" i="587" a="1"/>
  <c r="K51" i="587" s="1"/>
  <c r="K56" i="587" a="1"/>
  <c r="K56" i="587" s="1"/>
  <c r="V52" i="587" a="1"/>
  <c r="V52" i="587" s="1"/>
  <c r="V46" i="587"/>
  <c r="K43" i="587"/>
  <c r="K44" i="587"/>
  <c r="K45" i="587"/>
  <c r="V45" i="587"/>
  <c r="K55" i="587" a="1"/>
  <c r="K55" i="587" s="1"/>
  <c r="K53" i="587" a="1"/>
  <c r="K53" i="587" s="1"/>
  <c r="V48" i="587"/>
  <c r="K47" i="587"/>
  <c r="K48" i="587"/>
  <c r="V44" i="587"/>
  <c r="V43" i="587"/>
  <c r="V56" i="587" a="1"/>
  <c r="V56" i="587" s="1"/>
  <c r="K46" i="587"/>
  <c r="F56" i="587" a="1"/>
  <c r="F56" i="587" s="1"/>
  <c r="T46" i="587"/>
  <c r="AI45" i="587"/>
  <c r="T56" i="587" a="1"/>
  <c r="T56" i="587" s="1"/>
  <c r="F53" i="587" a="1"/>
  <c r="F53" i="587" s="1"/>
  <c r="F52" i="587" a="1"/>
  <c r="F52" i="587" s="1"/>
  <c r="F54" i="587" a="1"/>
  <c r="F54" i="587" s="1"/>
  <c r="I48" i="587"/>
  <c r="AD53" i="587" a="1"/>
  <c r="AD53" i="587" s="1"/>
  <c r="AO55" i="587" a="1"/>
  <c r="AO55" i="587" s="1"/>
  <c r="G56" i="587" a="1"/>
  <c r="G56" i="587" s="1"/>
  <c r="H51" i="587" a="1"/>
  <c r="H51" i="587" s="1"/>
  <c r="AO43" i="587"/>
  <c r="AO54" i="587" a="1"/>
  <c r="AO54" i="587" s="1"/>
  <c r="AP43" i="587"/>
  <c r="AH48" i="587"/>
  <c r="J44" i="587"/>
  <c r="S52" i="587" a="1"/>
  <c r="S52" i="587" s="1"/>
  <c r="S53" i="587" a="1"/>
  <c r="S53" i="587" s="1"/>
  <c r="S54" i="587" a="1"/>
  <c r="S54" i="587" s="1"/>
  <c r="T51" i="587" a="1"/>
  <c r="T51" i="587" s="1"/>
  <c r="AN43" i="587"/>
  <c r="L56" i="587" a="1"/>
  <c r="L56" i="587" s="1"/>
  <c r="U51" i="587" a="1"/>
  <c r="U51" i="587" s="1"/>
  <c r="T43" i="587"/>
  <c r="AH51" i="587" a="1"/>
  <c r="AH51" i="587" s="1"/>
  <c r="H44" i="587"/>
  <c r="AO48" i="587"/>
  <c r="S45" i="587"/>
  <c r="S43" i="587"/>
  <c r="AN46" i="587"/>
  <c r="AH52" i="587" a="1"/>
  <c r="AH52" i="587" s="1"/>
  <c r="AP54" i="587" a="1"/>
  <c r="AP54" i="587" s="1"/>
  <c r="T54" i="587" a="1"/>
  <c r="T54" i="587" s="1"/>
  <c r="X45" i="587"/>
  <c r="S56" i="587" a="1"/>
  <c r="S56" i="587" s="1"/>
  <c r="S51" i="587" a="1"/>
  <c r="S51" i="587" s="1"/>
  <c r="H43" i="587"/>
  <c r="AI55" i="587" a="1"/>
  <c r="AI55" i="587" s="1"/>
  <c r="AJ54" i="587" a="1"/>
  <c r="AJ54" i="587" s="1"/>
  <c r="O45" i="587"/>
  <c r="J47" i="587"/>
  <c r="S55" i="587" a="1"/>
  <c r="S55" i="587" s="1"/>
  <c r="S48" i="587"/>
  <c r="H53" i="587" a="1"/>
  <c r="H53" i="587" s="1"/>
  <c r="Q44" i="587"/>
  <c r="S46" i="587"/>
  <c r="S47" i="587"/>
  <c r="T55" i="587" a="1"/>
  <c r="T55" i="587" s="1"/>
  <c r="T44" i="587"/>
  <c r="AO51" i="587" a="1"/>
  <c r="AO51" i="587" s="1"/>
  <c r="T53" i="587" a="1"/>
  <c r="T53" i="587" s="1"/>
  <c r="L54" i="587" a="1"/>
  <c r="L54" i="587" s="1"/>
  <c r="AO46" i="587"/>
  <c r="AO53" i="587" a="1"/>
  <c r="AO53" i="587" s="1"/>
  <c r="T47" i="587"/>
  <c r="T48" i="587"/>
  <c r="AO52" i="587" a="1"/>
  <c r="AO52" i="587" s="1"/>
  <c r="T45" i="587"/>
  <c r="AO56" i="587" a="1"/>
  <c r="AO56" i="587" s="1"/>
  <c r="AO44" i="587"/>
  <c r="AO45" i="587"/>
  <c r="AO47" i="587"/>
  <c r="L43" i="587"/>
  <c r="U44" i="587"/>
  <c r="L44" i="587"/>
  <c r="L51" i="587" a="1"/>
  <c r="L51" i="587" s="1"/>
  <c r="L52" i="587" a="1"/>
  <c r="L52" i="587" s="1"/>
  <c r="L47" i="587"/>
  <c r="L46" i="587"/>
  <c r="L48" i="587"/>
  <c r="L45" i="587"/>
  <c r="L55" i="587" a="1"/>
  <c r="L55" i="587" s="1"/>
  <c r="L53" i="587" a="1"/>
  <c r="L53" i="587" s="1"/>
  <c r="AJ53" i="587" a="1"/>
  <c r="AJ53" i="587" s="1"/>
  <c r="O44" i="587"/>
  <c r="AJ56" i="587" a="1"/>
  <c r="AJ56" i="587" s="1"/>
  <c r="AJ48" i="587"/>
  <c r="AD46" i="587"/>
  <c r="AB48" i="587"/>
  <c r="F46" i="587"/>
  <c r="J55" i="587" a="1"/>
  <c r="J55" i="587" s="1"/>
  <c r="AJ43" i="587"/>
  <c r="AJ47" i="587"/>
  <c r="AJ46" i="587"/>
  <c r="J46" i="587"/>
  <c r="AJ55" i="587" a="1"/>
  <c r="AJ55" i="587" s="1"/>
  <c r="O52" i="587" a="1"/>
  <c r="O52" i="587" s="1"/>
  <c r="J54" i="587" a="1"/>
  <c r="J54" i="587" s="1"/>
  <c r="J43" i="587"/>
  <c r="AJ44" i="587"/>
  <c r="AJ52" i="587" a="1"/>
  <c r="AJ52" i="587" s="1"/>
  <c r="J53" i="587" a="1"/>
  <c r="J53" i="587" s="1"/>
  <c r="J51" i="587" a="1"/>
  <c r="J51" i="587" s="1"/>
  <c r="J56" i="587" a="1"/>
  <c r="J56" i="587" s="1"/>
  <c r="J52" i="587" a="1"/>
  <c r="J52" i="587" s="1"/>
  <c r="J48" i="587"/>
  <c r="J45" i="587"/>
  <c r="AJ51" i="587" a="1"/>
  <c r="AJ51" i="587" s="1"/>
  <c r="AJ45" i="587"/>
  <c r="S44" i="587"/>
  <c r="O51" i="587" a="1"/>
  <c r="O51" i="587" s="1"/>
  <c r="X54" i="587" a="1"/>
  <c r="X54" i="587" s="1"/>
  <c r="F55" i="587" a="1"/>
  <c r="F55" i="587" s="1"/>
  <c r="F51" i="587" a="1"/>
  <c r="F51" i="587" s="1"/>
  <c r="X43" i="587"/>
  <c r="X52" i="587" a="1"/>
  <c r="X52" i="587" s="1"/>
  <c r="X53" i="587" a="1"/>
  <c r="X53" i="587" s="1"/>
  <c r="AC56" i="587" a="1"/>
  <c r="AC56" i="587" s="1"/>
  <c r="I44" i="587"/>
  <c r="F45" i="587"/>
  <c r="H55" i="587" a="1"/>
  <c r="H55" i="587" s="1"/>
  <c r="X47" i="587"/>
  <c r="I46" i="587"/>
  <c r="I51" i="587" a="1"/>
  <c r="I51" i="587" s="1"/>
  <c r="H54" i="587" a="1"/>
  <c r="H54" i="587" s="1"/>
  <c r="H46" i="587"/>
  <c r="H52" i="587" a="1"/>
  <c r="H52" i="587" s="1"/>
  <c r="X48" i="587"/>
  <c r="F43" i="587"/>
  <c r="F48" i="587"/>
  <c r="I43" i="587"/>
  <c r="I47" i="587"/>
  <c r="I54" i="587" a="1"/>
  <c r="I54" i="587" s="1"/>
  <c r="H47" i="587"/>
  <c r="H48" i="587"/>
  <c r="X44" i="587"/>
  <c r="X55" i="587" a="1"/>
  <c r="X55" i="587" s="1"/>
  <c r="F47" i="587"/>
  <c r="F44" i="587"/>
  <c r="I52" i="587" a="1"/>
  <c r="I52" i="587" s="1"/>
  <c r="I53" i="587" a="1"/>
  <c r="I53" i="587" s="1"/>
  <c r="I56" i="587" a="1"/>
  <c r="I56" i="587" s="1"/>
  <c r="H56" i="587" a="1"/>
  <c r="H56" i="587" s="1"/>
  <c r="X56" i="587" a="1"/>
  <c r="X56" i="587" s="1"/>
  <c r="X51" i="587" a="1"/>
  <c r="X51" i="587" s="1"/>
  <c r="X46" i="587"/>
  <c r="I55" i="587" a="1"/>
  <c r="I55" i="587" s="1"/>
  <c r="H45" i="587"/>
  <c r="Q56" i="587" a="1"/>
  <c r="Q56" i="587" s="1"/>
  <c r="Q53" i="587" a="1"/>
  <c r="Q53" i="587" s="1"/>
  <c r="Q45" i="587"/>
  <c r="AC48" i="587"/>
  <c r="Q54" i="587" a="1"/>
  <c r="Q54" i="587" s="1"/>
  <c r="Q48" i="587"/>
  <c r="P46" i="587"/>
  <c r="P56" i="587" a="1"/>
  <c r="P56" i="587" s="1"/>
  <c r="AC55" i="587" a="1"/>
  <c r="AC55" i="587" s="1"/>
  <c r="Q55" i="587" a="1"/>
  <c r="Q55" i="587" s="1"/>
  <c r="Q51" i="587" a="1"/>
  <c r="Q51" i="587" s="1"/>
  <c r="P43" i="587"/>
  <c r="P51" i="587" a="1"/>
  <c r="P51" i="587" s="1"/>
  <c r="AC45" i="587"/>
  <c r="AC47" i="587"/>
  <c r="Q52" i="587" a="1"/>
  <c r="Q52" i="587" s="1"/>
  <c r="P48" i="587"/>
  <c r="P44" i="587"/>
  <c r="AC54" i="587" a="1"/>
  <c r="AC54" i="587" s="1"/>
  <c r="AC46" i="587"/>
  <c r="Q43" i="587"/>
  <c r="P53" i="587" a="1"/>
  <c r="P53" i="587" s="1"/>
  <c r="P45" i="587"/>
  <c r="AC44" i="587"/>
  <c r="AC51" i="587" a="1"/>
  <c r="AC51" i="587" s="1"/>
  <c r="AC53" i="587" a="1"/>
  <c r="AC53" i="587" s="1"/>
  <c r="AC52" i="587" a="1"/>
  <c r="AC52" i="587" s="1"/>
  <c r="Q47" i="587"/>
  <c r="G31" i="92"/>
  <c r="P47" i="587"/>
  <c r="P55" i="587" a="1"/>
  <c r="P55" i="587" s="1"/>
  <c r="P52" i="587" a="1"/>
  <c r="P52" i="587" s="1"/>
  <c r="AC43" i="587"/>
  <c r="G53" i="587" a="1"/>
  <c r="G53" i="587" s="1"/>
  <c r="P54" i="587" a="1"/>
  <c r="P54" i="587" s="1"/>
  <c r="AN53" i="587" a="1"/>
  <c r="AN53" i="587" s="1"/>
  <c r="AH45" i="587"/>
  <c r="AA51" i="587" a="1"/>
  <c r="AA51" i="587" s="1"/>
  <c r="U43" i="587"/>
  <c r="W56" i="587" a="1"/>
  <c r="W56" i="587" s="1"/>
  <c r="M53" i="587" a="1"/>
  <c r="M53" i="587" s="1"/>
  <c r="AD51" i="587" a="1"/>
  <c r="AD51" i="587" s="1"/>
  <c r="AP53" i="587" a="1"/>
  <c r="AP53" i="587" s="1"/>
  <c r="AB55" i="587" a="1"/>
  <c r="AB55" i="587" s="1"/>
  <c r="AI47" i="587"/>
  <c r="AD43" i="587"/>
  <c r="AD47" i="587"/>
  <c r="U56" i="587" a="1"/>
  <c r="U56" i="587" s="1"/>
  <c r="O48" i="587"/>
  <c r="G47" i="587"/>
  <c r="AA43" i="587"/>
  <c r="AA54" i="587" a="1"/>
  <c r="AA54" i="587" s="1"/>
  <c r="AI43" i="587"/>
  <c r="M44" i="587"/>
  <c r="M56" i="587" a="1"/>
  <c r="M56" i="587" s="1"/>
  <c r="AP46" i="587"/>
  <c r="AB54" i="587" a="1"/>
  <c r="AB54" i="587" s="1"/>
  <c r="AB52" i="587" a="1"/>
  <c r="AB52" i="587" s="1"/>
  <c r="AH56" i="587" a="1"/>
  <c r="AH56" i="587" s="1"/>
  <c r="AA45" i="587"/>
  <c r="AH46" i="587"/>
  <c r="AH47" i="587"/>
  <c r="W53" i="587" a="1"/>
  <c r="W53" i="587" s="1"/>
  <c r="AN44" i="587"/>
  <c r="AB43" i="587"/>
  <c r="AI56" i="587" a="1"/>
  <c r="AI56" i="587" s="1"/>
  <c r="AN47" i="587"/>
  <c r="R44" i="587"/>
  <c r="AD55" i="587" a="1"/>
  <c r="AD55" i="587" s="1"/>
  <c r="AD54" i="587" a="1"/>
  <c r="AD54" i="587" s="1"/>
  <c r="AD52" i="587" a="1"/>
  <c r="AD52" i="587" s="1"/>
  <c r="O46" i="587"/>
  <c r="O55" i="587" a="1"/>
  <c r="O55" i="587" s="1"/>
  <c r="AA53" i="587" a="1"/>
  <c r="AA53" i="587" s="1"/>
  <c r="G55" i="587" a="1"/>
  <c r="G55" i="587" s="1"/>
  <c r="AA46" i="587"/>
  <c r="AP47" i="587"/>
  <c r="AI46" i="587"/>
  <c r="AB47" i="587"/>
  <c r="AB53" i="587" a="1"/>
  <c r="AB53" i="587" s="1"/>
  <c r="AN52" i="587" a="1"/>
  <c r="AN52" i="587" s="1"/>
  <c r="AN51" i="587" a="1"/>
  <c r="AN51" i="587" s="1"/>
  <c r="AN55" i="587" a="1"/>
  <c r="AN55" i="587" s="1"/>
  <c r="M54" i="587" a="1"/>
  <c r="M54" i="587" s="1"/>
  <c r="U53" i="587" a="1"/>
  <c r="U53" i="587" s="1"/>
  <c r="U46" i="587"/>
  <c r="U48" i="587"/>
  <c r="G51" i="587" a="1"/>
  <c r="G51" i="587" s="1"/>
  <c r="AA48" i="587"/>
  <c r="G43" i="587"/>
  <c r="AP52" i="587" a="1"/>
  <c r="AP52" i="587" s="1"/>
  <c r="AI53" i="587" a="1"/>
  <c r="AI53" i="587" s="1"/>
  <c r="AI54" i="587" a="1"/>
  <c r="AI54" i="587" s="1"/>
  <c r="M55" i="587" a="1"/>
  <c r="M55" i="587" s="1"/>
  <c r="AP44" i="587"/>
  <c r="AB51" i="587" a="1"/>
  <c r="AB51" i="587" s="1"/>
  <c r="AH44" i="587"/>
  <c r="W45" i="587"/>
  <c r="G54" i="587" a="1"/>
  <c r="G54" i="587" s="1"/>
  <c r="W44" i="587"/>
  <c r="AI48" i="587"/>
  <c r="Y54" i="587" a="1"/>
  <c r="Y54" i="587" s="1"/>
  <c r="O43" i="587"/>
  <c r="U54" i="587" a="1"/>
  <c r="U54" i="587" s="1"/>
  <c r="AA55" i="587" a="1"/>
  <c r="AA55" i="587" s="1"/>
  <c r="AA56" i="587" a="1"/>
  <c r="AA56" i="587" s="1"/>
  <c r="AD45" i="587"/>
  <c r="G46" i="587"/>
  <c r="AI52" i="587" a="1"/>
  <c r="AI52" i="587" s="1"/>
  <c r="M46" i="587"/>
  <c r="AB44" i="587"/>
  <c r="AH55" i="587" a="1"/>
  <c r="AH55" i="587" s="1"/>
  <c r="W51" i="587" a="1"/>
  <c r="W51" i="587" s="1"/>
  <c r="AN54" i="587" a="1"/>
  <c r="AN54" i="587" s="1"/>
  <c r="W54" i="587" a="1"/>
  <c r="W54" i="587" s="1"/>
  <c r="AN45" i="587"/>
  <c r="AP51" i="587" a="1"/>
  <c r="AP51" i="587" s="1"/>
  <c r="AP48" i="587"/>
  <c r="AP55" i="587" a="1"/>
  <c r="AP55" i="587" s="1"/>
  <c r="W52" i="587" a="1"/>
  <c r="W52" i="587" s="1"/>
  <c r="O53" i="587" a="1"/>
  <c r="O53" i="587" s="1"/>
  <c r="AD48" i="587"/>
  <c r="AD56" i="587" a="1"/>
  <c r="AD56" i="587" s="1"/>
  <c r="O47" i="587"/>
  <c r="AA44" i="587"/>
  <c r="G45" i="587"/>
  <c r="AA52" i="587" a="1"/>
  <c r="AA52" i="587" s="1"/>
  <c r="M51" i="587" a="1"/>
  <c r="M51" i="587" s="1"/>
  <c r="AI51" i="587" a="1"/>
  <c r="AI51" i="587" s="1"/>
  <c r="AB46" i="587"/>
  <c r="M48" i="587"/>
  <c r="AH54" i="587" a="1"/>
  <c r="AH54" i="587" s="1"/>
  <c r="AH53" i="587" a="1"/>
  <c r="AH53" i="587" s="1"/>
  <c r="O56" i="587" a="1"/>
  <c r="O56" i="587" s="1"/>
  <c r="W55" i="587" a="1"/>
  <c r="W55" i="587" s="1"/>
  <c r="M43" i="587"/>
  <c r="U55" i="587" a="1"/>
  <c r="U55" i="587" s="1"/>
  <c r="O54" i="587" a="1"/>
  <c r="O54" i="587" s="1"/>
  <c r="AD44" i="587"/>
  <c r="AA47" i="587"/>
  <c r="G52" i="587" a="1"/>
  <c r="G52" i="587" s="1"/>
  <c r="AI44" i="587"/>
  <c r="AP45" i="587"/>
  <c r="M47" i="587"/>
  <c r="G44" i="587"/>
  <c r="AN48" i="587"/>
  <c r="W43" i="587"/>
  <c r="W47" i="587"/>
  <c r="AP56" i="587" a="1"/>
  <c r="AP56" i="587" s="1"/>
  <c r="M45" i="587"/>
  <c r="U52" i="587" a="1"/>
  <c r="U52" i="587" s="1"/>
  <c r="AH43" i="587"/>
  <c r="U47" i="587"/>
  <c r="U45" i="587"/>
  <c r="G48" i="587"/>
  <c r="M52" i="587" a="1"/>
  <c r="M52" i="587" s="1"/>
  <c r="AB45" i="587"/>
  <c r="AB56" i="587" a="1"/>
  <c r="AB56" i="587" s="1"/>
  <c r="W48" i="587"/>
  <c r="W46" i="587"/>
  <c r="Y46" i="587"/>
  <c r="G30" i="92"/>
  <c r="Y53" i="587" a="1"/>
  <c r="Y53" i="587" s="1"/>
  <c r="Y48" i="587"/>
  <c r="AD18" i="189"/>
  <c r="Y45" i="587"/>
  <c r="G29" i="92"/>
  <c r="Y51" i="587" a="1"/>
  <c r="Y51" i="587" s="1"/>
  <c r="Y47" i="587"/>
  <c r="Y52" i="587" a="1"/>
  <c r="Y52" i="587" s="1"/>
  <c r="Y43" i="587"/>
  <c r="Y55" i="587" a="1"/>
  <c r="Y55" i="587" s="1"/>
  <c r="Y44" i="587"/>
  <c r="Y56" i="587" a="1"/>
  <c r="Y56" i="587" s="1"/>
  <c r="G63" i="190"/>
  <c r="E58" i="92"/>
  <c r="R47" i="587"/>
  <c r="R52" i="587" a="1"/>
  <c r="R52" i="587" s="1"/>
  <c r="R45" i="587"/>
  <c r="R51" i="587" a="1"/>
  <c r="R51" i="587" s="1"/>
  <c r="R43" i="587"/>
  <c r="R55" i="587" a="1"/>
  <c r="R55" i="587" s="1"/>
  <c r="R53" i="587" a="1"/>
  <c r="R53" i="587" s="1"/>
  <c r="R46" i="587"/>
  <c r="R48" i="587"/>
  <c r="R54" i="587" a="1"/>
  <c r="R54" i="587" s="1"/>
  <c r="R56" i="587" a="1"/>
  <c r="R56" i="587" s="1"/>
  <c r="G65" i="190"/>
  <c r="AR12" i="22"/>
  <c r="F63" i="190"/>
  <c r="T61" i="190"/>
  <c r="AQ9" i="22"/>
  <c r="AO9" i="22"/>
  <c r="AM15" i="22"/>
  <c r="J66" i="190"/>
  <c r="U66" i="190"/>
  <c r="AB54" i="22"/>
  <c r="H65" i="92"/>
  <c r="AE43" i="22"/>
  <c r="H62" i="92"/>
  <c r="H63" i="92"/>
  <c r="J61" i="190"/>
  <c r="AO10" i="22"/>
  <c r="Y29" i="22" a="1"/>
  <c r="Y29" i="22" s="1"/>
  <c r="AD39" i="189"/>
  <c r="AB60" i="22"/>
  <c r="AG11" i="22"/>
  <c r="AB30" i="22" a="1"/>
  <c r="AB30" i="22" s="1"/>
  <c r="V22" i="22"/>
  <c r="AG10" i="22"/>
  <c r="AM10" i="22"/>
  <c r="AE41" i="22"/>
  <c r="AF10" i="22"/>
  <c r="AP10" i="22"/>
  <c r="AQ10" i="22"/>
  <c r="AC45" i="22"/>
  <c r="AA39" i="22"/>
  <c r="AI11" i="22"/>
  <c r="AC41" i="22"/>
  <c r="AC39" i="22"/>
  <c r="AE39" i="22"/>
  <c r="J60" i="190"/>
  <c r="AP11" i="22"/>
  <c r="AL11" i="22"/>
  <c r="AO11" i="22"/>
  <c r="AM11" i="22"/>
  <c r="AN11" i="22"/>
  <c r="AD39" i="22"/>
  <c r="AM9" i="22"/>
  <c r="AH9" i="22"/>
  <c r="AL9" i="22"/>
  <c r="AF9" i="22"/>
  <c r="AP9" i="22"/>
  <c r="AR9" i="22"/>
  <c r="AG9" i="22"/>
  <c r="AG13" i="22"/>
  <c r="AL13" i="22"/>
  <c r="AO13" i="22"/>
  <c r="AA44" i="22"/>
  <c r="AC43" i="22"/>
  <c r="AH11" i="22"/>
  <c r="J64" i="190"/>
  <c r="AE22" i="22"/>
  <c r="J65" i="190"/>
  <c r="AH10" i="22"/>
  <c r="AD43" i="22"/>
  <c r="AB68" i="22"/>
  <c r="AB65" i="22"/>
  <c r="J62" i="190"/>
  <c r="AE45" i="22"/>
  <c r="AM12" i="22"/>
  <c r="Q38" i="2" l="1"/>
  <c r="O20" i="829"/>
  <c r="W90" i="840" s="1"/>
  <c r="O69" i="2"/>
  <c r="O11" i="863"/>
  <c r="N69" i="2"/>
  <c r="M30" i="825" s="1"/>
  <c r="N11" i="863"/>
  <c r="N22" i="825"/>
  <c r="W55" i="840"/>
  <c r="W63" i="840" s="1"/>
  <c r="O90" i="826"/>
  <c r="P88" i="826"/>
  <c r="P86" i="826"/>
  <c r="P89" i="826"/>
  <c r="P87" i="826"/>
  <c r="P81" i="826"/>
  <c r="P80" i="826"/>
  <c r="P84" i="826"/>
  <c r="P79" i="826"/>
  <c r="P85" i="826"/>
  <c r="P78" i="826"/>
  <c r="P83" i="826"/>
  <c r="P82" i="826"/>
  <c r="O75" i="826"/>
  <c r="Z65" i="840"/>
  <c r="Z72" i="840" s="1"/>
  <c r="Z87" i="840" s="1"/>
  <c r="Z104" i="840" s="1"/>
  <c r="Z50" i="840"/>
  <c r="P68" i="2"/>
  <c r="X51" i="840"/>
  <c r="P67" i="2"/>
  <c r="X42" i="840"/>
  <c r="X46" i="840"/>
  <c r="X45" i="840"/>
  <c r="X37" i="840"/>
  <c r="X47" i="840"/>
  <c r="X39" i="840"/>
  <c r="X38" i="840"/>
  <c r="X44" i="840"/>
  <c r="X43" i="840"/>
  <c r="X36" i="840"/>
  <c r="X40" i="840"/>
  <c r="X41" i="840"/>
  <c r="W48" i="840"/>
  <c r="N26" i="829"/>
  <c r="V95" i="840" s="1"/>
  <c r="V90" i="840"/>
  <c r="O26" i="829"/>
  <c r="W95" i="840" s="1"/>
  <c r="N22" i="829"/>
  <c r="V92" i="840" s="1"/>
  <c r="N29" i="825"/>
  <c r="O75" i="2"/>
  <c r="J104" i="190" a="1"/>
  <c r="J104" i="190" s="1"/>
  <c r="J94" i="190"/>
  <c r="J95" i="190"/>
  <c r="J96" i="190"/>
  <c r="J92" i="190"/>
  <c r="J99" i="190" a="1"/>
  <c r="J99" i="190" s="1"/>
  <c r="J100" i="190" a="1"/>
  <c r="J100" i="190" s="1"/>
  <c r="J101" i="190"/>
  <c r="J91" i="190"/>
  <c r="J102" i="190" a="1"/>
  <c r="J102" i="190" s="1"/>
  <c r="J103" i="190" a="1"/>
  <c r="J103" i="190" s="1"/>
  <c r="J93" i="190"/>
  <c r="P74" i="826"/>
  <c r="X33" i="840" s="1"/>
  <c r="O19" i="829"/>
  <c r="W89" i="840" s="1"/>
  <c r="O21" i="829"/>
  <c r="W91" i="840" s="1"/>
  <c r="O22" i="829"/>
  <c r="W92" i="840" s="1"/>
  <c r="O43" i="2"/>
  <c r="O155" i="826"/>
  <c r="N52" i="2"/>
  <c r="R109" i="826"/>
  <c r="R66" i="826"/>
  <c r="R19" i="2"/>
  <c r="T19" i="2" s="1"/>
  <c r="R111" i="826"/>
  <c r="R36" i="2" s="1"/>
  <c r="R21" i="2"/>
  <c r="T21" i="2" s="1"/>
  <c r="P73" i="826"/>
  <c r="O21" i="825"/>
  <c r="Q69" i="826"/>
  <c r="Q67" i="826"/>
  <c r="R110" i="826"/>
  <c r="R35" i="2" s="1"/>
  <c r="R20" i="2"/>
  <c r="T20" i="2" s="1"/>
  <c r="N23" i="825"/>
  <c r="Q23" i="2"/>
  <c r="P114" i="826"/>
  <c r="Q113" i="826"/>
  <c r="P10" i="829"/>
  <c r="P27" i="829" s="1"/>
  <c r="X96" i="840" s="1"/>
  <c r="P40" i="2"/>
  <c r="P11" i="829"/>
  <c r="R112" i="826"/>
  <c r="R37" i="2" s="1"/>
  <c r="R22" i="2"/>
  <c r="T22" i="2" s="1"/>
  <c r="C173" i="827"/>
  <c r="C241" i="827" s="1"/>
  <c r="C275" i="827" s="1"/>
  <c r="C207" i="827"/>
  <c r="C39" i="827"/>
  <c r="C140" i="827"/>
  <c r="N47" i="587"/>
  <c r="N53" i="587" a="1"/>
  <c r="N53" i="587" s="1"/>
  <c r="N46" i="587"/>
  <c r="N54" i="587" a="1"/>
  <c r="N54" i="587" s="1"/>
  <c r="N48" i="587"/>
  <c r="N43" i="587"/>
  <c r="N55" i="587" a="1"/>
  <c r="N55" i="587" s="1"/>
  <c r="N56" i="587" a="1"/>
  <c r="N56" i="587" s="1"/>
  <c r="N44" i="587"/>
  <c r="N52" i="587" a="1"/>
  <c r="N52" i="587" s="1"/>
  <c r="N51" i="587" a="1"/>
  <c r="N51" i="587" s="1"/>
  <c r="AQ13" i="22"/>
  <c r="F61" i="190"/>
  <c r="AB39" i="22"/>
  <c r="F60" i="190"/>
  <c r="AR10" i="22"/>
  <c r="Z52" i="587" a="1"/>
  <c r="Z52" i="587" s="1"/>
  <c r="AE28" i="22" a="1"/>
  <c r="AE28" i="22" s="1"/>
  <c r="AE32" i="22" a="1"/>
  <c r="AE32" i="22" s="1"/>
  <c r="AE25" i="22"/>
  <c r="AE24" i="22"/>
  <c r="AE23" i="22"/>
  <c r="AE30" i="22" a="1"/>
  <c r="AE30" i="22" s="1"/>
  <c r="AE33" i="22" a="1"/>
  <c r="AE33" i="22" s="1"/>
  <c r="AE21" i="22"/>
  <c r="AE29" i="22" a="1"/>
  <c r="AE29" i="22" s="1"/>
  <c r="AE20" i="22"/>
  <c r="Q29" i="22" a="1"/>
  <c r="Q29" i="22" s="1"/>
  <c r="AI13" i="22"/>
  <c r="AM13" i="22"/>
  <c r="AF11" i="22"/>
  <c r="AN13" i="22"/>
  <c r="AH13" i="22"/>
  <c r="AP13" i="22"/>
  <c r="AF13" i="22"/>
  <c r="AR13" i="22"/>
  <c r="AO15" i="22"/>
  <c r="AG15" i="22"/>
  <c r="AL15" i="22"/>
  <c r="AQ15" i="22"/>
  <c r="AN10" i="22"/>
  <c r="AH15" i="22"/>
  <c r="AI15" i="22"/>
  <c r="AN15" i="22"/>
  <c r="AP15" i="22"/>
  <c r="AF15" i="22"/>
  <c r="AG17" i="22"/>
  <c r="AF17" i="22"/>
  <c r="AN17" i="22"/>
  <c r="AL17" i="22"/>
  <c r="AH17" i="22"/>
  <c r="AO17" i="22"/>
  <c r="AQ17" i="22"/>
  <c r="AK17" i="22"/>
  <c r="AM17" i="22"/>
  <c r="AJ17" i="22"/>
  <c r="AI17" i="22"/>
  <c r="AP17" i="22"/>
  <c r="AL12" i="22"/>
  <c r="AD48" i="22"/>
  <c r="AE48" i="22"/>
  <c r="AC48" i="22"/>
  <c r="AH12" i="22"/>
  <c r="AN12" i="22"/>
  <c r="AG12" i="22"/>
  <c r="AP12" i="22"/>
  <c r="AF12" i="22"/>
  <c r="T25" i="22"/>
  <c r="AQ12" i="22"/>
  <c r="AO12" i="22"/>
  <c r="S28" i="22" a="1"/>
  <c r="S28" i="22" s="1"/>
  <c r="G60" i="190"/>
  <c r="G59" i="190"/>
  <c r="F59" i="190"/>
  <c r="N60" i="189"/>
  <c r="F88" i="190"/>
  <c r="AB40" i="22"/>
  <c r="G67" i="190"/>
  <c r="AR11" i="22"/>
  <c r="F67" i="190"/>
  <c r="F66" i="190"/>
  <c r="G66" i="190"/>
  <c r="G64" i="190"/>
  <c r="F64" i="190"/>
  <c r="G47" i="92"/>
  <c r="G39" i="92"/>
  <c r="G51" i="92"/>
  <c r="G41" i="92"/>
  <c r="G38" i="92"/>
  <c r="G50" i="92"/>
  <c r="G44" i="92"/>
  <c r="G54" i="92"/>
  <c r="G56" i="92"/>
  <c r="G42" i="92"/>
  <c r="G45" i="92"/>
  <c r="G43" i="92"/>
  <c r="G52" i="92"/>
  <c r="G57" i="92"/>
  <c r="G46" i="92"/>
  <c r="G53" i="92"/>
  <c r="G40" i="92"/>
  <c r="G55" i="92"/>
  <c r="G49" i="92"/>
  <c r="G48" i="92"/>
  <c r="L67" i="190"/>
  <c r="G88" i="190"/>
  <c r="AB42" i="22"/>
  <c r="AB41" i="22"/>
  <c r="AB52" i="22"/>
  <c r="AB61" i="22"/>
  <c r="Y21" i="22"/>
  <c r="V29" i="22" a="1"/>
  <c r="V29" i="22" s="1"/>
  <c r="AB22" i="22"/>
  <c r="AB33" i="22" a="1"/>
  <c r="AB33" i="22" s="1"/>
  <c r="AB31" i="22" a="1"/>
  <c r="AB31" i="22" s="1"/>
  <c r="F54" i="844" s="1"/>
  <c r="AB21" i="22"/>
  <c r="AB24" i="22"/>
  <c r="AB29" i="22" a="1"/>
  <c r="AB29" i="22" s="1"/>
  <c r="AB28" i="22" a="1"/>
  <c r="AB28" i="22" s="1"/>
  <c r="AB32" i="22" a="1"/>
  <c r="AB32" i="22" s="1"/>
  <c r="Y28" i="22" a="1"/>
  <c r="Y28" i="22" s="1"/>
  <c r="Y24" i="22"/>
  <c r="Y32" i="22" a="1"/>
  <c r="Y32" i="22" s="1"/>
  <c r="Y25" i="22"/>
  <c r="Y20" i="22"/>
  <c r="Y22" i="22"/>
  <c r="Y33" i="22" a="1"/>
  <c r="Y33" i="22" s="1"/>
  <c r="Y30" i="22" a="1"/>
  <c r="Y30" i="22" s="1"/>
  <c r="Y31" i="22" a="1"/>
  <c r="Y31" i="22" s="1"/>
  <c r="AB25" i="22"/>
  <c r="AI12" i="22"/>
  <c r="AB20" i="22"/>
  <c r="AB23" i="22"/>
  <c r="V33" i="22" a="1"/>
  <c r="V33" i="22" s="1"/>
  <c r="V23" i="22"/>
  <c r="V20" i="22"/>
  <c r="V24" i="22"/>
  <c r="V28" i="22" a="1"/>
  <c r="V28" i="22" s="1"/>
  <c r="V25" i="22"/>
  <c r="AD16" i="189"/>
  <c r="V21" i="22"/>
  <c r="V31" i="22" a="1"/>
  <c r="V31" i="22" s="1"/>
  <c r="V30" i="22" a="1"/>
  <c r="V30" i="22" s="1"/>
  <c r="V32" i="22" a="1"/>
  <c r="V32" i="22" s="1"/>
  <c r="T88" i="190"/>
  <c r="AB48" i="22"/>
  <c r="AB55" i="22"/>
  <c r="AJ11" i="22"/>
  <c r="K64" i="190"/>
  <c r="AJ13" i="22"/>
  <c r="K65" i="190"/>
  <c r="M65" i="190"/>
  <c r="AJ9" i="22"/>
  <c r="AK9" i="22"/>
  <c r="K59" i="190"/>
  <c r="AJ15" i="22"/>
  <c r="AK15" i="22"/>
  <c r="AD45" i="22"/>
  <c r="L65" i="190"/>
  <c r="AA45" i="22"/>
  <c r="AJ10" i="22"/>
  <c r="AC40" i="22"/>
  <c r="M59" i="190"/>
  <c r="AI10" i="22"/>
  <c r="AD41" i="22"/>
  <c r="AK11" i="22"/>
  <c r="AK10" i="22"/>
  <c r="K61" i="190"/>
  <c r="M61" i="190"/>
  <c r="K60" i="190"/>
  <c r="L60" i="190"/>
  <c r="AA40" i="22"/>
  <c r="L59" i="190"/>
  <c r="M60" i="190"/>
  <c r="AC44" i="22"/>
  <c r="AI9" i="22"/>
  <c r="AA41" i="22"/>
  <c r="L61" i="190"/>
  <c r="L63" i="190"/>
  <c r="AA43" i="22"/>
  <c r="M64" i="190"/>
  <c r="M63" i="190"/>
  <c r="AK13" i="22"/>
  <c r="AN20" i="22"/>
  <c r="AN21" i="22"/>
  <c r="AN22" i="22"/>
  <c r="AN23" i="22"/>
  <c r="AN30" i="22" a="1"/>
  <c r="AN30" i="22" s="1"/>
  <c r="AN31" i="22" a="1"/>
  <c r="AN31" i="22" s="1"/>
  <c r="AN28" i="22" a="1"/>
  <c r="AN28" i="22" s="1"/>
  <c r="AN29" i="22" a="1"/>
  <c r="AN29" i="22" s="1"/>
  <c r="AN33" i="22" a="1"/>
  <c r="AN33" i="22" s="1"/>
  <c r="AN32" i="22" a="1"/>
  <c r="AN32" i="22" s="1"/>
  <c r="AN24" i="22"/>
  <c r="AN25" i="22"/>
  <c r="L64" i="190"/>
  <c r="K63" i="190"/>
  <c r="AH29" i="22" a="1"/>
  <c r="AH29" i="22" s="1"/>
  <c r="AH24" i="22"/>
  <c r="AH25" i="22"/>
  <c r="AH33" i="22" a="1"/>
  <c r="AH33" i="22" s="1"/>
  <c r="AH23" i="22"/>
  <c r="AH22" i="22"/>
  <c r="AH32" i="22" a="1"/>
  <c r="AH32" i="22" s="1"/>
  <c r="AH21" i="22"/>
  <c r="AH30" i="22" a="1"/>
  <c r="AH30" i="22" s="1"/>
  <c r="AH28" i="22" a="1"/>
  <c r="AH28" i="22" s="1"/>
  <c r="AH31" i="22" a="1"/>
  <c r="AH31" i="22" s="1"/>
  <c r="AH20" i="22"/>
  <c r="AD44" i="22"/>
  <c r="AD42" i="22"/>
  <c r="AC42" i="22"/>
  <c r="Z44" i="22"/>
  <c r="AD15" i="189"/>
  <c r="AK12" i="22"/>
  <c r="AB47" i="22"/>
  <c r="T67" i="190"/>
  <c r="L62" i="190"/>
  <c r="T64" i="190"/>
  <c r="AB44" i="22"/>
  <c r="AB49" i="22"/>
  <c r="AB51" i="22"/>
  <c r="AB45" i="22"/>
  <c r="T65" i="190"/>
  <c r="R24" i="22"/>
  <c r="R28" i="22" a="1"/>
  <c r="R28" i="22" s="1"/>
  <c r="R31" i="22" a="1"/>
  <c r="R31" i="22" s="1"/>
  <c r="R32" i="22" a="1"/>
  <c r="R32" i="22" s="1"/>
  <c r="R23" i="22"/>
  <c r="R30" i="22" a="1"/>
  <c r="R30" i="22" s="1"/>
  <c r="R20" i="22"/>
  <c r="R22" i="22"/>
  <c r="R25" i="22"/>
  <c r="R21" i="22"/>
  <c r="R33" i="22" a="1"/>
  <c r="R33" i="22" s="1"/>
  <c r="R29" i="22" a="1"/>
  <c r="R29" i="22" s="1"/>
  <c r="AB56" i="22"/>
  <c r="M62" i="190"/>
  <c r="AB50" i="22"/>
  <c r="AB57" i="22"/>
  <c r="Q24" i="22"/>
  <c r="Q23" i="22"/>
  <c r="AB62" i="22"/>
  <c r="T66" i="190"/>
  <c r="AB46" i="22"/>
  <c r="U33" i="22" a="1"/>
  <c r="U33" i="22" s="1"/>
  <c r="U28" i="22" a="1"/>
  <c r="U28" i="22" s="1"/>
  <c r="U32" i="22" a="1"/>
  <c r="U32" i="22" s="1"/>
  <c r="U25" i="22"/>
  <c r="U22" i="22"/>
  <c r="U24" i="22"/>
  <c r="U21" i="22"/>
  <c r="U31" i="22" a="1"/>
  <c r="U31" i="22" s="1"/>
  <c r="U30" i="22" a="1"/>
  <c r="U30" i="22" s="1"/>
  <c r="U20" i="22"/>
  <c r="U23" i="22"/>
  <c r="U29" i="22" a="1"/>
  <c r="U29" i="22" s="1"/>
  <c r="K62" i="190"/>
  <c r="AA46" i="22"/>
  <c r="AA58" i="22"/>
  <c r="AA56" i="22"/>
  <c r="AA57" i="22"/>
  <c r="AA60" i="22"/>
  <c r="AA61" i="22"/>
  <c r="AA62" i="22"/>
  <c r="AA63" i="22"/>
  <c r="AA64" i="22"/>
  <c r="AA65" i="22"/>
  <c r="AA66" i="22"/>
  <c r="AA67" i="22"/>
  <c r="AA68" i="22"/>
  <c r="AA48" i="22"/>
  <c r="AA49" i="22"/>
  <c r="AA50" i="22"/>
  <c r="AA51" i="22"/>
  <c r="AA52" i="22"/>
  <c r="AA53" i="22"/>
  <c r="AA54" i="22"/>
  <c r="AA55" i="22"/>
  <c r="AA59" i="22"/>
  <c r="AA47" i="22"/>
  <c r="AB67" i="22"/>
  <c r="AB59" i="22"/>
  <c r="AE42" i="22"/>
  <c r="AJ12" i="22"/>
  <c r="AB63" i="22"/>
  <c r="AB64" i="22"/>
  <c r="Z47" i="22"/>
  <c r="Z59" i="22"/>
  <c r="Z67" i="22"/>
  <c r="Z68" i="22"/>
  <c r="Z55" i="22"/>
  <c r="Z46" i="22"/>
  <c r="Z50" i="22"/>
  <c r="Z54" i="22"/>
  <c r="Z62" i="22"/>
  <c r="Z65" i="22"/>
  <c r="Z58" i="22"/>
  <c r="Z49" i="22"/>
  <c r="Z53" i="22"/>
  <c r="AD17" i="189"/>
  <c r="Z61" i="22"/>
  <c r="Z64" i="22"/>
  <c r="Z48" i="22"/>
  <c r="Z52" i="22"/>
  <c r="Z57" i="22"/>
  <c r="Z63" i="22"/>
  <c r="Z56" i="22"/>
  <c r="Z60" i="22"/>
  <c r="Z51" i="22"/>
  <c r="Z66" i="22"/>
  <c r="T109" i="826" l="1"/>
  <c r="R34" i="2"/>
  <c r="R38" i="2" s="1"/>
  <c r="P20" i="829"/>
  <c r="X90" i="840" s="1"/>
  <c r="P69" i="2"/>
  <c r="P11" i="863"/>
  <c r="P75" i="826"/>
  <c r="X32" i="840"/>
  <c r="O22" i="825"/>
  <c r="O23" i="825" s="1"/>
  <c r="X55" i="840"/>
  <c r="X63" i="840" s="1"/>
  <c r="P90" i="826"/>
  <c r="Q88" i="826"/>
  <c r="Q87" i="826"/>
  <c r="Q86" i="826"/>
  <c r="Q89" i="826"/>
  <c r="Q82" i="826"/>
  <c r="Q78" i="826"/>
  <c r="Q84" i="826"/>
  <c r="Q81" i="826"/>
  <c r="Q79" i="826"/>
  <c r="Q83" i="826"/>
  <c r="Q85" i="826"/>
  <c r="Q80" i="826"/>
  <c r="N70" i="2"/>
  <c r="M31" i="825" s="1"/>
  <c r="Q67" i="2"/>
  <c r="Y51" i="840"/>
  <c r="X48" i="840"/>
  <c r="Q68" i="2"/>
  <c r="Q74" i="826"/>
  <c r="Y33" i="840" s="1"/>
  <c r="Y39" i="840"/>
  <c r="Y46" i="840"/>
  <c r="Y38" i="840"/>
  <c r="Y45" i="840"/>
  <c r="Y37" i="840"/>
  <c r="Y43" i="840"/>
  <c r="Y47" i="840"/>
  <c r="Y44" i="840"/>
  <c r="Y42" i="840"/>
  <c r="Y36" i="840"/>
  <c r="Y40" i="840"/>
  <c r="Y41" i="840"/>
  <c r="O52" i="2"/>
  <c r="O13" i="829"/>
  <c r="O28" i="829" s="1"/>
  <c r="W97" i="840" s="1"/>
  <c r="P26" i="829"/>
  <c r="X95" i="840" s="1"/>
  <c r="N93" i="189"/>
  <c r="N92" i="189" a="1"/>
  <c r="N92" i="189" s="1"/>
  <c r="N89" i="189"/>
  <c r="N88" i="189"/>
  <c r="N94" i="189" a="1"/>
  <c r="N94" i="189" s="1"/>
  <c r="N87" i="189"/>
  <c r="N86" i="189"/>
  <c r="N95" i="189" a="1"/>
  <c r="N95" i="189" s="1"/>
  <c r="N84" i="189"/>
  <c r="N91" i="189" a="1"/>
  <c r="N91" i="189" s="1"/>
  <c r="N85" i="189"/>
  <c r="N96" i="189" a="1"/>
  <c r="N96" i="189" s="1"/>
  <c r="F96" i="190"/>
  <c r="F93" i="190"/>
  <c r="F95" i="190"/>
  <c r="F99" i="190" a="1"/>
  <c r="F99" i="190" s="1"/>
  <c r="F102" i="190" a="1"/>
  <c r="F102" i="190" s="1"/>
  <c r="F100" i="190" a="1"/>
  <c r="F100" i="190" s="1"/>
  <c r="F92" i="190"/>
  <c r="F103" i="190" a="1"/>
  <c r="F103" i="190" s="1"/>
  <c r="F94" i="190"/>
  <c r="F91" i="190"/>
  <c r="F101" i="190"/>
  <c r="F104" i="190" a="1"/>
  <c r="F104" i="190" s="1"/>
  <c r="T66" i="826"/>
  <c r="T36" i="2"/>
  <c r="T111" i="826"/>
  <c r="T35" i="2"/>
  <c r="T110" i="826"/>
  <c r="T37" i="2"/>
  <c r="T112" i="826"/>
  <c r="O29" i="825"/>
  <c r="P75" i="2"/>
  <c r="L96" i="190"/>
  <c r="L94" i="190"/>
  <c r="L99" i="190" a="1"/>
  <c r="L99" i="190" s="1"/>
  <c r="L100" i="190" a="1"/>
  <c r="L100" i="190" s="1"/>
  <c r="L101" i="190"/>
  <c r="L91" i="190"/>
  <c r="L102" i="190" a="1"/>
  <c r="L102" i="190" s="1"/>
  <c r="L92" i="190"/>
  <c r="L103" i="190" a="1"/>
  <c r="L103" i="190" s="1"/>
  <c r="L93" i="190"/>
  <c r="L104" i="190" a="1"/>
  <c r="L104" i="190" s="1"/>
  <c r="L95" i="190"/>
  <c r="M99" i="190" a="1"/>
  <c r="M99" i="190" s="1"/>
  <c r="M100" i="190" a="1"/>
  <c r="M100" i="190" s="1"/>
  <c r="M101" i="190"/>
  <c r="M91" i="190"/>
  <c r="M102" i="190" a="1"/>
  <c r="M102" i="190" s="1"/>
  <c r="M92" i="190"/>
  <c r="M103" i="190" a="1"/>
  <c r="M103" i="190" s="1"/>
  <c r="M93" i="190"/>
  <c r="M104" i="190" a="1"/>
  <c r="M104" i="190" s="1"/>
  <c r="M94" i="190"/>
  <c r="M95" i="190"/>
  <c r="M96" i="190"/>
  <c r="K95" i="190"/>
  <c r="K96" i="190"/>
  <c r="K99" i="190" a="1"/>
  <c r="K99" i="190" s="1"/>
  <c r="K100" i="190" a="1"/>
  <c r="K100" i="190" s="1"/>
  <c r="K101" i="190"/>
  <c r="K91" i="190"/>
  <c r="K102" i="190" a="1"/>
  <c r="K102" i="190" s="1"/>
  <c r="K92" i="190"/>
  <c r="K103" i="190" a="1"/>
  <c r="K103" i="190" s="1"/>
  <c r="K93" i="190"/>
  <c r="K104" i="190" a="1"/>
  <c r="K104" i="190" s="1"/>
  <c r="K94" i="190"/>
  <c r="G101" i="190"/>
  <c r="G91" i="190"/>
  <c r="G102" i="190" a="1"/>
  <c r="G102" i="190" s="1"/>
  <c r="G92" i="190"/>
  <c r="G103" i="190" a="1"/>
  <c r="G103" i="190" s="1"/>
  <c r="G93" i="190"/>
  <c r="G104" i="190" a="1"/>
  <c r="G104" i="190" s="1"/>
  <c r="G94" i="190"/>
  <c r="G95" i="190"/>
  <c r="G96" i="190"/>
  <c r="G99" i="190" a="1"/>
  <c r="G99" i="190" s="1"/>
  <c r="G100" i="190" a="1"/>
  <c r="G100" i="190" s="1"/>
  <c r="W66" i="840"/>
  <c r="N30" i="825"/>
  <c r="P19" i="829"/>
  <c r="X89" i="840" s="1"/>
  <c r="P21" i="829"/>
  <c r="X91" i="840" s="1"/>
  <c r="P22" i="829"/>
  <c r="X92" i="840" s="1"/>
  <c r="N54" i="2"/>
  <c r="N12" i="829"/>
  <c r="Q114" i="826"/>
  <c r="R113" i="826"/>
  <c r="T113" i="826" s="1"/>
  <c r="V66" i="840"/>
  <c r="Q11" i="829"/>
  <c r="P43" i="2"/>
  <c r="P155" i="826"/>
  <c r="R23" i="2"/>
  <c r="K45" i="834" s="1"/>
  <c r="Q10" i="829"/>
  <c r="Q27" i="829" s="1"/>
  <c r="Y96" i="840" s="1"/>
  <c r="Q40" i="2"/>
  <c r="Q73" i="826"/>
  <c r="P21" i="825"/>
  <c r="R67" i="826"/>
  <c r="T67" i="826" s="1"/>
  <c r="R69" i="826"/>
  <c r="C174" i="827"/>
  <c r="C242" i="827" s="1"/>
  <c r="C276" i="827" s="1"/>
  <c r="C208" i="827"/>
  <c r="C40" i="827"/>
  <c r="C141" i="827"/>
  <c r="AD14" i="189"/>
  <c r="Z44" i="587"/>
  <c r="Z54" i="587" a="1"/>
  <c r="Z54" i="587" s="1"/>
  <c r="T59" i="190"/>
  <c r="Z47" i="587"/>
  <c r="W53" i="189" a="1"/>
  <c r="W53" i="189" s="1"/>
  <c r="S42" i="189"/>
  <c r="Z55" i="587" a="1"/>
  <c r="Z55" i="587" s="1"/>
  <c r="AK14" i="22"/>
  <c r="AK25" i="22" s="1"/>
  <c r="Z51" i="587" a="1"/>
  <c r="Z51" i="587" s="1"/>
  <c r="Z56" i="587" a="1"/>
  <c r="Z56" i="587" s="1"/>
  <c r="Z46" i="587"/>
  <c r="Z53" i="587" a="1"/>
  <c r="Z53" i="587" s="1"/>
  <c r="Z43" i="587"/>
  <c r="Z48" i="587"/>
  <c r="Z45" i="587"/>
  <c r="Q21" i="22"/>
  <c r="Q22" i="22"/>
  <c r="Q28" i="22" a="1"/>
  <c r="Q28" i="22" s="1"/>
  <c r="Q25" i="22"/>
  <c r="Q33" i="22" a="1"/>
  <c r="Q33" i="22" s="1"/>
  <c r="Q31" i="22" a="1"/>
  <c r="Q31" i="22" s="1"/>
  <c r="Q30" i="22" a="1"/>
  <c r="Q30" i="22" s="1"/>
  <c r="S22" i="22"/>
  <c r="S25" i="22"/>
  <c r="S33" i="22" a="1"/>
  <c r="S33" i="22" s="1"/>
  <c r="S30" i="22" a="1"/>
  <c r="S30" i="22" s="1"/>
  <c r="S24" i="22"/>
  <c r="S21" i="22"/>
  <c r="S23" i="22"/>
  <c r="S31" i="22" a="1"/>
  <c r="S31" i="22" s="1"/>
  <c r="S20" i="22"/>
  <c r="S29" i="22" a="1"/>
  <c r="S29" i="22" s="1"/>
  <c r="S32" i="22" a="1"/>
  <c r="S32" i="22" s="1"/>
  <c r="Q20" i="22"/>
  <c r="Q32" i="22" a="1"/>
  <c r="Q32" i="22" s="1"/>
  <c r="T21" i="22"/>
  <c r="T30" i="22" a="1"/>
  <c r="T30" i="22" s="1"/>
  <c r="T32" i="22" a="1"/>
  <c r="T32" i="22" s="1"/>
  <c r="T22" i="22"/>
  <c r="T28" i="22" a="1"/>
  <c r="T28" i="22" s="1"/>
  <c r="T29" i="22" a="1"/>
  <c r="T29" i="22" s="1"/>
  <c r="T23" i="22"/>
  <c r="T20" i="22"/>
  <c r="T24" i="22"/>
  <c r="T31" i="22" a="1"/>
  <c r="T31" i="22" s="1"/>
  <c r="T33" i="22" a="1"/>
  <c r="T33" i="22" s="1"/>
  <c r="AD40" i="22"/>
  <c r="AR14" i="22"/>
  <c r="AE44" i="22"/>
  <c r="AM14" i="22"/>
  <c r="AO14" i="22"/>
  <c r="AN14" i="22"/>
  <c r="AQ14" i="22"/>
  <c r="AP14" i="22"/>
  <c r="AH14" i="22"/>
  <c r="AG14" i="22"/>
  <c r="AL14" i="22"/>
  <c r="AF14" i="22"/>
  <c r="AF24" i="22" s="1"/>
  <c r="AI14" i="22"/>
  <c r="AI22" i="22" s="1"/>
  <c r="AJ14" i="22"/>
  <c r="AJ29" i="22" s="1" a="1"/>
  <c r="AJ29" i="22" s="1"/>
  <c r="T63" i="190"/>
  <c r="AB43" i="22"/>
  <c r="AG51" i="587" a="1"/>
  <c r="AG51" i="587" s="1"/>
  <c r="T60" i="190"/>
  <c r="AB58" i="22"/>
  <c r="G37" i="92"/>
  <c r="G58" i="92"/>
  <c r="AB53" i="22"/>
  <c r="T62" i="190"/>
  <c r="G36" i="92"/>
  <c r="AM52" i="587" a="1"/>
  <c r="AM52" i="587" s="1"/>
  <c r="U43" i="189"/>
  <c r="O52" i="189" a="1"/>
  <c r="O52" i="189" s="1"/>
  <c r="O45" i="189"/>
  <c r="O43" i="189"/>
  <c r="O46" i="189"/>
  <c r="O44" i="189"/>
  <c r="O47" i="189"/>
  <c r="O54" i="189" a="1"/>
  <c r="O54" i="189" s="1"/>
  <c r="O53" i="189" a="1"/>
  <c r="O53" i="189" s="1"/>
  <c r="O42" i="189"/>
  <c r="N49" i="189" a="1"/>
  <c r="N49" i="189" s="1"/>
  <c r="N47" i="189"/>
  <c r="N43" i="189"/>
  <c r="N51" i="189" a="1"/>
  <c r="N51" i="189" s="1"/>
  <c r="N53" i="189" a="1"/>
  <c r="N53" i="189" s="1"/>
  <c r="N44" i="189"/>
  <c r="N52" i="189" a="1"/>
  <c r="N52" i="189" s="1"/>
  <c r="N46" i="189"/>
  <c r="N45" i="189"/>
  <c r="N42" i="189"/>
  <c r="N54" i="189" a="1"/>
  <c r="N54" i="189" s="1"/>
  <c r="T44" i="189"/>
  <c r="Z45" i="22"/>
  <c r="U64" i="190"/>
  <c r="U59" i="190"/>
  <c r="U65" i="190"/>
  <c r="U61" i="190"/>
  <c r="U60" i="190"/>
  <c r="Z41" i="22"/>
  <c r="AD12" i="189"/>
  <c r="AD11" i="189"/>
  <c r="Z40" i="22"/>
  <c r="Z39" i="22"/>
  <c r="AD10" i="189"/>
  <c r="U63" i="190"/>
  <c r="Z43" i="22"/>
  <c r="U62" i="190"/>
  <c r="AD13" i="189"/>
  <c r="Z42" i="22"/>
  <c r="AA42" i="22"/>
  <c r="T34" i="2" l="1"/>
  <c r="L45" i="834"/>
  <c r="M45" i="834"/>
  <c r="N71" i="2"/>
  <c r="Q20" i="829"/>
  <c r="Y90" i="840" s="1"/>
  <c r="Q69" i="2"/>
  <c r="Q11" i="863"/>
  <c r="Q75" i="826"/>
  <c r="Y32" i="840"/>
  <c r="P22" i="825"/>
  <c r="Y55" i="840"/>
  <c r="Y63" i="840" s="1"/>
  <c r="T23" i="2"/>
  <c r="D49" i="854" s="1"/>
  <c r="Q90" i="826"/>
  <c r="R88" i="826"/>
  <c r="R89" i="826"/>
  <c r="R87" i="826"/>
  <c r="R86" i="826"/>
  <c r="R81" i="826"/>
  <c r="R82" i="826"/>
  <c r="R78" i="826"/>
  <c r="R85" i="826"/>
  <c r="R83" i="826"/>
  <c r="R84" i="826"/>
  <c r="R79" i="826"/>
  <c r="R80" i="826"/>
  <c r="O54" i="2"/>
  <c r="O70" i="2"/>
  <c r="N31" i="825" s="1"/>
  <c r="Z46" i="840"/>
  <c r="Z45" i="840"/>
  <c r="Z43" i="840"/>
  <c r="Z47" i="840"/>
  <c r="Z39" i="840"/>
  <c r="Z38" i="840"/>
  <c r="Z37" i="840"/>
  <c r="Z44" i="840"/>
  <c r="Z42" i="840"/>
  <c r="Z36" i="840"/>
  <c r="Z40" i="840"/>
  <c r="Z41" i="840"/>
  <c r="R67" i="2"/>
  <c r="Z51" i="840"/>
  <c r="Y48" i="840"/>
  <c r="O12" i="829"/>
  <c r="O31" i="829" s="1"/>
  <c r="W100" i="840" s="1"/>
  <c r="P52" i="2"/>
  <c r="P13" i="829"/>
  <c r="P28" i="829" s="1"/>
  <c r="X97" i="840" s="1"/>
  <c r="Q26" i="829"/>
  <c r="Y95" i="840" s="1"/>
  <c r="N31" i="829"/>
  <c r="V100" i="840" s="1"/>
  <c r="N29" i="829"/>
  <c r="V98" i="840" s="1"/>
  <c r="N23" i="829"/>
  <c r="V93" i="840" s="1"/>
  <c r="H34" i="849"/>
  <c r="I34" i="849" s="1"/>
  <c r="T38" i="2"/>
  <c r="R74" i="826"/>
  <c r="T69" i="826"/>
  <c r="P29" i="825"/>
  <c r="Q75" i="2"/>
  <c r="H9" i="849" s="1"/>
  <c r="H8" i="849"/>
  <c r="I8" i="849" s="1"/>
  <c r="V9" i="190"/>
  <c r="V10" i="190"/>
  <c r="V8" i="190"/>
  <c r="G69" i="92" a="1"/>
  <c r="G69" i="92" s="1"/>
  <c r="G68" i="92" a="1"/>
  <c r="G68" i="92" s="1"/>
  <c r="G71" i="92" a="1"/>
  <c r="G71" i="92" s="1"/>
  <c r="G75" i="92" s="1"/>
  <c r="G70" i="92"/>
  <c r="X66" i="840"/>
  <c r="O30" i="825"/>
  <c r="Q22" i="829"/>
  <c r="Y92" i="840" s="1"/>
  <c r="Q19" i="829"/>
  <c r="Y89" i="840" s="1"/>
  <c r="Q21" i="829"/>
  <c r="Y91" i="840" s="1"/>
  <c r="R73" i="826"/>
  <c r="T146" i="826"/>
  <c r="Q21" i="825"/>
  <c r="R114" i="826"/>
  <c r="Z55" i="840" s="1"/>
  <c r="Z63" i="840" s="1"/>
  <c r="R10" i="829"/>
  <c r="R27" i="829" s="1"/>
  <c r="Z96" i="840" s="1"/>
  <c r="P23" i="825"/>
  <c r="Q43" i="2"/>
  <c r="Q155" i="826"/>
  <c r="G62" i="92"/>
  <c r="C175" i="827"/>
  <c r="C243" i="827" s="1"/>
  <c r="C277" i="827" s="1"/>
  <c r="C209" i="827"/>
  <c r="C41" i="827"/>
  <c r="C142" i="827"/>
  <c r="W54" i="189" a="1"/>
  <c r="W54" i="189" s="1"/>
  <c r="AK22" i="22"/>
  <c r="AK30" i="22" a="1"/>
  <c r="AK30" i="22" s="1"/>
  <c r="AG43" i="587"/>
  <c r="AK28" i="22" a="1"/>
  <c r="AK28" i="22" s="1"/>
  <c r="AK33" i="22" a="1"/>
  <c r="AK33" i="22" s="1"/>
  <c r="R45" i="189"/>
  <c r="AK31" i="22" a="1"/>
  <c r="AK31" i="22" s="1"/>
  <c r="AK20" i="22"/>
  <c r="AK21" i="22"/>
  <c r="AK29" i="22" a="1"/>
  <c r="AK29" i="22" s="1"/>
  <c r="AG45" i="587"/>
  <c r="AK23" i="22"/>
  <c r="AK24" i="22"/>
  <c r="AK32" i="22" a="1"/>
  <c r="AK32" i="22" s="1"/>
  <c r="AI29" i="22" a="1"/>
  <c r="AI29" i="22" s="1"/>
  <c r="AI32" i="22" a="1"/>
  <c r="AI32" i="22" s="1"/>
  <c r="AI21" i="22"/>
  <c r="AF21" i="22"/>
  <c r="AI31" i="22" a="1"/>
  <c r="AI31" i="22" s="1"/>
  <c r="AJ33" i="22" a="1"/>
  <c r="AJ33" i="22" s="1"/>
  <c r="AI30" i="22" a="1"/>
  <c r="AI30" i="22" s="1"/>
  <c r="AJ32" i="22" a="1"/>
  <c r="AJ32" i="22" s="1"/>
  <c r="AJ25" i="22"/>
  <c r="AI28" i="22" a="1"/>
  <c r="AI28" i="22" s="1"/>
  <c r="AJ28" i="22" a="1"/>
  <c r="AJ28" i="22" s="1"/>
  <c r="AJ24" i="22"/>
  <c r="AI23" i="22"/>
  <c r="AJ20" i="22"/>
  <c r="AJ23" i="22"/>
  <c r="AI33" i="22" a="1"/>
  <c r="AI33" i="22" s="1"/>
  <c r="AI20" i="22"/>
  <c r="AJ21" i="22"/>
  <c r="AJ22" i="22"/>
  <c r="AJ31" i="22" a="1"/>
  <c r="AJ31" i="22" s="1"/>
  <c r="AJ30" i="22" a="1"/>
  <c r="AJ30" i="22" s="1"/>
  <c r="AI24" i="22"/>
  <c r="AI25" i="22"/>
  <c r="AG23" i="22"/>
  <c r="AG22" i="22"/>
  <c r="AG24" i="22"/>
  <c r="AG20" i="22"/>
  <c r="AG25" i="22"/>
  <c r="AG32" i="22" a="1"/>
  <c r="AG32" i="22" s="1"/>
  <c r="AG21" i="22"/>
  <c r="AG29" i="22" a="1"/>
  <c r="AG29" i="22" s="1"/>
  <c r="AG31" i="22" a="1"/>
  <c r="AG31" i="22" s="1"/>
  <c r="AG33" i="22" a="1"/>
  <c r="AG33" i="22" s="1"/>
  <c r="AG28" i="22" a="1"/>
  <c r="AG28" i="22" s="1"/>
  <c r="AG30" i="22" a="1"/>
  <c r="AG30" i="22" s="1"/>
  <c r="AF28" i="22" a="1"/>
  <c r="AF28" i="22" s="1"/>
  <c r="AF23" i="22"/>
  <c r="Z25" i="22"/>
  <c r="Z33" i="22" a="1"/>
  <c r="Z33" i="22" s="1"/>
  <c r="Z32" i="22" a="1"/>
  <c r="Z32" i="22" s="1"/>
  <c r="Z31" i="22" a="1"/>
  <c r="Z31" i="22" s="1"/>
  <c r="Z24" i="22"/>
  <c r="Z23" i="22"/>
  <c r="Z21" i="22"/>
  <c r="Z30" i="22" a="1"/>
  <c r="Z30" i="22" s="1"/>
  <c r="Z22" i="22"/>
  <c r="Z20" i="22"/>
  <c r="Z29" i="22" a="1"/>
  <c r="Z29" i="22" s="1"/>
  <c r="AD28" i="22" a="1"/>
  <c r="AD28" i="22" s="1"/>
  <c r="AD33" i="22" a="1"/>
  <c r="AD33" i="22" s="1"/>
  <c r="AD24" i="22"/>
  <c r="AD20" i="22"/>
  <c r="AD32" i="22" a="1"/>
  <c r="AD32" i="22" s="1"/>
  <c r="AD21" i="22"/>
  <c r="AD30" i="22" a="1"/>
  <c r="AD30" i="22" s="1"/>
  <c r="AD23" i="22"/>
  <c r="AD29" i="22" a="1"/>
  <c r="AD29" i="22" s="1"/>
  <c r="AD25" i="22"/>
  <c r="AD22" i="22"/>
  <c r="AD31" i="22" a="1"/>
  <c r="AD31" i="22" s="1"/>
  <c r="AC33" i="22" a="1"/>
  <c r="AC33" i="22" s="1"/>
  <c r="AC32" i="22" a="1"/>
  <c r="AC32" i="22" s="1"/>
  <c r="AC24" i="22"/>
  <c r="AC29" i="22" a="1"/>
  <c r="AC29" i="22" s="1"/>
  <c r="AC23" i="22"/>
  <c r="AC25" i="22"/>
  <c r="AC30" i="22" a="1"/>
  <c r="AC30" i="22" s="1"/>
  <c r="AC20" i="22"/>
  <c r="AC21" i="22"/>
  <c r="AC31" i="22" a="1"/>
  <c r="AC31" i="22" s="1"/>
  <c r="AC22" i="22"/>
  <c r="AC28" i="22" a="1"/>
  <c r="AC28" i="22" s="1"/>
  <c r="W31" i="22" a="1"/>
  <c r="W31" i="22" s="1"/>
  <c r="W33" i="22" a="1"/>
  <c r="W33" i="22" s="1"/>
  <c r="W32" i="22" a="1"/>
  <c r="W32" i="22" s="1"/>
  <c r="W25" i="22"/>
  <c r="W29" i="22" a="1"/>
  <c r="W29" i="22" s="1"/>
  <c r="W30" i="22" a="1"/>
  <c r="W30" i="22" s="1"/>
  <c r="W21" i="22"/>
  <c r="W22" i="22"/>
  <c r="W24" i="22"/>
  <c r="W23" i="22"/>
  <c r="AE40" i="22"/>
  <c r="AA30" i="22" a="1"/>
  <c r="AA30" i="22" s="1"/>
  <c r="AA28" i="22" a="1"/>
  <c r="AA28" i="22" s="1"/>
  <c r="AA25" i="22"/>
  <c r="AA23" i="22"/>
  <c r="AA32" i="22" a="1"/>
  <c r="AA32" i="22" s="1"/>
  <c r="AA31" i="22" a="1"/>
  <c r="AA31" i="22" s="1"/>
  <c r="AA20" i="22"/>
  <c r="AA29" i="22" a="1"/>
  <c r="AA29" i="22" s="1"/>
  <c r="AA21" i="22"/>
  <c r="AA24" i="22"/>
  <c r="AA22" i="22"/>
  <c r="AA33" i="22" a="1"/>
  <c r="AA33" i="22" s="1"/>
  <c r="AF33" i="22" a="1"/>
  <c r="AF33" i="22" s="1"/>
  <c r="AF29" i="22" a="1"/>
  <c r="AF29" i="22" s="1"/>
  <c r="AF30" i="22" a="1"/>
  <c r="AF30" i="22" s="1"/>
  <c r="AF22" i="22"/>
  <c r="X25" i="22"/>
  <c r="X22" i="22"/>
  <c r="X21" i="22"/>
  <c r="X28" i="22" a="1"/>
  <c r="X28" i="22" s="1"/>
  <c r="X30" i="22" a="1"/>
  <c r="X30" i="22" s="1"/>
  <c r="X29" i="22" a="1"/>
  <c r="X29" i="22" s="1"/>
  <c r="X24" i="22"/>
  <c r="X31" i="22" a="1"/>
  <c r="X31" i="22" s="1"/>
  <c r="X23" i="22"/>
  <c r="X33" i="22" a="1"/>
  <c r="X33" i="22" s="1"/>
  <c r="X32" i="22" a="1"/>
  <c r="X32" i="22" s="1"/>
  <c r="AF31" i="22" a="1"/>
  <c r="AF31" i="22" s="1"/>
  <c r="AF20" i="22"/>
  <c r="AF25" i="22"/>
  <c r="AF32" i="22" a="1"/>
  <c r="AF32" i="22" s="1"/>
  <c r="R52" i="189" a="1"/>
  <c r="R52" i="189" s="1"/>
  <c r="AG56" i="587" a="1"/>
  <c r="AG56" i="587" s="1"/>
  <c r="AG55" i="587" a="1"/>
  <c r="AG55" i="587" s="1"/>
  <c r="R47" i="189"/>
  <c r="AG54" i="587" a="1"/>
  <c r="AG54" i="587" s="1"/>
  <c r="AG44" i="587"/>
  <c r="R51" i="189" a="1"/>
  <c r="R51" i="189" s="1"/>
  <c r="AG46" i="587"/>
  <c r="R54" i="189" a="1"/>
  <c r="R54" i="189" s="1"/>
  <c r="AG48" i="587"/>
  <c r="R42" i="189"/>
  <c r="AG47" i="587"/>
  <c r="R44" i="189"/>
  <c r="AG52" i="587" a="1"/>
  <c r="AG52" i="587" s="1"/>
  <c r="AG53" i="587" a="1"/>
  <c r="AG53" i="587" s="1"/>
  <c r="R49" i="189" a="1"/>
  <c r="R49" i="189" s="1"/>
  <c r="R43" i="189"/>
  <c r="R50" i="189" a="1"/>
  <c r="R50" i="189" s="1"/>
  <c r="R46" i="189"/>
  <c r="W52" i="189" a="1"/>
  <c r="W52" i="189" s="1"/>
  <c r="W47" i="189"/>
  <c r="U54" i="189" a="1"/>
  <c r="U54" i="189" s="1"/>
  <c r="W46" i="189"/>
  <c r="W45" i="189"/>
  <c r="G65" i="92"/>
  <c r="G64" i="92"/>
  <c r="G63" i="92"/>
  <c r="J36" i="92"/>
  <c r="W49" i="189" a="1"/>
  <c r="W49" i="189" s="1"/>
  <c r="W44" i="189"/>
  <c r="W42" i="189"/>
  <c r="W43" i="189"/>
  <c r="J58" i="92"/>
  <c r="W50" i="189" a="1"/>
  <c r="W50" i="189" s="1"/>
  <c r="W51" i="189" a="1"/>
  <c r="W51" i="189" s="1"/>
  <c r="J37" i="92"/>
  <c r="AM45" i="587"/>
  <c r="AM51" i="587" a="1"/>
  <c r="AM51" i="587" s="1"/>
  <c r="S54" i="189" a="1"/>
  <c r="S54" i="189" s="1"/>
  <c r="S50" i="189" a="1"/>
  <c r="S50" i="189" s="1"/>
  <c r="S43" i="189"/>
  <c r="V45" i="189"/>
  <c r="AE10" i="189" s="1"/>
  <c r="V49" i="189" a="1"/>
  <c r="V49" i="189" s="1"/>
  <c r="V46" i="189"/>
  <c r="S49" i="189" a="1"/>
  <c r="S49" i="189" s="1"/>
  <c r="S53" i="189" a="1"/>
  <c r="S53" i="189" s="1"/>
  <c r="S52" i="189" a="1"/>
  <c r="S52" i="189" s="1"/>
  <c r="S45" i="189"/>
  <c r="S47" i="189"/>
  <c r="S51" i="189" a="1"/>
  <c r="S51" i="189" s="1"/>
  <c r="S46" i="189"/>
  <c r="S44" i="189"/>
  <c r="T54" i="189" a="1"/>
  <c r="T54" i="189" s="1"/>
  <c r="T46" i="189"/>
  <c r="AM46" i="587"/>
  <c r="AM56" i="587" a="1"/>
  <c r="AM56" i="587" s="1"/>
  <c r="AM47" i="587"/>
  <c r="AM54" i="587" a="1"/>
  <c r="AM54" i="587" s="1"/>
  <c r="AM48" i="587"/>
  <c r="AM44" i="587"/>
  <c r="AM43" i="587"/>
  <c r="AM55" i="587" a="1"/>
  <c r="AM55" i="587" s="1"/>
  <c r="AM53" i="587" a="1"/>
  <c r="AM53" i="587" s="1"/>
  <c r="V44" i="189"/>
  <c r="V50" i="189" a="1"/>
  <c r="V50" i="189" s="1"/>
  <c r="V51" i="189" a="1"/>
  <c r="V51" i="189" s="1"/>
  <c r="V42" i="189"/>
  <c r="V52" i="189" a="1"/>
  <c r="V52" i="189" s="1"/>
  <c r="V47" i="189"/>
  <c r="V54" i="189" a="1"/>
  <c r="V54" i="189" s="1"/>
  <c r="V53" i="189" a="1"/>
  <c r="V53" i="189" s="1"/>
  <c r="U49" i="189" a="1"/>
  <c r="U49" i="189" s="1"/>
  <c r="U46" i="189"/>
  <c r="U44" i="189"/>
  <c r="U45" i="189"/>
  <c r="U47" i="189"/>
  <c r="U42" i="189"/>
  <c r="U53" i="189" a="1"/>
  <c r="U53" i="189" s="1"/>
  <c r="U52" i="189" a="1"/>
  <c r="U52" i="189" s="1"/>
  <c r="U51" i="189" a="1"/>
  <c r="U51" i="189" s="1"/>
  <c r="U50" i="189" a="1"/>
  <c r="U50" i="189" s="1"/>
  <c r="T49" i="189" a="1"/>
  <c r="T49" i="189" s="1"/>
  <c r="T42" i="189"/>
  <c r="T52" i="189" a="1"/>
  <c r="T52" i="189" s="1"/>
  <c r="T50" i="189" a="1"/>
  <c r="T50" i="189" s="1"/>
  <c r="T53" i="189" a="1"/>
  <c r="T53" i="189" s="1"/>
  <c r="T51" i="189" a="1"/>
  <c r="T51" i="189" s="1"/>
  <c r="T43" i="189"/>
  <c r="T45" i="189"/>
  <c r="T47" i="189"/>
  <c r="P51" i="189" a="1"/>
  <c r="P51" i="189" s="1"/>
  <c r="P44" i="189"/>
  <c r="P43" i="189"/>
  <c r="P54" i="189" a="1"/>
  <c r="P54" i="189" s="1"/>
  <c r="P42" i="189"/>
  <c r="P50" i="189" a="1"/>
  <c r="P50" i="189" s="1"/>
  <c r="P53" i="189" a="1"/>
  <c r="P53" i="189" s="1"/>
  <c r="P45" i="189"/>
  <c r="P46" i="189"/>
  <c r="P52" i="189" a="1"/>
  <c r="P52" i="189" s="1"/>
  <c r="P49" i="189" a="1"/>
  <c r="P49" i="189" s="1"/>
  <c r="P47" i="189"/>
  <c r="AB66" i="22"/>
  <c r="Q44" i="189"/>
  <c r="Q46" i="189"/>
  <c r="Q47" i="189"/>
  <c r="Q49" i="189" a="1"/>
  <c r="Q49" i="189" s="1"/>
  <c r="Q54" i="189" a="1"/>
  <c r="Q54" i="189" s="1"/>
  <c r="Q51" i="189" a="1"/>
  <c r="Q51" i="189" s="1"/>
  <c r="Q53" i="189" a="1"/>
  <c r="Q53" i="189" s="1"/>
  <c r="Q45" i="189"/>
  <c r="Q52" i="189" a="1"/>
  <c r="Q52" i="189" s="1"/>
  <c r="Q43" i="189"/>
  <c r="K52" i="834" l="1"/>
  <c r="M52" i="834"/>
  <c r="E10" i="837" s="1"/>
  <c r="D54" i="844"/>
  <c r="D24" i="854" s="1"/>
  <c r="M51" i="834"/>
  <c r="K51" i="834"/>
  <c r="O71" i="2"/>
  <c r="E54" i="844"/>
  <c r="E60" i="844"/>
  <c r="E42" i="844"/>
  <c r="Z33" i="840"/>
  <c r="D54" i="854"/>
  <c r="R75" i="826"/>
  <c r="T75" i="826" s="1"/>
  <c r="Z32" i="840"/>
  <c r="D53" i="854"/>
  <c r="R90" i="826"/>
  <c r="F90" i="826" s="1"/>
  <c r="G90" i="826" s="1"/>
  <c r="R68" i="2"/>
  <c r="P70" i="2"/>
  <c r="O31" i="825" s="1"/>
  <c r="Z48" i="840"/>
  <c r="P54" i="2"/>
  <c r="P12" i="829"/>
  <c r="P23" i="829" s="1"/>
  <c r="X93" i="840" s="1"/>
  <c r="O23" i="829"/>
  <c r="W93" i="840" s="1"/>
  <c r="O29" i="829"/>
  <c r="W98" i="840" s="1"/>
  <c r="Q52" i="2"/>
  <c r="Q13" i="829"/>
  <c r="Q28" i="829" s="1"/>
  <c r="Y97" i="840" s="1"/>
  <c r="R11" i="829"/>
  <c r="R20" i="829" s="1"/>
  <c r="R40" i="2"/>
  <c r="T45" i="2"/>
  <c r="T148" i="826"/>
  <c r="T47" i="2"/>
  <c r="T150" i="826"/>
  <c r="T51" i="2"/>
  <c r="T154" i="826"/>
  <c r="T46" i="2"/>
  <c r="T149" i="826"/>
  <c r="T44" i="2"/>
  <c r="T147" i="826"/>
  <c r="Q22" i="825"/>
  <c r="Q23" i="825" s="1"/>
  <c r="T114" i="826"/>
  <c r="T73" i="826"/>
  <c r="H13" i="849"/>
  <c r="I13" i="849" s="1"/>
  <c r="T74" i="826"/>
  <c r="H14" i="849"/>
  <c r="I14" i="849" s="1"/>
  <c r="T50" i="2"/>
  <c r="T153" i="826"/>
  <c r="Q29" i="825"/>
  <c r="R75" i="2"/>
  <c r="D12" i="92"/>
  <c r="Y66" i="840"/>
  <c r="P30" i="825"/>
  <c r="R19" i="829"/>
  <c r="Z89" i="840" s="1"/>
  <c r="R21" i="829"/>
  <c r="Z91" i="840" s="1"/>
  <c r="R43" i="2"/>
  <c r="T43" i="2" s="1"/>
  <c r="R155" i="826"/>
  <c r="T155" i="826" s="1"/>
  <c r="C176" i="827"/>
  <c r="C244" i="827" s="1"/>
  <c r="C278" i="827" s="1"/>
  <c r="C210" i="827"/>
  <c r="C42" i="827"/>
  <c r="C143" i="827"/>
  <c r="AE9" i="189"/>
  <c r="AE11" i="189"/>
  <c r="F63" i="92"/>
  <c r="F65" i="92"/>
  <c r="F64" i="92"/>
  <c r="V60" i="190"/>
  <c r="V58" i="190"/>
  <c r="V59" i="190"/>
  <c r="AF56" i="587" a="1"/>
  <c r="AF56" i="587" s="1"/>
  <c r="AF47" i="587"/>
  <c r="AF48" i="587"/>
  <c r="AF45" i="587"/>
  <c r="AF53" i="587" a="1"/>
  <c r="AF53" i="587" s="1"/>
  <c r="AF43" i="587"/>
  <c r="AF55" i="587" a="1"/>
  <c r="AF55" i="587" s="1"/>
  <c r="AF52" i="587" a="1"/>
  <c r="AF52" i="587" s="1"/>
  <c r="AF51" i="587" a="1"/>
  <c r="AF51" i="587" s="1"/>
  <c r="AF44" i="587"/>
  <c r="AF46" i="587"/>
  <c r="AF54" i="587" a="1"/>
  <c r="AF54" i="587" s="1"/>
  <c r="AL56" i="587" a="1"/>
  <c r="AL56" i="587" s="1"/>
  <c r="AL47" i="587"/>
  <c r="AL44" i="587"/>
  <c r="AL43" i="587"/>
  <c r="AL48" i="587"/>
  <c r="AL54" i="587" a="1"/>
  <c r="AL54" i="587" s="1"/>
  <c r="AL46" i="587"/>
  <c r="AL52" i="587" a="1"/>
  <c r="AL52" i="587" s="1"/>
  <c r="AL51" i="587" a="1"/>
  <c r="AL51" i="587" s="1"/>
  <c r="AL45" i="587"/>
  <c r="AL53" i="587" a="1"/>
  <c r="AL53" i="587" s="1"/>
  <c r="AL55" i="587" a="1"/>
  <c r="AL55" i="587" s="1"/>
  <c r="AE47" i="587"/>
  <c r="AE51" i="587" a="1"/>
  <c r="AE51" i="587" s="1"/>
  <c r="AE56" i="587" a="1"/>
  <c r="AE56" i="587" s="1"/>
  <c r="AE44" i="587"/>
  <c r="AE55" i="587" a="1"/>
  <c r="AE55" i="587" s="1"/>
  <c r="AE46" i="587"/>
  <c r="AE48" i="587"/>
  <c r="AE45" i="587"/>
  <c r="AE43" i="587"/>
  <c r="AE53" i="587" a="1"/>
  <c r="AE53" i="587" s="1"/>
  <c r="AE54" i="587" a="1"/>
  <c r="AE54" i="587" s="1"/>
  <c r="AE52" i="587" a="1"/>
  <c r="AE52" i="587" s="1"/>
  <c r="AK52" i="587" a="1"/>
  <c r="AK52" i="587" s="1"/>
  <c r="AK43" i="587"/>
  <c r="AK54" i="587" a="1"/>
  <c r="AK54" i="587" s="1"/>
  <c r="AK47" i="587"/>
  <c r="AK45" i="587"/>
  <c r="AK56" i="587" a="1"/>
  <c r="AK56" i="587" s="1"/>
  <c r="AK51" i="587" a="1"/>
  <c r="AK51" i="587" s="1"/>
  <c r="AK48" i="587"/>
  <c r="AK53" i="587" a="1"/>
  <c r="AK53" i="587" s="1"/>
  <c r="AK44" i="587"/>
  <c r="AK55" i="587" a="1"/>
  <c r="AK55" i="587" s="1"/>
  <c r="AK46" i="587"/>
  <c r="L51" i="834" l="1"/>
  <c r="D10" i="837"/>
  <c r="L52" i="834"/>
  <c r="P71" i="2"/>
  <c r="D55" i="854"/>
  <c r="D56" i="854" s="1"/>
  <c r="T40" i="2"/>
  <c r="R11" i="863"/>
  <c r="D42" i="844"/>
  <c r="F42" i="844"/>
  <c r="D60" i="844"/>
  <c r="D62" i="844" s="1"/>
  <c r="F60" i="844"/>
  <c r="F62" i="844" s="1"/>
  <c r="E62" i="844"/>
  <c r="D44" i="854"/>
  <c r="D45" i="854"/>
  <c r="R13" i="829"/>
  <c r="R28" i="829" s="1"/>
  <c r="Z97" i="840" s="1"/>
  <c r="Q70" i="2"/>
  <c r="P31" i="825" s="1"/>
  <c r="R69" i="2"/>
  <c r="Z66" i="840" s="1"/>
  <c r="R26" i="829"/>
  <c r="Z95" i="840" s="1"/>
  <c r="Z90" i="840"/>
  <c r="P31" i="829"/>
  <c r="X100" i="840" s="1"/>
  <c r="P29" i="829"/>
  <c r="X98" i="840" s="1"/>
  <c r="Q12" i="829"/>
  <c r="Q29" i="829" s="1"/>
  <c r="Y98" i="840" s="1"/>
  <c r="Q54" i="2"/>
  <c r="R22" i="829"/>
  <c r="Z92" i="840" s="1"/>
  <c r="H20" i="849"/>
  <c r="I20" i="849" s="1"/>
  <c r="H17" i="849"/>
  <c r="I17" i="849" s="1"/>
  <c r="T21" i="829"/>
  <c r="R52" i="2"/>
  <c r="T52" i="2" s="1"/>
  <c r="D24" i="92"/>
  <c r="C177" i="827"/>
  <c r="C245" i="827" s="1"/>
  <c r="C279" i="827" s="1"/>
  <c r="C211" i="827"/>
  <c r="C43" i="827"/>
  <c r="C144" i="827"/>
  <c r="Q71" i="2" l="1"/>
  <c r="T28" i="829"/>
  <c r="I27" i="854"/>
  <c r="R54" i="2"/>
  <c r="R70" i="2"/>
  <c r="Q31" i="825" s="1"/>
  <c r="Q31" i="829"/>
  <c r="Y100" i="840" s="1"/>
  <c r="Q23" i="829"/>
  <c r="Y93" i="840" s="1"/>
  <c r="T22" i="829"/>
  <c r="T26" i="829"/>
  <c r="Q30" i="825"/>
  <c r="R12" i="829"/>
  <c r="E24" i="92"/>
  <c r="C178" i="827"/>
  <c r="C246" i="827" s="1"/>
  <c r="C280" i="827" s="1"/>
  <c r="C212" i="827"/>
  <c r="C44" i="827"/>
  <c r="C145" i="827"/>
  <c r="K46" i="834" l="1"/>
  <c r="D41" i="844"/>
  <c r="T54" i="2"/>
  <c r="R71" i="2"/>
  <c r="R31" i="829"/>
  <c r="Z100" i="840" s="1"/>
  <c r="R29" i="829"/>
  <c r="Z98" i="840" s="1"/>
  <c r="R23" i="829"/>
  <c r="Z93" i="840" s="1"/>
  <c r="C179" i="827"/>
  <c r="C247" i="827" s="1"/>
  <c r="C281" i="827" s="1"/>
  <c r="C213" i="827"/>
  <c r="C45" i="827"/>
  <c r="C146" i="827"/>
  <c r="L46" i="834" l="1"/>
  <c r="M46" i="834"/>
  <c r="T31" i="829"/>
  <c r="T29" i="829"/>
  <c r="T23" i="829"/>
  <c r="C180" i="827"/>
  <c r="C248" i="827" s="1"/>
  <c r="C282" i="827" s="1"/>
  <c r="C214" i="827"/>
  <c r="C46" i="827"/>
  <c r="C147" i="827"/>
  <c r="C181" i="827" l="1"/>
  <c r="C249" i="827" s="1"/>
  <c r="C283" i="827" s="1"/>
  <c r="C215" i="827"/>
  <c r="C47" i="827"/>
  <c r="C148" i="827"/>
  <c r="L32" i="22" l="1" a="1"/>
  <c r="L32" i="22" s="1"/>
  <c r="M31" i="22" a="1"/>
  <c r="M31" i="22" s="1"/>
  <c r="C182" i="827"/>
  <c r="C250" i="827" s="1"/>
  <c r="C284" i="827" s="1"/>
  <c r="C216" i="827"/>
  <c r="C48" i="827"/>
  <c r="C149" i="827"/>
  <c r="M28" i="22" l="1" a="1"/>
  <c r="M28" i="22" s="1"/>
  <c r="L28" i="22" a="1"/>
  <c r="L28" i="22" s="1"/>
  <c r="M33" i="22" a="1"/>
  <c r="M33" i="22" s="1"/>
  <c r="L23" i="22"/>
  <c r="L25" i="22"/>
  <c r="L22" i="22"/>
  <c r="L24" i="22"/>
  <c r="L20" i="22"/>
  <c r="L21" i="22"/>
  <c r="L29" i="22" a="1"/>
  <c r="L29" i="22" s="1"/>
  <c r="M24" i="22"/>
  <c r="M21" i="22"/>
  <c r="M25" i="22"/>
  <c r="M22" i="22"/>
  <c r="M20" i="22"/>
  <c r="M23" i="22"/>
  <c r="M32" i="22" a="1"/>
  <c r="M32" i="22" s="1"/>
  <c r="K22" i="22"/>
  <c r="K20" i="22"/>
  <c r="K24" i="22"/>
  <c r="K23" i="22"/>
  <c r="K21" i="22"/>
  <c r="K25" i="22"/>
  <c r="K28" i="22" a="1"/>
  <c r="K28" i="22" s="1"/>
  <c r="K29" i="22" a="1"/>
  <c r="K29" i="22" s="1"/>
  <c r="M29" i="22" a="1"/>
  <c r="M29" i="22" s="1"/>
  <c r="L33" i="22" a="1"/>
  <c r="L33" i="22" s="1"/>
  <c r="K31" i="22" a="1"/>
  <c r="K31" i="22" s="1"/>
  <c r="K32" i="22" a="1"/>
  <c r="K32" i="22" s="1"/>
  <c r="K33" i="22" a="1"/>
  <c r="K33" i="22" s="1"/>
  <c r="L31" i="22" a="1"/>
  <c r="L31" i="22" s="1"/>
  <c r="AM32" i="22" a="1"/>
  <c r="AM32" i="22" s="1"/>
  <c r="AL23" i="22"/>
  <c r="AO20" i="22"/>
  <c r="AO30" i="22" a="1"/>
  <c r="AO30" i="22" s="1"/>
  <c r="AQ23" i="22"/>
  <c r="AP21" i="22"/>
  <c r="AQ21" i="22"/>
  <c r="AP31" i="22" a="1"/>
  <c r="AP31" i="22" s="1"/>
  <c r="AP24" i="22"/>
  <c r="AP28" i="22" a="1"/>
  <c r="AP28" i="22" s="1"/>
  <c r="AP32" i="22" a="1"/>
  <c r="AP32" i="22" s="1"/>
  <c r="AP23" i="22"/>
  <c r="AO33" i="22" a="1"/>
  <c r="AO33" i="22" s="1"/>
  <c r="AQ29" i="22" a="1"/>
  <c r="AQ29" i="22" s="1"/>
  <c r="AQ31" i="22" a="1"/>
  <c r="AQ31" i="22" s="1"/>
  <c r="AQ33" i="22" a="1"/>
  <c r="AQ33" i="22" s="1"/>
  <c r="AQ30" i="22" a="1"/>
  <c r="AQ30" i="22" s="1"/>
  <c r="AQ28" i="22" a="1"/>
  <c r="AQ28" i="22" s="1"/>
  <c r="AQ24" i="22"/>
  <c r="AQ22" i="22"/>
  <c r="AQ20" i="22"/>
  <c r="AO32" i="22" a="1"/>
  <c r="AO32" i="22" s="1"/>
  <c r="AP22" i="22"/>
  <c r="AP29" i="22" a="1"/>
  <c r="AP29" i="22" s="1"/>
  <c r="AP33" i="22" a="1"/>
  <c r="AP33" i="22" s="1"/>
  <c r="AP25" i="22"/>
  <c r="AM30" i="22" a="1"/>
  <c r="AM30" i="22" s="1"/>
  <c r="AQ32" i="22" a="1"/>
  <c r="AQ32" i="22" s="1"/>
  <c r="AO21" i="22"/>
  <c r="AO29" i="22" a="1"/>
  <c r="AO29" i="22" s="1"/>
  <c r="AO31" i="22" a="1"/>
  <c r="AO31" i="22" s="1"/>
  <c r="AO25" i="22"/>
  <c r="AO28" i="22" a="1"/>
  <c r="AO28" i="22" s="1"/>
  <c r="AQ25" i="22"/>
  <c r="AL30" i="22" a="1"/>
  <c r="AL30" i="22" s="1"/>
  <c r="AO22" i="22"/>
  <c r="AO24" i="22"/>
  <c r="AO23" i="22"/>
  <c r="AP30" i="22" a="1"/>
  <c r="AP30" i="22" s="1"/>
  <c r="AP20" i="22"/>
  <c r="C183" i="827"/>
  <c r="C251" i="827" s="1"/>
  <c r="C285" i="827" s="1"/>
  <c r="C217" i="827"/>
  <c r="C49" i="827"/>
  <c r="C150" i="827"/>
  <c r="AL24" i="22" l="1"/>
  <c r="AL25" i="22"/>
  <c r="AL20" i="22"/>
  <c r="AL22" i="22"/>
  <c r="AL21" i="22"/>
  <c r="AL31" i="22" a="1"/>
  <c r="AL31" i="22" s="1"/>
  <c r="AL28" i="22" a="1"/>
  <c r="AL28" i="22" s="1"/>
  <c r="AL32" i="22" a="1"/>
  <c r="AL32" i="22" s="1"/>
  <c r="AM20" i="22"/>
  <c r="AM24" i="22"/>
  <c r="AM28" i="22" a="1"/>
  <c r="AM28" i="22" s="1"/>
  <c r="AM25" i="22"/>
  <c r="AM23" i="22"/>
  <c r="AM33" i="22" a="1"/>
  <c r="AM33" i="22" s="1"/>
  <c r="AM31" i="22" a="1"/>
  <c r="AM31" i="22" s="1"/>
  <c r="AL33" i="22" a="1"/>
  <c r="AL33" i="22" s="1"/>
  <c r="AL29" i="22" a="1"/>
  <c r="AL29" i="22" s="1"/>
  <c r="AM21" i="22"/>
  <c r="AM29" i="22" a="1"/>
  <c r="AM29" i="22" s="1"/>
  <c r="AM22" i="22"/>
  <c r="C184" i="827"/>
  <c r="C252" i="827" s="1"/>
  <c r="C286" i="827" s="1"/>
  <c r="C218" i="827"/>
  <c r="C50" i="827"/>
  <c r="C151" i="827"/>
  <c r="C185" i="827" l="1"/>
  <c r="C253" i="827" s="1"/>
  <c r="C287" i="827" s="1"/>
  <c r="C219" i="827"/>
  <c r="C51" i="827"/>
  <c r="C153" i="827" s="1"/>
  <c r="C152" i="827"/>
  <c r="C186" i="827" l="1"/>
  <c r="C254" i="827" s="1"/>
  <c r="C288" i="827" s="1"/>
  <c r="C220" i="827"/>
  <c r="C187" i="827"/>
  <c r="C255" i="827" s="1"/>
  <c r="C289" i="827" s="1"/>
  <c r="C221" i="827"/>
  <c r="AR29" i="22" l="1" a="1"/>
  <c r="AR29" i="22" s="1"/>
  <c r="AR31" i="22" a="1"/>
  <c r="AR31" i="22" s="1"/>
  <c r="AR33" i="22" a="1"/>
  <c r="AR33" i="22" s="1"/>
  <c r="AR28" i="22" a="1"/>
  <c r="AR28" i="22" s="1"/>
  <c r="AR21" i="22" l="1"/>
  <c r="AR30" i="22" a="1"/>
  <c r="AR30" i="22" s="1"/>
  <c r="AR20" i="22"/>
  <c r="AR22" i="22"/>
  <c r="AR25" i="22"/>
  <c r="AR24" i="22"/>
  <c r="AR23" i="22"/>
  <c r="AR32" i="22" a="1"/>
  <c r="AR32" i="22" s="1"/>
  <c r="J33" i="92" l="1"/>
  <c r="J32" i="92"/>
  <c r="J30" i="92" l="1"/>
  <c r="J35" i="92"/>
  <c r="J34" i="92" l="1"/>
  <c r="J71" i="92" s="1" a="1"/>
  <c r="J71" i="92" s="1"/>
  <c r="I65" i="92"/>
  <c r="I62" i="92"/>
  <c r="I64" i="92"/>
  <c r="I63" i="92"/>
  <c r="J69" i="92" l="1" a="1"/>
  <c r="J69" i="92" s="1"/>
  <c r="J70" i="92"/>
  <c r="J68" i="92" a="1"/>
  <c r="J68" i="92" s="1"/>
  <c r="J64" i="92"/>
  <c r="J65" i="92"/>
  <c r="G74" i="92"/>
  <c r="J62" i="92"/>
  <c r="J63" i="92"/>
  <c r="G77" i="92" l="1"/>
  <c r="D19" i="92" s="1"/>
  <c r="E19" i="92" l="1"/>
  <c r="E23" i="92" s="1"/>
  <c r="E25" i="92" s="1"/>
  <c r="D23" i="92"/>
  <c r="D25" i="92" s="1"/>
  <c r="O110" i="829"/>
  <c r="O111" i="829"/>
  <c r="P112" i="829"/>
  <c r="Q113" i="829"/>
  <c r="R113" i="829" s="1"/>
  <c r="T113" i="829" s="1"/>
  <c r="R114" i="829"/>
  <c r="T114" i="829" s="1"/>
  <c r="L115" i="829"/>
  <c r="L92" i="829" s="1"/>
  <c r="E253" i="847" l="1"/>
  <c r="K19" i="834" s="1"/>
  <c r="P19" i="834" s="1"/>
  <c r="K20" i="834"/>
  <c r="N20" i="834" s="1"/>
  <c r="H60" i="834"/>
  <c r="G60" i="834" s="1"/>
  <c r="F60" i="834" s="1"/>
  <c r="L116" i="829"/>
  <c r="L78" i="829" s="1"/>
  <c r="P111" i="829"/>
  <c r="Q111" i="829" s="1"/>
  <c r="R111" i="829" s="1"/>
  <c r="T111" i="829" s="1"/>
  <c r="Q112" i="829"/>
  <c r="R112" i="829" s="1"/>
  <c r="T112" i="829" s="1"/>
  <c r="P110" i="829"/>
  <c r="M20" i="834" l="1"/>
  <c r="O20" i="834"/>
  <c r="Q19" i="834"/>
  <c r="M29" i="834" s="1"/>
  <c r="Q20" i="834"/>
  <c r="L29" i="834" s="1"/>
  <c r="O19" i="834"/>
  <c r="P20" i="834"/>
  <c r="N19" i="834"/>
  <c r="M19" i="834"/>
  <c r="L20" i="834"/>
  <c r="D35" i="844"/>
  <c r="F35" i="844"/>
  <c r="L19" i="834"/>
  <c r="I60" i="834"/>
  <c r="J60" i="834" s="1"/>
  <c r="L117" i="829"/>
  <c r="L85" i="829" s="1"/>
  <c r="Q110" i="829"/>
  <c r="R110" i="829" s="1"/>
  <c r="T110" i="829" s="1"/>
  <c r="E35" i="844" l="1"/>
  <c r="N131" i="829"/>
  <c r="O132" i="829"/>
  <c r="P132" i="829" s="1"/>
  <c r="P133" i="829"/>
  <c r="Q133" i="829" s="1"/>
  <c r="Q134" i="829"/>
  <c r="R134" i="829" s="1"/>
  <c r="T134" i="829" s="1"/>
  <c r="R135" i="829"/>
  <c r="T135" i="829" s="1"/>
  <c r="L93" i="829"/>
  <c r="L137" i="829"/>
  <c r="L138" i="829" s="1"/>
  <c r="L86" i="829" s="1"/>
  <c r="R133" i="829" l="1"/>
  <c r="T133" i="829" s="1"/>
  <c r="Q132" i="829"/>
  <c r="R132" i="829" s="1"/>
  <c r="T132" i="829" s="1"/>
  <c r="O131" i="829"/>
  <c r="P131" i="829" s="1"/>
  <c r="Q131" i="829" s="1"/>
  <c r="R131" i="829" s="1"/>
  <c r="T131" i="829" s="1"/>
  <c r="L79" i="829"/>
  <c r="N152" i="829" l="1"/>
  <c r="O152" i="829" s="1"/>
  <c r="O153" i="829"/>
  <c r="P154" i="829"/>
  <c r="Q154" i="829" s="1"/>
  <c r="R154" i="829" s="1"/>
  <c r="T154" i="829" s="1"/>
  <c r="Q155" i="829"/>
  <c r="R155" i="829" s="1"/>
  <c r="T155" i="829" s="1"/>
  <c r="R156" i="829"/>
  <c r="T156" i="829" s="1"/>
  <c r="L94" i="829"/>
  <c r="L158" i="829"/>
  <c r="L80" i="829" s="1"/>
  <c r="P153" i="829" l="1"/>
  <c r="Q153" i="829" s="1"/>
  <c r="L159" i="829"/>
  <c r="L87" i="829" s="1"/>
  <c r="P152" i="829"/>
  <c r="Q152" i="829" s="1"/>
  <c r="R153" i="829" l="1"/>
  <c r="T153" i="829" s="1"/>
  <c r="R152" i="829"/>
  <c r="T152" i="829" s="1"/>
  <c r="N173" i="829"/>
  <c r="O173" i="829" s="1"/>
  <c r="O174" i="829"/>
  <c r="P175" i="829"/>
  <c r="Q175" i="829" s="1"/>
  <c r="Q176" i="829"/>
  <c r="R176" i="829" s="1"/>
  <c r="T176" i="829" s="1"/>
  <c r="R177" i="829"/>
  <c r="T177" i="829" s="1"/>
  <c r="L95" i="829"/>
  <c r="L96" i="829" s="1"/>
  <c r="L62" i="829" s="1"/>
  <c r="L56" i="2" l="1"/>
  <c r="L13" i="834" s="1"/>
  <c r="P173" i="829"/>
  <c r="Q173" i="829" s="1"/>
  <c r="R173" i="829" s="1"/>
  <c r="T173" i="829" s="1"/>
  <c r="P174" i="829"/>
  <c r="R175" i="829"/>
  <c r="T175" i="829" s="1"/>
  <c r="L179" i="829"/>
  <c r="L72" i="2" l="1"/>
  <c r="K33" i="825" s="1"/>
  <c r="L11" i="835"/>
  <c r="Q174" i="829"/>
  <c r="R174" i="829" s="1"/>
  <c r="T174" i="829" s="1"/>
  <c r="L180" i="829"/>
  <c r="L88" i="829" s="1"/>
  <c r="L89" i="829" s="1"/>
  <c r="L81" i="829"/>
  <c r="L82" i="829" s="1"/>
  <c r="L59" i="829" s="1"/>
  <c r="L172" i="826" l="1"/>
  <c r="U172" i="826" s="1"/>
  <c r="L173" i="826"/>
  <c r="U173" i="826" s="1"/>
  <c r="T173" i="826"/>
  <c r="M174" i="826"/>
  <c r="M59" i="2" s="1"/>
  <c r="L174" i="826" l="1"/>
  <c r="O174" i="826"/>
  <c r="O59" i="2" s="1"/>
  <c r="N174" i="826"/>
  <c r="N59" i="2" s="1"/>
  <c r="L59" i="2" l="1"/>
  <c r="U174" i="826"/>
  <c r="P174" i="826"/>
  <c r="P59" i="2" s="1"/>
  <c r="U59" i="2" l="1"/>
  <c r="U67" i="840"/>
  <c r="L32" i="825"/>
  <c r="Q174" i="826"/>
  <c r="Q59" i="2" s="1"/>
  <c r="N32" i="825"/>
  <c r="W67" i="840"/>
  <c r="D59" i="844"/>
  <c r="D63" i="844" s="1"/>
  <c r="D55" i="844"/>
  <c r="P10" i="840" s="1"/>
  <c r="M32" i="825"/>
  <c r="V67" i="840"/>
  <c r="F51" i="844" l="1"/>
  <c r="F55" i="844" s="1"/>
  <c r="R10" i="840" s="1"/>
  <c r="Q10" i="840" s="1"/>
  <c r="E55" i="844"/>
  <c r="D23" i="844"/>
  <c r="D56" i="844"/>
  <c r="T172" i="826"/>
  <c r="R174" i="826"/>
  <c r="E59" i="844"/>
  <c r="E63" i="844" s="1"/>
  <c r="F59" i="844"/>
  <c r="F63" i="844" s="1"/>
  <c r="R11" i="840" s="1"/>
  <c r="P11" i="840"/>
  <c r="Q11" i="840" l="1"/>
  <c r="D24" i="844"/>
  <c r="D64" i="844"/>
  <c r="O32" i="825"/>
  <c r="X67" i="840"/>
  <c r="F64" i="844"/>
  <c r="F24" i="844"/>
  <c r="F56" i="844"/>
  <c r="F23" i="844"/>
  <c r="E64" i="844"/>
  <c r="E24" i="844"/>
  <c r="R59" i="2"/>
  <c r="T59" i="2" s="1"/>
  <c r="T174" i="826"/>
  <c r="P32" i="825"/>
  <c r="Y67" i="840"/>
  <c r="E23" i="844"/>
  <c r="E56" i="844"/>
  <c r="H28" i="849" l="1"/>
  <c r="I28" i="849" s="1"/>
  <c r="Z67" i="840" l="1"/>
  <c r="H30" i="849" l="1"/>
  <c r="D43" i="844"/>
  <c r="E41" i="844"/>
  <c r="Q32" i="825"/>
  <c r="L117" i="826"/>
  <c r="U117" i="826" s="1"/>
  <c r="U131" i="826"/>
  <c r="L118" i="826"/>
  <c r="U118" i="826" s="1"/>
  <c r="L119" i="826"/>
  <c r="U119" i="826" s="1"/>
  <c r="L120" i="826"/>
  <c r="U120" i="826" s="1"/>
  <c r="L121" i="826"/>
  <c r="L102" i="826" s="1"/>
  <c r="L30" i="2" s="1"/>
  <c r="L122" i="826"/>
  <c r="L103" i="826" s="1"/>
  <c r="L123" i="826"/>
  <c r="L104" i="826" s="1"/>
  <c r="L32" i="2" s="1"/>
  <c r="L124" i="826"/>
  <c r="U124" i="826" s="1"/>
  <c r="L125" i="826"/>
  <c r="L126" i="826"/>
  <c r="L127" i="826"/>
  <c r="L128" i="826"/>
  <c r="U132" i="826"/>
  <c r="U133" i="826"/>
  <c r="U134" i="826"/>
  <c r="U135" i="826"/>
  <c r="U136" i="826"/>
  <c r="U137" i="826"/>
  <c r="U138" i="826"/>
  <c r="U139" i="826"/>
  <c r="U140" i="826"/>
  <c r="U141" i="826"/>
  <c r="U142" i="826"/>
  <c r="D44" i="844" l="1"/>
  <c r="D21" i="844"/>
  <c r="L31" i="2"/>
  <c r="U31" i="2" s="1"/>
  <c r="U127" i="826"/>
  <c r="L111" i="826"/>
  <c r="L36" i="2" s="1"/>
  <c r="U126" i="826"/>
  <c r="L110" i="826"/>
  <c r="L35" i="2" s="1"/>
  <c r="U128" i="826"/>
  <c r="L112" i="826"/>
  <c r="L37" i="2" s="1"/>
  <c r="U125" i="826"/>
  <c r="L109" i="826"/>
  <c r="L34" i="2" s="1"/>
  <c r="E43" i="844"/>
  <c r="F41" i="844"/>
  <c r="F43" i="844" s="1"/>
  <c r="U123" i="826"/>
  <c r="U122" i="826"/>
  <c r="L105" i="826"/>
  <c r="U121" i="826"/>
  <c r="U103" i="826"/>
  <c r="U32" i="2"/>
  <c r="U104" i="826"/>
  <c r="U102" i="826"/>
  <c r="E44" i="844" l="1"/>
  <c r="E21" i="844"/>
  <c r="F44" i="844"/>
  <c r="F21" i="844"/>
  <c r="L33" i="2"/>
  <c r="L38" i="2" s="1"/>
  <c r="L40" i="2" s="1"/>
  <c r="U37" i="2"/>
  <c r="U112" i="826"/>
  <c r="U36" i="2"/>
  <c r="U111" i="826"/>
  <c r="U34" i="2"/>
  <c r="L113" i="826"/>
  <c r="U113" i="826" s="1"/>
  <c r="U109" i="826"/>
  <c r="U35" i="2"/>
  <c r="U110" i="826"/>
  <c r="U105" i="826"/>
  <c r="L106" i="826"/>
  <c r="U106" i="826" s="1"/>
  <c r="U30" i="2"/>
  <c r="U33" i="2" l="1"/>
  <c r="L68" i="2"/>
  <c r="L114" i="826"/>
  <c r="T55" i="840" s="1"/>
  <c r="T63" i="840" s="1"/>
  <c r="L69" i="2" l="1"/>
  <c r="U38" i="2"/>
  <c r="L11" i="829"/>
  <c r="L11" i="863"/>
  <c r="U114" i="826"/>
  <c r="K22" i="825"/>
  <c r="K23" i="825" s="1"/>
  <c r="U40" i="2"/>
  <c r="L26" i="829" l="1"/>
  <c r="T95" i="840" s="1"/>
  <c r="L22" i="829"/>
  <c r="T92" i="840" s="1"/>
  <c r="L20" i="829"/>
  <c r="T90" i="840" s="1"/>
  <c r="L54" i="2"/>
  <c r="T66" i="840"/>
  <c r="K30" i="825"/>
  <c r="U54" i="2" l="1"/>
  <c r="L57" i="2"/>
  <c r="L60" i="2" s="1"/>
  <c r="L71" i="2"/>
  <c r="T67" i="840" s="1"/>
  <c r="K32" i="825" l="1"/>
  <c r="L10" i="835"/>
  <c r="L10" i="834"/>
  <c r="L186" i="826"/>
  <c r="L187" i="826" s="1"/>
  <c r="L188" i="826" s="1"/>
  <c r="L62" i="2" s="1"/>
  <c r="L11" i="834" s="1"/>
  <c r="L12" i="834" l="1"/>
  <c r="L63" i="2"/>
  <c r="L73" i="2" s="1"/>
  <c r="L14" i="835"/>
  <c r="L18" i="835" s="1"/>
  <c r="L14" i="829"/>
  <c r="L30" i="829" s="1"/>
  <c r="T99" i="840" l="1"/>
  <c r="T101" i="840" s="1"/>
  <c r="T102" i="840" s="1"/>
  <c r="L32" i="829"/>
  <c r="T68" i="840"/>
  <c r="K34" i="825"/>
  <c r="L33" i="829" l="1"/>
  <c r="L21" i="835" s="1"/>
  <c r="L22" i="835" s="1"/>
  <c r="L24" i="835" s="1"/>
  <c r="L41" i="835" s="1"/>
  <c r="L43" i="835" s="1"/>
  <c r="M42" i="835" s="1"/>
  <c r="L34" i="829"/>
  <c r="L72" i="863"/>
  <c r="M72" i="863"/>
  <c r="F73" i="863" s="1"/>
  <c r="N72" i="863"/>
  <c r="O72" i="863"/>
  <c r="F72" i="863" l="1"/>
  <c r="G73" i="863"/>
  <c r="G72" i="863" s="1"/>
  <c r="E72" i="863" l="1"/>
  <c r="N109" i="829"/>
  <c r="O109" i="829" s="1"/>
  <c r="M115" i="829"/>
  <c r="M92" i="829" s="1"/>
  <c r="M116" i="829" l="1"/>
  <c r="N107" i="829" s="1"/>
  <c r="M117" i="829"/>
  <c r="M85" i="829" s="1"/>
  <c r="O115" i="829"/>
  <c r="O92" i="829" s="1"/>
  <c r="P109" i="829"/>
  <c r="P115" i="829" s="1"/>
  <c r="P92" i="829" s="1"/>
  <c r="M78" i="829"/>
  <c r="N115" i="829"/>
  <c r="N92" i="829" s="1"/>
  <c r="Q109" i="829" l="1"/>
  <c r="Q115" i="829" s="1"/>
  <c r="Q92" i="829" s="1"/>
  <c r="R109" i="829"/>
  <c r="N116" i="829"/>
  <c r="R115" i="829" l="1"/>
  <c r="T109" i="829"/>
  <c r="N78" i="829"/>
  <c r="O107" i="829"/>
  <c r="O116" i="829" s="1"/>
  <c r="N117" i="829"/>
  <c r="N85" i="829" s="1"/>
  <c r="O117" i="829" l="1"/>
  <c r="O85" i="829" s="1"/>
  <c r="O78" i="829"/>
  <c r="P107" i="829"/>
  <c r="P116" i="829" s="1"/>
  <c r="R92" i="829"/>
  <c r="T115" i="829"/>
  <c r="P117" i="829" l="1"/>
  <c r="P85" i="829" s="1"/>
  <c r="P78" i="829"/>
  <c r="Q107" i="829"/>
  <c r="Q116" i="829" s="1"/>
  <c r="T92" i="829"/>
  <c r="R107" i="829" l="1"/>
  <c r="Q117" i="829"/>
  <c r="Q85" i="829" s="1"/>
  <c r="Q78" i="829"/>
  <c r="R116" i="829" l="1"/>
  <c r="T107" i="829"/>
  <c r="R78" i="829" l="1"/>
  <c r="T116" i="829"/>
  <c r="R117" i="829"/>
  <c r="T117" i="829" l="1"/>
  <c r="R85" i="829"/>
  <c r="T78" i="829"/>
  <c r="T85" i="829" l="1"/>
  <c r="N130" i="829"/>
  <c r="M136" i="829"/>
  <c r="M93" i="829" s="1"/>
  <c r="M137" i="829" l="1"/>
  <c r="M79" i="829" s="1"/>
  <c r="N136" i="829"/>
  <c r="N93" i="829" s="1"/>
  <c r="O130" i="829"/>
  <c r="P130" i="829" s="1"/>
  <c r="N128" i="829" l="1"/>
  <c r="M138" i="829"/>
  <c r="M86" i="829" s="1"/>
  <c r="N137" i="829"/>
  <c r="N79" i="829" s="1"/>
  <c r="P136" i="829"/>
  <c r="P93" i="829" s="1"/>
  <c r="Q130" i="829"/>
  <c r="Q136" i="829" s="1"/>
  <c r="Q93" i="829" s="1"/>
  <c r="O136" i="829"/>
  <c r="O93" i="829" s="1"/>
  <c r="N138" i="829" l="1"/>
  <c r="N86" i="829" s="1"/>
  <c r="O128" i="829"/>
  <c r="O137" i="829" s="1"/>
  <c r="O79" i="829" s="1"/>
  <c r="R130" i="829"/>
  <c r="R136" i="829" s="1"/>
  <c r="P128" i="829" l="1"/>
  <c r="P137" i="829" s="1"/>
  <c r="P138" i="829" s="1"/>
  <c r="P86" i="829" s="1"/>
  <c r="O138" i="829"/>
  <c r="O86" i="829" s="1"/>
  <c r="T130" i="829"/>
  <c r="Q128" i="829"/>
  <c r="Q137" i="829" s="1"/>
  <c r="R93" i="829"/>
  <c r="T136" i="829"/>
  <c r="P79" i="829" l="1"/>
  <c r="T93" i="829"/>
  <c r="Q79" i="829"/>
  <c r="R128" i="829"/>
  <c r="Q138" i="829"/>
  <c r="Q86" i="829" s="1"/>
  <c r="T128" i="829" l="1"/>
  <c r="R137" i="829"/>
  <c r="R79" i="829" l="1"/>
  <c r="T137" i="829"/>
  <c r="R138" i="829"/>
  <c r="R86" i="829" l="1"/>
  <c r="T138" i="829"/>
  <c r="T79" i="829"/>
  <c r="T86" i="829" l="1"/>
  <c r="N151" i="829"/>
  <c r="O151" i="829" s="1"/>
  <c r="M157" i="829"/>
  <c r="N157" i="829" l="1"/>
  <c r="N94" i="829" s="1"/>
  <c r="O157" i="829"/>
  <c r="O94" i="829" s="1"/>
  <c r="M94" i="829"/>
  <c r="M158" i="829"/>
  <c r="P151" i="829"/>
  <c r="P157" i="829" s="1"/>
  <c r="P94" i="829" s="1"/>
  <c r="Q151" i="829" l="1"/>
  <c r="Q157" i="829" s="1"/>
  <c r="Q94" i="829" s="1"/>
  <c r="M159" i="829"/>
  <c r="M87" i="829" s="1"/>
  <c r="M80" i="829"/>
  <c r="N149" i="829"/>
  <c r="N158" i="829" s="1"/>
  <c r="N80" i="829" l="1"/>
  <c r="N159" i="829"/>
  <c r="N87" i="829" s="1"/>
  <c r="O149" i="829"/>
  <c r="O158" i="829" s="1"/>
  <c r="R151" i="829"/>
  <c r="T151" i="829" l="1"/>
  <c r="R157" i="829"/>
  <c r="P149" i="829"/>
  <c r="P158" i="829" s="1"/>
  <c r="O80" i="829"/>
  <c r="O159" i="829"/>
  <c r="O87" i="829" s="1"/>
  <c r="T157" i="829" l="1"/>
  <c r="R94" i="829"/>
  <c r="Q149" i="829"/>
  <c r="Q158" i="829" s="1"/>
  <c r="P159" i="829"/>
  <c r="P87" i="829" s="1"/>
  <c r="P80" i="829"/>
  <c r="T94" i="829" l="1"/>
  <c r="Q159" i="829"/>
  <c r="Q87" i="829" s="1"/>
  <c r="Q80" i="829"/>
  <c r="R149" i="829"/>
  <c r="R158" i="829" l="1"/>
  <c r="T149" i="829"/>
  <c r="R80" i="829" l="1"/>
  <c r="R159" i="829"/>
  <c r="T158" i="829"/>
  <c r="R87" i="829" l="1"/>
  <c r="T159" i="829"/>
  <c r="T80" i="829"/>
  <c r="T87" i="829" l="1"/>
  <c r="N172" i="829"/>
  <c r="O172" i="829" s="1"/>
  <c r="M178" i="829"/>
  <c r="M179" i="829" s="1"/>
  <c r="N170" i="829" l="1"/>
  <c r="M81" i="829"/>
  <c r="M82" i="829" s="1"/>
  <c r="M59" i="829" s="1"/>
  <c r="M180" i="829"/>
  <c r="M88" i="829" s="1"/>
  <c r="M89" i="829" s="1"/>
  <c r="O178" i="829"/>
  <c r="O95" i="829" s="1"/>
  <c r="O96" i="829" s="1"/>
  <c r="O62" i="829" s="1"/>
  <c r="O56" i="2" s="1"/>
  <c r="M95" i="829"/>
  <c r="M96" i="829" s="1"/>
  <c r="M62" i="829" s="1"/>
  <c r="M56" i="2" s="1"/>
  <c r="M57" i="2" s="1"/>
  <c r="N178" i="829"/>
  <c r="N95" i="829" s="1"/>
  <c r="N96" i="829" s="1"/>
  <c r="N62" i="829" s="1"/>
  <c r="N56" i="2" s="1"/>
  <c r="P172" i="829"/>
  <c r="P178" i="829" s="1"/>
  <c r="P95" i="829" s="1"/>
  <c r="P96" i="829" s="1"/>
  <c r="P62" i="829" s="1"/>
  <c r="P56" i="2" s="1"/>
  <c r="O57" i="2" l="1"/>
  <c r="N13" i="834"/>
  <c r="P57" i="2"/>
  <c r="O13" i="834"/>
  <c r="N57" i="2"/>
  <c r="M10" i="834" s="1"/>
  <c r="M13" i="834"/>
  <c r="N179" i="829"/>
  <c r="O170" i="829" s="1"/>
  <c r="O179" i="829" s="1"/>
  <c r="M11" i="835"/>
  <c r="U56" i="2"/>
  <c r="M72" i="2"/>
  <c r="L33" i="825" s="1"/>
  <c r="O72" i="2"/>
  <c r="N33" i="825" s="1"/>
  <c r="O11" i="835"/>
  <c r="Q172" i="829"/>
  <c r="Q178" i="829" s="1"/>
  <c r="Q95" i="829" s="1"/>
  <c r="Q96" i="829" s="1"/>
  <c r="Q62" i="829" s="1"/>
  <c r="Q56" i="2" s="1"/>
  <c r="P72" i="2"/>
  <c r="O33" i="825" s="1"/>
  <c r="P11" i="835"/>
  <c r="N72" i="2"/>
  <c r="M33" i="825" s="1"/>
  <c r="N11" i="835"/>
  <c r="Q57" i="2" l="1"/>
  <c r="P13" i="834"/>
  <c r="N180" i="829"/>
  <c r="N88" i="829" s="1"/>
  <c r="N89" i="829" s="1"/>
  <c r="N81" i="829"/>
  <c r="N82" i="829" s="1"/>
  <c r="N59" i="829" s="1"/>
  <c r="R172" i="829"/>
  <c r="T172" i="829" s="1"/>
  <c r="Q11" i="835"/>
  <c r="Q72" i="2"/>
  <c r="P33" i="825" s="1"/>
  <c r="O10" i="835"/>
  <c r="O10" i="834"/>
  <c r="O60" i="2"/>
  <c r="O81" i="829"/>
  <c r="O82" i="829" s="1"/>
  <c r="O59" i="829" s="1"/>
  <c r="O180" i="829"/>
  <c r="O88" i="829" s="1"/>
  <c r="O89" i="829" s="1"/>
  <c r="P170" i="829"/>
  <c r="P179" i="829" s="1"/>
  <c r="N60" i="2"/>
  <c r="N10" i="835"/>
  <c r="N10" i="834"/>
  <c r="P10" i="835"/>
  <c r="P10" i="834"/>
  <c r="P60" i="2"/>
  <c r="M10" i="835"/>
  <c r="U57" i="2"/>
  <c r="M60" i="2"/>
  <c r="R178" i="829" l="1"/>
  <c r="R95" i="829" s="1"/>
  <c r="U60" i="2"/>
  <c r="M186" i="826"/>
  <c r="M187" i="826" s="1"/>
  <c r="M188" i="826" s="1"/>
  <c r="M62" i="2" s="1"/>
  <c r="P186" i="826"/>
  <c r="P187" i="826" s="1"/>
  <c r="P188" i="826" s="1"/>
  <c r="P62" i="2" s="1"/>
  <c r="N186" i="826"/>
  <c r="N187" i="826" s="1"/>
  <c r="N188" i="826" s="1"/>
  <c r="N62" i="2" s="1"/>
  <c r="Q170" i="829"/>
  <c r="Q179" i="829" s="1"/>
  <c r="P81" i="829"/>
  <c r="P82" i="829" s="1"/>
  <c r="P59" i="829" s="1"/>
  <c r="P180" i="829"/>
  <c r="P88" i="829" s="1"/>
  <c r="P89" i="829" s="1"/>
  <c r="O186" i="826"/>
  <c r="O187" i="826" s="1"/>
  <c r="O188" i="826" s="1"/>
  <c r="O62" i="2" s="1"/>
  <c r="N11" i="834" s="1"/>
  <c r="Q10" i="835"/>
  <c r="Q10" i="834"/>
  <c r="Q60" i="2"/>
  <c r="T178" i="829" l="1"/>
  <c r="O11" i="834"/>
  <c r="M11" i="834"/>
  <c r="M12" i="834" s="1"/>
  <c r="N12" i="834"/>
  <c r="O63" i="2"/>
  <c r="O73" i="2" s="1"/>
  <c r="N34" i="825" s="1"/>
  <c r="O12" i="834"/>
  <c r="R170" i="829"/>
  <c r="Q81" i="829"/>
  <c r="Q82" i="829" s="1"/>
  <c r="Q59" i="829" s="1"/>
  <c r="Q180" i="829"/>
  <c r="Q88" i="829" s="1"/>
  <c r="Q89" i="829" s="1"/>
  <c r="R10" i="834"/>
  <c r="N14" i="835"/>
  <c r="N18" i="835" s="1"/>
  <c r="N14" i="829"/>
  <c r="N30" i="829" s="1"/>
  <c r="M14" i="829"/>
  <c r="M30" i="829" s="1"/>
  <c r="M32" i="829" s="1"/>
  <c r="U62" i="2"/>
  <c r="M14" i="835"/>
  <c r="M18" i="835" s="1"/>
  <c r="Q186" i="826"/>
  <c r="Q187" i="826" s="1"/>
  <c r="Q188" i="826" s="1"/>
  <c r="Q62" i="2" s="1"/>
  <c r="N63" i="2"/>
  <c r="N73" i="2" s="1"/>
  <c r="M63" i="2"/>
  <c r="O14" i="835"/>
  <c r="O18" i="835" s="1"/>
  <c r="O14" i="829"/>
  <c r="O30" i="829" s="1"/>
  <c r="P14" i="829"/>
  <c r="P30" i="829" s="1"/>
  <c r="P14" i="835"/>
  <c r="P18" i="835" s="1"/>
  <c r="T95" i="829"/>
  <c r="R96" i="829"/>
  <c r="P63" i="2"/>
  <c r="P73" i="2" s="1"/>
  <c r="P11" i="834" l="1"/>
  <c r="P12" i="834" s="1"/>
  <c r="W68" i="840"/>
  <c r="M34" i="829"/>
  <c r="M33" i="829"/>
  <c r="O32" i="829"/>
  <c r="O34" i="829" s="1"/>
  <c r="W99" i="840"/>
  <c r="W101" i="840" s="1"/>
  <c r="W102" i="840" s="1"/>
  <c r="Q14" i="829"/>
  <c r="Q30" i="829" s="1"/>
  <c r="Q14" i="835"/>
  <c r="Q18" i="835" s="1"/>
  <c r="U99" i="840"/>
  <c r="U101" i="840" s="1"/>
  <c r="U102" i="840" s="1"/>
  <c r="R179" i="829"/>
  <c r="T170" i="829"/>
  <c r="T96" i="829"/>
  <c r="R62" i="829"/>
  <c r="M73" i="2"/>
  <c r="U63" i="2"/>
  <c r="Q63" i="2"/>
  <c r="Q73" i="2" s="1"/>
  <c r="N32" i="829"/>
  <c r="N34" i="829" s="1"/>
  <c r="V99" i="840"/>
  <c r="V101" i="840" s="1"/>
  <c r="V102" i="840" s="1"/>
  <c r="O34" i="825"/>
  <c r="X68" i="840"/>
  <c r="P32" i="829"/>
  <c r="P34" i="829" s="1"/>
  <c r="X99" i="840"/>
  <c r="X101" i="840" s="1"/>
  <c r="X102" i="840" s="1"/>
  <c r="M34" i="825"/>
  <c r="V68" i="840"/>
  <c r="L34" i="825" l="1"/>
  <c r="U68" i="840"/>
  <c r="O33" i="829"/>
  <c r="N15" i="834" s="1"/>
  <c r="P33" i="829"/>
  <c r="O15" i="834" s="1"/>
  <c r="N33" i="829"/>
  <c r="M15" i="834" s="1"/>
  <c r="R81" i="829"/>
  <c r="R180" i="829"/>
  <c r="T179" i="829"/>
  <c r="Q32" i="829"/>
  <c r="Q34" i="829" s="1"/>
  <c r="Y99" i="840"/>
  <c r="Y101" i="840" s="1"/>
  <c r="Y102" i="840" s="1"/>
  <c r="P34" i="825"/>
  <c r="Y68" i="840"/>
  <c r="R56" i="2"/>
  <c r="T62" i="829"/>
  <c r="R57" i="2" l="1"/>
  <c r="Q13" i="834"/>
  <c r="R13" i="834" s="1"/>
  <c r="R14" i="834" s="1"/>
  <c r="T81" i="829"/>
  <c r="R82" i="829"/>
  <c r="P21" i="835"/>
  <c r="P22" i="835" s="1"/>
  <c r="P24" i="835" s="1"/>
  <c r="P41" i="835" s="1"/>
  <c r="O16" i="834"/>
  <c r="R72" i="2"/>
  <c r="Q33" i="825" s="1"/>
  <c r="R11" i="835"/>
  <c r="T11" i="835" s="1"/>
  <c r="T56" i="2"/>
  <c r="H26" i="849"/>
  <c r="I26" i="849" s="1"/>
  <c r="Q33" i="829"/>
  <c r="P15" i="834" s="1"/>
  <c r="M16" i="834"/>
  <c r="N21" i="835"/>
  <c r="N22" i="835" s="1"/>
  <c r="N24" i="835" s="1"/>
  <c r="N41" i="835" s="1"/>
  <c r="N16" i="834"/>
  <c r="O21" i="835"/>
  <c r="O22" i="835" s="1"/>
  <c r="O24" i="835" s="1"/>
  <c r="O41" i="835" s="1"/>
  <c r="T180" i="829"/>
  <c r="R88" i="829"/>
  <c r="M21" i="835"/>
  <c r="M22" i="835" s="1"/>
  <c r="M24" i="835" s="1"/>
  <c r="M41" i="835" s="1"/>
  <c r="M43" i="835" s="1"/>
  <c r="N42" i="835" s="1"/>
  <c r="L15" i="834"/>
  <c r="L16" i="834" s="1"/>
  <c r="N21" i="834" l="1"/>
  <c r="N22" i="834"/>
  <c r="O22" i="834"/>
  <c r="O21" i="834"/>
  <c r="M21" i="834"/>
  <c r="M22" i="834"/>
  <c r="L21" i="834"/>
  <c r="L22" i="834"/>
  <c r="R89" i="829"/>
  <c r="T89" i="829" s="1"/>
  <c r="T88" i="829"/>
  <c r="N43" i="835"/>
  <c r="O42" i="835" s="1"/>
  <c r="O43" i="835" s="1"/>
  <c r="P42" i="835" s="1"/>
  <c r="P43" i="835" s="1"/>
  <c r="Q42" i="835" s="1"/>
  <c r="E31" i="844"/>
  <c r="Q21" i="835"/>
  <c r="Q22" i="835" s="1"/>
  <c r="Q24" i="835" s="1"/>
  <c r="Q41" i="835" s="1"/>
  <c r="P16" i="834"/>
  <c r="T82" i="829"/>
  <c r="R59" i="829"/>
  <c r="T59" i="829" s="1"/>
  <c r="R60" i="2"/>
  <c r="T57" i="2"/>
  <c r="R10" i="835"/>
  <c r="P22" i="834" l="1"/>
  <c r="P21" i="834"/>
  <c r="Q43" i="835"/>
  <c r="R42" i="835" s="1"/>
  <c r="T42" i="835" s="1"/>
  <c r="R186" i="826"/>
  <c r="R187" i="826" s="1"/>
  <c r="R188" i="826" s="1"/>
  <c r="R62" i="2" s="1"/>
  <c r="Q11" i="834" s="1"/>
  <c r="T60" i="2"/>
  <c r="F31" i="844"/>
  <c r="F33" i="844" s="1"/>
  <c r="F34" i="844" s="1"/>
  <c r="F37" i="844" s="1"/>
  <c r="D31" i="844"/>
  <c r="D33" i="844" s="1"/>
  <c r="D34" i="844" s="1"/>
  <c r="E33" i="844"/>
  <c r="E34" i="844" s="1"/>
  <c r="E37" i="844" s="1"/>
  <c r="Q12" i="834" l="1"/>
  <c r="R11" i="834"/>
  <c r="R12" i="834" s="1"/>
  <c r="E38" i="844"/>
  <c r="E20" i="844"/>
  <c r="F38" i="844"/>
  <c r="F20" i="844"/>
  <c r="D37" i="844"/>
  <c r="R14" i="835"/>
  <c r="T62" i="2"/>
  <c r="R14" i="829"/>
  <c r="R30" i="829" s="1"/>
  <c r="R63" i="2"/>
  <c r="D38" i="844" l="1"/>
  <c r="D20" i="844"/>
  <c r="T63" i="2"/>
  <c r="R73" i="2"/>
  <c r="T30" i="829"/>
  <c r="R32" i="829"/>
  <c r="R34" i="829" s="1"/>
  <c r="Z99" i="840"/>
  <c r="Z101" i="840" s="1"/>
  <c r="Z102" i="840" s="1"/>
  <c r="T14" i="835"/>
  <c r="R18" i="835"/>
  <c r="T18" i="835" l="1"/>
  <c r="T32" i="829"/>
  <c r="H32" i="849"/>
  <c r="R15" i="834"/>
  <c r="R16" i="834" s="1"/>
  <c r="R33" i="829"/>
  <c r="Q15" i="834" s="1"/>
  <c r="Q34" i="825"/>
  <c r="Z68" i="840"/>
  <c r="M28" i="834" l="1"/>
  <c r="M30" i="834" s="1"/>
  <c r="L28" i="834"/>
  <c r="L30" i="834" s="1"/>
  <c r="Q16" i="834"/>
  <c r="R21" i="835"/>
  <c r="Q22" i="834" l="1"/>
  <c r="L25" i="834" s="1"/>
  <c r="L31" i="834" s="1"/>
  <c r="Q21" i="834"/>
  <c r="M25" i="834" s="1"/>
  <c r="M31" i="834" s="1"/>
  <c r="R22" i="835"/>
  <c r="T21" i="835"/>
  <c r="K48" i="834" l="1"/>
  <c r="K47" i="834"/>
  <c r="M48" i="834"/>
  <c r="M47" i="834"/>
  <c r="M32" i="834"/>
  <c r="R9" i="840" s="1"/>
  <c r="M43" i="834"/>
  <c r="M44" i="834"/>
  <c r="L32" i="834"/>
  <c r="P9" i="840" s="1"/>
  <c r="K44" i="834"/>
  <c r="K43" i="834"/>
  <c r="L43" i="834" s="1"/>
  <c r="Q52" i="834" s="1"/>
  <c r="R52" i="834" s="1"/>
  <c r="M35" i="834"/>
  <c r="E60" i="834"/>
  <c r="E9" i="837"/>
  <c r="F47" i="844"/>
  <c r="L35" i="834"/>
  <c r="D47" i="844"/>
  <c r="D9" i="837"/>
  <c r="T22" i="835"/>
  <c r="R24" i="835"/>
  <c r="L44" i="834" l="1"/>
  <c r="Q51" i="834" s="1"/>
  <c r="R51" i="834" s="1"/>
  <c r="L47" i="834"/>
  <c r="L48" i="834"/>
  <c r="M38" i="834"/>
  <c r="L38" i="834"/>
  <c r="Q9" i="840"/>
  <c r="F22" i="844"/>
  <c r="F25" i="844" s="1"/>
  <c r="E47" i="844"/>
  <c r="F48" i="844"/>
  <c r="D48" i="844"/>
  <c r="D22" i="844"/>
  <c r="D25" i="844" s="1"/>
  <c r="T24" i="835"/>
  <c r="R41" i="835"/>
  <c r="D28" i="844" l="1"/>
  <c r="T41" i="835"/>
  <c r="R43" i="835"/>
  <c r="T43" i="835" s="1"/>
  <c r="E48" i="844"/>
  <c r="E22" i="844"/>
  <c r="F28" i="844"/>
  <c r="E25" i="844" l="1"/>
  <c r="E28" i="844" s="1"/>
  <c r="I15" i="854"/>
  <c r="P20" i="840"/>
  <c r="D18" i="854" l="1"/>
  <c r="R20" i="840"/>
  <c r="E174" i="856" s="1"/>
  <c r="Q20" i="840" l="1"/>
  <c r="D19" i="8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29" authorId="0" shapeId="0" xr:uid="{00000000-0006-0000-0300-000003000000}">
      <text>
        <r>
          <rPr>
            <b/>
            <sz val="9"/>
            <color indexed="81"/>
            <rFont val="Tahoma"/>
            <family val="2"/>
          </rPr>
          <t>Admin:</t>
        </r>
        <r>
          <rPr>
            <sz val="9"/>
            <color indexed="81"/>
            <rFont val="Tahoma"/>
            <family val="2"/>
          </rPr>
          <t xml:space="preserve">
Determines valuation date and data downloaded as of date</t>
        </r>
      </text>
    </comment>
    <comment ref="E30" authorId="0" shapeId="0" xr:uid="{00000000-0006-0000-0300-000004000000}">
      <text>
        <r>
          <rPr>
            <b/>
            <sz val="9"/>
            <color indexed="81"/>
            <rFont val="Tahoma"/>
            <family val="2"/>
          </rPr>
          <t>Admin:</t>
        </r>
        <r>
          <rPr>
            <sz val="9"/>
            <color indexed="81"/>
            <rFont val="Tahoma"/>
            <family val="2"/>
          </rPr>
          <t xml:space="preserve">
Determines stub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P4" authorId="0" shapeId="0" xr:uid="{00000000-0006-0000-0700-000001000000}">
      <text>
        <r>
          <rPr>
            <b/>
            <sz val="9"/>
            <color indexed="81"/>
            <rFont val="Tahoma"/>
            <family val="2"/>
          </rPr>
          <t>Admin:</t>
        </r>
        <r>
          <rPr>
            <sz val="9"/>
            <color indexed="81"/>
            <rFont val="Tahoma"/>
            <family val="2"/>
          </rPr>
          <t xml:space="preserve">
Option to adjust the capital structure used to determine Asset Beta from the spot rate to the 5 year or 2 year average (thereby matching the data points used in the beta derivation). Please see D|E tab for calculation.</t>
        </r>
      </text>
    </comment>
    <comment ref="R4" authorId="0" shapeId="0" xr:uid="{25ED83B2-6094-486E-832D-7B900BA4CA85}">
      <text>
        <r>
          <rPr>
            <b/>
            <sz val="9"/>
            <color indexed="81"/>
            <rFont val="Tahoma"/>
            <family val="2"/>
          </rPr>
          <t>Admin:</t>
        </r>
        <r>
          <rPr>
            <sz val="9"/>
            <color indexed="81"/>
            <rFont val="Tahoma"/>
            <family val="2"/>
          </rPr>
          <t xml:space="preserve">
Option to Blume adjust the beta, i.e. implement a mean reversion towards the overall market beta of 1.
Or
Option to Vasicek adjust the beta, i.e. implement a reversion to an expected beta. The expected beta is based on the average raw beta of the GPCs selected.</t>
        </r>
      </text>
    </comment>
    <comment ref="O28" authorId="0" shapeId="0" xr:uid="{00000000-0006-0000-0700-000002000000}">
      <text>
        <r>
          <rPr>
            <b/>
            <sz val="9"/>
            <color indexed="81"/>
            <rFont val="Tahoma"/>
            <family val="2"/>
          </rPr>
          <t>Admin:</t>
        </r>
        <r>
          <rPr>
            <sz val="9"/>
            <color indexed="81"/>
            <rFont val="Tahoma"/>
            <family val="2"/>
          </rPr>
          <t xml:space="preserve">
If this cell is less than 60 on a 5-year Beta (or less than 104 on a 2 year Beta) you MUST go to the BetaData tab and adjust the formula for that particular GPC to ensure it does not include empty cells. If this is not performed your Beta willl be wrong!</t>
        </r>
      </text>
    </comment>
    <comment ref="P28" authorId="0" shapeId="0" xr:uid="{00000000-0006-0000-0700-000003000000}">
      <text>
        <r>
          <rPr>
            <b/>
            <sz val="9"/>
            <color indexed="81"/>
            <rFont val="Tahoma"/>
            <family val="2"/>
          </rPr>
          <t>Admin:</t>
        </r>
        <r>
          <rPr>
            <sz val="9"/>
            <color indexed="81"/>
            <rFont val="Tahoma"/>
            <family val="2"/>
          </rPr>
          <t xml:space="preserve">
Approximate average daily trading volume over last year</t>
        </r>
      </text>
    </comment>
    <comment ref="T28" authorId="0" shapeId="0" xr:uid="{24C47331-393F-4BC6-AA7F-42D1E55DB97C}">
      <text>
        <r>
          <rPr>
            <b/>
            <sz val="9"/>
            <color indexed="81"/>
            <rFont val="Tahoma"/>
            <family val="2"/>
          </rPr>
          <t xml:space="preserve">Admin:
</t>
        </r>
        <r>
          <rPr>
            <sz val="9"/>
            <color indexed="81"/>
            <rFont val="Tahoma"/>
            <family val="2"/>
          </rPr>
          <t>Indicates if GPC has adopted IFRS 16. May have implications for debt to capital structure in some industries.</t>
        </r>
      </text>
    </comment>
    <comment ref="J67" authorId="0" shapeId="0" xr:uid="{ED7CCD56-F530-4D6F-A6E6-3A420D98FC72}">
      <text>
        <r>
          <rPr>
            <b/>
            <sz val="9"/>
            <color indexed="81"/>
            <rFont val="Tahoma"/>
            <family val="2"/>
          </rPr>
          <t>Admin:</t>
        </r>
        <r>
          <rPr>
            <sz val="9"/>
            <color indexed="81"/>
            <rFont val="Tahoma"/>
            <family val="2"/>
          </rPr>
          <t xml:space="preserve">
These are array formulas, if you edit these cells make sure to press contol-shift-enter (not just enter)
</t>
        </r>
      </text>
    </comment>
    <comment ref="G76" authorId="0" shapeId="0" xr:uid="{66FF6915-3ADF-4B8E-B662-899F1D1BD550}">
      <text>
        <r>
          <rPr>
            <b/>
            <sz val="9"/>
            <color indexed="81"/>
            <rFont val="Tahoma"/>
            <family val="2"/>
          </rPr>
          <t xml:space="preserve">Admin:
</t>
        </r>
        <r>
          <rPr>
            <sz val="9"/>
            <color indexed="81"/>
            <rFont val="Tahoma"/>
            <family val="2"/>
          </rPr>
          <t>This is a default selection based on the UK Statutory tax rate. Please consider the applicable rate to the target business.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8" authorId="0" shapeId="0" xr:uid="{5F7BB79F-1D42-4F04-BD46-F98E856BC9C0}">
      <text>
        <r>
          <rPr>
            <b/>
            <sz val="9"/>
            <color indexed="81"/>
            <rFont val="Tahoma"/>
            <family val="2"/>
          </rPr>
          <t>Admin:</t>
        </r>
        <r>
          <rPr>
            <sz val="9"/>
            <color indexed="81"/>
            <rFont val="Tahoma"/>
            <family val="2"/>
          </rPr>
          <t xml:space="preserve">
If highlighted in orange, consider the need to offset multiples to ensure like-for-like comparison</t>
        </r>
      </text>
    </comment>
    <comment ref="AR8" authorId="0" shapeId="0" xr:uid="{8BBDEE0C-6EAA-4E4D-B633-F55C724DC20B}">
      <text>
        <r>
          <rPr>
            <b/>
            <sz val="9"/>
            <color indexed="81"/>
            <rFont val="Tahoma"/>
            <family val="2"/>
          </rPr>
          <t>Admin:</t>
        </r>
        <r>
          <rPr>
            <sz val="9"/>
            <color indexed="81"/>
            <rFont val="Tahoma"/>
            <family val="2"/>
          </rPr>
          <t xml:space="preserve">
Offsetting does not impact P/BV</t>
        </r>
      </text>
    </comment>
    <comment ref="F27" authorId="0" shapeId="0" xr:uid="{1E62BD39-4903-4E75-A983-E5884603AFFF}">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C46" authorId="0" shapeId="0" xr:uid="{00000000-0006-0000-0A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00000000-0006-0000-0B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0" authorId="0" shapeId="0" xr:uid="{CD6582DC-646A-4F63-B879-3185E45FE77B}">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7270D4BD-A52F-4DB4-8DCA-496B3D26363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8" authorId="0" shapeId="0" xr:uid="{00000000-0006-0000-0C00-000003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00000000-0006-0000-0D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9" authorId="0" shapeId="0" xr:uid="{00000000-0006-0000-0E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149" authorId="0" shapeId="0" xr:uid="{00000000-0006-0000-0F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F50" authorId="0" shapeId="0" xr:uid="{6E5B1D6A-6DD6-4D7A-8E0D-61E5C803B964}">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31" authorId="0" shapeId="0" xr:uid="{00000000-0006-0000-1700-000001000000}">
      <text>
        <r>
          <rPr>
            <b/>
            <sz val="9"/>
            <color indexed="81"/>
            <rFont val="Tahoma"/>
            <family val="2"/>
          </rPr>
          <t>Admin:</t>
        </r>
        <r>
          <rPr>
            <sz val="9"/>
            <color indexed="81"/>
            <rFont val="Tahoma"/>
            <family val="2"/>
          </rPr>
          <t xml:space="preserve">
Ensure this is consistent with the valuation date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<sst xmlns="http://schemas.openxmlformats.org/spreadsheetml/2006/main" count="6399" uniqueCount="3193">
  <si>
    <t>NavigationList</t>
  </si>
  <si>
    <t>New</t>
  </si>
  <si>
    <t>GT_Custom</t>
  </si>
  <si>
    <t>MasterCIQ (Val Currency)</t>
  </si>
  <si>
    <t>MasterCIQ (Analysis Currency)</t>
  </si>
  <si>
    <t>TickerEntry</t>
  </si>
  <si>
    <t>Inputs</t>
  </si>
  <si>
    <t>VSGStyles</t>
  </si>
  <si>
    <t>Glossary</t>
  </si>
  <si>
    <t>Guidance</t>
  </si>
  <si>
    <t>BEVDCF</t>
  </si>
  <si>
    <t>DiscRate</t>
  </si>
  <si>
    <t>GPC Trading Data</t>
  </si>
  <si>
    <t>VC DiscRates</t>
  </si>
  <si>
    <t>BOE 20YR Gilt</t>
  </si>
  <si>
    <t>SBBI</t>
  </si>
  <si>
    <t>GPC Debt Yields</t>
  </si>
  <si>
    <t>Yields</t>
  </si>
  <si>
    <t>NCDFWC</t>
  </si>
  <si>
    <t>BS</t>
  </si>
  <si>
    <t>IS</t>
  </si>
  <si>
    <t>CF</t>
  </si>
  <si>
    <t>CFCap</t>
  </si>
  <si>
    <t>NOL</t>
  </si>
  <si>
    <t>CapXDepTax</t>
  </si>
  <si>
    <t>LongDesc</t>
  </si>
  <si>
    <t>GPC Rev Growth</t>
  </si>
  <si>
    <t>GPC EBITDA</t>
  </si>
  <si>
    <t>GPC Mgn Analysis</t>
  </si>
  <si>
    <t>GPC CapEx</t>
  </si>
  <si>
    <t>GPC WC</t>
  </si>
  <si>
    <t>GPC Turnover</t>
  </si>
  <si>
    <t>Supp Sch&gt;&gt;</t>
  </si>
  <si>
    <t>CompLtmBS</t>
  </si>
  <si>
    <t>CompLtmIS</t>
  </si>
  <si>
    <t>CompLtmCF</t>
  </si>
  <si>
    <t>MarketData</t>
  </si>
  <si>
    <t>BetaData</t>
  </si>
  <si>
    <t>Indices</t>
  </si>
  <si>
    <t>HistBS</t>
  </si>
  <si>
    <t>HistIS</t>
  </si>
  <si>
    <t>HistCF</t>
  </si>
  <si>
    <t>BEVSum</t>
  </si>
  <si>
    <t>Ratios</t>
  </si>
  <si>
    <t>Dupont</t>
  </si>
  <si>
    <t>CompCommon</t>
  </si>
  <si>
    <t>CompRatios</t>
  </si>
  <si>
    <t>Multiples</t>
  </si>
  <si>
    <t>New (2)</t>
  </si>
  <si>
    <t>PubCoValue</t>
  </si>
  <si>
    <t>TransSum</t>
  </si>
  <si>
    <t>TransValue</t>
  </si>
  <si>
    <t>DLOM</t>
  </si>
  <si>
    <t>DLOMSum</t>
  </si>
  <si>
    <t>LongstaffLookback</t>
  </si>
  <si>
    <t>Euro</t>
  </si>
  <si>
    <t>GARPMAsian</t>
  </si>
  <si>
    <t>FinnertyAASPMAsian</t>
  </si>
  <si>
    <t>ASC805</t>
  </si>
  <si>
    <t>Inventory</t>
  </si>
  <si>
    <t>DeferredRevenue</t>
  </si>
  <si>
    <t>Agreements</t>
  </si>
  <si>
    <t>Workforce</t>
  </si>
  <si>
    <t>WorkforceInputs</t>
  </si>
  <si>
    <t>Leases</t>
  </si>
  <si>
    <t>NonCompete</t>
  </si>
  <si>
    <t>Royalties</t>
  </si>
  <si>
    <t>Tradename Scorecard</t>
  </si>
  <si>
    <t>TrademarkRelief</t>
  </si>
  <si>
    <t>CustRevMap</t>
  </si>
  <si>
    <t>Backlog1Excess</t>
  </si>
  <si>
    <t>Cust1Excess</t>
  </si>
  <si>
    <t>Backlog2Excess</t>
  </si>
  <si>
    <t>Cust2Excess</t>
  </si>
  <si>
    <t>Attrition</t>
  </si>
  <si>
    <t>Tech Royalties</t>
  </si>
  <si>
    <t>Tech Scorecard</t>
  </si>
  <si>
    <t>Tech Relief from Royalty</t>
  </si>
  <si>
    <t>TechRevMap</t>
  </si>
  <si>
    <t>Tech1Excess</t>
  </si>
  <si>
    <t>Tech2Excess</t>
  </si>
  <si>
    <t>IPRDProjects</t>
  </si>
  <si>
    <t>IPRD1Excess</t>
  </si>
  <si>
    <t>IPRD2Excess</t>
  </si>
  <si>
    <t>AssetReturns</t>
  </si>
  <si>
    <t>ContributoryAssets</t>
  </si>
  <si>
    <t>WARA</t>
  </si>
  <si>
    <t>PFIvsIndustry</t>
  </si>
  <si>
    <t>CapStructure</t>
  </si>
  <si>
    <t>DiscRateSynth</t>
  </si>
  <si>
    <t>DCFComparison</t>
  </si>
  <si>
    <t>AssetGroupUCF</t>
  </si>
  <si>
    <t>Grant Thornton - UAE Valuation Services</t>
  </si>
  <si>
    <t>Ticker</t>
  </si>
  <si>
    <t>Company Name</t>
  </si>
  <si>
    <t>Exchange</t>
  </si>
  <si>
    <t>Country</t>
  </si>
  <si>
    <t xml:space="preserve"> </t>
  </si>
  <si>
    <t>Dates</t>
  </si>
  <si>
    <t>Named Cell</t>
  </si>
  <si>
    <t>Date of valuation</t>
  </si>
  <si>
    <t>valuation.date</t>
  </si>
  <si>
    <t>Fiscal year-end date (projected)</t>
  </si>
  <si>
    <t>projected.year1.end</t>
  </si>
  <si>
    <t>Is there a stub period?</t>
  </si>
  <si>
    <t>stub.toggle</t>
  </si>
  <si>
    <t>Yes</t>
  </si>
  <si>
    <t>Length of stub period (months)</t>
  </si>
  <si>
    <t>stub.period</t>
  </si>
  <si>
    <t>Valuation header</t>
  </si>
  <si>
    <t>valuation.date.header</t>
  </si>
  <si>
    <t>Currency</t>
  </si>
  <si>
    <t>currency.type</t>
  </si>
  <si>
    <t>AED</t>
  </si>
  <si>
    <t>currency.denomination</t>
  </si>
  <si>
    <t>Currency heading</t>
  </si>
  <si>
    <t>currency.heading1</t>
  </si>
  <si>
    <t>Project title</t>
  </si>
  <si>
    <t>project.title</t>
  </si>
  <si>
    <t>Valuation Assumptions</t>
  </si>
  <si>
    <t>Long-term growth rate</t>
  </si>
  <si>
    <t>long.term.growth</t>
  </si>
  <si>
    <t>tax.rate</t>
  </si>
  <si>
    <t>capex.assumption</t>
  </si>
  <si>
    <t>nwc.assumption</t>
  </si>
  <si>
    <t>C</t>
  </si>
  <si>
    <t>(assumes Dec 31 Fiscal year-ends)</t>
  </si>
  <si>
    <t>Reporting Period Defined</t>
  </si>
  <si>
    <t>For Example - Valuation Date May 15 2017</t>
  </si>
  <si>
    <t>TTM</t>
  </si>
  <si>
    <t>March 31 '17 OR December 31 '16</t>
  </si>
  <si>
    <t>FYE</t>
  </si>
  <si>
    <t>Latest Fiscal Year Ended</t>
  </si>
  <si>
    <t>December 31 '16</t>
  </si>
  <si>
    <t>FYE-1</t>
  </si>
  <si>
    <t>Prior Fiscal Year Ended</t>
  </si>
  <si>
    <t>December 31 '15</t>
  </si>
  <si>
    <t>FYE-2</t>
  </si>
  <si>
    <t>December 31 '14</t>
  </si>
  <si>
    <t>FYE-3</t>
  </si>
  <si>
    <t>December 31 '13</t>
  </si>
  <si>
    <t>FYE-4</t>
  </si>
  <si>
    <t>December 31 '12</t>
  </si>
  <si>
    <t>NTM +1</t>
  </si>
  <si>
    <t>Next Twelve Months</t>
  </si>
  <si>
    <t>March 31 '18 OR December 31 '17</t>
  </si>
  <si>
    <t>NTM +2</t>
  </si>
  <si>
    <t>Next Twelve Months  +1</t>
  </si>
  <si>
    <t>March 31 '19 OR December 31 '18</t>
  </si>
  <si>
    <t>FYE +1</t>
  </si>
  <si>
    <t>December 31 '17</t>
  </si>
  <si>
    <t>FYE +2</t>
  </si>
  <si>
    <t>December 31 '18</t>
  </si>
  <si>
    <t>Argentina</t>
  </si>
  <si>
    <t>Australia</t>
  </si>
  <si>
    <t>Austria</t>
  </si>
  <si>
    <t>Belgium</t>
  </si>
  <si>
    <t>Brazil</t>
  </si>
  <si>
    <t>Bulgaria</t>
  </si>
  <si>
    <t>Canada</t>
  </si>
  <si>
    <t>Chile</t>
  </si>
  <si>
    <t>China</t>
  </si>
  <si>
    <t>Croatia</t>
  </si>
  <si>
    <t>Czech Republic</t>
  </si>
  <si>
    <t>Denmark</t>
  </si>
  <si>
    <t>Egypt</t>
  </si>
  <si>
    <t>France</t>
  </si>
  <si>
    <t>Germany</t>
  </si>
  <si>
    <t>Hong Kong</t>
  </si>
  <si>
    <t>Hungary</t>
  </si>
  <si>
    <t>Iceland</t>
  </si>
  <si>
    <t>India</t>
  </si>
  <si>
    <t>Indonesia</t>
  </si>
  <si>
    <t>Ireland</t>
  </si>
  <si>
    <t>Israel</t>
  </si>
  <si>
    <t>Italy</t>
  </si>
  <si>
    <t>Japan</t>
  </si>
  <si>
    <t>Kenya</t>
  </si>
  <si>
    <t>Luxembourg</t>
  </si>
  <si>
    <t>Malaysia</t>
  </si>
  <si>
    <t>Mexico</t>
  </si>
  <si>
    <t>Morocco</t>
  </si>
  <si>
    <t>Netherlands</t>
  </si>
  <si>
    <t>New Zealand</t>
  </si>
  <si>
    <t>Nigeria</t>
  </si>
  <si>
    <t>Norway</t>
  </si>
  <si>
    <t>Philippines</t>
  </si>
  <si>
    <t>Poland</t>
  </si>
  <si>
    <t>Qatar</t>
  </si>
  <si>
    <t>Romania</t>
  </si>
  <si>
    <t>Russia</t>
  </si>
  <si>
    <t>Saudi Arabia</t>
  </si>
  <si>
    <t>Singapore</t>
  </si>
  <si>
    <t>South Africa</t>
  </si>
  <si>
    <t>Spain</t>
  </si>
  <si>
    <t>Sri Lanka</t>
  </si>
  <si>
    <t>Sweden</t>
  </si>
  <si>
    <t>Switzerland</t>
  </si>
  <si>
    <t>Taiwan</t>
  </si>
  <si>
    <t>Thailand</t>
  </si>
  <si>
    <t>Turkey</t>
  </si>
  <si>
    <t>United Kingdom</t>
  </si>
  <si>
    <t>United States</t>
  </si>
  <si>
    <t>Vietnam</t>
  </si>
  <si>
    <t>Zambia</t>
  </si>
  <si>
    <t>Internal Schedule</t>
  </si>
  <si>
    <t>Valuation Summary</t>
  </si>
  <si>
    <t>GBP</t>
  </si>
  <si>
    <t>Low</t>
  </si>
  <si>
    <t>High</t>
  </si>
  <si>
    <t>Enterprise value</t>
  </si>
  <si>
    <t>Discounted Cash Flow analysis</t>
  </si>
  <si>
    <t>Guideline Public Company Method</t>
  </si>
  <si>
    <t>Guideline Transaction Method</t>
  </si>
  <si>
    <t>Concluded value range</t>
  </si>
  <si>
    <t>Less: Net debt</t>
  </si>
  <si>
    <t>Plus: Cash</t>
  </si>
  <si>
    <t xml:space="preserve">Total Equity value </t>
  </si>
  <si>
    <t>Less: Preference share holding</t>
  </si>
  <si>
    <t>Equity value of ordinary shares</t>
  </si>
  <si>
    <t>Selected multiple from GPC's (undiscounted)</t>
  </si>
  <si>
    <t>Discount adjustment</t>
  </si>
  <si>
    <t>Adjusted EBITDA multiple</t>
  </si>
  <si>
    <t>Selected multiple from comparable transactions (undiscounted)</t>
  </si>
  <si>
    <t>Business Enterprise Valuation: Income Approach - Discounted Debt-Free Cash Flow ("DCF") Method</t>
  </si>
  <si>
    <t>Terminal</t>
  </si>
  <si>
    <t>Gross Profit</t>
  </si>
  <si>
    <t>Depreciation</t>
  </si>
  <si>
    <t>Capital Expenditures</t>
  </si>
  <si>
    <t>Implied Enterprise Value from Operations Multiples:</t>
  </si>
  <si>
    <t>Sensitivity control</t>
  </si>
  <si>
    <t>Discount rate change</t>
  </si>
  <si>
    <t>Terminal growth rate change</t>
  </si>
  <si>
    <t>Enterprise value from operations sensitivity</t>
  </si>
  <si>
    <t>Discount rate</t>
  </si>
  <si>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</si>
  <si>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</si>
  <si>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</si>
  <si>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</si>
  <si>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</si>
  <si>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</si>
  <si>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</si>
  <si>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</si>
  <si>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</si>
  <si>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</si>
  <si>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</si>
  <si>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</si>
  <si>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</si>
  <si>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</si>
  <si>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</si>
  <si>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</si>
  <si>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</si>
  <si>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</si>
  <si>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</si>
  <si>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</si>
  <si>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</si>
  <si>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</si>
  <si>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</si>
  <si>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</si>
  <si>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</si>
  <si>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</si>
  <si>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</si>
  <si>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</si>
  <si>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</si>
  <si>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</si>
  <si>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</si>
  <si>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</si>
  <si>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</si>
  <si>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</si>
  <si>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</si>
  <si>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</si>
  <si>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</si>
  <si>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</si>
  <si>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</si>
  <si>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</si>
  <si>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</si>
  <si>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</si>
  <si>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</si>
  <si>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</si>
  <si>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</si>
  <si>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</si>
  <si>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</si>
  <si>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</si>
  <si>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</si>
  <si>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</si>
  <si>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</si>
  <si>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</si>
  <si>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</si>
  <si>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</si>
  <si>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</si>
  <si>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</si>
  <si>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</si>
  <si>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</si>
  <si>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</si>
  <si>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</si>
  <si>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</si>
  <si>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</si>
  <si>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</si>
  <si>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</si>
  <si>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</si>
  <si>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</si>
  <si>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</si>
  <si>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</si>
  <si>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</si>
  <si>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</si>
  <si>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</si>
  <si>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</si>
  <si>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</si>
  <si>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</si>
  <si>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</si>
  <si>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</si>
  <si>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</si>
  <si>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</si>
  <si>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</si>
  <si>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</si>
  <si>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</si>
  <si>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</si>
  <si>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</si>
  <si>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</si>
  <si>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</si>
  <si>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</si>
  <si>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</si>
  <si>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</si>
  <si>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</si>
  <si>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</si>
  <si>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</si>
  <si>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</si>
  <si>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</si>
  <si>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</si>
  <si>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</si>
  <si>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</si>
  <si>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</si>
  <si>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</si>
  <si>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</si>
  <si>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</si>
  <si>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</si>
  <si>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</si>
  <si>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</si>
  <si>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</si>
  <si>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</si>
  <si>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</si>
  <si>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</si>
  <si>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</si>
  <si>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</si>
  <si>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</si>
  <si>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</si>
  <si>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</si>
  <si>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</si>
  <si>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</si>
  <si>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</si>
  <si>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</si>
  <si>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</si>
  <si>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</si>
  <si>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</si>
  <si>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</si>
  <si>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</si>
  <si>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</si>
  <si>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</si>
  <si>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</si>
  <si>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</si>
  <si>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</si>
  <si>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</si>
  <si>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</si>
  <si>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</si>
  <si>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</si>
  <si>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</si>
  <si>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</si>
  <si>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</si>
  <si>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</si>
  <si>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</si>
  <si>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</si>
  <si>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</si>
  <si>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</si>
  <si>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</si>
  <si>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</si>
  <si>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</si>
  <si>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</si>
  <si>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</si>
  <si>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</si>
  <si>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</si>
  <si>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</si>
  <si>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</si>
  <si>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</si>
  <si>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</si>
  <si>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</si>
  <si>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</si>
  <si>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</si>
  <si>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</si>
  <si>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</si>
  <si>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</si>
  <si>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</si>
  <si>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</si>
  <si>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</si>
  <si>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</si>
  <si>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</si>
  <si>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</si>
  <si>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</si>
  <si>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</si>
  <si>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</si>
  <si>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</si>
  <si>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</si>
  <si>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</si>
  <si>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</si>
  <si>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</si>
  <si>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</si>
  <si>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</si>
  <si>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</si>
  <si>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</si>
  <si>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</si>
  <si>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</si>
  <si>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</si>
  <si>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</si>
  <si>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</si>
  <si>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</si>
  <si>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</si>
  <si>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</si>
  <si>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</si>
  <si>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</si>
  <si>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</si>
  <si>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</si>
  <si>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</si>
  <si>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</si>
  <si>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</si>
  <si>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</si>
  <si>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</si>
  <si>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</si>
  <si>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</si>
  <si>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</si>
  <si>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</si>
  <si>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</si>
  <si>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</si>
  <si>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</si>
  <si>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</si>
  <si>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</si>
  <si>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</si>
  <si>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</si>
  <si>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</si>
  <si>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</si>
  <si>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</si>
  <si>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</si>
  <si>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</si>
  <si>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</si>
  <si>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</si>
  <si>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</si>
  <si>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</si>
  <si>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</si>
  <si>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</si>
  <si>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</si>
  <si>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</si>
  <si>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</si>
  <si>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</si>
  <si>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</si>
  <si>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</si>
  <si>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</si>
  <si>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</si>
  <si>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</si>
  <si>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</si>
  <si>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</si>
  <si>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</si>
  <si>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</si>
  <si>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</si>
  <si>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</si>
  <si>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</si>
  <si>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</si>
  <si>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</si>
  <si>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</si>
  <si>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</si>
  <si>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</si>
  <si>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</si>
  <si>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</si>
  <si>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</si>
  <si>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</si>
  <si>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</si>
  <si>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</si>
  <si>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</si>
  <si>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</si>
  <si>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</si>
  <si>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</si>
  <si>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</si>
  <si>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</si>
  <si>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</si>
  <si>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</si>
  <si>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</si>
  <si>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</si>
  <si>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</si>
  <si>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</si>
  <si>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</si>
  <si>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</si>
  <si>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</si>
  <si>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</si>
  <si>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</si>
  <si>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</si>
  <si>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</si>
  <si>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</si>
  <si>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</si>
  <si>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</si>
  <si>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</si>
  <si>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</si>
  <si>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</si>
  <si>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</si>
  <si>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</si>
  <si>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</si>
  <si>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</si>
  <si>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</si>
  <si>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</si>
  <si>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</si>
  <si>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</si>
  <si>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</si>
  <si>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</si>
  <si>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</si>
  <si>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</si>
  <si>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</si>
  <si>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</si>
  <si>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</si>
  <si>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</si>
  <si>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</si>
  <si>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</si>
  <si>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</si>
  <si>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</si>
  <si>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</si>
  <si>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</si>
  <si>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</si>
  <si>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</si>
  <si>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</si>
  <si>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</si>
  <si>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</si>
  <si>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</si>
  <si>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</si>
  <si>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</si>
  <si>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</si>
  <si>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</si>
  <si>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</si>
  <si>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</si>
  <si>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</si>
  <si>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</si>
  <si>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</si>
  <si>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</si>
  <si>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</si>
  <si>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</si>
  <si>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</si>
  <si>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</si>
  <si>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</si>
  <si>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</si>
  <si>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</si>
  <si>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</si>
  <si>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</si>
  <si>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</si>
  <si>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</si>
  <si>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</si>
  <si>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</si>
  <si>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</si>
  <si>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</si>
  <si>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</si>
  <si>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</si>
  <si>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</si>
  <si>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</si>
  <si>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</si>
  <si>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</si>
  <si>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</si>
  <si>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</si>
  <si>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</si>
  <si>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</si>
  <si>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</si>
  <si>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</si>
  <si>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</si>
  <si>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</si>
  <si>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</si>
  <si>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</si>
  <si>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</si>
  <si>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</si>
  <si>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</si>
  <si>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</si>
  <si>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</si>
  <si>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</si>
  <si>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</si>
  <si>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</si>
  <si>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</si>
  <si>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</si>
  <si>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</si>
  <si>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</si>
  <si>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</si>
  <si>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</si>
  <si>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</si>
  <si>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</si>
  <si>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</si>
  <si>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</si>
  <si>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</si>
  <si>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</si>
  <si>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</si>
  <si>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</si>
  <si>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</si>
  <si>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</si>
  <si>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</si>
  <si>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</si>
  <si>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</si>
  <si>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</si>
  <si>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</si>
  <si>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</si>
  <si>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</si>
  <si>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</si>
  <si>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</si>
  <si>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</si>
  <si>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</si>
  <si>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</si>
  <si>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</si>
  <si>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</si>
  <si>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</si>
  <si>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</si>
  <si>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</si>
  <si>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</si>
  <si>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</si>
  <si>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</si>
  <si>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</si>
  <si>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</si>
  <si>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</si>
  <si>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</si>
  <si>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</si>
  <si>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</si>
  <si>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</si>
  <si>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</si>
  <si>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</si>
  <si>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</si>
  <si>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</si>
  <si>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</si>
  <si>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</si>
  <si>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</si>
  <si>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</si>
  <si>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</si>
  <si>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</si>
  <si>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</si>
  <si>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</si>
  <si>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</si>
  <si>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</si>
  <si>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</si>
  <si>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</si>
  <si>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</si>
  <si>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</si>
  <si>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</si>
  <si>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</si>
  <si>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</si>
  <si>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</si>
  <si>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</si>
  <si>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</si>
  <si>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</si>
  <si>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</si>
  <si>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</si>
  <si>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</si>
  <si>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</si>
  <si>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</si>
  <si>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</si>
  <si>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</si>
  <si>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</si>
  <si>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</si>
  <si>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</si>
  <si>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</si>
  <si>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</si>
  <si>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</si>
  <si>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</si>
  <si>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</si>
  <si>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</si>
  <si>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</si>
  <si>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</si>
  <si>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</si>
  <si>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</si>
  <si>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</si>
  <si>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</si>
  <si>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</si>
  <si>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</si>
  <si>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</si>
  <si>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</si>
  <si>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</si>
  <si>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</si>
  <si>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</si>
  <si>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</si>
  <si>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</si>
  <si>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</si>
  <si>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</si>
  <si>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</si>
  <si>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</si>
  <si>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</si>
  <si>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</si>
  <si>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</si>
  <si>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</si>
  <si>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</si>
  <si>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</si>
  <si>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</si>
  <si>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</si>
  <si>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</si>
  <si>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</si>
  <si>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</si>
  <si>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</si>
  <si>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</si>
  <si>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</si>
  <si>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</si>
  <si>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</si>
  <si>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</si>
  <si>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</si>
  <si>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</si>
  <si>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</si>
  <si>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</si>
  <si>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</si>
  <si>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</si>
  <si>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</si>
  <si>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</si>
  <si>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</si>
  <si>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</si>
  <si>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</si>
  <si>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</si>
  <si>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</si>
  <si>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</si>
  <si>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</si>
  <si>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</si>
  <si>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</si>
  <si>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</si>
  <si>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</si>
  <si>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</si>
  <si>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</si>
  <si>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</si>
  <si>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</si>
  <si>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</si>
  <si>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</si>
  <si>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</si>
  <si>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</si>
  <si>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</si>
  <si>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</si>
  <si>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</si>
  <si>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</si>
  <si>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</si>
  <si>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</si>
  <si>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</si>
  <si>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</si>
  <si>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</si>
  <si>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</si>
  <si>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</si>
  <si>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</si>
  <si>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</si>
  <si>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</si>
  <si>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</si>
  <si>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</si>
  <si>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</si>
  <si>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</si>
  <si>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</si>
  <si>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</si>
  <si>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</si>
  <si>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</si>
  <si>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</si>
  <si>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</si>
  <si>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</si>
  <si>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</si>
  <si>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</si>
  <si>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</si>
  <si>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</si>
  <si>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</si>
  <si>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</si>
  <si>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</si>
  <si>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</si>
  <si>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</si>
  <si>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</si>
  <si>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</si>
  <si>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</si>
  <si>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</si>
  <si>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</si>
  <si>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</si>
  <si>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</si>
  <si>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</si>
  <si>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</si>
  <si>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</si>
  <si>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</si>
  <si>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</si>
  <si>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</si>
  <si>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</si>
  <si>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</si>
  <si>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</si>
  <si>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</si>
  <si>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</si>
  <si>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</si>
  <si>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</si>
  <si>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</si>
  <si>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</si>
  <si>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</si>
  <si>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</si>
  <si>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</si>
  <si>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</si>
  <si>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</si>
  <si>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</si>
  <si>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</si>
  <si>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</si>
  <si>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</si>
  <si>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</si>
  <si>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</si>
  <si>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</si>
  <si>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</si>
  <si>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</si>
  <si>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</si>
  <si>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</si>
  <si>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</si>
  <si>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</si>
  <si>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</si>
  <si>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</si>
  <si>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</si>
  <si>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</si>
  <si>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</si>
  <si>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</si>
  <si>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</si>
  <si>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</si>
  <si>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</si>
  <si>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</si>
  <si>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</si>
  <si>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</si>
  <si>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</si>
  <si>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</si>
  <si>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</si>
  <si>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</si>
  <si>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</si>
  <si>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</si>
  <si>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</si>
  <si>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</si>
  <si>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</si>
  <si>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</si>
  <si>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</si>
  <si>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</si>
  <si>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</si>
  <si>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</si>
  <si>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</si>
  <si>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</si>
  <si>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</si>
  <si>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</si>
  <si>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</si>
  <si>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</si>
  <si>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</si>
  <si>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</si>
  <si>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</si>
  <si>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</si>
  <si>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</si>
  <si>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</si>
  <si>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</si>
  <si>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</si>
  <si>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</si>
  <si>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</si>
  <si>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</si>
  <si>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</si>
  <si>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</si>
  <si>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</si>
  <si>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</si>
  <si>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</si>
  <si>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</si>
  <si>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</si>
  <si>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</si>
  <si>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</si>
  <si>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</si>
  <si>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</si>
  <si>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</si>
  <si>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</si>
  <si>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</si>
  <si>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</si>
  <si>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</si>
  <si>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</si>
  <si>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</si>
  <si>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</si>
  <si>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</si>
  <si>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</si>
  <si>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</si>
  <si>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</si>
  <si>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</si>
  <si>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</si>
  <si>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</si>
  <si>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</si>
  <si>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</si>
  <si>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</si>
  <si>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</si>
  <si>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</si>
  <si>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</si>
  <si>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</si>
  <si>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</si>
  <si>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</si>
  <si>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</si>
  <si>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</si>
  <si>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</si>
  <si>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</si>
  <si>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</si>
  <si>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</si>
  <si>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</si>
  <si>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</si>
  <si>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</si>
  <si>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</si>
  <si>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</si>
  <si>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</si>
  <si>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</si>
  <si>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</si>
  <si>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</si>
  <si>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</si>
  <si>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</si>
  <si>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</si>
  <si>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</si>
  <si>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</si>
  <si>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</si>
  <si>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</si>
  <si>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</si>
  <si>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</si>
  <si>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</si>
  <si>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</si>
  <si>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</si>
  <si>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</si>
  <si>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</si>
  <si>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</si>
  <si>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</si>
  <si>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</si>
  <si>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</si>
  <si>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</si>
  <si>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</si>
  <si>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</si>
  <si>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</si>
  <si>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</si>
  <si>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</si>
  <si>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</si>
  <si>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</si>
  <si>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</si>
  <si>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</si>
  <si>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</si>
  <si>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</si>
  <si>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</si>
  <si>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</si>
  <si>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</si>
  <si>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</si>
  <si>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</si>
  <si>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</si>
  <si>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</si>
  <si>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</si>
  <si>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</si>
  <si>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</si>
  <si>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</si>
  <si>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</si>
  <si>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</si>
  <si>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</si>
  <si>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</si>
  <si>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</si>
  <si>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</si>
  <si>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</si>
  <si>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</si>
  <si>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</si>
  <si>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</si>
  <si>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</si>
  <si>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</si>
  <si>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</si>
  <si>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</si>
  <si>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</si>
  <si>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</si>
  <si>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</si>
  <si>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</si>
  <si>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</si>
  <si>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</si>
  <si>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</si>
  <si>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</si>
  <si>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</si>
  <si>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</si>
  <si>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</si>
  <si>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</si>
  <si>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</si>
  <si>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</si>
  <si>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</si>
  <si>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</si>
  <si>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</si>
  <si>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</si>
  <si>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</si>
  <si>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</si>
  <si>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</si>
  <si>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</si>
  <si>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</si>
  <si>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</si>
  <si>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</si>
  <si>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</si>
  <si>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</si>
  <si>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</si>
  <si>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</si>
  <si>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</si>
  <si>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</si>
  <si>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</si>
  <si>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</si>
  <si>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</si>
  <si>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</si>
  <si>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</si>
  <si>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</si>
  <si>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</si>
  <si>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</si>
  <si>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</si>
  <si>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</si>
  <si>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</si>
  <si>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</si>
  <si>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</si>
  <si>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</si>
  <si>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</si>
  <si>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</si>
  <si>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</si>
  <si>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</si>
  <si>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</si>
  <si>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</si>
  <si>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</si>
  <si>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</si>
  <si>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</si>
  <si>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</si>
  <si>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</si>
  <si>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</si>
  <si>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</si>
  <si>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</si>
  <si>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</si>
  <si>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</si>
  <si>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</si>
  <si>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</si>
  <si>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</si>
  <si>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</si>
  <si>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</si>
  <si>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</si>
  <si>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</si>
  <si>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</si>
  <si>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</si>
  <si>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</si>
  <si>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</si>
  <si>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</si>
  <si>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</si>
  <si>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</si>
  <si>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</si>
  <si>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</si>
  <si>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</si>
  <si>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</si>
  <si>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</si>
  <si>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</si>
  <si>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</si>
  <si>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</si>
  <si>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</si>
  <si>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</si>
  <si>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</si>
  <si>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</si>
  <si>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</si>
  <si>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</si>
  <si>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</si>
  <si>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</si>
  <si>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</si>
  <si>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</si>
  <si>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</si>
  <si>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</si>
  <si>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</si>
  <si>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</si>
  <si>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</si>
  <si>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</si>
  <si>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</si>
  <si>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</si>
  <si>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</si>
  <si>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</si>
  <si>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</si>
  <si>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</si>
  <si>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</si>
  <si>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</si>
  <si>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</si>
  <si>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</si>
  <si>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</si>
  <si>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</si>
  <si>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</si>
  <si>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</si>
  <si>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</si>
  <si>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</si>
  <si>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</si>
  <si>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</si>
  <si>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</si>
  <si>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</si>
  <si>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</si>
  <si>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</si>
  <si>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</si>
  <si>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</si>
  <si>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</si>
  <si>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</si>
  <si>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</si>
  <si>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</si>
  <si>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</si>
  <si>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</si>
  <si>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</si>
  <si>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</si>
  <si>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</si>
  <si>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</si>
  <si>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</si>
  <si>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</si>
  <si>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</si>
  <si>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</si>
  <si>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</si>
  <si>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</si>
  <si>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</si>
  <si>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</si>
  <si>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</si>
  <si>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</si>
  <si>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</si>
  <si>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</si>
  <si>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</si>
  <si>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</si>
  <si>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</si>
  <si>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</si>
  <si>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</si>
  <si>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</si>
  <si>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</si>
  <si>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</si>
  <si>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</si>
  <si>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</si>
  <si>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</si>
  <si>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</si>
  <si>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</si>
  <si>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</si>
  <si>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</si>
  <si>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</si>
  <si>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</si>
  <si>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</si>
  <si>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</si>
  <si>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</si>
  <si>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</si>
  <si>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</si>
  <si>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</si>
  <si>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</si>
  <si>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</si>
  <si>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</si>
  <si>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</si>
  <si>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</si>
  <si>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</si>
  <si>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</si>
  <si>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</si>
  <si>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</si>
  <si>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</si>
  <si>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</si>
  <si>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</si>
  <si>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</si>
  <si>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</si>
  <si>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</si>
  <si>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</si>
  <si>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</si>
  <si>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</si>
  <si>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</si>
  <si>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</si>
  <si>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</si>
  <si>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</si>
  <si>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</si>
  <si>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</si>
  <si>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</si>
  <si>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</si>
  <si>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</si>
  <si>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</si>
  <si>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</si>
  <si>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</si>
  <si>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</si>
  <si>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</si>
  <si>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</si>
  <si>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</si>
  <si>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</si>
  <si>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</si>
  <si>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</si>
  <si>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</si>
  <si>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</si>
  <si>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</si>
  <si>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</si>
  <si>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</si>
  <si>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</si>
  <si>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</si>
  <si>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</si>
  <si>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</si>
  <si>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</si>
  <si>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</si>
  <si>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</si>
  <si>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</si>
  <si>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</si>
  <si>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</si>
  <si>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</si>
  <si>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</si>
  <si>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</si>
  <si>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</si>
  <si>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</si>
  <si>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</si>
  <si>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</si>
  <si>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</si>
  <si>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</si>
  <si>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</si>
  <si>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</si>
  <si>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</si>
  <si>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</si>
  <si>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</si>
  <si>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</si>
  <si>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</si>
  <si>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</si>
  <si>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</si>
  <si>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</si>
  <si>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</si>
  <si>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</si>
  <si>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</si>
  <si>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</si>
  <si>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</si>
  <si>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</si>
  <si>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</si>
  <si>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</si>
  <si>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</si>
  <si>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</si>
  <si>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</si>
  <si>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</si>
  <si>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</si>
  <si>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</si>
  <si>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</si>
  <si>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</si>
  <si>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</si>
  <si>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</si>
  <si>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</si>
  <si>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</si>
  <si>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</si>
  <si>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</si>
  <si>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</si>
  <si>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</si>
  <si>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</si>
  <si>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</si>
  <si>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</si>
  <si>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</si>
  <si>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</si>
  <si>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</si>
  <si>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</si>
  <si>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</si>
  <si>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</si>
  <si>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</si>
  <si>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</si>
  <si>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</si>
  <si>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</si>
  <si>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</si>
  <si>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</si>
  <si>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</si>
  <si>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</si>
  <si>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</si>
  <si>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</si>
  <si>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</si>
  <si>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</si>
  <si>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</si>
  <si>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</si>
  <si>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</si>
  <si>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</si>
  <si>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</si>
  <si>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</si>
  <si>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</si>
  <si>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</si>
  <si>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</si>
  <si>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</si>
  <si>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</si>
  <si>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</si>
  <si>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</si>
  <si>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</si>
  <si>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</si>
  <si>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</si>
  <si>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</si>
  <si>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</si>
  <si>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</si>
  <si>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</si>
  <si>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</si>
  <si>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</si>
  <si>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</si>
  <si>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</si>
  <si>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</si>
  <si>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</si>
  <si>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</si>
  <si>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</si>
  <si>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</si>
  <si>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</si>
  <si>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</si>
  <si>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</si>
  <si>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</si>
  <si>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</si>
  <si>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</si>
  <si>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</si>
  <si>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</si>
  <si>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</si>
  <si>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</si>
  <si>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</si>
  <si>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</si>
  <si>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</si>
  <si>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</si>
  <si>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</si>
  <si>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</si>
  <si>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</si>
  <si>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</si>
  <si>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</si>
  <si>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</si>
  <si>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</si>
  <si>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</si>
  <si>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</si>
  <si>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</si>
  <si>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</si>
  <si>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</si>
  <si>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</si>
  <si>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</si>
  <si>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</si>
  <si>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</si>
  <si>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</si>
  <si>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</si>
  <si>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</si>
  <si>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</si>
  <si>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</si>
  <si>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</si>
  <si>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</si>
  <si>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</si>
  <si>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</si>
  <si>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</si>
  <si>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</si>
  <si>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</si>
  <si>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</si>
  <si>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</si>
  <si>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</si>
  <si>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</si>
  <si>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</si>
  <si>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</si>
  <si>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</si>
  <si>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</si>
  <si>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</si>
  <si>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</si>
  <si>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</si>
  <si>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</si>
  <si>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</si>
  <si>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</si>
  <si>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</si>
  <si>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</si>
  <si>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</si>
  <si>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</si>
  <si>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</si>
  <si>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</si>
  <si>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</si>
  <si>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</si>
  <si>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</si>
  <si>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</si>
  <si>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</si>
  <si>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</si>
  <si>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</si>
  <si>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</si>
  <si>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</si>
  <si>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</si>
  <si>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</si>
  <si>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</si>
  <si>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</si>
  <si>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</si>
  <si>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</si>
  <si>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</si>
  <si>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</si>
  <si>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</si>
  <si>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</si>
  <si>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</si>
  <si>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</si>
  <si>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</si>
  <si>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</si>
  <si>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</si>
  <si>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</si>
  <si>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</si>
  <si>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</si>
  <si>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</si>
  <si>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</si>
  <si>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</si>
  <si>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</si>
  <si>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</si>
  <si>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</si>
  <si>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</si>
  <si>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</si>
  <si>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</si>
  <si>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</si>
  <si>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</si>
  <si>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</si>
  <si>
    <t>No</t>
  </si>
  <si>
    <t>Beta Analysis</t>
  </si>
  <si>
    <t>Selected Guideline Public Companies</t>
  </si>
  <si>
    <t>Market Value of Common Equity</t>
  </si>
  <si>
    <t>Book Value of Debt to Equity</t>
  </si>
  <si>
    <t>Book Value of Debt to Capital (Wd)</t>
  </si>
  <si>
    <t>Effective Income Tax Rate (2)</t>
  </si>
  <si>
    <t>Summary Analysis</t>
  </si>
  <si>
    <t>Max</t>
  </si>
  <si>
    <t>Min</t>
  </si>
  <si>
    <t>Mean</t>
  </si>
  <si>
    <t>Median</t>
  </si>
  <si>
    <t>Excluding outliers</t>
  </si>
  <si>
    <t>Relevered beta calculation (Practitioner's method)</t>
  </si>
  <si>
    <t>Selected Unlevered (Asset) beta</t>
  </si>
  <si>
    <t>Target debt to capital</t>
  </si>
  <si>
    <t>Relevered (Equity) beta</t>
  </si>
  <si>
    <t>Weighted Average Cost of Capital</t>
  </si>
  <si>
    <t>Additional risk premium based on perceived uncertainties associated with operating forecast</t>
  </si>
  <si>
    <t>Risk premium specific to an investment in the subject Country (4)</t>
  </si>
  <si>
    <t>Re = Rf + Be (Rm - Rf) + SP + ARP + CRP</t>
  </si>
  <si>
    <t>USD</t>
  </si>
  <si>
    <t>Country Risk Premium</t>
  </si>
  <si>
    <t>Rd = Pre-tax Rd x (1 - T)</t>
  </si>
  <si>
    <t>Footnotes:</t>
  </si>
  <si>
    <t>Source: Capital IQ.</t>
  </si>
  <si>
    <t>Effective tax rates for the selected  guideline companies are normalised at the domicile statutory rate if the effective tax rate is a) below 0%, or b) above 55%, in order to offset the use of NOL carryforwards, R&amp;D tax credits, etc.</t>
  </si>
  <si>
    <t>The estimated Equity Risk Premium (ERP), which equals Rm - Rf, incorporates perspective provided by recent long-term market return studies and historical data compiled by Morningstar (formerly Ibbotson Associates).</t>
  </si>
  <si>
    <t>The estimated Country Risk Premium (CRP), estimates risk associated with investing in foreign countries, over and above that considered in the Rf and ERP.</t>
  </si>
  <si>
    <t>Inventory Turnover (Days)</t>
  </si>
  <si>
    <t>Accrued Expenses</t>
  </si>
  <si>
    <t>Total Current Liabilities</t>
  </si>
  <si>
    <t>NA</t>
  </si>
  <si>
    <t>&lt;&lt; Report table format for guideline transactions</t>
  </si>
  <si>
    <t>Market Approach: Guideline Transaction Method - Indication of Value</t>
  </si>
  <si>
    <t>Disclosed financial information for completed transactions</t>
  </si>
  <si>
    <t>Exclude as outlier?</t>
  </si>
  <si>
    <t>Date</t>
  </si>
  <si>
    <t>Target</t>
  </si>
  <si>
    <t>Acquiror name</t>
  </si>
  <si>
    <t>EV</t>
  </si>
  <si>
    <t>Revenue</t>
  </si>
  <si>
    <t>EBITDA</t>
  </si>
  <si>
    <t>EBITDA margin</t>
  </si>
  <si>
    <t>EV / Revenue</t>
  </si>
  <si>
    <t>EV / EBITDA</t>
  </si>
  <si>
    <t>-</t>
  </si>
  <si>
    <t>Market Approach: Guideline Public Company Method - Comparative Valuation Multiples</t>
  </si>
  <si>
    <t>EBITDA Margin</t>
  </si>
  <si>
    <t>EBIT Margin</t>
  </si>
  <si>
    <t>Enterprise Value / Revenue</t>
  </si>
  <si>
    <t>Enterprise Value / EBITDA</t>
  </si>
  <si>
    <t>Enterprise Value / EBIT</t>
  </si>
  <si>
    <t>Price/Revenue</t>
  </si>
  <si>
    <t>Price/Earnings</t>
  </si>
  <si>
    <t>Price/Book</t>
  </si>
  <si>
    <t>Last Fiscal Year End</t>
  </si>
  <si>
    <t>Enterprise Value</t>
  </si>
  <si>
    <t>FYE -1</t>
  </si>
  <si>
    <t>FYE+3</t>
  </si>
  <si>
    <t>75th Percentile</t>
  </si>
  <si>
    <t>25th Percentile</t>
  </si>
  <si>
    <t>Revenue Growth (2 year CAGR)</t>
  </si>
  <si>
    <t>EBITDA Growth (2 Year CAGR)</t>
  </si>
  <si>
    <t>EBITDA margin FYE</t>
  </si>
  <si>
    <t>FYE+1</t>
  </si>
  <si>
    <t>FYE+2</t>
  </si>
  <si>
    <t>Example linear regression</t>
  </si>
  <si>
    <t>Ticker Symbol</t>
  </si>
  <si>
    <t>Market Price</t>
  </si>
  <si>
    <t>Preferred Stock</t>
  </si>
  <si>
    <t>Adjusted Market Value of Stockholders' Equity</t>
  </si>
  <si>
    <t>Minority Interest</t>
  </si>
  <si>
    <t>Total Interest-Bearing Debt</t>
  </si>
  <si>
    <t>Less: Cash &amp; Cash Equivalents</t>
  </si>
  <si>
    <t>Less: Investments in Associated Companies</t>
  </si>
  <si>
    <t>Market Value of Cash-Adjusted Enterprise Value</t>
  </si>
  <si>
    <t>Market Capitalisation (Local Currency)</t>
  </si>
  <si>
    <t>Enterprise Value 
(Local Currency)</t>
  </si>
  <si>
    <t>Local Currency</t>
  </si>
  <si>
    <t>Guideline Companies: Revenue and EBITDA Growth Trends</t>
  </si>
  <si>
    <t>Projected</t>
  </si>
  <si>
    <t>Historical Growth</t>
  </si>
  <si>
    <t>Projected Growth</t>
  </si>
  <si>
    <t/>
  </si>
  <si>
    <t>2 Year CAGR</t>
  </si>
  <si>
    <t>Last FYE</t>
  </si>
  <si>
    <t>FYE + 1</t>
  </si>
  <si>
    <t>FYE + 2</t>
  </si>
  <si>
    <t>FYE + 3</t>
  </si>
  <si>
    <t>FYE - 3</t>
  </si>
  <si>
    <t>FYE -2</t>
  </si>
  <si>
    <t>3 Year CAGR</t>
  </si>
  <si>
    <t>Guideline Companies: EBITDA and EBIT margins</t>
  </si>
  <si>
    <t>EBIT</t>
  </si>
  <si>
    <t>Guideline Companies: Capital Exenditures</t>
  </si>
  <si>
    <t>Working Capital as % of Revenue</t>
  </si>
  <si>
    <t>Company name</t>
  </si>
  <si>
    <t>Calculation is:</t>
  </si>
  <si>
    <t>Total Current assets</t>
  </si>
  <si>
    <t>Row 210 CIQL</t>
  </si>
  <si>
    <t>Cash and equivalents</t>
  </si>
  <si>
    <t>Row 202 CIQL</t>
  </si>
  <si>
    <t>( Total Current Liabilities - Current Debt)</t>
  </si>
  <si>
    <t>Row 244-236 CIQL</t>
  </si>
  <si>
    <t>/</t>
  </si>
  <si>
    <t>Weight</t>
  </si>
  <si>
    <t>Opening Balance</t>
  </si>
  <si>
    <t>Useful Life</t>
  </si>
  <si>
    <t>Market Approach: Guideline Public Company Method - Business Descriptions</t>
  </si>
  <si>
    <t>Guideline public companies - detailed descriptions</t>
  </si>
  <si>
    <t>Name</t>
  </si>
  <si>
    <t>Industry</t>
  </si>
  <si>
    <t>Summary Description</t>
  </si>
  <si>
    <t>Market Approach: Guideline Public Company Method - Comparative Historical Financial Ratios</t>
  </si>
  <si>
    <t>Liquidity Ratios</t>
  </si>
  <si>
    <t>Leverage Ratios</t>
  </si>
  <si>
    <t>Operating Efficiency Ratios</t>
  </si>
  <si>
    <t>Profitability Ratios</t>
  </si>
  <si>
    <t>Revenue Growth</t>
  </si>
  <si>
    <t>Net Income Growth</t>
  </si>
  <si>
    <t>EBITDA Growth</t>
  </si>
  <si>
    <t>Equity Growth</t>
  </si>
  <si>
    <t>Current Ratio</t>
  </si>
  <si>
    <t>Quick Ratio</t>
  </si>
  <si>
    <t>Interest Coverage Before Tax</t>
  </si>
  <si>
    <t>Interest Coverage After Tax</t>
  </si>
  <si>
    <t>Long-Term Debt / Equity</t>
  </si>
  <si>
    <t>Total Debt / Invested Capital</t>
  </si>
  <si>
    <t>Total Debt / Total Assets</t>
  </si>
  <si>
    <t>Total Liabilities / Equity</t>
  </si>
  <si>
    <t>Total Debt / Total Market Capitalization</t>
  </si>
  <si>
    <t>Revenue / Total Assets</t>
  </si>
  <si>
    <t>Revenue / Receivables</t>
  </si>
  <si>
    <t>Receivable Turnover (Days)</t>
  </si>
  <si>
    <t>COGS / Inventory</t>
  </si>
  <si>
    <t>COGS / Payables</t>
  </si>
  <si>
    <t>Payable Turnover (Days)</t>
  </si>
  <si>
    <t>Return on Assets</t>
  </si>
  <si>
    <t>Return on Equity</t>
  </si>
  <si>
    <t>Return on Invested Capital</t>
  </si>
  <si>
    <t>Return on Market Value of Equity</t>
  </si>
  <si>
    <t>Pretax Profit Margin</t>
  </si>
  <si>
    <t>Net Profit Margin</t>
  </si>
  <si>
    <t>Previous Fiscal Year</t>
  </si>
  <si>
    <t>Latest Fiscal Year</t>
  </si>
  <si>
    <t>Three-year Historic CAGR</t>
  </si>
  <si>
    <t>Other Assets</t>
  </si>
  <si>
    <t>Long-Term Investments</t>
  </si>
  <si>
    <t>Investment in Affiliates</t>
  </si>
  <si>
    <t>Investment in Restricted Equity Securities</t>
  </si>
  <si>
    <t>Goodwill</t>
  </si>
  <si>
    <t>Intangible Assets, Net</t>
  </si>
  <si>
    <t>Noncurrent Notes Receivable</t>
  </si>
  <si>
    <t>Noncurrent Related Party Note Receivable</t>
  </si>
  <si>
    <t>Deferred Income Taxes</t>
  </si>
  <si>
    <t>Deferred Loan Origination Fees, Net</t>
  </si>
  <si>
    <t>Other</t>
  </si>
  <si>
    <t>Total Other Assets</t>
  </si>
  <si>
    <t>Property, Plant &amp; Equipment</t>
  </si>
  <si>
    <t>Item I</t>
  </si>
  <si>
    <t>Item II</t>
  </si>
  <si>
    <t>Item III</t>
  </si>
  <si>
    <t>Item IV</t>
  </si>
  <si>
    <t>Gross Property, Plant &amp; Equipment</t>
  </si>
  <si>
    <t>Less: Depreciation</t>
  </si>
  <si>
    <t>Net Property, Plant &amp; Equipment</t>
  </si>
  <si>
    <t>Current Assets</t>
  </si>
  <si>
    <t>Cash &amp; Equivalents</t>
  </si>
  <si>
    <t>Accounts Receivable, Net</t>
  </si>
  <si>
    <t>Trade &amp; Other</t>
  </si>
  <si>
    <t>Related Party</t>
  </si>
  <si>
    <t>Notes Receivable, Current Portion</t>
  </si>
  <si>
    <t>Inventories</t>
  </si>
  <si>
    <t>Income Tax Receivable</t>
  </si>
  <si>
    <t>Prepaid Expenses &amp; Other</t>
  </si>
  <si>
    <t>Total Current Assets</t>
  </si>
  <si>
    <t>Total Assets</t>
  </si>
  <si>
    <t>Liabilities &amp; Equity</t>
  </si>
  <si>
    <t>Notes Payable</t>
  </si>
  <si>
    <t>Current Installments of Long-Term Debt</t>
  </si>
  <si>
    <t>Accounts Payable</t>
  </si>
  <si>
    <t>Income Taxes Payable</t>
  </si>
  <si>
    <t>Taxes, Other than Income</t>
  </si>
  <si>
    <t>Capital Leases</t>
  </si>
  <si>
    <t>Other Current Liabilities</t>
  </si>
  <si>
    <t>Deferred Revenue, Current</t>
  </si>
  <si>
    <t>Long-Term Liabilities</t>
  </si>
  <si>
    <t>Deferred Revenue, Noncurrent</t>
  </si>
  <si>
    <t>Other Long-Term Liabilities</t>
  </si>
  <si>
    <t>Long Term Debt, Noncurrent</t>
  </si>
  <si>
    <t>Total Long-Term Liabilities</t>
  </si>
  <si>
    <t>Total Liabilities</t>
  </si>
  <si>
    <t>Shareholders' Equity</t>
  </si>
  <si>
    <t xml:space="preserve">Common Stock </t>
  </si>
  <si>
    <t>Treasury Stock</t>
  </si>
  <si>
    <t>Additional Paid in Capital</t>
  </si>
  <si>
    <t>Accumulated Other Comprehensive Income</t>
  </si>
  <si>
    <t>Receivable from Shareholder</t>
  </si>
  <si>
    <t>Retained Earnings</t>
  </si>
  <si>
    <t>Total Shareholders' Equity</t>
  </si>
  <si>
    <t>Total Liabilities &amp; Equity</t>
  </si>
  <si>
    <t>Revenue:</t>
  </si>
  <si>
    <t>Cost of Revenue:</t>
  </si>
  <si>
    <t>Operating Expenses:</t>
  </si>
  <si>
    <t>Total Operating Expenses</t>
  </si>
  <si>
    <t>Net Gain (Loss) on Dispositions of Assets</t>
  </si>
  <si>
    <t>Equity in Earnings (Loss) of Affiliates</t>
  </si>
  <si>
    <t>Special Items</t>
  </si>
  <si>
    <t>Other Expense</t>
  </si>
  <si>
    <t>Total Other Income (Expense)</t>
  </si>
  <si>
    <t>Provision for Income Taxes (Benefit)</t>
  </si>
  <si>
    <t>Income (Loss) Before Extraordinary Items</t>
  </si>
  <si>
    <t>Preferred Dividends</t>
  </si>
  <si>
    <t>Income (Loss) Available to Common</t>
  </si>
  <si>
    <t>Extraordinary Items</t>
  </si>
  <si>
    <t>Discontinued Operations</t>
  </si>
  <si>
    <t>Net Income (Loss)</t>
  </si>
  <si>
    <t>2004 (1)</t>
  </si>
  <si>
    <t>2005 (1)</t>
  </si>
  <si>
    <t>2006 (1)</t>
  </si>
  <si>
    <t>2007 (1)</t>
  </si>
  <si>
    <t>2008 (2)</t>
  </si>
  <si>
    <t>2009 (3)</t>
  </si>
  <si>
    <t>2010 (4)</t>
  </si>
  <si>
    <t>2011 (5)</t>
  </si>
  <si>
    <t>2012 (6)</t>
  </si>
  <si>
    <t>2013 (7)</t>
  </si>
  <si>
    <t>2014 (1)</t>
  </si>
  <si>
    <t>2015 (1)</t>
  </si>
  <si>
    <t>2016 (1)</t>
  </si>
  <si>
    <t>2017 (1)</t>
  </si>
  <si>
    <t>2018 (1)</t>
  </si>
  <si>
    <t>2019 (1)</t>
  </si>
  <si>
    <t>Market Capitalization of</t>
  </si>
  <si>
    <t>Size Premium (Return</t>
  </si>
  <si>
    <t>Smallest Company</t>
  </si>
  <si>
    <t>Largest Company</t>
  </si>
  <si>
    <t>in Excess of CAPM)</t>
  </si>
  <si>
    <t>Decile</t>
  </si>
  <si>
    <t>3-5</t>
  </si>
  <si>
    <t>6-8</t>
  </si>
  <si>
    <t>9-10</t>
  </si>
  <si>
    <t>Breakdown of Deciles 1-10</t>
  </si>
  <si>
    <t>1st</t>
  </si>
  <si>
    <t>2nd</t>
  </si>
  <si>
    <t>3rd</t>
  </si>
  <si>
    <t>4th</t>
  </si>
  <si>
    <t>5th</t>
  </si>
  <si>
    <t>6th</t>
  </si>
  <si>
    <t>7th</t>
  </si>
  <si>
    <t>8th</t>
  </si>
  <si>
    <t>9th</t>
  </si>
  <si>
    <t>10th</t>
  </si>
  <si>
    <t>Breakdown of the 10th Decile</t>
  </si>
  <si>
    <t>10a</t>
  </si>
  <si>
    <t>10w</t>
  </si>
  <si>
    <t>10x</t>
  </si>
  <si>
    <t>10b</t>
  </si>
  <si>
    <t>10y</t>
  </si>
  <si>
    <t>10z</t>
  </si>
  <si>
    <t>Selected Ibbotson SBBI Valuation Yearbook</t>
  </si>
  <si>
    <t>Value of Equity</t>
  </si>
  <si>
    <t>Selected Decile</t>
  </si>
  <si>
    <t>Selected Size Premium</t>
  </si>
  <si>
    <t>Footnote:</t>
  </si>
  <si>
    <t>2004-2016 Ibbotson SBBI Valuation Yearbook, Morningstar, Inc.
2017-2019 SBBI Valuation Yearbook, Duff &amp; Phelps</t>
  </si>
  <si>
    <t>Moody's rating</t>
  </si>
  <si>
    <t>Abu Dhabi</t>
  </si>
  <si>
    <t>Aa2</t>
  </si>
  <si>
    <t>Albania</t>
  </si>
  <si>
    <t>B1</t>
  </si>
  <si>
    <t>A1</t>
  </si>
  <si>
    <t>Andorra (Principality of)</t>
  </si>
  <si>
    <t>Baa3</t>
  </si>
  <si>
    <t>A2</t>
  </si>
  <si>
    <t>Angola</t>
  </si>
  <si>
    <t>B3</t>
  </si>
  <si>
    <t>A3</t>
  </si>
  <si>
    <t>Ca</t>
  </si>
  <si>
    <t>Aa1</t>
  </si>
  <si>
    <t>Armenia</t>
  </si>
  <si>
    <t>Ba3</t>
  </si>
  <si>
    <t>Aruba</t>
  </si>
  <si>
    <t>Baa1</t>
  </si>
  <si>
    <t>Aa3</t>
  </si>
  <si>
    <t>Aaa</t>
  </si>
  <si>
    <t>Azerbaijan</t>
  </si>
  <si>
    <t>Ba2</t>
  </si>
  <si>
    <t>B2</t>
  </si>
  <si>
    <t>Bahamas</t>
  </si>
  <si>
    <t>Bahrain</t>
  </si>
  <si>
    <t>Ba1</t>
  </si>
  <si>
    <t>Bangladesh</t>
  </si>
  <si>
    <t>Barbados</t>
  </si>
  <si>
    <t>Caa1</t>
  </si>
  <si>
    <t>Belarus</t>
  </si>
  <si>
    <t>Baa2</t>
  </si>
  <si>
    <t>Belize</t>
  </si>
  <si>
    <t>Benin</t>
  </si>
  <si>
    <t>Bermuda</t>
  </si>
  <si>
    <t>Bolivia</t>
  </si>
  <si>
    <t>Bosnia and Herzegovina</t>
  </si>
  <si>
    <t>Botswana</t>
  </si>
  <si>
    <t>NR</t>
  </si>
  <si>
    <t>Burkina Faso</t>
  </si>
  <si>
    <t>Cambodia</t>
  </si>
  <si>
    <t>Cameroon</t>
  </si>
  <si>
    <t>Cape Verde</t>
  </si>
  <si>
    <t>Cayman Islands</t>
  </si>
  <si>
    <t>Colombia</t>
  </si>
  <si>
    <t>Congo (Republic of)</t>
  </si>
  <si>
    <t>Caa2</t>
  </si>
  <si>
    <t>Cook Islands</t>
  </si>
  <si>
    <t>Costa Rica</t>
  </si>
  <si>
    <t>Cuba</t>
  </si>
  <si>
    <t>Cyprus</t>
  </si>
  <si>
    <t>Dominican Republic</t>
  </si>
  <si>
    <t>Ecuador</t>
  </si>
  <si>
    <t>Caa3</t>
  </si>
  <si>
    <t>El Salvador</t>
  </si>
  <si>
    <t>Estonia</t>
  </si>
  <si>
    <t>Ethiopia</t>
  </si>
  <si>
    <t>Fiji</t>
  </si>
  <si>
    <t>Finland</t>
  </si>
  <si>
    <t>Gabon</t>
  </si>
  <si>
    <t>Georgia</t>
  </si>
  <si>
    <t>Ghana</t>
  </si>
  <si>
    <t>Greece</t>
  </si>
  <si>
    <t>Guatemala</t>
  </si>
  <si>
    <t>Guernsey (States of)</t>
  </si>
  <si>
    <t>Honduras</t>
  </si>
  <si>
    <t>Iraq</t>
  </si>
  <si>
    <t>Isle of Man</t>
  </si>
  <si>
    <t>Jamaica</t>
  </si>
  <si>
    <t>Jersey (States of)</t>
  </si>
  <si>
    <t>Jordan</t>
  </si>
  <si>
    <t>Kazakhstan</t>
  </si>
  <si>
    <t>Kuwait</t>
  </si>
  <si>
    <t>Kyrgyzstan</t>
  </si>
  <si>
    <t>Laos</t>
  </si>
  <si>
    <t>Latvia</t>
  </si>
  <si>
    <t>Lebanon</t>
  </si>
  <si>
    <t>Liechtenstein</t>
  </si>
  <si>
    <t>Lithuania</t>
  </si>
  <si>
    <t>Macedonia</t>
  </si>
  <si>
    <t>Maldives</t>
  </si>
  <si>
    <t>Mali</t>
  </si>
  <si>
    <t>Malta</t>
  </si>
  <si>
    <t>Mauritius</t>
  </si>
  <si>
    <t>Moldova</t>
  </si>
  <si>
    <t>Mongolia</t>
  </si>
  <si>
    <t>Montenegro</t>
  </si>
  <si>
    <t>Montserrat</t>
  </si>
  <si>
    <t>Mozambique</t>
  </si>
  <si>
    <t>Namibia</t>
  </si>
  <si>
    <t>Nicaragua</t>
  </si>
  <si>
    <t>Niger</t>
  </si>
  <si>
    <t>Oman</t>
  </si>
  <si>
    <t>Pakistan</t>
  </si>
  <si>
    <t>Panama</t>
  </si>
  <si>
    <t>Papua New Guinea</t>
  </si>
  <si>
    <t>Paraguay</t>
  </si>
  <si>
    <t>Peru</t>
  </si>
  <si>
    <t>Portugal</t>
  </si>
  <si>
    <t>Ras Al Khaimah (Emirate of)</t>
  </si>
  <si>
    <t>Rwanda</t>
  </si>
  <si>
    <t>Senegal</t>
  </si>
  <si>
    <t>Serbia</t>
  </si>
  <si>
    <t>Sharjah</t>
  </si>
  <si>
    <t>Slovakia</t>
  </si>
  <si>
    <t>Slovenia</t>
  </si>
  <si>
    <t>Solomon Islands</t>
  </si>
  <si>
    <t>St. Maarten</t>
  </si>
  <si>
    <t>St. Vincent &amp; the Grenadines</t>
  </si>
  <si>
    <t>Suriname</t>
  </si>
  <si>
    <t>Swaziland</t>
  </si>
  <si>
    <t>Tajikistan</t>
  </si>
  <si>
    <t>Tanzania</t>
  </si>
  <si>
    <t>Togo</t>
  </si>
  <si>
    <t>Tunisia</t>
  </si>
  <si>
    <t>Uganda</t>
  </si>
  <si>
    <t>Ukraine</t>
  </si>
  <si>
    <t>United Arab Emirates</t>
  </si>
  <si>
    <t>Uruguay</t>
  </si>
  <si>
    <t>Uzbekistan</t>
  </si>
  <si>
    <t>Venezuela</t>
  </si>
  <si>
    <t>Algeria</t>
  </si>
  <si>
    <t>Brunei</t>
  </si>
  <si>
    <t>Gambia</t>
  </si>
  <si>
    <t>Guinea</t>
  </si>
  <si>
    <t>Guinea-Bissau</t>
  </si>
  <si>
    <t>Guyana</t>
  </si>
  <si>
    <t>Haiti</t>
  </si>
  <si>
    <t>Iran</t>
  </si>
  <si>
    <t>Korea, D.P.R.</t>
  </si>
  <si>
    <t>Liberia</t>
  </si>
  <si>
    <t>Libya</t>
  </si>
  <si>
    <t>Madagascar</t>
  </si>
  <si>
    <t>Malawi</t>
  </si>
  <si>
    <t>Myanmar</t>
  </si>
  <si>
    <t>Sierra Leone</t>
  </si>
  <si>
    <t>Somalia</t>
  </si>
  <si>
    <t>Sudan</t>
  </si>
  <si>
    <t>Syria</t>
  </si>
  <si>
    <t>Zimbabwe</t>
  </si>
  <si>
    <t>First Listing Date</t>
  </si>
  <si>
    <t>Number of shares outstanding</t>
  </si>
  <si>
    <t>Average daily trading volume over last year</t>
  </si>
  <si>
    <t>Average daily trading volume / Total shares outstanding</t>
  </si>
  <si>
    <t>Afghanistan</t>
  </si>
  <si>
    <t>EUR</t>
  </si>
  <si>
    <t>Anguilla</t>
  </si>
  <si>
    <t>INR</t>
  </si>
  <si>
    <t>CAD</t>
  </si>
  <si>
    <t>Gibraltar</t>
  </si>
  <si>
    <t>Ivory Coast</t>
  </si>
  <si>
    <t>Macau</t>
  </si>
  <si>
    <t>Monaco</t>
  </si>
  <si>
    <t>Saint Lucia</t>
  </si>
  <si>
    <t>Samoa</t>
  </si>
  <si>
    <t>Vanuatu</t>
  </si>
  <si>
    <t>Yemen</t>
  </si>
  <si>
    <t>SAR</t>
  </si>
  <si>
    <t>Capital structure summary - Debt/Equity</t>
  </si>
  <si>
    <t>Capital structure summary - Debt/Capital</t>
  </si>
  <si>
    <t>Guideline Companies</t>
  </si>
  <si>
    <t>FYE -3</t>
  </si>
  <si>
    <t>5Yr Average</t>
  </si>
  <si>
    <t>2Yr Average</t>
  </si>
  <si>
    <t>Net Income</t>
  </si>
  <si>
    <t>Model Code</t>
  </si>
  <si>
    <t>Input</t>
  </si>
  <si>
    <t>Prepared by:</t>
  </si>
  <si>
    <t>Link</t>
  </si>
  <si>
    <t>Model Purpose:</t>
  </si>
  <si>
    <t>Formula</t>
  </si>
  <si>
    <t xml:space="preserve">Last Updated: </t>
  </si>
  <si>
    <t>Deviant</t>
  </si>
  <si>
    <t>Blank cell</t>
  </si>
  <si>
    <t>Disclaimer</t>
  </si>
  <si>
    <t>Total Operating Expense</t>
  </si>
  <si>
    <t>Operating income</t>
  </si>
  <si>
    <t>Price/BV</t>
  </si>
  <si>
    <t>Price/LTM Earnings</t>
  </si>
  <si>
    <t>EV/Revenue</t>
  </si>
  <si>
    <t>EV/EBIT</t>
  </si>
  <si>
    <t>Total debt</t>
  </si>
  <si>
    <t>LTM EBITDA</t>
  </si>
  <si>
    <t>LTM</t>
  </si>
  <si>
    <t>General Company Data</t>
  </si>
  <si>
    <t>Summary Forecast Outputs</t>
  </si>
  <si>
    <t>Direct Costs</t>
  </si>
  <si>
    <t>Net Margin</t>
  </si>
  <si>
    <t>Gross Margin</t>
  </si>
  <si>
    <t>Capex</t>
  </si>
  <si>
    <t>Sales Volumes</t>
  </si>
  <si>
    <t>Model Workings &gt;&gt;</t>
  </si>
  <si>
    <t>Model Summary &gt;&gt;</t>
  </si>
  <si>
    <t>Income Statement Calculations</t>
  </si>
  <si>
    <t>Revenue share (%)</t>
  </si>
  <si>
    <t xml:space="preserve">Cost of goods sold </t>
  </si>
  <si>
    <t>Selling, general and admin expenses</t>
  </si>
  <si>
    <t xml:space="preserve">Staff salaries </t>
  </si>
  <si>
    <t>Commission</t>
  </si>
  <si>
    <t>Rent</t>
  </si>
  <si>
    <t>Legal and professional fee</t>
  </si>
  <si>
    <t>Travelling &amp; communication</t>
  </si>
  <si>
    <t>Printing &amp; Stationary</t>
  </si>
  <si>
    <t>Sundry expenses</t>
  </si>
  <si>
    <t>Total G&amp;A expenses</t>
  </si>
  <si>
    <t>Selling, general and admin expenses as % of revenue</t>
  </si>
  <si>
    <t>Existing Revenue</t>
  </si>
  <si>
    <t>Total Revenue from Existing Streams</t>
  </si>
  <si>
    <t>Growth (%)</t>
  </si>
  <si>
    <t>Existing Revenue Streams</t>
  </si>
  <si>
    <t>COGS as a % of Revenue</t>
  </si>
  <si>
    <t>KPIs</t>
  </si>
  <si>
    <t>Revenue growth</t>
  </si>
  <si>
    <t>Net margin</t>
  </si>
  <si>
    <t>Total COGS on Existing Streams</t>
  </si>
  <si>
    <t>Total Cost of Goods Sold</t>
  </si>
  <si>
    <t>Total Revenues</t>
  </si>
  <si>
    <t>Pipeline Revenue Streams - Confirmed</t>
  </si>
  <si>
    <t>Potential Revenue Streams - Unconfirmed</t>
  </si>
  <si>
    <t>Pipeline Revenues</t>
  </si>
  <si>
    <t>Potential Revenues</t>
  </si>
  <si>
    <t>Total Revenue from Pipeline Streams</t>
  </si>
  <si>
    <t>Total Revenue from Potential Streams</t>
  </si>
  <si>
    <t xml:space="preserve">Revenue Schedule </t>
  </si>
  <si>
    <t>COGS on Existing Revenue</t>
  </si>
  <si>
    <t>COGS on Pipeline Revenue</t>
  </si>
  <si>
    <t>Total COGS on Pipeline Streams</t>
  </si>
  <si>
    <t>Total COGS on  Potential Streams</t>
  </si>
  <si>
    <t xml:space="preserve">Date of last update: </t>
  </si>
  <si>
    <t xml:space="preserve">Requested by: </t>
  </si>
  <si>
    <t>Business description</t>
  </si>
  <si>
    <t xml:space="preserve">Country of headquarters </t>
  </si>
  <si>
    <t xml:space="preserve">LTM Revenue </t>
  </si>
  <si>
    <t>LTM EBIT</t>
  </si>
  <si>
    <t xml:space="preserve">LTM EV </t>
  </si>
  <si>
    <t xml:space="preserve">5yr monthly Beta </t>
  </si>
  <si>
    <t>S.No.</t>
  </si>
  <si>
    <t>Market Cap. (USD Mn)</t>
  </si>
  <si>
    <t>Table 1: General Information,Market &amp; Sizing</t>
  </si>
  <si>
    <t>Effective Tax Rate</t>
  </si>
  <si>
    <t>Financial Period</t>
  </si>
  <si>
    <t>Last Twelve Months</t>
  </si>
  <si>
    <t>Enterprise Value as at</t>
  </si>
  <si>
    <t xml:space="preserve">1yr Weekly Beta </t>
  </si>
  <si>
    <t>Timeline Architecture</t>
  </si>
  <si>
    <t>Column Counter</t>
  </si>
  <si>
    <t>Time Stamp</t>
  </si>
  <si>
    <t>Stream 1</t>
  </si>
  <si>
    <t>Stream 2</t>
  </si>
  <si>
    <t>Stream 3</t>
  </si>
  <si>
    <t>Stream 4</t>
  </si>
  <si>
    <t>Revenue Streams</t>
  </si>
  <si>
    <t>Pipeline Revenue</t>
  </si>
  <si>
    <t>Potential Revenue</t>
  </si>
  <si>
    <t>Input product/service/client name below</t>
  </si>
  <si>
    <t>Revenue Build up: Price x Volume (if applicable)</t>
  </si>
  <si>
    <t>Price/Average Price per unit</t>
  </si>
  <si>
    <t>Income Statement</t>
  </si>
  <si>
    <t>COGS</t>
  </si>
  <si>
    <t>Balance Sheet</t>
  </si>
  <si>
    <t>Finance Cost</t>
  </si>
  <si>
    <t>Finance cost - Interest</t>
  </si>
  <si>
    <t>Bank Charges</t>
  </si>
  <si>
    <t>Total Finance Cost</t>
  </si>
  <si>
    <t>Balance Sheet Calculations</t>
  </si>
  <si>
    <t>Comp 1</t>
  </si>
  <si>
    <t>Comp 2</t>
  </si>
  <si>
    <t>Comp 3</t>
  </si>
  <si>
    <t>Comp 4</t>
  </si>
  <si>
    <t>Comp 5</t>
  </si>
  <si>
    <t>Comp 6</t>
  </si>
  <si>
    <t>Comp 7</t>
  </si>
  <si>
    <t>Comp 8</t>
  </si>
  <si>
    <t>Comp 9</t>
  </si>
  <si>
    <t>Comp 10</t>
  </si>
  <si>
    <t>Net Working Capital - Balance</t>
  </si>
  <si>
    <t>Total Net Working Capital</t>
  </si>
  <si>
    <t>Net Working Capital - Days</t>
  </si>
  <si>
    <t>Current Liabilities</t>
  </si>
  <si>
    <t>Total Net Working Capital Days</t>
  </si>
  <si>
    <t>References</t>
  </si>
  <si>
    <t>G&amp;A</t>
  </si>
  <si>
    <t>Transactions Data</t>
  </si>
  <si>
    <t>Target Name</t>
  </si>
  <si>
    <t>Acquiror Name</t>
  </si>
  <si>
    <t>XX</t>
  </si>
  <si>
    <t>Sources: Refinitiv EIKON</t>
  </si>
  <si>
    <t>Avg. weekly trading volume</t>
  </si>
  <si>
    <t>Debt to Equity Ratio</t>
  </si>
  <si>
    <t>Table 2A: Historical &amp; Forecast Financials</t>
  </si>
  <si>
    <t>Net Income in USD Millions</t>
  </si>
  <si>
    <t>Table 2B: Historical &amp; Forecast Financials</t>
  </si>
  <si>
    <t>Table 2C: Historical &amp; Forecast Margins</t>
  </si>
  <si>
    <t>EV/EBITDA</t>
  </si>
  <si>
    <t>Table 4A: Valuation Metrics</t>
  </si>
  <si>
    <t>Table 4B: Valuation Metrics</t>
  </si>
  <si>
    <t>Short Business Description</t>
  </si>
  <si>
    <t>CAGR</t>
  </si>
  <si>
    <t>Valuation Model</t>
  </si>
  <si>
    <t>Project Name:</t>
  </si>
  <si>
    <t>Mid</t>
  </si>
  <si>
    <t>Client Name:</t>
  </si>
  <si>
    <t>Cost of debt</t>
  </si>
  <si>
    <t>Cost of debt net of tax</t>
  </si>
  <si>
    <t>Debt ratio</t>
  </si>
  <si>
    <t>Cost of equity</t>
  </si>
  <si>
    <t>USD treasury risk free rate</t>
  </si>
  <si>
    <t>USD inflation</t>
  </si>
  <si>
    <t>AED inflation</t>
  </si>
  <si>
    <t>Adjusted risk free rate</t>
  </si>
  <si>
    <t>Equity risk premium</t>
  </si>
  <si>
    <t>Relevered beta</t>
  </si>
  <si>
    <t>Country risk premium (weighted)</t>
  </si>
  <si>
    <t>Size risk premium</t>
  </si>
  <si>
    <t>Equity ratio</t>
  </si>
  <si>
    <t>Sources</t>
  </si>
  <si>
    <t>Ashwath Damodaran - The expected return of the market in excess of the risk-free rate (3)</t>
  </si>
  <si>
    <t xml:space="preserve">Additional company specific risk premium </t>
  </si>
  <si>
    <t>Beta, Capital Asset Pricing Model ("CAPM") &amp; Weighted Average Cost of Capital ("WACC") Analysis</t>
  </si>
  <si>
    <t>Terminal year</t>
  </si>
  <si>
    <t>Earnings before interest and tax ("EBIT")</t>
  </si>
  <si>
    <t>Net operating profit after tax ("NOPAT")</t>
  </si>
  <si>
    <t>Capex as a % of revenue</t>
  </si>
  <si>
    <t>NWC as a % of revenue</t>
  </si>
  <si>
    <t>Free cash flow to the firm ("FCFF")</t>
  </si>
  <si>
    <t>Discount period</t>
  </si>
  <si>
    <t>Present value factor (High)</t>
  </si>
  <si>
    <t>Present value factor (Low)</t>
  </si>
  <si>
    <t>Present value of FCFF (High)</t>
  </si>
  <si>
    <t>Present value of FCFF (Low)</t>
  </si>
  <si>
    <t>Present value of explicit cash flows</t>
  </si>
  <si>
    <t>Terminal growth rate</t>
  </si>
  <si>
    <t>Residual value at Terminal Year</t>
  </si>
  <si>
    <t>Present value factor</t>
  </si>
  <si>
    <t xml:space="preserve">Terminal value </t>
  </si>
  <si>
    <t xml:space="preserve">Indicated Enterprise Value from Operations </t>
  </si>
  <si>
    <t>Indicated Equity Value</t>
  </si>
  <si>
    <t>DRAFT Analysis; Subject to Change</t>
  </si>
  <si>
    <t>Depreciation as a % of revenue</t>
  </si>
  <si>
    <t>depreciation.assumption</t>
  </si>
  <si>
    <t>hist.nwc</t>
  </si>
  <si>
    <t>WACC (high)</t>
  </si>
  <si>
    <t>wacc.high</t>
  </si>
  <si>
    <t>WACC (mid-point)</t>
  </si>
  <si>
    <t>wacc.mid</t>
  </si>
  <si>
    <t>WACC (low)</t>
  </si>
  <si>
    <t>wacc.low</t>
  </si>
  <si>
    <t>Synergy percentage</t>
  </si>
  <si>
    <t>synergy.percentage</t>
  </si>
  <si>
    <t>Capex Additions</t>
  </si>
  <si>
    <t>Existing Capex</t>
  </si>
  <si>
    <t>Assets &amp; Depreciation</t>
  </si>
  <si>
    <t>Equity value calculation</t>
  </si>
  <si>
    <t>Section Divider - Model Summary</t>
  </si>
  <si>
    <t>Model Inputs</t>
  </si>
  <si>
    <t>Equity Risk Premium</t>
  </si>
  <si>
    <t>Corporate Tax Rate</t>
  </si>
  <si>
    <t>TTM Price</t>
  </si>
  <si>
    <t>Table 5: Valuation Metrics</t>
  </si>
  <si>
    <t>Diluted Shares Outstanding</t>
  </si>
  <si>
    <t>Exchange rate (CUR/AED)</t>
  </si>
  <si>
    <t>Working Capital as a % of Revenue</t>
  </si>
  <si>
    <t>Table 2D: Historical Ratios</t>
  </si>
  <si>
    <t>In USD Millions</t>
  </si>
  <si>
    <t>December 2022</t>
  </si>
  <si>
    <t>Model Output &gt;&gt;</t>
  </si>
  <si>
    <t>Section Divider - Model Output</t>
  </si>
  <si>
    <t>Section Divider - Model Workings</t>
  </si>
  <si>
    <t>Total gross block</t>
  </si>
  <si>
    <t>Total accumulated depreciation</t>
  </si>
  <si>
    <t>Closing balance</t>
  </si>
  <si>
    <t>Total Capex</t>
  </si>
  <si>
    <t>Total depreciation charge</t>
  </si>
  <si>
    <t>Cost</t>
  </si>
  <si>
    <t>Opening balance of fixed assets</t>
  </si>
  <si>
    <t>Gross Block A - 30 Years UEL</t>
  </si>
  <si>
    <t>Closing balance of fixed assets</t>
  </si>
  <si>
    <t>Accumulated Depreciation</t>
  </si>
  <si>
    <t>Gross Block A</t>
  </si>
  <si>
    <t>Gross Block B</t>
  </si>
  <si>
    <t>Gross Block C</t>
  </si>
  <si>
    <t>Gross Block D</t>
  </si>
  <si>
    <t>Total Accumulated Depreciation</t>
  </si>
  <si>
    <t>Net Book Value</t>
  </si>
  <si>
    <t>Total Net Book Value</t>
  </si>
  <si>
    <t>Depreciation Charge</t>
  </si>
  <si>
    <t>Total Depreciation Charge</t>
  </si>
  <si>
    <t>years</t>
  </si>
  <si>
    <t>Opening balance</t>
  </si>
  <si>
    <t>Accumulated depreciation</t>
  </si>
  <si>
    <t>Depreciation charge - existing assets</t>
  </si>
  <si>
    <t>Depreciation charge - year 1 Capex</t>
  </si>
  <si>
    <t>Depreciation charge - year 2 Capex</t>
  </si>
  <si>
    <t>Depreciation charge - year 3 Capex</t>
  </si>
  <si>
    <t>Depreciation charge - year 4 Capex</t>
  </si>
  <si>
    <t>Depreciation charge - year 5 Capex</t>
  </si>
  <si>
    <t>NBV - Gross Block A</t>
  </si>
  <si>
    <t>GROSS BLOCK A - (30 years)</t>
  </si>
  <si>
    <t>GROSS BLOCK B - (20 years)</t>
  </si>
  <si>
    <t>NBV - Gross Block B</t>
  </si>
  <si>
    <t>GROSS BLOCK C - (10 years)</t>
  </si>
  <si>
    <t>NBV - Gross Block C</t>
  </si>
  <si>
    <t>NBV - Gross Block D</t>
  </si>
  <si>
    <t>GROSS BLOCK D - (5 years)</t>
  </si>
  <si>
    <t>Ending balance - Accumulated Depreciation</t>
  </si>
  <si>
    <t>Total depreciation charge for the year</t>
  </si>
  <si>
    <t>Gross Block B - 20 Years UEL</t>
  </si>
  <si>
    <t>Gross Block C - 10 Years UEL</t>
  </si>
  <si>
    <t>Gross Block D - 5 Years UEL</t>
  </si>
  <si>
    <t>Currency Exchange Rates</t>
  </si>
  <si>
    <t>Last Updated</t>
  </si>
  <si>
    <t>Base Currency</t>
  </si>
  <si>
    <t>Price Currency</t>
  </si>
  <si>
    <t>&lt;&lt; Base Currency</t>
  </si>
  <si>
    <t>GROSS BLOCK A - 30 Years</t>
  </si>
  <si>
    <t>GROSS BLOCK B - 20 Years</t>
  </si>
  <si>
    <t>GROSS BLOCK C - 10 Years</t>
  </si>
  <si>
    <t>GROSS BLOCK D - 5 Years</t>
  </si>
  <si>
    <t>IMPORTANT NOTE: Pasted cells from rows 20-129 are hardcoded from the EIKON template provided to you. DO NOT change the data in these cells.</t>
  </si>
  <si>
    <t>&lt;Enter date&gt;</t>
  </si>
  <si>
    <t>&lt;Enter name of requestor&gt;</t>
  </si>
  <si>
    <t>Revenues</t>
  </si>
  <si>
    <t>Cost of Revenues</t>
  </si>
  <si>
    <t>Net Interest Expense</t>
  </si>
  <si>
    <t xml:space="preserve">Operating  Income (Loss) </t>
  </si>
  <si>
    <t>Depreciation &amp; Amortisation</t>
  </si>
  <si>
    <t>Other Income</t>
  </si>
  <si>
    <t>Earnings (Loss) Before Interest &amp; Taxes - EBIT</t>
  </si>
  <si>
    <t>Earnings (Loss) Before Taxes - EBT</t>
  </si>
  <si>
    <t>SHEET TO BE UPDATED</t>
  </si>
  <si>
    <t>Cash Flow Statement</t>
  </si>
  <si>
    <t>Cash flow from operating activities</t>
  </si>
  <si>
    <t>+</t>
  </si>
  <si>
    <t>Lease amortisation</t>
  </si>
  <si>
    <t>Lease repayment</t>
  </si>
  <si>
    <t>Taxes (excl. revolver savings)</t>
  </si>
  <si>
    <t>Provision for end of service benefits</t>
  </si>
  <si>
    <t>Payment towards end of service benefits</t>
  </si>
  <si>
    <t>Operating cash flow before working capital changes</t>
  </si>
  <si>
    <t>Working capital changes</t>
  </si>
  <si>
    <t>Changes in working capital</t>
  </si>
  <si>
    <t>Total working capital changes</t>
  </si>
  <si>
    <t>Cash flow from investing activities</t>
  </si>
  <si>
    <t>Additions to PPE</t>
  </si>
  <si>
    <t>Cash flow from financing activities</t>
  </si>
  <si>
    <t>Capital injections</t>
  </si>
  <si>
    <t>Loan additions</t>
  </si>
  <si>
    <t>Finance cost (debt)</t>
  </si>
  <si>
    <t>Changes in revolving facility</t>
  </si>
  <si>
    <t>Finance cost (revolver), net of tax benefit</t>
  </si>
  <si>
    <t xml:space="preserve">Total cash flow </t>
  </si>
  <si>
    <t>Opening cash balance</t>
  </si>
  <si>
    <t>Closing balance of cash</t>
  </si>
  <si>
    <t>Gain on Sale of Assets</t>
  </si>
  <si>
    <t>Proceeds from sale of assets</t>
  </si>
  <si>
    <t>EV - Currency conversion</t>
  </si>
  <si>
    <t>Loan repayments</t>
  </si>
  <si>
    <t>Share buy-backs</t>
  </si>
  <si>
    <t>Sample Client Company - Valuation of Sample Target Ltd as at December 31, 2022</t>
  </si>
  <si>
    <t>Valuation Date:  December 31, 2019</t>
  </si>
  <si>
    <t>'Client Name' - Guideline Public Company Method</t>
  </si>
  <si>
    <t>FY2020 Forecast EBITDA</t>
  </si>
  <si>
    <t>Enterprise Value of 'Client Name'</t>
  </si>
  <si>
    <t>'Client Name' - Guideline Transaction Method</t>
  </si>
  <si>
    <t>AED '000s</t>
  </si>
  <si>
    <t>Provided by client (PBC) &gt;&gt;</t>
  </si>
  <si>
    <t>Section Divider - PBC</t>
  </si>
  <si>
    <t>Comp 11</t>
  </si>
  <si>
    <t>Comp 12</t>
  </si>
  <si>
    <t>Comp 13</t>
  </si>
  <si>
    <t>Comp 14</t>
  </si>
  <si>
    <t>Comp 15</t>
  </si>
  <si>
    <t>Comp 16</t>
  </si>
  <si>
    <t>Comp 17</t>
  </si>
  <si>
    <t>Comp 18</t>
  </si>
  <si>
    <t>Comp 19</t>
  </si>
  <si>
    <t>Comp 20</t>
  </si>
  <si>
    <t>Comp 21</t>
  </si>
  <si>
    <t>Comp 22</t>
  </si>
  <si>
    <t>Comp 23</t>
  </si>
  <si>
    <t>Comp 24</t>
  </si>
  <si>
    <t>Comp 25</t>
  </si>
  <si>
    <t>Comp 26</t>
  </si>
  <si>
    <t>Comp 27</t>
  </si>
  <si>
    <t>Comp 28</t>
  </si>
  <si>
    <t>Comp 29</t>
  </si>
  <si>
    <t>Comp 30</t>
  </si>
  <si>
    <t>Debt to Equity</t>
  </si>
  <si>
    <t>Debt/Capital</t>
  </si>
  <si>
    <t>Table 1B: Trading &amp; Capital Structure Information</t>
  </si>
  <si>
    <t>Table 1C: Additional Capital Structure Information</t>
  </si>
  <si>
    <t>Total Debt</t>
  </si>
  <si>
    <t>Total Preferred Equity</t>
  </si>
  <si>
    <t>Month End Stock Price</t>
  </si>
  <si>
    <t>Total Shares Outstanding</t>
  </si>
  <si>
    <t>Total Capital</t>
  </si>
  <si>
    <t>Book Value of Debt to Capital (wd)</t>
  </si>
  <si>
    <t>INCOME STATEMENT</t>
  </si>
  <si>
    <t>Revenue Breakdown 1</t>
  </si>
  <si>
    <t>Total Revenue</t>
  </si>
  <si>
    <t>Revenue Breakdown 2</t>
  </si>
  <si>
    <t>Profitability</t>
  </si>
  <si>
    <t>Key Metrics</t>
  </si>
  <si>
    <t>Gross margins</t>
  </si>
  <si>
    <t>OPEX as a % sales</t>
  </si>
  <si>
    <t>D&amp;A as a % of sales</t>
  </si>
  <si>
    <t>BALANCE SHEET</t>
  </si>
  <si>
    <t>Net Working Capital Days</t>
  </si>
  <si>
    <t>NWC Days</t>
  </si>
  <si>
    <t>Net Working Capital Balance</t>
  </si>
  <si>
    <t>NWC as a % of sales</t>
  </si>
  <si>
    <t>NWC Balance</t>
  </si>
  <si>
    <t>Expansion Capex</t>
  </si>
  <si>
    <t>Maintenance Capex</t>
  </si>
  <si>
    <t>VALUATION SUMMARY</t>
  </si>
  <si>
    <t>DCF Approach</t>
  </si>
  <si>
    <t>Transactions Approach</t>
  </si>
  <si>
    <t>Multiples Approach (EV/EBITDA)</t>
  </si>
  <si>
    <t>Difference</t>
  </si>
  <si>
    <t>Equity Value</t>
  </si>
  <si>
    <t>ytd.months</t>
  </si>
  <si>
    <t>Current Year to Date months</t>
  </si>
  <si>
    <t>Estimate</t>
  </si>
  <si>
    <t>Potential Revenue Stream - Probability of Achievement</t>
  </si>
  <si>
    <t>Year-to-Go Estimate</t>
  </si>
  <si>
    <t>ytg.approach</t>
  </si>
  <si>
    <t>Management FY Estimate</t>
  </si>
  <si>
    <t>YTG Forecast Adjustment</t>
  </si>
  <si>
    <t>ytg.mgt</t>
  </si>
  <si>
    <t>YTD Actualized</t>
  </si>
  <si>
    <t>ytg.actual</t>
  </si>
  <si>
    <t>Add: Cash</t>
  </si>
  <si>
    <t>Less: Net Debt</t>
  </si>
  <si>
    <t>Change in NWC</t>
  </si>
  <si>
    <t>NWC as a % of Sales</t>
  </si>
  <si>
    <t>Benchmark NWC as a % of sales</t>
  </si>
  <si>
    <t>Management Case</t>
  </si>
  <si>
    <t>EV - Unit conversion</t>
  </si>
  <si>
    <t>All amounts in USD '000s</t>
  </si>
  <si>
    <t>Existing Stream 1</t>
  </si>
  <si>
    <t>Existing Stream 2</t>
  </si>
  <si>
    <t>Existing Stream 3</t>
  </si>
  <si>
    <t>Existing Stream 4</t>
  </si>
  <si>
    <t>Pipeline Stream 1</t>
  </si>
  <si>
    <t>Pipeline Stream 2</t>
  </si>
  <si>
    <t>Pipeline Stream 3</t>
  </si>
  <si>
    <t>Pipeline Stream 4</t>
  </si>
  <si>
    <t>Potential Stream 1</t>
  </si>
  <si>
    <t>Potential Stream 2</t>
  </si>
  <si>
    <t>Potential Stream 3</t>
  </si>
  <si>
    <t>Potential Stream 4</t>
  </si>
  <si>
    <t>Historical Income Statement</t>
  </si>
  <si>
    <t>Historical Balance Sheet</t>
  </si>
  <si>
    <t>Historical Financial Information</t>
  </si>
  <si>
    <t>Catch Up Approach</t>
  </si>
  <si>
    <t>FY23 Annualized</t>
  </si>
  <si>
    <t>FY23 Check</t>
  </si>
  <si>
    <t>Existing Business Revenues</t>
  </si>
  <si>
    <t>Pipeline Business Revenues</t>
  </si>
  <si>
    <t>Potential Business Revenues</t>
  </si>
  <si>
    <t>Equity Adjustments</t>
  </si>
  <si>
    <t>Cash as at Valuation Date</t>
  </si>
  <si>
    <t>Net Debt as at Valuation Date</t>
  </si>
  <si>
    <t>Section Divider - GPC Analysis</t>
  </si>
  <si>
    <t>Guideline Public Company Analysis</t>
  </si>
  <si>
    <t>Revenue Drivers</t>
  </si>
  <si>
    <t>Price Growth &gt;&gt;</t>
  </si>
  <si>
    <t>Volume Growth &gt;&gt;</t>
  </si>
  <si>
    <t>Depreciation charge - year 0 Capex</t>
  </si>
  <si>
    <t>Operating Expenses Assumptions</t>
  </si>
  <si>
    <t>Cost Assumptions</t>
  </si>
  <si>
    <t>December 2023</t>
  </si>
  <si>
    <t>Exclude outliers?</t>
  </si>
  <si>
    <t>2023 SBBI Valuation Yearbook, Duff &amp; Phelps: 10th decile</t>
  </si>
  <si>
    <t>Adj. Default Spread</t>
  </si>
  <si>
    <t>Sovereign CDS Spread</t>
  </si>
  <si>
    <t>Antigua &amp; Barbuda</t>
  </si>
  <si>
    <t>British Virgin Islands</t>
  </si>
  <si>
    <t>Channel Islands</t>
  </si>
  <si>
    <t>Congo (Democratic Republic</t>
  </si>
  <si>
    <t>Curaçao</t>
  </si>
  <si>
    <t>Falkland Islands</t>
  </si>
  <si>
    <t>French Guiana</t>
  </si>
  <si>
    <t>Greenland</t>
  </si>
  <si>
    <t>Martinique</t>
  </si>
  <si>
    <t>Netherlands Antilles</t>
  </si>
  <si>
    <t>Palestinian Authority</t>
  </si>
  <si>
    <t>Reunion</t>
  </si>
  <si>
    <t>South Korea</t>
  </si>
  <si>
    <t>Trinidad &amp;' Tobago</t>
  </si>
  <si>
    <t>Turks &amp; Caicos Islands</t>
  </si>
  <si>
    <t>Primary Location</t>
  </si>
  <si>
    <t>www.imf.org/en/Countries/USA</t>
  </si>
  <si>
    <t>www.imf.org/en/Countries/ARE</t>
  </si>
  <si>
    <t>Links</t>
  </si>
  <si>
    <t>US 30 Year Treasury Bond Yields</t>
  </si>
  <si>
    <t>IMF Forecast</t>
  </si>
  <si>
    <t>ICE corporate bond yields</t>
  </si>
  <si>
    <t>home.treasury.gov/resource-center/data-chart-center/interest-rates/TextView?type=daily_treasury_yield_curve&amp;field_tdr_date_value=2024</t>
  </si>
  <si>
    <t>Valify - UAE Valuation Services</t>
  </si>
  <si>
    <t>Valify UAE</t>
  </si>
  <si>
    <t>Valify Comparable Company Analysis</t>
  </si>
  <si>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</si>
  <si>
    <t>Valify - Valuation Services</t>
  </si>
  <si>
    <t>Report-Use Summary</t>
  </si>
  <si>
    <t>Valify Case</t>
  </si>
  <si>
    <t>Valify Flags on Management Forecasts</t>
  </si>
  <si>
    <t>Flag Label</t>
  </si>
  <si>
    <t>Screening Criteria</t>
  </si>
  <si>
    <t>Flag</t>
  </si>
  <si>
    <t>Suggested sensitivity</t>
  </si>
  <si>
    <t>Revenue sensitivities:</t>
  </si>
  <si>
    <t>Aggressive revenue growth flag</t>
  </si>
  <si>
    <t>&gt;5% growth p.a.</t>
  </si>
  <si>
    <t>Cap to historical/market growth rate</t>
  </si>
  <si>
    <t>Declining revenue growth flag</t>
  </si>
  <si>
    <t>&lt;0% growth p.a.</t>
  </si>
  <si>
    <t>Market revenue growth rate check</t>
  </si>
  <si>
    <t>More than 5% difference in growth rates</t>
  </si>
  <si>
    <t>Adopt market growth rate</t>
  </si>
  <si>
    <t>Revenue Dependency</t>
  </si>
  <si>
    <t>&gt;70% of revenue is existing business</t>
  </si>
  <si>
    <t>&lt;Add warning message on the report&gt;</t>
  </si>
  <si>
    <t>&gt;70% of revenue is pipeline business</t>
  </si>
  <si>
    <t>&gt;70% of revenue is potential business</t>
  </si>
  <si>
    <t>Cost Sensitivities</t>
  </si>
  <si>
    <t>COGS decline</t>
  </si>
  <si>
    <t>COGS as a % of revenue declining &gt;2%</t>
  </si>
  <si>
    <t>Rationale?</t>
  </si>
  <si>
    <t>If not, adopt historical/market</t>
  </si>
  <si>
    <t>Market profitability check</t>
  </si>
  <si>
    <t>COGS rising</t>
  </si>
  <si>
    <t>If COGS in Year 5 &gt; COGS in Year 1</t>
  </si>
  <si>
    <t>Operating Expenses</t>
  </si>
  <si>
    <t>Employee Cost</t>
  </si>
  <si>
    <t>Staff utilization</t>
  </si>
  <si>
    <t>Constant staff vs aggressive revenue growth</t>
  </si>
  <si>
    <t>Salary increment check</t>
  </si>
  <si>
    <t>Depreciation Review</t>
  </si>
  <si>
    <t>&gt; 20% of the business</t>
  </si>
  <si>
    <t>Finance cost</t>
  </si>
  <si>
    <t>Finance Cost Review</t>
  </si>
  <si>
    <t>EBITDA Margin - Market rate check</t>
  </si>
  <si>
    <t>More than 5% difference</t>
  </si>
  <si>
    <t>Adopt market rate</t>
  </si>
  <si>
    <t>NWC Market rate check</t>
  </si>
  <si>
    <t>Heavy Investor check</t>
  </si>
  <si>
    <t>If Annual Capex &gt; 20% of revenue</t>
  </si>
  <si>
    <t>ROA on capex</t>
  </si>
  <si>
    <t>If ROA on Capex is less than 5%</t>
  </si>
  <si>
    <t>Unit Label</t>
  </si>
  <si>
    <t>Average Annual Revenue Growth</t>
  </si>
  <si>
    <t>Revenue across forecast</t>
  </si>
  <si>
    <t>Action</t>
  </si>
  <si>
    <t>Negative revenue growth flag</t>
  </si>
  <si>
    <t>Market Capitalisation (USD)</t>
  </si>
  <si>
    <t>Enterprise Value (USD)</t>
  </si>
  <si>
    <t>Capital Expenditure</t>
  </si>
  <si>
    <t>Working Capital</t>
  </si>
  <si>
    <t>Revenue (USD Mn)</t>
  </si>
  <si>
    <t>EBITDA (USD Mn)</t>
  </si>
  <si>
    <t>Screening Data</t>
  </si>
  <si>
    <t>Market/Criteria</t>
  </si>
  <si>
    <t>Subject Company</t>
  </si>
  <si>
    <t>Revenue Contribution</t>
  </si>
  <si>
    <t>Base Stayer</t>
  </si>
  <si>
    <t>Change Maker</t>
  </si>
  <si>
    <t>Hope Leaner</t>
  </si>
  <si>
    <t>5% corridor</t>
  </si>
  <si>
    <t>COGS as % of Revenue</t>
  </si>
  <si>
    <t>COGS as a % of revenue</t>
  </si>
  <si>
    <t>COGS Historical check</t>
  </si>
  <si>
    <t>Average Forecasted EBITDA Margin</t>
  </si>
  <si>
    <t>Average NWC as a % of sales</t>
  </si>
  <si>
    <t>Capex as a % of Revenue</t>
  </si>
  <si>
    <t>Avg. Depreciation as a % of Revenue</t>
  </si>
  <si>
    <t>Avg. Finance Cost as a % of Revenue</t>
  </si>
  <si>
    <t>Average annual salary growth</t>
  </si>
  <si>
    <t>Report Inputs</t>
  </si>
  <si>
    <t>Valuer Type</t>
  </si>
  <si>
    <t>Valuer Name</t>
  </si>
  <si>
    <t>Purpose</t>
  </si>
  <si>
    <t>Purpose Detail</t>
  </si>
  <si>
    <t>Subject Company short name</t>
  </si>
  <si>
    <t>Information Currency</t>
  </si>
  <si>
    <t>If Operational currency is diff from information currency - forex risk</t>
  </si>
  <si>
    <t>Currency denomination (units)</t>
  </si>
  <si>
    <t>General Business Information</t>
  </si>
  <si>
    <t>Primary Business Industry</t>
  </si>
  <si>
    <t>primary.industry</t>
  </si>
  <si>
    <t>[Enter business industry name from AD list]</t>
  </si>
  <si>
    <t>Secondary Business Industry</t>
  </si>
  <si>
    <t>Secondary business main operating regions</t>
  </si>
  <si>
    <t>Primary business main operating region</t>
  </si>
  <si>
    <t>primary.location</t>
  </si>
  <si>
    <t>Primary Business Nature</t>
  </si>
  <si>
    <t>Secondary Business Nature</t>
  </si>
  <si>
    <t>Development Phase</t>
  </si>
  <si>
    <t>secondary.industry</t>
  </si>
  <si>
    <t>secondary.location</t>
  </si>
  <si>
    <t>primarybus.nature</t>
  </si>
  <si>
    <t>secondarybus.nature</t>
  </si>
  <si>
    <t>Revenue Stream 1</t>
  </si>
  <si>
    <t>Revenue Stream 2</t>
  </si>
  <si>
    <t>Revenue Stream 3</t>
  </si>
  <si>
    <t>Revenue Stream 4</t>
  </si>
  <si>
    <t>Potential Revenue Stream 1</t>
  </si>
  <si>
    <t>Potential Revenue Stream 2</t>
  </si>
  <si>
    <t>Potential Revenue Stream 3</t>
  </si>
  <si>
    <t>Potential Revenue Stream 4</t>
  </si>
  <si>
    <t>Schedule A</t>
  </si>
  <si>
    <t>Schedule B.1.</t>
  </si>
  <si>
    <t>Schedule B.2.</t>
  </si>
  <si>
    <t>Total Existing Revenue (value)</t>
  </si>
  <si>
    <t>Existing Revenue Stream 1 - contribution %</t>
  </si>
  <si>
    <t>Existing Revenue Stream 2 - contribution %</t>
  </si>
  <si>
    <t>Existing Revenue Stream 3 - contribution %</t>
  </si>
  <si>
    <t>Existing Revenue Stream 4 - contribution %</t>
  </si>
  <si>
    <t>Total Pipeline Revenues  (value)</t>
  </si>
  <si>
    <t>Pipeline Stream 1 - contribution %</t>
  </si>
  <si>
    <t>Pipeline Stream 2 - contribution %</t>
  </si>
  <si>
    <t>Pipeline Stream 3 - contribution %</t>
  </si>
  <si>
    <t>Pipeline Stream 4 - contribution %</t>
  </si>
  <si>
    <t>Total Potential Revenues (value)</t>
  </si>
  <si>
    <t>Potential Revenue Stream 1 - contribution %</t>
  </si>
  <si>
    <t>Potential Revenue Stream 2 - contribution %</t>
  </si>
  <si>
    <t>Potential Revenue Stream 3 - contribution %</t>
  </si>
  <si>
    <t>Potential Revenue Stream 4 - contribution %</t>
  </si>
  <si>
    <t>Gross Margins</t>
  </si>
  <si>
    <t>Valify Questionnaire Form</t>
  </si>
  <si>
    <t>December, 2023</t>
  </si>
  <si>
    <t>Topic</t>
  </si>
  <si>
    <t>Question phrase</t>
  </si>
  <si>
    <t>Notes for IT</t>
  </si>
  <si>
    <t>Cell name</t>
  </si>
  <si>
    <t>Value</t>
  </si>
  <si>
    <t>Units</t>
  </si>
  <si>
    <t xml:space="preserve">General </t>
  </si>
  <si>
    <t>Purpose of the exercise</t>
  </si>
  <si>
    <t>Introduction</t>
  </si>
  <si>
    <t>B</t>
  </si>
  <si>
    <t xml:space="preserve">Purpose  </t>
  </si>
  <si>
    <t>Yes/No</t>
  </si>
  <si>
    <t>Company Information</t>
  </si>
  <si>
    <t>Check</t>
  </si>
  <si>
    <t>What is the official name of the subject company to be valued?</t>
  </si>
  <si>
    <t>If yes, autofill Client Name</t>
  </si>
  <si>
    <t>subject.name</t>
  </si>
  <si>
    <t>Short Name</t>
  </si>
  <si>
    <t>Enter a short name for the subject company.</t>
  </si>
  <si>
    <t>short.name</t>
  </si>
  <si>
    <t>Dates Information</t>
  </si>
  <si>
    <t>Next fiscal year end date</t>
  </si>
  <si>
    <t>proj.yearend</t>
  </si>
  <si>
    <t>date format</t>
  </si>
  <si>
    <t>Valuation Date</t>
  </si>
  <si>
    <t>Allow only month-end dates</t>
  </si>
  <si>
    <t>val.date</t>
  </si>
  <si>
    <t>Need not ask, but auto-fill (based on provided formula) &amp; confirm</t>
  </si>
  <si>
    <t>Valuation Header</t>
  </si>
  <si>
    <t>val.header</t>
  </si>
  <si>
    <t>Year-to-Go Approach</t>
  </si>
  <si>
    <t>Currency Information</t>
  </si>
  <si>
    <t>Please select the currency of the financial information you will provide.</t>
  </si>
  <si>
    <t>Presentation Currency</t>
  </si>
  <si>
    <t>Currency Denomination (Units)</t>
  </si>
  <si>
    <t>Business Information</t>
  </si>
  <si>
    <t>Industry - Primary Business</t>
  </si>
  <si>
    <t>List Capital IQ industries/Ashwath Damodaran beta industries</t>
  </si>
  <si>
    <t>Auto &amp; Truck</t>
  </si>
  <si>
    <t>Sub-industry - Primary Business</t>
  </si>
  <si>
    <t>If relevant, specify a sub-industry for your primary business.</t>
  </si>
  <si>
    <t>Nature of Primary Business</t>
  </si>
  <si>
    <t>Primary Business description (key words)</t>
  </si>
  <si>
    <t>Please select the main operating region for the business.</t>
  </si>
  <si>
    <t>Other operating regions - Primary</t>
  </si>
  <si>
    <t>Allow upto 3 input options for geographies and respective "Average revenue contribution"</t>
  </si>
  <si>
    <t>Secondary Business Check</t>
  </si>
  <si>
    <t>Industry - Secondary Business</t>
  </si>
  <si>
    <t>Select the most relevant industry for the company's secondary business operations</t>
  </si>
  <si>
    <t>Sub-industry - Secondary Business</t>
  </si>
  <si>
    <t>If relevant, specify a sub-industry for your secondary business.</t>
  </si>
  <si>
    <t>Nature of Secondary Business</t>
  </si>
  <si>
    <t>Please select one or more from the below that most accurately describe the nature of your secondary business(es):</t>
  </si>
  <si>
    <t>Secondary Business description (key words)</t>
  </si>
  <si>
    <t>Main Operating regions - Secondary</t>
  </si>
  <si>
    <t>Please select the main operating region for the secondary business.</t>
  </si>
  <si>
    <t>Other operating regions - Secondary</t>
  </si>
  <si>
    <t>Growth</t>
  </si>
  <si>
    <t>Existing Business check</t>
  </si>
  <si>
    <t>Does the company have operating and financial history?</t>
  </si>
  <si>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</si>
  <si>
    <t>Existing Revenues</t>
  </si>
  <si>
    <t>Select your revenue categorization style.</t>
  </si>
  <si>
    <t xml:space="preserve">If subscription services, do not classify by clients but rather any different servic elines </t>
  </si>
  <si>
    <t>Add prompts to align existing, pipeline and potential revenues</t>
  </si>
  <si>
    <t>(if No, populate 0 &amp; skip)</t>
  </si>
  <si>
    <t>If the pipeline revenues reflect a pivot or diversification pivot into a new business line, please return to Business Information section and add "Secondary Business" information.</t>
  </si>
  <si>
    <t>Add 5 years in question</t>
  </si>
  <si>
    <t>Add note for zero if not in 5 years</t>
  </si>
  <si>
    <t>Probability for Potential Stream 1</t>
  </si>
  <si>
    <t>%</t>
  </si>
  <si>
    <t>Probability for Potential Stream 2</t>
  </si>
  <si>
    <t>Probability for Potential Stream 3</t>
  </si>
  <si>
    <t>Probability for Potential Stream 4</t>
  </si>
  <si>
    <t>Data check</t>
  </si>
  <si>
    <t>If the potential revenues reflect a pivot or diversification pivot into a new business line, please return to Business Information section and add "Secondary Business" information.</t>
  </si>
  <si>
    <t>Current Year</t>
  </si>
  <si>
    <t>Year 1</t>
  </si>
  <si>
    <t>Year 2</t>
  </si>
  <si>
    <t>Year 3</t>
  </si>
  <si>
    <t>Year 4</t>
  </si>
  <si>
    <t>Year 5</t>
  </si>
  <si>
    <t>Add commentary to explain that the price &amp; volume requests are for sustainable averages.</t>
  </si>
  <si>
    <t>Forecast using Average Price</t>
  </si>
  <si>
    <t>Forecast using Price growth</t>
  </si>
  <si>
    <t>Price Growth</t>
  </si>
  <si>
    <t>If exact prices are entered in above section, auto-calculate growth rates here</t>
  </si>
  <si>
    <t>Expected sales volumes</t>
  </si>
  <si>
    <t>Forecast using Volume growth</t>
  </si>
  <si>
    <t>Forecast using Average Volume</t>
  </si>
  <si>
    <t>Volume Growth</t>
  </si>
  <si>
    <t>Option 1: I can provide operating expense information for the current &amp; forecast period</t>
  </si>
  <si>
    <t>Option 2: I have operating expenses for current year, and would like Valify to forecast growth with revenues and inflation.</t>
  </si>
  <si>
    <t>Option 1:</t>
  </si>
  <si>
    <t>Option to give total Opex</t>
  </si>
  <si>
    <t>Staff Commission (if any)</t>
  </si>
  <si>
    <t>Rent expense</t>
  </si>
  <si>
    <t>Option 2:</t>
  </si>
  <si>
    <t>Enter fixed/variable expense tag</t>
  </si>
  <si>
    <t>Is this expense a fixed cost or variable (changes with sales levels)?</t>
  </si>
  <si>
    <t>Fixed/Variable</t>
  </si>
  <si>
    <t>A. Capital Expenditure Plan by Useful Life</t>
  </si>
  <si>
    <t>These include assets like building, heavy machinery, etc. which can have a 30 years long useful life.</t>
  </si>
  <si>
    <t>Add note that if minimal or no Capex, business growth will be capped at a valuation level (subject to industry)</t>
  </si>
  <si>
    <t>These include assets like plant &amp; equipment, renovations, etc. which can have a 20 years long useful life.</t>
  </si>
  <si>
    <t>These include assets like light equipment, appliances, furniture, etc. which can have a 10 years useful life.</t>
  </si>
  <si>
    <t>These include assets like tools, printers, appliances, etc. which can have a 5 years useful life.</t>
  </si>
  <si>
    <t>B. Total Annual Capex Value</t>
  </si>
  <si>
    <t>C. Capex as a % of revenue</t>
  </si>
  <si>
    <t>Please enter the % of capital expenditure planned to spend against earned revenues.</t>
  </si>
  <si>
    <t>Net Working Capital</t>
  </si>
  <si>
    <t>Trade Receivables Days</t>
  </si>
  <si>
    <t>Customer credit terms - Please enter how many days of credit does the business give, on average, to its customers? If customers pay in advance, enter a negative value for the days inputs.</t>
  </si>
  <si>
    <t>Make a restricted number selection</t>
  </si>
  <si>
    <t>Other Receivables Days</t>
  </si>
  <si>
    <t>If there is anyone else who owes money to the business, on average, how many days would they take to pay back?</t>
  </si>
  <si>
    <t xml:space="preserve">Inventory Days </t>
  </si>
  <si>
    <t>In how many days does the business turn its stock inventory, on average? If the business is a service-provider, please enter 0 days.</t>
  </si>
  <si>
    <t xml:space="preserve">Prepaid Expenses &amp; Other Days </t>
  </si>
  <si>
    <t>If the business makes prepayments on expenses, on average, how many days in advance do they pay?</t>
  </si>
  <si>
    <t xml:space="preserve">Trade Payables Days </t>
  </si>
  <si>
    <t>Supplier credit terms - Please enter how many days of credit does the business receive, on average, from its suppliers &amp; vendors? If the business pays in advance, enter a negative value for the days inputs.</t>
  </si>
  <si>
    <t>Salaries Payable</t>
  </si>
  <si>
    <t>In how many days does the business pay salaries to its employees?</t>
  </si>
  <si>
    <t xml:space="preserve">Accrued Expenses Days </t>
  </si>
  <si>
    <t>If the business makes delayed payments on other expenses, on average, how many days late do they pay?</t>
  </si>
  <si>
    <t xml:space="preserve">Tax Payables Days </t>
  </si>
  <si>
    <t xml:space="preserve">In how many days does the business settle tax expenses? </t>
  </si>
  <si>
    <t xml:space="preserve">Other Payables Days </t>
  </si>
  <si>
    <t>If the business owes money to anyone else, on average, how many days would it take to pay back?</t>
  </si>
  <si>
    <t>Checkbox</t>
  </si>
  <si>
    <t>I am unsure of the days, please auto-fill  adopting a general credit term standard estimate.</t>
  </si>
  <si>
    <t>If you don't know - check with accountant for historical trend.</t>
  </si>
  <si>
    <t>Make it clear that we want days not currency value of balance</t>
  </si>
  <si>
    <t>client.company</t>
  </si>
  <si>
    <t>Valuation Approach Test</t>
  </si>
  <si>
    <t>Decision Action</t>
  </si>
  <si>
    <t>Client Company Name (long)</t>
  </si>
  <si>
    <t>Client Company Name</t>
  </si>
  <si>
    <t>valuer.name</t>
  </si>
  <si>
    <t>Valuation Purpose</t>
  </si>
  <si>
    <t>val.purpose</t>
  </si>
  <si>
    <t>Subject Company Short Name</t>
  </si>
  <si>
    <t>Subject Company Name:</t>
  </si>
  <si>
    <t>subject.company</t>
  </si>
  <si>
    <t>subject.shortname</t>
  </si>
  <si>
    <t>Valuation Approach</t>
  </si>
  <si>
    <t>DCF Method</t>
  </si>
  <si>
    <t>CCF Method</t>
  </si>
  <si>
    <t>VC Method</t>
  </si>
  <si>
    <t>Market Multiples Method</t>
  </si>
  <si>
    <t>Transaction Multiples Method</t>
  </si>
  <si>
    <t>Switch (Yes/No)</t>
  </si>
  <si>
    <t>Message on Liquidation Method &amp; close further questions</t>
  </si>
  <si>
    <t>Multiples Valuation Approach - Discount Adjustment</t>
  </si>
  <si>
    <t>5-Year Exit EBITDA</t>
  </si>
  <si>
    <t>Adjustments to Free cash flow</t>
  </si>
  <si>
    <t>Free Cash Flow (post-tax)</t>
  </si>
  <si>
    <t>Normalized Sustainable Free Cash Flow (post-tax)</t>
  </si>
  <si>
    <t>Estimated Sustainable Free Cash Flow of Following Year</t>
  </si>
  <si>
    <t>Capitalization Rate</t>
  </si>
  <si>
    <t>Mid-period Adjustment Factor</t>
  </si>
  <si>
    <t>Add lease &amp; IFRS component for cash rent</t>
  </si>
  <si>
    <t>NOTE: Populate this sheet using GPC source</t>
  </si>
  <si>
    <t>GPC Inputs</t>
  </si>
  <si>
    <t>Chad</t>
  </si>
  <si>
    <t>Congo</t>
  </si>
  <si>
    <t>Equatorial Guinea</t>
  </si>
  <si>
    <t>Euro area</t>
  </si>
  <si>
    <t>European Union</t>
  </si>
  <si>
    <t>Guam</t>
  </si>
  <si>
    <t>Kosovo</t>
  </si>
  <si>
    <t>Lesotho</t>
  </si>
  <si>
    <t>Mauritania</t>
  </si>
  <si>
    <t>Micronesia</t>
  </si>
  <si>
    <t>Puerto Rico</t>
  </si>
  <si>
    <t>Republic of the Congo</t>
  </si>
  <si>
    <t>Seychelles</t>
  </si>
  <si>
    <t>Tonga</t>
  </si>
  <si>
    <t>Trinidad And Tobago</t>
  </si>
  <si>
    <t>Tax Rate (%)</t>
  </si>
  <si>
    <t>Source: Trading Economics</t>
  </si>
  <si>
    <t>Last Updated:</t>
  </si>
  <si>
    <t>Tax Expense</t>
  </si>
  <si>
    <t>Average Revenue contribution from secondary business (in %)</t>
  </si>
  <si>
    <t>Number of firms</t>
  </si>
  <si>
    <t>Beta </t>
  </si>
  <si>
    <t>D/E Ratio</t>
  </si>
  <si>
    <t>Effective Tax rate</t>
  </si>
  <si>
    <t>Unlevered beta</t>
  </si>
  <si>
    <t>Cash/Firm value</t>
  </si>
  <si>
    <t>Unlevered beta corrected for cash</t>
  </si>
  <si>
    <t>HiLo Risk</t>
  </si>
  <si>
    <t>Standard deviation of equity</t>
  </si>
  <si>
    <t>Standard deviation in operating income (last 10 years)</t>
  </si>
  <si>
    <t>Advertising</t>
  </si>
  <si>
    <t>Aerospace/Defense</t>
  </si>
  <si>
    <t>Air Transport</t>
  </si>
  <si>
    <t>Apparel</t>
  </si>
  <si>
    <t>Auto Parts</t>
  </si>
  <si>
    <t>Bank (Money Center)</t>
  </si>
  <si>
    <t>Banks (Regional)</t>
  </si>
  <si>
    <t>Beverage (Alcoholic)</t>
  </si>
  <si>
    <t>Beverage (Soft)</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</si>
  <si>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</si>
  <si>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</si>
  <si>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</si>
  <si>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</si>
  <si>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</si>
  <si>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</si>
  <si>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</si>
  <si>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</si>
  <si>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</si>
  <si>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</si>
  <si>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</si>
  <si>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Construction Supplies</t>
  </si>
  <si>
    <t>Diversified</t>
  </si>
  <si>
    <t>Drugs (Biotechnology)</t>
  </si>
  <si>
    <t>Drugs (Pharmaceutical)</t>
  </si>
  <si>
    <t>Education</t>
  </si>
  <si>
    <t>Electrical Equipment</t>
  </si>
  <si>
    <t>Electronics (Consumer &amp; Office)</t>
  </si>
  <si>
    <t>Electronics (General)</t>
  </si>
  <si>
    <t>Engineering/Construction</t>
  </si>
  <si>
    <t>Entertainment</t>
  </si>
  <si>
    <t>Environmental &amp; Waste Services</t>
  </si>
  <si>
    <t>Farming/Agriculture</t>
  </si>
  <si>
    <t>Financial Svcs. (Non-bank &amp; Insuran</t>
  </si>
  <si>
    <t>Food Processing</t>
  </si>
  <si>
    <t>Food Wholesalers</t>
  </si>
  <si>
    <t>Furn/Home Furnishings</t>
  </si>
  <si>
    <t>Green &amp; Renewable Energy</t>
  </si>
  <si>
    <t>Healthcare Products</t>
  </si>
  <si>
    <t>Healthcare Support Services</t>
  </si>
  <si>
    <t>Heathcare Information and Technol</t>
  </si>
  <si>
    <t>Homebuilding</t>
  </si>
  <si>
    <t>Hospitals/Healthcare Facilities</t>
  </si>
  <si>
    <t>Hotel/Gaming</t>
  </si>
  <si>
    <t>Household Products</t>
  </si>
  <si>
    <t>Information Services</t>
  </si>
  <si>
    <t>Insurance (General)</t>
  </si>
  <si>
    <t>Insurance (Life)</t>
  </si>
  <si>
    <t>Insurance (Prop/Cas.)</t>
  </si>
  <si>
    <t>Investments &amp; Asset Management</t>
  </si>
  <si>
    <t>Machinery</t>
  </si>
  <si>
    <t>Metals &amp; Mining</t>
  </si>
  <si>
    <t>Office Equipment &amp; Services</t>
  </si>
  <si>
    <t>Oil/Gas (Integrated)</t>
  </si>
  <si>
    <t>Oil/Gas (Production and Exploratio</t>
  </si>
  <si>
    <t>Oil/Gas Distribution</t>
  </si>
  <si>
    <t>Oilfield Svcs/Equip.</t>
  </si>
  <si>
    <t>Packaging &amp; Container</t>
  </si>
  <si>
    <t>Paper/Forest Products</t>
  </si>
  <si>
    <t>Power</t>
  </si>
  <si>
    <t>Precious Metals</t>
  </si>
  <si>
    <t>Publishing &amp; Newspapers</t>
  </si>
  <si>
    <t>R.E.I.T.</t>
  </si>
  <si>
    <t>Real Estate (Development)</t>
  </si>
  <si>
    <t>Real Estate (General/Diversified)</t>
  </si>
  <si>
    <t>Real Estate (Operations &amp; Services)</t>
  </si>
  <si>
    <t>Recreation</t>
  </si>
  <si>
    <t>Reinsurance</t>
  </si>
  <si>
    <t>Restaurant/Dining</t>
  </si>
  <si>
    <t>Retail (Automotive)</t>
  </si>
  <si>
    <t>Retail (Building Supply)</t>
  </si>
  <si>
    <t>Retail (Distributors)</t>
  </si>
  <si>
    <t>Retail (General)</t>
  </si>
  <si>
    <t>Retail (Grocery and Food)</t>
  </si>
  <si>
    <t>Retail (REITs)</t>
  </si>
  <si>
    <t>Retail (Special Lines)</t>
  </si>
  <si>
    <t>Rubber&amp; Tires</t>
  </si>
  <si>
    <t>Semiconductor</t>
  </si>
  <si>
    <t>Semiconductor Equip</t>
  </si>
  <si>
    <t>Shipbuilding &amp; Marine</t>
  </si>
  <si>
    <t>Shoe</t>
  </si>
  <si>
    <t>Software (Entertainment)</t>
  </si>
  <si>
    <t>Software (Internet)</t>
  </si>
  <si>
    <t>Software (System &amp; Application)</t>
  </si>
  <si>
    <t>Steel</t>
  </si>
  <si>
    <t>Telecom (Wireless)</t>
  </si>
  <si>
    <t>Telecom. Equipment</t>
  </si>
  <si>
    <t>Telecom. Services</t>
  </si>
  <si>
    <t>Tobacco</t>
  </si>
  <si>
    <t>Transportation</t>
  </si>
  <si>
    <t>Transportation (Railroads)</t>
  </si>
  <si>
    <t>Trucking</t>
  </si>
  <si>
    <t>Utility (General)</t>
  </si>
  <si>
    <t>Utility (Water)</t>
  </si>
  <si>
    <t>Grand Total</t>
  </si>
  <si>
    <t>Total Market (without financials)</t>
  </si>
  <si>
    <t>Industry Name</t>
  </si>
  <si>
    <t>[Enter business country name from AD list]</t>
  </si>
  <si>
    <t>secondaryrev.contribution</t>
  </si>
  <si>
    <t>Primary Business Tax Region</t>
  </si>
  <si>
    <t>Primary Business Revenue Contribution</t>
  </si>
  <si>
    <t>Secondary Business Revenue Contribution</t>
  </si>
  <si>
    <t>Corporate Tax Expense</t>
  </si>
  <si>
    <t>Total Tax Expense</t>
  </si>
  <si>
    <t>Secondary Business Tax Region</t>
  </si>
  <si>
    <t>Profit before taxes</t>
  </si>
  <si>
    <t>Net profit</t>
  </si>
  <si>
    <t>Aerial Arts India</t>
  </si>
  <si>
    <t>Samina Burhani</t>
  </si>
  <si>
    <r>
      <t xml:space="preserve">We understand that you seek a fair valuation of a business. At Valify, we are committed to providing a swift &amp; efficient self-valuation tool. </t>
    </r>
    <r>
      <rPr>
        <b/>
        <sz val="11"/>
        <color theme="1"/>
        <rFont val="Leelawadee"/>
        <family val="2"/>
      </rPr>
      <t xml:space="preserve">We would like to emphasize that the valuation estimates through Valify do not qualify as independent valuation advisory. </t>
    </r>
    <r>
      <rPr>
        <sz val="12"/>
        <rFont val="Leelawadee"/>
        <family val="2"/>
      </rPr>
      <t xml:space="preserve">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t>
    </r>
    <r>
      <rPr>
        <b/>
        <sz val="11"/>
        <color theme="1"/>
        <rFont val="Leelawadee"/>
        <family val="2"/>
      </rPr>
      <t>By completing the below-set questionnaire, you consent to receive a valuation estimate on the subject company through the above-described self-valuation tool.</t>
    </r>
  </si>
  <si>
    <r>
      <t>Please mention 3-5 key words that describe the exact nature of the secondary business within the industry. These key words will be used to screen the most relevant comparable companies in the market for benchmarking analysis. For example, to describe Tesla Motors, you would sa</t>
    </r>
    <r>
      <rPr>
        <sz val="11"/>
        <rFont val="Leelawadee"/>
        <family val="2"/>
      </rPr>
      <t>y- "B2C</t>
    </r>
    <r>
      <rPr>
        <sz val="12"/>
        <rFont val="Leelawadee"/>
        <family val="2"/>
      </rPr>
      <t>" "electric vehicle", "car manufacturer".</t>
    </r>
  </si>
  <si>
    <t>Average Annual Revenue in USD Mn</t>
  </si>
  <si>
    <t>YTD</t>
  </si>
  <si>
    <t>Growth % &gt;&gt;</t>
  </si>
  <si>
    <t>A. Capex by UEL</t>
  </si>
  <si>
    <t>B. Total Annual Capex</t>
  </si>
  <si>
    <t>C. Capex as a % of Revenue</t>
  </si>
  <si>
    <t>NWC as at Valuation Date</t>
  </si>
  <si>
    <t>Valuation Inputs</t>
  </si>
  <si>
    <t>Related Party Balances - trade/non-trade</t>
  </si>
  <si>
    <t>I DO NOT have price &amp; volume data for existing business.</t>
  </si>
  <si>
    <t>Select this Option - I have price &amp; volume data for pipeline business lines.</t>
  </si>
  <si>
    <t>Select this Option - I have price &amp; volume data for potential business lines.</t>
  </si>
  <si>
    <t>I DO NOT have price &amp; volume data for potential business.</t>
  </si>
  <si>
    <t>Complete forecast option</t>
  </si>
  <si>
    <t>Opex Growth Option</t>
  </si>
  <si>
    <t>Advances from Customers</t>
  </si>
  <si>
    <t>Advances to Suppliers</t>
  </si>
  <si>
    <t>Year -1</t>
  </si>
  <si>
    <t>Year -2</t>
  </si>
  <si>
    <t>Historical Financials Provided</t>
  </si>
  <si>
    <t>Loans</t>
  </si>
  <si>
    <t>If the business has any loans on their books , please confirm the exact outstanding amount of the loan as at the Valuation Date.</t>
  </si>
  <si>
    <t>Dues from Related Parties (asset)</t>
  </si>
  <si>
    <t>Dues to Related Parties (liability)</t>
  </si>
  <si>
    <t>Trade</t>
  </si>
  <si>
    <t>Non-Trade</t>
  </si>
  <si>
    <t>#</t>
  </si>
  <si>
    <t>Working Capital Balances</t>
  </si>
  <si>
    <t>Year -3</t>
  </si>
  <si>
    <t>FY21</t>
  </si>
  <si>
    <t>Historical</t>
  </si>
  <si>
    <t>Finance Costs</t>
  </si>
  <si>
    <t>Legend</t>
  </si>
  <si>
    <t>Salary growth</t>
  </si>
  <si>
    <t>Depreciation as a % of Revenue</t>
  </si>
  <si>
    <t>Finance Cost  as a % of Revenue</t>
  </si>
  <si>
    <t>Management Forecast</t>
  </si>
  <si>
    <t>Valify Sensitivity</t>
  </si>
  <si>
    <t>Revenue Cases</t>
  </si>
  <si>
    <t>Revenue - Management</t>
  </si>
  <si>
    <t>Revenue - Valify</t>
  </si>
  <si>
    <t>Names &amp; Dates</t>
  </si>
  <si>
    <t>Current Date</t>
  </si>
  <si>
    <t>Client Company Short Name</t>
  </si>
  <si>
    <t>Last fiscal year end</t>
  </si>
  <si>
    <t>Output</t>
  </si>
  <si>
    <t>Management Case EV - Low</t>
  </si>
  <si>
    <t>Management Case EV - High</t>
  </si>
  <si>
    <t>Valify Case EV - Low</t>
  </si>
  <si>
    <t>Valify Case EV - High</t>
  </si>
  <si>
    <t>Management Case implied multiple</t>
  </si>
  <si>
    <t>Valify Case implied multiple</t>
  </si>
  <si>
    <t>Market Multiple</t>
  </si>
  <si>
    <t>Business Overview</t>
  </si>
  <si>
    <t>Business model description</t>
  </si>
  <si>
    <t>Revenue stream names</t>
  </si>
  <si>
    <t>Last FYE Revenues</t>
  </si>
  <si>
    <t>Operating Regions</t>
  </si>
  <si>
    <t>Expansion plans</t>
  </si>
  <si>
    <t>Pipelines contracts</t>
  </si>
  <si>
    <t>Sensitivity Analysis</t>
  </si>
  <si>
    <t>Revenue Analysis</t>
  </si>
  <si>
    <t>Historical Revenue CAGR</t>
  </si>
  <si>
    <t>Historical Revenue  Yr-3</t>
  </si>
  <si>
    <t>Historical Revenue Year -1</t>
  </si>
  <si>
    <t>YTD Date</t>
  </si>
  <si>
    <t>YTD Revenues</t>
  </si>
  <si>
    <t>YTD Revenue status</t>
  </si>
  <si>
    <t>Projected Revenue CAGR</t>
  </si>
  <si>
    <t>Last Projected Year</t>
  </si>
  <si>
    <t>Projected Existing Revenue share</t>
  </si>
  <si>
    <t>Projected Pipeline Revenue share</t>
  </si>
  <si>
    <t>Projected Potential Revenue share</t>
  </si>
  <si>
    <t>Business Forecast Profile</t>
  </si>
  <si>
    <t>Profile description</t>
  </si>
  <si>
    <t>Profitiability Analysis</t>
  </si>
  <si>
    <t>Subject Company Name</t>
  </si>
  <si>
    <t>Valuer First Name</t>
  </si>
  <si>
    <t>Innovate or Decline</t>
  </si>
  <si>
    <t>Agreement Date</t>
  </si>
  <si>
    <t>Character Limit: Long - 35, Short - 15</t>
  </si>
  <si>
    <t>Page 6: Executive Summary</t>
  </si>
  <si>
    <t>Page 2: Message from your advisory partner</t>
  </si>
  <si>
    <t>Page 3: Message from your advisory partner</t>
  </si>
  <si>
    <t>Scope of work</t>
  </si>
  <si>
    <t>Excel Report Issues:</t>
  </si>
  <si>
    <t>Bold</t>
  </si>
  <si>
    <t>Bullets</t>
  </si>
  <si>
    <t>Character limits</t>
  </si>
  <si>
    <t>Information we relied on</t>
  </si>
  <si>
    <t xml:space="preserve">Disclaimer </t>
  </si>
  <si>
    <t>Exercise Background</t>
  </si>
  <si>
    <t>Valuation Methodology</t>
  </si>
  <si>
    <t>Valuation Conclusion</t>
  </si>
  <si>
    <t>Market EV/EBITDA Multiple (FY26)</t>
  </si>
  <si>
    <t>Implied EV/EBITDA Multiple - Management Case</t>
  </si>
  <si>
    <t>Enterprise Valuation - Management</t>
  </si>
  <si>
    <t>EBITDA - Management</t>
  </si>
  <si>
    <t>Enterprise Valuation - Valify Sensitized</t>
  </si>
  <si>
    <t>EBITDA - Valify Sensitized</t>
  </si>
  <si>
    <t>Implied EV/EBITDA Multiple - Valify Sensitized</t>
  </si>
  <si>
    <t>Valify Sensitized</t>
  </si>
  <si>
    <t>Peer Multiples Analysis</t>
  </si>
  <si>
    <t>Page 8: Company Overview</t>
  </si>
  <si>
    <t>About the Company</t>
  </si>
  <si>
    <t>Key Facts</t>
  </si>
  <si>
    <t>Company Revenue &amp; Profits</t>
  </si>
  <si>
    <t>Key Recent Business Updates</t>
  </si>
  <si>
    <t xml:space="preserve">Regional Exposure: </t>
  </si>
  <si>
    <t xml:space="preserve">Business Development: </t>
  </si>
  <si>
    <t>Dominant Stream</t>
  </si>
  <si>
    <t>Revenue Share</t>
  </si>
  <si>
    <t>Significantly Exceeded</t>
  </si>
  <si>
    <t>Slightly Exceeded</t>
  </si>
  <si>
    <t>Slightly Lower</t>
  </si>
  <si>
    <t>Significantly Lower</t>
  </si>
  <si>
    <t>Threshold</t>
  </si>
  <si>
    <t>YTD Status Labels</t>
  </si>
  <si>
    <t>Historical Dominant Revenue Stream</t>
  </si>
  <si>
    <t>Historical Dominant Revenue stream share</t>
  </si>
  <si>
    <t>Projected Dominant Revenue Stream</t>
  </si>
  <si>
    <t>Projected Dominant Revenue stream share</t>
  </si>
  <si>
    <t>Existing</t>
  </si>
  <si>
    <t>Pipeline</t>
  </si>
  <si>
    <t>Potential</t>
  </si>
  <si>
    <t>A message from your advisory partner</t>
  </si>
  <si>
    <t>Page 9: Valify Case Sensitivities</t>
  </si>
  <si>
    <t>Executive Summary</t>
  </si>
  <si>
    <t>Company Overview</t>
  </si>
  <si>
    <t>Valify Case Sensitivities</t>
  </si>
  <si>
    <t>XXX</t>
  </si>
  <si>
    <t>Page 11: Revenue Analysis</t>
  </si>
  <si>
    <t>Profiability Analysis</t>
  </si>
  <si>
    <t>Page 12: Profitability Analysis</t>
  </si>
  <si>
    <t>Margins</t>
  </si>
  <si>
    <t>Costs</t>
  </si>
  <si>
    <t>Total Costs</t>
  </si>
  <si>
    <t>Page 13: Working Capital &amp; Capex</t>
  </si>
  <si>
    <t>Working Capital &amp; Capex</t>
  </si>
  <si>
    <t>DCF Valuation</t>
  </si>
  <si>
    <t>Page 15: DCF Valuation</t>
  </si>
  <si>
    <t>Page 16: DCF Valuation</t>
  </si>
  <si>
    <t>.</t>
  </si>
  <si>
    <t xml:space="preserve">Add: Depreciation </t>
  </si>
  <si>
    <t>Less: Capex</t>
  </si>
  <si>
    <t xml:space="preserve">Less: Change in net working capital </t>
  </si>
  <si>
    <t>Notes:</t>
  </si>
  <si>
    <t>Partial period discounting factor - check</t>
  </si>
  <si>
    <t>Market EV/EBITDA Multiple (FYE)</t>
  </si>
  <si>
    <t>Selected multiple from GPC's (undiscounted) - FYE</t>
  </si>
  <si>
    <t>Page 1: Cover</t>
  </si>
  <si>
    <t>*</t>
  </si>
  <si>
    <t>Page 1</t>
  </si>
  <si>
    <t>Page 2</t>
  </si>
  <si>
    <t>Page 6</t>
  </si>
  <si>
    <t>Scope of Work</t>
  </si>
  <si>
    <t>Methodology</t>
  </si>
  <si>
    <t>Page 8</t>
  </si>
  <si>
    <t>Business Description</t>
  </si>
  <si>
    <t>Business Divisions:</t>
  </si>
  <si>
    <t>Operating Geographies:</t>
  </si>
  <si>
    <t>Potential Business</t>
  </si>
  <si>
    <t>Secondary</t>
  </si>
  <si>
    <t>Industry Classification</t>
  </si>
  <si>
    <t>Secondary business:</t>
  </si>
  <si>
    <t>Primarily Geography</t>
  </si>
  <si>
    <t>Secondary business</t>
  </si>
  <si>
    <t>Operational Currency:</t>
  </si>
  <si>
    <t>Historic Revenue</t>
  </si>
  <si>
    <t>Projected revenues</t>
  </si>
  <si>
    <t>Projected Revenue support</t>
  </si>
  <si>
    <t>Page 12: Profits</t>
  </si>
  <si>
    <t>Page 11: Revenues</t>
  </si>
  <si>
    <t>Risk Assumptions</t>
  </si>
  <si>
    <t>Penetration risk</t>
  </si>
  <si>
    <t>New venture, region or products</t>
  </si>
  <si>
    <t>Risky contracts</t>
  </si>
  <si>
    <t>Vendor Dependency</t>
  </si>
  <si>
    <t>Key customer risk</t>
  </si>
  <si>
    <t>more than 50% business from 1 customer</t>
  </si>
  <si>
    <t>if you have only 1 supplier</t>
  </si>
  <si>
    <t>Large/long-term risky contracts?</t>
  </si>
  <si>
    <t>Niche Nature</t>
  </si>
  <si>
    <t>Specific Risk Premium Compuation Matrix</t>
  </si>
  <si>
    <t>Risk Factor</t>
  </si>
  <si>
    <t>Risk Premium</t>
  </si>
  <si>
    <t>Total Specific Risk</t>
  </si>
  <si>
    <t>What is the official name of your company?</t>
  </si>
  <si>
    <t>Notes to Farooq:</t>
  </si>
  <si>
    <t>Make disclaimer visible throughout as a button</t>
  </si>
  <si>
    <t>Move row 23 as part of disclaimer</t>
  </si>
  <si>
    <t>How many months have passed since the start of new financial year of the business?</t>
  </si>
  <si>
    <t>Date boxes are not looking good</t>
  </si>
  <si>
    <t>Year to Date: months completed in current year</t>
  </si>
  <si>
    <t>First question in figma 1.1 is horizantal but website is vertical MCQs</t>
  </si>
  <si>
    <t xml:space="preserve">Please select one or more from the below that most accurately describe the nature of your business(es): </t>
  </si>
  <si>
    <t>Not on figma design - other operating regions rev contribution\</t>
  </si>
  <si>
    <t>If "No" for row 52 question, then grey out this question</t>
  </si>
  <si>
    <t>To add average annual rev and development phase for primary business</t>
  </si>
  <si>
    <t>Check linking</t>
  </si>
  <si>
    <t>Allocated</t>
  </si>
  <si>
    <t>Is the subject company exploring a new ventures, products or locations over the next 5 years?</t>
  </si>
  <si>
    <t>Is there dependency on a single supplier? Select yes if the company does not alternative suppliers to support their operations.</t>
  </si>
  <si>
    <t>Niche Risk</t>
  </si>
  <si>
    <t>Penetration Risk</t>
  </si>
  <si>
    <t>Vendor Risk</t>
  </si>
  <si>
    <t>Key Customer Risk</t>
  </si>
  <si>
    <t xml:space="preserve">On average, does more than 50% of business source from less than 3 major customers? </t>
  </si>
  <si>
    <t>Is there high market uncertainity/volatility in the specific business niche? Select "Yes" if it is difficult to make business predictions in Company's niche.</t>
  </si>
  <si>
    <t>Message</t>
  </si>
  <si>
    <t>Notes from Lazure/Amiri/Shazpha/Burhan</t>
  </si>
  <si>
    <t>Notes from Raaj</t>
  </si>
  <si>
    <t>Going Concern</t>
  </si>
  <si>
    <t>Is the business expected to continue in the foreseeable future?</t>
  </si>
  <si>
    <t>If "No", follow  Column O</t>
  </si>
  <si>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</si>
  <si>
    <t>If "Yes", follow  Column O</t>
  </si>
  <si>
    <t>Forecasts</t>
  </si>
  <si>
    <t>Can you provide financial forecasts of the business for 3-5 years?</t>
  </si>
  <si>
    <t>Which of the options best describe the current development stage of the business?</t>
  </si>
  <si>
    <t>Follow  Column O</t>
  </si>
  <si>
    <t>Please select your role with the subject company.</t>
  </si>
  <si>
    <t>Consultant</t>
  </si>
  <si>
    <t>Please enter your full name &amp; designation.</t>
  </si>
  <si>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</si>
  <si>
    <t>Are you seeking a valuation of your own company?</t>
  </si>
  <si>
    <t>Autofill with Company Name, with option to overwrite</t>
  </si>
  <si>
    <t>What is the next financial year end for the business?</t>
  </si>
  <si>
    <t>Country-wise reference</t>
  </si>
  <si>
    <t>Please enter the date as at which you wish to conduct this valuation. Please note that this may not necessarily be today's date. The valuation date is typically the date to which you have the latest actual business financial performance which is ideally the most recent month-end.</t>
  </si>
  <si>
    <r>
      <t xml:space="preserve">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t>
    </r>
    <r>
      <rPr>
        <b/>
        <sz val="11"/>
        <color theme="1"/>
        <rFont val="Leelawadee"/>
        <family val="2"/>
      </rPr>
      <t xml:space="preserve">1. YTD Annualized (Default): </t>
    </r>
    <r>
      <rPr>
        <sz val="12"/>
        <rFont val="Leelawadee"/>
        <family val="2"/>
      </rPr>
      <t xml:space="preserve">Select this option if you prefer to forecast performance of upcoming months based on previous months of the year (at the same rate as previous months).
</t>
    </r>
    <r>
      <rPr>
        <b/>
        <sz val="11"/>
        <color theme="1"/>
        <rFont val="Leelawadee"/>
        <family val="2"/>
      </rPr>
      <t xml:space="preserve">2. Management Monthly Budget: </t>
    </r>
    <r>
      <rPr>
        <sz val="12"/>
        <rFont val="Leelawadee"/>
        <family val="2"/>
      </rPr>
      <t xml:space="preserve"> Select this option if you prefer the remaining months to be forecasted in line with the original monthly budgets, irrespective of previous months' actual performance.
</t>
    </r>
    <r>
      <rPr>
        <b/>
        <sz val="11"/>
        <color theme="1"/>
        <rFont val="Leelawadee"/>
        <family val="2"/>
      </rPr>
      <t>3. Catch-up Approach:</t>
    </r>
    <r>
      <rPr>
        <sz val="12"/>
        <rFont val="Leelawadee"/>
        <family val="2"/>
      </rPr>
      <t xml:space="preserve"> Select this option if the business has under-performed or over-performed the budget in previous months, and you expect the business to catch up in coming months and meet the annual targets budgeted for the current year.</t>
    </r>
  </si>
  <si>
    <t>Keep YTD Annualized as the default selection</t>
  </si>
  <si>
    <t>ppt video or perhaps default option\</t>
  </si>
  <si>
    <t>Please select the currency in which you wish to process the valuation.</t>
  </si>
  <si>
    <t>Please select the unit of currency (eg: "USD million" or "AED 000s"), in which you would like us to generate the analysis. 
To ensure clean, legible outputs, it is best to avoid unit metrics unless the business financials are within 4 digits.</t>
  </si>
  <si>
    <t xml:space="preserve">If "Units" Selected, add grey text next to the answer box "Eg: 200,000 will appear as "200,000"". If "000s" Selected, add grey text next to the answer box "Eg: 200,000 will appear as "200K". If "Mn" Selected, add grey text next to the answer box "Eg: 200,000 will appear as "0.2 Mn"". </t>
  </si>
  <si>
    <t>Average Annual Revenue</t>
  </si>
  <si>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</si>
  <si>
    <t>Select the most relevant industry for the company's primary business operations (main business).</t>
  </si>
  <si>
    <r>
      <t>Please mention 3-5 key words that describe the exact nature of the business within the industry. These key words will be used to screen the most relevant comparable companies in the market for benchmarking analysis. For example, to describe Tesla Motors, you would say - "</t>
    </r>
    <r>
      <rPr>
        <sz val="11"/>
        <rFont val="Leelawadee"/>
        <family val="2"/>
      </rPr>
      <t>B2C</t>
    </r>
    <r>
      <rPr>
        <sz val="12"/>
        <rFont val="Leelawadee"/>
        <family val="2"/>
      </rPr>
      <t>" "electric vehicle", "car manufacturer".</t>
    </r>
  </si>
  <si>
    <t>Add shared services option (Hazel-Lazure cost sharing)
Add note that this is not a pitch but a business classification</t>
  </si>
  <si>
    <t>Main operating region - Primary</t>
  </si>
  <si>
    <t>Please select up to 3 other operating regions for the business, if relevant. If so, enter approximate revenue contribution from each added region.</t>
  </si>
  <si>
    <t>Does the business currently have(or intend to venture into) an alternative business line? If yes, answer the below 3 questions.</t>
  </si>
  <si>
    <t>Please select up to 3 other operating regions for the secondary business, if relevant. If so, enter approximate revenue contribution from each added region.</t>
  </si>
  <si>
    <t>Revenue contribution - Secondary Business</t>
  </si>
  <si>
    <t>Please estimate the avearge revenue contribution from secondary business (in %)</t>
  </si>
  <si>
    <t>Historical Data</t>
  </si>
  <si>
    <t>Add upload button for Hist.Fin template</t>
  </si>
  <si>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</si>
  <si>
    <t>Add upload button for forecast template</t>
  </si>
  <si>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</si>
  <si>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</si>
  <si>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</si>
  <si>
    <t>Since the potential revenues are uncertain, please share an expected probability of achieving these over next 5 years? If you are unsure about this, it is recommended to consider a 50%-50% probability of achievement.</t>
  </si>
  <si>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</si>
  <si>
    <t>Autofill: If answer is "Yes", populate all 3 green boxes below with "I have price &amp; volume data for existing business lines.", if no populate all 3 with "I DO NOT have price &amp; volume data for existing business.")</t>
  </si>
  <si>
    <t>I have price &amp; volume data for some business lines</t>
  </si>
  <si>
    <t>Display the below hidden question only if above row answer is "I have price &amp; volume data for some business lines")</t>
  </si>
  <si>
    <t>If answer is "I have price &amp; volume data for existing business.", display schedule AP from Column G reference, else display Schedule BP.</t>
  </si>
  <si>
    <t>If answer is "I have price &amp; volume data for existing business.", display schedule AF from Column G reference, else display Schedule BF.</t>
  </si>
  <si>
    <t>Schedule A - Price x Volume</t>
  </si>
  <si>
    <t>AE</t>
  </si>
  <si>
    <t>EXISTING BUSINESS REVENUES - Price x Volume</t>
  </si>
  <si>
    <t>Price</t>
  </si>
  <si>
    <t>Prices are often difficult to forecast. The intention here is to ascertain a long-term sustainable average. However, if you are unable to determine specific price levels, we recommend opting for "Forecast using Price Growth".</t>
  </si>
  <si>
    <t>If answer is "Forecast using Average Price", display AE1 (Reference in Column G), else display AE2</t>
  </si>
  <si>
    <t>AE1</t>
  </si>
  <si>
    <t>Price or Average revenue per unit (in information currency)</t>
  </si>
  <si>
    <t>AE2</t>
  </si>
  <si>
    <t>Volumes</t>
  </si>
  <si>
    <t>Sales volumes can be difficult to forecast. The intention here is to ascertain a long-term sustainable average. However, if you are unable to determine volume levels, we recommend opting for the below "Volume Growth approach".</t>
  </si>
  <si>
    <t>If answer is "Forecast using Average Price", display AE3 (Reference in Column G), else display AE4</t>
  </si>
  <si>
    <t>AE3</t>
  </si>
  <si>
    <t>AE4</t>
  </si>
  <si>
    <t>AP</t>
  </si>
  <si>
    <t>PIPELINE BUSINESS REVENUES - Price x Volume</t>
  </si>
  <si>
    <t>If answer is "Forecast using Average Price", display AP1 (Reference in Column G), else display AP2</t>
  </si>
  <si>
    <t>AP1</t>
  </si>
  <si>
    <t>AP2</t>
  </si>
  <si>
    <t>If answer is "Forecast using Average Price", display AP3 (Reference in Column G), else display AP4</t>
  </si>
  <si>
    <t>AP3</t>
  </si>
  <si>
    <t>AP4</t>
  </si>
  <si>
    <t>AF</t>
  </si>
  <si>
    <t>POTENTIAL BUSINESS REVENUES - Price x Volume</t>
  </si>
  <si>
    <t>If answer is "Forecast using Average Price", display AF1 (Reference in Column G), else display AF2</t>
  </si>
  <si>
    <t>AF1</t>
  </si>
  <si>
    <t>AF2</t>
  </si>
  <si>
    <t>If answer is "Forecast using Average Price", display AF3 (Reference in Column G), else display AF4</t>
  </si>
  <si>
    <t>AF3</t>
  </si>
  <si>
    <t>AF4</t>
  </si>
  <si>
    <t>Schedule B - No Price x Volume</t>
  </si>
  <si>
    <t>BE</t>
  </si>
  <si>
    <t>Existing Business</t>
  </si>
  <si>
    <t>Please select most appropriate option.</t>
  </si>
  <si>
    <t>If answer is A, display BE1, else display BE2</t>
  </si>
  <si>
    <t>I can only provide consolidated total revenue for existing business.</t>
  </si>
  <si>
    <t>A. I can provide specific revenue estimates for each existing business line</t>
  </si>
  <si>
    <t>B. I can only provide consolidated total revenue for existing business.</t>
  </si>
  <si>
    <t>BE1</t>
  </si>
  <si>
    <t>BE2</t>
  </si>
  <si>
    <t>BP</t>
  </si>
  <si>
    <t>Pipeline Business</t>
  </si>
  <si>
    <t>If answer is A, display BP1, else display BP2</t>
  </si>
  <si>
    <t>B. I can only provide consolidated total revenue for pipeline business.</t>
  </si>
  <si>
    <t>A. I can provide specific revenue estimates for each pipeline business line</t>
  </si>
  <si>
    <t>BP1</t>
  </si>
  <si>
    <t>BP2</t>
  </si>
  <si>
    <t>BF</t>
  </si>
  <si>
    <t>If answer is A, display BF1, else display BF2</t>
  </si>
  <si>
    <t>B. I can only provide consolidated total revenue for potential business.</t>
  </si>
  <si>
    <t>A. I can provide specific revenue estimates for each potential business line</t>
  </si>
  <si>
    <t>BF1</t>
  </si>
  <si>
    <t>BF2</t>
  </si>
  <si>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</si>
  <si>
    <t>Build button to autofill Years 1-5 based on current Year data</t>
  </si>
  <si>
    <t>Utilities</t>
  </si>
  <si>
    <t>Years 1-5: Enter suggested growth rate (if any)</t>
  </si>
  <si>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</si>
  <si>
    <t>If answer is A, display A section, if answer is B, display B section, else display C section</t>
  </si>
  <si>
    <t>Only allow % without cap on 100</t>
  </si>
  <si>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</si>
  <si>
    <t>What is the available cash balance of the business on the Valuation Date? This should include bank balances and any cash like items.</t>
  </si>
  <si>
    <t>Show in currency &amp; units mentioned in section 1.4</t>
  </si>
  <si>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</si>
  <si>
    <t>If trade, show note - "Include these in NWC days under Other Payable Days", if non-trade, collect amount in adjacent column</t>
  </si>
  <si>
    <t>If trade, show note - "Include these in NWC days under Other Receivable Days", if non-trade, collect amount in adjacent column</t>
  </si>
  <si>
    <r>
      <t xml:space="preserve">Does the business contain large or long-term contracts of risky nature? 
</t>
    </r>
    <r>
      <rPr>
        <i/>
        <sz val="11"/>
        <rFont val="Leelawadee"/>
        <family val="2"/>
      </rPr>
      <t>Note: For example, an annual master agreement without any order forecasts for a high-value client.</t>
    </r>
  </si>
  <si>
    <t>Cyclicality</t>
  </si>
  <si>
    <t>Is the business cyclical in nature?</t>
  </si>
  <si>
    <t>val.currency</t>
  </si>
  <si>
    <t>Early-stage / Pre-revenue</t>
  </si>
  <si>
    <t>Start-up</t>
  </si>
  <si>
    <t>Mature Growth</t>
  </si>
  <si>
    <t>Primary Business Sub-Industry</t>
  </si>
  <si>
    <t>primary.subindustry</t>
  </si>
  <si>
    <t>Matured</t>
  </si>
  <si>
    <t>Other Operating Regions - Primary</t>
  </si>
  <si>
    <t>Country Name</t>
  </si>
  <si>
    <t>Average Revenue Contribution (%)</t>
  </si>
  <si>
    <t>Other Operating Region 1</t>
  </si>
  <si>
    <t>Other Operating Region 2</t>
  </si>
  <si>
    <t>Other Operating Region 3</t>
  </si>
  <si>
    <t>Secondary Business Sub-Industry</t>
  </si>
  <si>
    <t>secondary.subindustry</t>
  </si>
  <si>
    <t>Secondary Business Description</t>
  </si>
  <si>
    <t>secondarybus.desc</t>
  </si>
  <si>
    <t>Other Operating Regions - Secondary</t>
  </si>
  <si>
    <t>Forex Risk</t>
  </si>
  <si>
    <t>Form Response</t>
  </si>
  <si>
    <t>Close sections 2-6 in questionnaire</t>
  </si>
  <si>
    <t>Primary Business Decription</t>
  </si>
  <si>
    <t>primary.bus.desc</t>
  </si>
  <si>
    <t>Product/Service</t>
  </si>
  <si>
    <t>If exact volumes are entered in above section, auto-calculate growth rates here</t>
  </si>
  <si>
    <t>If contributions are entered in below section, auto-calculate exact revenues here</t>
  </si>
  <si>
    <t>Option 1</t>
  </si>
  <si>
    <t>&lt;&lt; Growth rates &gt;&gt;</t>
  </si>
  <si>
    <t>Autofill for Years 1-5 based on Current Year &amp; allow overwrite</t>
  </si>
  <si>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</si>
  <si>
    <t>Enter only total</t>
  </si>
  <si>
    <t>If "Enter only totals" is selected, hide breakdown rows.</t>
  </si>
  <si>
    <t>Enter only totals here</t>
  </si>
  <si>
    <t>Non-trade amount</t>
  </si>
  <si>
    <t>Early growth/Pre-revenue</t>
  </si>
  <si>
    <t>Benchmark Rates</t>
  </si>
  <si>
    <t>Stage</t>
  </si>
  <si>
    <t>Questions</t>
  </si>
  <si>
    <t>Progress %</t>
  </si>
  <si>
    <t>0-Val Approach</t>
  </si>
  <si>
    <t>1-General</t>
  </si>
  <si>
    <t>2- Revenue</t>
  </si>
  <si>
    <t>3-Gross Margin</t>
  </si>
  <si>
    <t>4-Opex</t>
  </si>
  <si>
    <t>5-Assets</t>
  </si>
  <si>
    <t>6-NWC</t>
  </si>
  <si>
    <t>7-Val Assumptions</t>
  </si>
  <si>
    <t>8-Risk Assumptions</t>
  </si>
  <si>
    <t>Cyclicality Risk</t>
  </si>
  <si>
    <t>Early-Growth/Pre revenue</t>
  </si>
  <si>
    <t>Financial Ratios</t>
  </si>
  <si>
    <t>Efficiency Ratios</t>
  </si>
  <si>
    <t>Cash Conversion Cycle</t>
  </si>
  <si>
    <t>Receivable Turnover Ratio</t>
  </si>
  <si>
    <t>Inventory Turnover Ratio</t>
  </si>
  <si>
    <t>Payables Turnover Ratio</t>
  </si>
  <si>
    <t>Asset Turnover Ratio</t>
  </si>
  <si>
    <t>Operating Cycle (NWC Ratio)</t>
  </si>
  <si>
    <t>Capital Turnover Ratio</t>
  </si>
  <si>
    <t>Cash Ratio</t>
  </si>
  <si>
    <t>Operating Leverage</t>
  </si>
  <si>
    <t>Financial Leverage</t>
  </si>
  <si>
    <t>Interest Coverage Ratio</t>
  </si>
  <si>
    <t>Debt to Capital Ratio</t>
  </si>
  <si>
    <t>Fixed Interest Cover</t>
  </si>
  <si>
    <t>Fixed Dividend Cover</t>
  </si>
  <si>
    <t>Stability Ratios</t>
  </si>
  <si>
    <t>Fixed Asset Ratio</t>
  </si>
  <si>
    <t>Ratio to current Assets to Fixed Assets</t>
  </si>
  <si>
    <t>Propreitary Ratio</t>
  </si>
  <si>
    <t>Activity Ratio</t>
  </si>
  <si>
    <t>Investment Return Ratios</t>
  </si>
  <si>
    <t>Operating Margin</t>
  </si>
  <si>
    <t>Expense Ratios</t>
  </si>
  <si>
    <t>Effective Interest Rate</t>
  </si>
  <si>
    <t>Interest Burden</t>
  </si>
  <si>
    <t>Tax Burden</t>
  </si>
  <si>
    <t>=Net Income/Equity</t>
  </si>
  <si>
    <t>=Net Income/Assets</t>
  </si>
  <si>
    <t>=NOPAT/(Net Debt+Equity)</t>
  </si>
  <si>
    <t>NOPAT= EBIT(1-tax)</t>
  </si>
  <si>
    <t>=GP/Revenue</t>
  </si>
  <si>
    <t>=EBITDA/Revenue</t>
  </si>
  <si>
    <t>=EBIT/Revenue</t>
  </si>
  <si>
    <t>=EBT/Revenue</t>
  </si>
  <si>
    <t>=NP/Revenue</t>
  </si>
  <si>
    <t>=Interest Expense/Interest Bearing Liabilities</t>
  </si>
  <si>
    <t>=EBT/EBIT</t>
  </si>
  <si>
    <t>=Total Tax/Earnings Before Tax</t>
  </si>
  <si>
    <t>=Net Profit/EBT</t>
  </si>
  <si>
    <t>=Revenues/Total Assets</t>
  </si>
  <si>
    <t>PPE Turnover</t>
  </si>
  <si>
    <t>=Revenue/PPE</t>
  </si>
  <si>
    <t>Cash Turnover</t>
  </si>
  <si>
    <t>=Revenue/Cash</t>
  </si>
  <si>
    <t>=Revenues/AR</t>
  </si>
  <si>
    <t>=COGS/Inventory</t>
  </si>
  <si>
    <t>=COGS/AP</t>
  </si>
  <si>
    <t>Solvency Ratios</t>
  </si>
  <si>
    <t>=Debt/Equity</t>
  </si>
  <si>
    <t>Debt to Tangible Worth</t>
  </si>
  <si>
    <t>=Debt/Equity-Intangibles</t>
  </si>
  <si>
    <t>Debt to EBITDA</t>
  </si>
  <si>
    <t>=Debt/EBITDA</t>
  </si>
  <si>
    <t>EBITDA to Interest</t>
  </si>
  <si>
    <t>=CA/CL</t>
  </si>
  <si>
    <t>=CA - inventory/CL</t>
  </si>
  <si>
    <t>=EBITDA/Interest</t>
  </si>
  <si>
    <t>DuPont Analysis</t>
  </si>
  <si>
    <t>=ROA x Financial Leverage</t>
  </si>
  <si>
    <t>=NPM x Asset Turnover x Financial Leverage</t>
  </si>
  <si>
    <t>FINANCIAL CHECKS:</t>
  </si>
  <si>
    <t>Interest Coverage</t>
  </si>
  <si>
    <t>Operating Cash Flows</t>
  </si>
  <si>
    <t>Pre-tax margin</t>
  </si>
  <si>
    <t>ROCE</t>
  </si>
  <si>
    <t>Purchases</t>
  </si>
  <si>
    <t>=COGS-Opening Inv +Closing Inv</t>
  </si>
  <si>
    <t>Opex as a % of revenue</t>
  </si>
  <si>
    <t>=Receivables Days+ Inventory Days</t>
  </si>
  <si>
    <t>=Operating Cycle - Payable Days</t>
  </si>
  <si>
    <t>Fixed Asset Turnover Ratio</t>
  </si>
  <si>
    <t>=Revenues/Fixed Assets</t>
  </si>
  <si>
    <t>=COGS/Revenue</t>
  </si>
  <si>
    <t>=Opex/Revenue</t>
  </si>
  <si>
    <t>Debt Service Coverage Ratio (DSCR)</t>
  </si>
  <si>
    <t>Accruals Ratio (CFS)</t>
  </si>
  <si>
    <t>Accruals Ratio (BS)</t>
  </si>
  <si>
    <t>Net Operating Assets</t>
  </si>
  <si>
    <t>Aggregate Accruals (CFS)</t>
  </si>
  <si>
    <t>=EBIT/(Net Debt+Equity)</t>
  </si>
  <si>
    <t>=Revenues/Average Equity</t>
  </si>
  <si>
    <t>=Revenues/Net PPE</t>
  </si>
  <si>
    <t>=Cash+Equivalents/CL</t>
  </si>
  <si>
    <t>=% change in EBITDA/% Change in Revenues</t>
  </si>
  <si>
    <t>=Average Assets/Average Equity</t>
  </si>
  <si>
    <t>=Debt/(Debt+Equity)</t>
  </si>
  <si>
    <t>=EBIT/Interest</t>
  </si>
  <si>
    <t>=(EBITDA-Capex)/(Interest+Principal)</t>
  </si>
  <si>
    <t>=(EBITDA-Capex)/(Interest+Current Portion of LT Debt)</t>
  </si>
  <si>
    <t>=Net Income/Dividend Declared</t>
  </si>
  <si>
    <t>=Current Assets/Fixed Assets</t>
  </si>
  <si>
    <t>=Equity/Tangible Assets</t>
  </si>
  <si>
    <t>Earnings Quality</t>
  </si>
  <si>
    <t>Interpretation</t>
  </si>
  <si>
    <t>Total Non-current Assets</t>
  </si>
  <si>
    <t>Corridor</t>
  </si>
  <si>
    <t>Implied EBITDA Multiple (Year 1)</t>
  </si>
  <si>
    <t>Implied Revenue Multiple (Year 1)</t>
  </si>
  <si>
    <t>Current Year EBITDA</t>
  </si>
  <si>
    <t>Current Year Revenue</t>
  </si>
  <si>
    <t>Current Year Revenue Multiple</t>
  </si>
  <si>
    <t>Current Year EBITDA Multiple</t>
  </si>
  <si>
    <t>Peer Multiples</t>
  </si>
  <si>
    <t>Corroboration Check</t>
  </si>
  <si>
    <t>Year 5 EBITDA</t>
  </si>
  <si>
    <t>Year 5 Revenue</t>
  </si>
  <si>
    <t>Capitalized Cash Flow (CCF) Method</t>
  </si>
  <si>
    <t>Discounted Cash Flow Method</t>
  </si>
  <si>
    <t>Transaction Method</t>
  </si>
  <si>
    <t>Market Multiples Method (EV/EBITDA)</t>
  </si>
  <si>
    <t>Cover</t>
  </si>
  <si>
    <t>Hazel Lighting India</t>
  </si>
  <si>
    <t>Lazure Worldwide FZCO</t>
  </si>
  <si>
    <t>Lazure</t>
  </si>
  <si>
    <t>Project Lighting</t>
  </si>
  <si>
    <t>Service Provider</t>
  </si>
  <si>
    <t xml:space="preserve">project lighting manufacturer for B2B </t>
  </si>
  <si>
    <t>Lighting products</t>
  </si>
  <si>
    <t>Distributor</t>
  </si>
  <si>
    <t>Lighting product distribution to project specifiers</t>
  </si>
  <si>
    <t>Residential lighting</t>
  </si>
  <si>
    <t>Hotels &amp; Hospitals</t>
  </si>
  <si>
    <t>Government &amp; Infrastructure</t>
  </si>
  <si>
    <t>Distributorship</t>
  </si>
  <si>
    <t>Product contracts by specifiers</t>
  </si>
  <si>
    <t>UAE &amp; Oman projects</t>
  </si>
  <si>
    <t>Staff cost</t>
  </si>
  <si>
    <t>Office &amp; sundry expenses</t>
  </si>
  <si>
    <t>Printing &amp; Stationery</t>
  </si>
  <si>
    <t>Marketing &amp; PR cost</t>
  </si>
  <si>
    <t>Add marketing, Office &amp; sundry expenses and printing &amp; stationery to opex toform &amp; hist.fin</t>
  </si>
  <si>
    <t>Sales Commission</t>
  </si>
  <si>
    <t>Think about tax regional modeling with other operating regions</t>
  </si>
  <si>
    <t>Salaries payable is different from other staff cost payable</t>
  </si>
  <si>
    <t>Update WACC footnotes</t>
  </si>
  <si>
    <t>Make equity risk premuim weighted based on operating regions - currently only on primary region</t>
  </si>
  <si>
    <t>Weighted equity Risk premium</t>
  </si>
  <si>
    <t>Weighted Equity Risk</t>
  </si>
  <si>
    <t>Primary Business Region</t>
  </si>
  <si>
    <t>Primary: Other operating region 1</t>
  </si>
  <si>
    <t>Primary: Other operating region 2</t>
  </si>
  <si>
    <t>Primary: Other operating region 3</t>
  </si>
  <si>
    <t>Secondary Business Region</t>
  </si>
  <si>
    <t>Secondary: Other operating region 1</t>
  </si>
  <si>
    <t>Secondary: Other operating region 2</t>
  </si>
  <si>
    <t>Secondary: Other operating region 3</t>
  </si>
  <si>
    <t>Revenue Weight</t>
  </si>
  <si>
    <t>Equity Premium</t>
  </si>
  <si>
    <t>Weighted Equity Premium</t>
  </si>
  <si>
    <t>Country Premium</t>
  </si>
  <si>
    <t>Weighted Country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</si>
</sst>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8">
    <numFmt numFmtId="164" formatCode="_-* #,##0.00_-;\-* #,##0.00_-;_-* &quot;-&quot;??_-;_-@_-"/>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0.0%"/>
    <numFmt numFmtId="170" formatCode="_(* #,##0.0_);_(* \(#,##0.0\);_(* &quot;-&quot;?_);_(@_)"/>
    <numFmt numFmtId="171" formatCode="_(* #,##0.0\ \x_);_(* \(#,##0.0\ \x\);_(* &quot;-&quot;??_);_(@_)"/>
    <numFmt numFmtId="172" formatCode="#,##0.00_)&quot;yrs&quot;"/>
    <numFmt numFmtId="173" formatCode="[$-409]mmmm\ d\,\ yyyy;@"/>
    <numFmt numFmtId="174" formatCode="_(* 0.00%_);_(* \(0.00%\);_(@_)"/>
    <numFmt numFmtId="175" formatCode="_(* 0.0%_);_(* \(0.0%\);_(@_)"/>
    <numFmt numFmtId="176" formatCode="[$-409]mmm\ d\,\ \'yy;@"/>
    <numFmt numFmtId="177" formatCode="_(* #,##0.00_);_(* \(#,##0.00\);_(* &quot;-&quot;_);_(@_)"/>
    <numFmt numFmtId="178" formatCode="_(* #,##0.00_);_(* \(#,##0.00\);_(* &quot;-&quot;?_);_(@_)"/>
    <numFmt numFmtId="179" formatCode="\(0\)"/>
    <numFmt numFmtId="180" formatCode="00000"/>
    <numFmt numFmtId="181" formatCode="_-[$£-809]* #,##0_-;\-[$£-809]* #,##0_-;_-[$£-809]* &quot;-&quot;_-;_-@_-"/>
    <numFmt numFmtId="182" formatCode="mmm\ dd\,\ \'yy"/>
    <numFmt numFmtId="183" formatCode="_(&quot;$&quot;* #,##0.000_);_(&quot;$&quot;* \(#,##0.000\);_(&quot;$&quot;* &quot;-&quot;_);_(@_)"/>
    <numFmt numFmtId="184" formatCode="_(* #,##0.000_);_(* \(#,##0.000\);_(* &quot;-&quot;???_);_(@_)"/>
    <numFmt numFmtId="185" formatCode="_(* #,##0.0_);_(* \(#,##0.0\);_(* &quot;-&quot;_);_(@_)"/>
    <numFmt numFmtId="186" formatCode="#,##0;\(#,##0\);\-"/>
    <numFmt numFmtId="187" formatCode="#,##0.0;\(#,##0.0\);\-"/>
    <numFmt numFmtId="188" formatCode="#,##0.00;\(#,##0.00\);\-"/>
    <numFmt numFmtId="189" formatCode="[$-409]d\-mmm\-yy;@"/>
    <numFmt numFmtId="190" formatCode="0.0"/>
    <numFmt numFmtId="191" formatCode="_(* #,##0.0\x_);_(* \(#,##0.0\x\);_(* &quot;-&quot;??_);_(@_)"/>
    <numFmt numFmtId="192" formatCode="_(* #,##0.0_);_(* \(#,##0.0\);_(* &quot;-&quot;??_);_(@_)"/>
    <numFmt numFmtId="193" formatCode="_(* #,##0_);_(* \(#,##0\);_(* &quot;-&quot;??_);_(@_)"/>
    <numFmt numFmtId="194" formatCode="_(* #,##0.000_);_(* \(#,##0.000\);_(* &quot;-&quot;??_);_(@_)"/>
    <numFmt numFmtId="195" formatCode="#,##0;\(#,##0\);\-;@"/>
    <numFmt numFmtId="196" formatCode="_-* #,##0.0_-;\-* #,##0.0_-;_-* &quot;-&quot;??_-;_-@_-"/>
    <numFmt numFmtId="197" formatCode="_-[$$-409]* #,##0.000_ ;_-[$$-409]* \-#,##0.000\ ;_-[$$-409]* &quot;-&quot;??_ ;_-@_ "/>
    <numFmt numFmtId="198" formatCode="#,##0_);\(#,##0\);&quot;-  &quot;;&quot; &quot;@&quot; &quot;"/>
    <numFmt numFmtId="199" formatCode="mmm\ yyyy_);&quot;Error &lt;0  &quot;;dd\ mmm\ yyyy_);&quot;  &quot;@"/>
    <numFmt numFmtId="200" formatCode="dd\ mmm\ yy"/>
    <numFmt numFmtId="201" formatCode="_-* #,##0_-;\-* #,##0_-;_-* &quot;-&quot;??_-;_-@_-"/>
  </numFmts>
  <fonts count="249">
    <font>
      <sz val="12"/>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font>
    <font>
      <sz val="10"/>
      <name val="Arial"/>
      <family val="2"/>
    </font>
    <font>
      <sz val="10"/>
      <name val="Arial"/>
      <family val="2"/>
    </font>
    <font>
      <sz val="12"/>
      <name val="Arial"/>
      <family val="2"/>
    </font>
    <font>
      <sz val="8"/>
      <name val="Arial"/>
      <family val="2"/>
    </font>
    <font>
      <sz val="8"/>
      <color indexed="12"/>
      <name val="Arial"/>
      <family val="2"/>
    </font>
    <font>
      <sz val="10"/>
      <name val="Times New Roman"/>
      <family val="1"/>
    </font>
    <font>
      <i/>
      <sz val="10"/>
      <name val="Arial"/>
      <family val="2"/>
    </font>
    <font>
      <sz val="10"/>
      <color indexed="8"/>
      <name val="Arial"/>
      <family val="2"/>
    </font>
    <font>
      <b/>
      <i/>
      <u/>
      <sz val="10"/>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10"/>
      <name val="Calibri"/>
      <family val="2"/>
    </font>
    <font>
      <sz val="11"/>
      <color indexed="19"/>
      <name val="Calibri"/>
      <family val="2"/>
    </font>
    <font>
      <sz val="10"/>
      <color indexed="8"/>
      <name val="MS Sans Serif"/>
      <family val="2"/>
    </font>
    <font>
      <b/>
      <sz val="11"/>
      <color indexed="63"/>
      <name val="Calibri"/>
      <family val="2"/>
    </font>
    <font>
      <b/>
      <sz val="18"/>
      <color indexed="62"/>
      <name val="Cambria"/>
      <family val="2"/>
    </font>
    <font>
      <b/>
      <sz val="11"/>
      <color indexed="8"/>
      <name val="Calibri"/>
      <family val="2"/>
    </font>
    <font>
      <b/>
      <u val="singleAccounting"/>
      <sz val="10"/>
      <name val="Arial"/>
      <family val="2"/>
    </font>
    <font>
      <b/>
      <sz val="12"/>
      <color rgb="FF4F2D7F"/>
      <name val="Arial"/>
      <family val="2"/>
    </font>
    <font>
      <b/>
      <sz val="14"/>
      <color rgb="FF4F2D7F"/>
      <name val="Arial"/>
      <family val="2"/>
    </font>
    <font>
      <sz val="12"/>
      <name val="Arial"/>
      <family val="2"/>
    </font>
    <font>
      <sz val="11"/>
      <color theme="1"/>
      <name val="Arial"/>
      <family val="2"/>
      <scheme val="minor"/>
    </font>
    <font>
      <u/>
      <sz val="7.5"/>
      <color indexed="12"/>
      <name val="Arial"/>
      <family val="2"/>
    </font>
    <font>
      <u/>
      <sz val="12"/>
      <color theme="11"/>
      <name val="Arial"/>
      <family val="2"/>
    </font>
    <font>
      <u/>
      <sz val="10"/>
      <color rgb="FF4F367F"/>
      <name val="Arial"/>
      <family val="2"/>
    </font>
    <font>
      <u/>
      <sz val="12"/>
      <color theme="10"/>
      <name val="Arial"/>
      <family val="2"/>
    </font>
    <font>
      <sz val="9"/>
      <color indexed="81"/>
      <name val="Tahoma"/>
      <family val="2"/>
    </font>
    <font>
      <b/>
      <sz val="9"/>
      <color indexed="81"/>
      <name val="Tahoma"/>
      <family val="2"/>
    </font>
    <font>
      <u/>
      <sz val="12"/>
      <color theme="10"/>
      <name val="Arial"/>
      <family val="2"/>
    </font>
    <font>
      <sz val="8"/>
      <color theme="1"/>
      <name val="Arial"/>
      <family val="2"/>
    </font>
    <font>
      <sz val="10"/>
      <name val="Helv"/>
    </font>
    <font>
      <sz val="8"/>
      <color indexed="8"/>
      <name val="Arial"/>
      <family val="2"/>
    </font>
    <font>
      <sz val="10"/>
      <color rgb="FF800000"/>
      <name val="Arial"/>
      <family val="2"/>
      <scheme val="major"/>
    </font>
    <font>
      <b/>
      <sz val="9"/>
      <color theme="3"/>
      <name val="Arial"/>
      <family val="2"/>
      <scheme val="major"/>
    </font>
    <font>
      <sz val="9"/>
      <color theme="3"/>
      <name val="Arial"/>
      <family val="2"/>
      <scheme val="major"/>
    </font>
    <font>
      <sz val="10"/>
      <color rgb="FF00684F"/>
      <name val="Arial"/>
      <family val="2"/>
      <scheme val="major"/>
    </font>
    <font>
      <b/>
      <sz val="12"/>
      <color rgb="FF00684F"/>
      <name val="Arial"/>
      <family val="2"/>
      <scheme val="major"/>
    </font>
    <font>
      <sz val="12"/>
      <color rgb="FF4F2D7F"/>
      <name val="Arial"/>
      <family val="2"/>
      <scheme val="major"/>
    </font>
    <font>
      <sz val="10"/>
      <color rgb="FFFF0000"/>
      <name val="Arial"/>
      <family val="2"/>
      <scheme val="major"/>
    </font>
    <font>
      <sz val="10"/>
      <color theme="0" tint="-0.34998626667073579"/>
      <name val="Arial"/>
      <family val="2"/>
      <scheme val="major"/>
    </font>
    <font>
      <b/>
      <sz val="8"/>
      <color rgb="FF000000"/>
      <name val="Arial"/>
      <family val="2"/>
      <scheme val="major"/>
    </font>
    <font>
      <b/>
      <sz val="8"/>
      <name val="Arial"/>
      <family val="2"/>
      <scheme val="major"/>
    </font>
    <font>
      <b/>
      <sz val="8"/>
      <color theme="3"/>
      <name val="Arial"/>
      <family val="2"/>
      <scheme val="major"/>
    </font>
    <font>
      <sz val="8"/>
      <color rgb="FF383838"/>
      <name val="Arial"/>
      <family val="2"/>
      <scheme val="major"/>
    </font>
    <font>
      <sz val="8"/>
      <color theme="1"/>
      <name val="Arial"/>
      <family val="2"/>
      <scheme val="major"/>
    </font>
    <font>
      <sz val="8"/>
      <color theme="0"/>
      <name val="Arial"/>
      <family val="2"/>
      <scheme val="major"/>
    </font>
    <font>
      <b/>
      <sz val="8"/>
      <color theme="1"/>
      <name val="Arial"/>
      <family val="2"/>
      <scheme val="major"/>
    </font>
    <font>
      <sz val="10"/>
      <name val="Arial"/>
      <family val="2"/>
      <scheme val="major"/>
    </font>
    <font>
      <b/>
      <sz val="8"/>
      <color rgb="FF383838"/>
      <name val="Arial"/>
      <family val="2"/>
      <scheme val="major"/>
    </font>
    <font>
      <sz val="8"/>
      <color rgb="FF00684F"/>
      <name val="Arial"/>
      <family val="2"/>
      <scheme val="major"/>
    </font>
    <font>
      <sz val="9"/>
      <name val="Arial"/>
      <family val="2"/>
      <scheme val="major"/>
    </font>
    <font>
      <sz val="9"/>
      <name val="Geneva"/>
      <family val="2"/>
    </font>
    <font>
      <sz val="10"/>
      <color rgb="FF0000CC"/>
      <name val="Arial"/>
      <family val="2"/>
    </font>
    <font>
      <sz val="10"/>
      <color indexed="10"/>
      <name val="Arial"/>
      <family val="2"/>
    </font>
    <font>
      <sz val="11"/>
      <color rgb="FF000000"/>
      <name val="Calibri"/>
      <family val="2"/>
    </font>
    <font>
      <sz val="8"/>
      <color theme="1"/>
      <name val="Leelawadee"/>
      <family val="2"/>
    </font>
    <font>
      <b/>
      <sz val="10"/>
      <color rgb="FF003399"/>
      <name val="Leelawadee"/>
      <family val="2"/>
    </font>
    <font>
      <b/>
      <sz val="8"/>
      <color theme="1"/>
      <name val="Leelawadee"/>
      <family val="2"/>
    </font>
    <font>
      <b/>
      <sz val="8"/>
      <color theme="0"/>
      <name val="Leelawadee"/>
      <family val="2"/>
    </font>
    <font>
      <sz val="8"/>
      <color indexed="12"/>
      <name val="Leelawadee"/>
      <family val="2"/>
    </font>
    <font>
      <b/>
      <sz val="8"/>
      <color rgb="FFFF0000"/>
      <name val="Leelawadee"/>
      <family val="2"/>
    </font>
    <font>
      <b/>
      <sz val="8"/>
      <color rgb="FF003399"/>
      <name val="Leelawadee"/>
      <family val="2"/>
    </font>
    <font>
      <sz val="8"/>
      <name val="Leelawadee"/>
      <family val="2"/>
    </font>
    <font>
      <sz val="8"/>
      <color rgb="FF003399"/>
      <name val="Leelawadee"/>
      <family val="2"/>
    </font>
    <font>
      <b/>
      <sz val="8"/>
      <color theme="1" tint="0.499984740745262"/>
      <name val="Leelawadee"/>
      <family val="2"/>
    </font>
    <font>
      <b/>
      <i/>
      <sz val="8"/>
      <color theme="0"/>
      <name val="Leelawadee"/>
      <family val="2"/>
    </font>
    <font>
      <sz val="12"/>
      <name val="Leelawadee"/>
      <family val="2"/>
    </font>
    <font>
      <sz val="8"/>
      <color indexed="8"/>
      <name val="Leelawadee"/>
      <family val="2"/>
    </font>
    <font>
      <i/>
      <sz val="8"/>
      <name val="Leelawadee"/>
      <family val="2"/>
    </font>
    <font>
      <b/>
      <u/>
      <sz val="8"/>
      <name val="Leelawadee"/>
      <family val="2"/>
    </font>
    <font>
      <u/>
      <sz val="8"/>
      <name val="Leelawadee"/>
      <family val="2"/>
    </font>
    <font>
      <b/>
      <sz val="8"/>
      <color rgb="FF00B050"/>
      <name val="Leelawadee"/>
      <family val="2"/>
    </font>
    <font>
      <b/>
      <sz val="8"/>
      <color theme="3"/>
      <name val="Leelawadee"/>
      <family val="2"/>
    </font>
    <font>
      <b/>
      <sz val="8"/>
      <name val="Leelawadee"/>
      <family val="2"/>
    </font>
    <font>
      <b/>
      <sz val="8"/>
      <color rgb="FF00CCE2"/>
      <name val="Leelawadee"/>
      <family val="2"/>
    </font>
    <font>
      <b/>
      <sz val="8"/>
      <color theme="0" tint="-0.499984740745262"/>
      <name val="Leelawadee"/>
      <family val="2"/>
    </font>
    <font>
      <b/>
      <sz val="8"/>
      <color rgb="FF0070C0"/>
      <name val="Leelawadee"/>
      <family val="2"/>
    </font>
    <font>
      <b/>
      <sz val="8"/>
      <color rgb="FF383838"/>
      <name val="Leelawadee"/>
      <family val="2"/>
    </font>
    <font>
      <b/>
      <u/>
      <sz val="8"/>
      <color theme="0"/>
      <name val="Leelawadee"/>
      <family val="2"/>
    </font>
    <font>
      <b/>
      <sz val="9"/>
      <color rgb="FF003399"/>
      <name val="Leelawadee"/>
      <family val="2"/>
    </font>
    <font>
      <sz val="9"/>
      <name val="Leelawadee"/>
      <family val="2"/>
    </font>
    <font>
      <sz val="10"/>
      <name val="Leelawadee"/>
      <family val="2"/>
    </font>
    <font>
      <sz val="9"/>
      <color rgb="FF003399"/>
      <name val="Leelawadee"/>
      <family val="2"/>
    </font>
    <font>
      <sz val="9"/>
      <color theme="3"/>
      <name val="Leelawadee"/>
      <family val="2"/>
    </font>
    <font>
      <b/>
      <sz val="9"/>
      <color theme="0"/>
      <name val="Leelawadee"/>
      <family val="2"/>
    </font>
    <font>
      <sz val="9"/>
      <color theme="0"/>
      <name val="Leelawadee"/>
      <family val="2"/>
    </font>
    <font>
      <sz val="12"/>
      <color theme="0"/>
      <name val="Leelawadee"/>
      <family val="2"/>
    </font>
    <font>
      <sz val="10"/>
      <color theme="0"/>
      <name val="Leelawadee"/>
      <family val="2"/>
    </font>
    <font>
      <b/>
      <sz val="10"/>
      <color theme="0"/>
      <name val="Leelawadee"/>
      <family val="2"/>
    </font>
    <font>
      <b/>
      <sz val="10"/>
      <name val="Leelawadee"/>
      <family val="2"/>
    </font>
    <font>
      <sz val="8"/>
      <color theme="3"/>
      <name val="Leelawadee"/>
      <family val="2"/>
    </font>
    <font>
      <sz val="8"/>
      <color theme="0" tint="-0.14999847407452621"/>
      <name val="Leelawadee"/>
      <family val="2"/>
    </font>
    <font>
      <sz val="8"/>
      <color rgb="FF0000FF"/>
      <name val="Leelawadee"/>
      <family val="2"/>
    </font>
    <font>
      <b/>
      <sz val="8"/>
      <color rgb="FF0000FF"/>
      <name val="Leelawadee"/>
      <family val="2"/>
    </font>
    <font>
      <b/>
      <sz val="20"/>
      <color rgb="FFFF0000"/>
      <name val="Leelawadee"/>
      <family val="2"/>
    </font>
    <font>
      <b/>
      <u/>
      <sz val="8"/>
      <color theme="1"/>
      <name val="Leelawadee"/>
      <family val="2"/>
    </font>
    <font>
      <b/>
      <sz val="8"/>
      <color rgb="FF7030A0"/>
      <name val="Leelawadee"/>
      <family val="2"/>
    </font>
    <font>
      <sz val="8"/>
      <color rgb="FF7030A0"/>
      <name val="Leelawadee"/>
      <family val="2"/>
    </font>
    <font>
      <i/>
      <sz val="8"/>
      <color theme="1"/>
      <name val="Leelawadee"/>
      <family val="2"/>
    </font>
    <font>
      <sz val="8"/>
      <color theme="0"/>
      <name val="Leelawadee"/>
      <family val="2"/>
    </font>
    <font>
      <b/>
      <i/>
      <sz val="8"/>
      <color theme="1"/>
      <name val="Leelawadee"/>
      <family val="2"/>
    </font>
    <font>
      <b/>
      <i/>
      <u/>
      <sz val="8"/>
      <color theme="1"/>
      <name val="Leelawadee"/>
      <family val="2"/>
    </font>
    <font>
      <sz val="8"/>
      <color rgb="FF800000"/>
      <name val="Leelawadee"/>
      <family val="2"/>
    </font>
    <font>
      <b/>
      <sz val="8"/>
      <color rgb="FF4F2D7F"/>
      <name val="Leelawadee"/>
      <family val="2"/>
    </font>
    <font>
      <b/>
      <sz val="8"/>
      <color rgb="FF00684F"/>
      <name val="Leelawadee"/>
      <family val="2"/>
    </font>
    <font>
      <sz val="8"/>
      <color rgb="FF00684F"/>
      <name val="Leelawadee"/>
      <family val="2"/>
    </font>
    <font>
      <b/>
      <i/>
      <sz val="8"/>
      <color theme="3"/>
      <name val="Leelawadee"/>
      <family val="2"/>
    </font>
    <font>
      <b/>
      <i/>
      <sz val="8"/>
      <color rgb="FF7030A0"/>
      <name val="Leelawadee"/>
      <family val="2"/>
    </font>
    <font>
      <sz val="8"/>
      <color rgb="FF000000"/>
      <name val="Leelawadee"/>
      <family val="2"/>
    </font>
    <font>
      <b/>
      <sz val="8"/>
      <color rgb="FF000000"/>
      <name val="Leelawadee"/>
      <family val="2"/>
    </font>
    <font>
      <b/>
      <sz val="8"/>
      <color rgb="FF009B76"/>
      <name val="Leelawadee"/>
      <family val="2"/>
    </font>
    <font>
      <u/>
      <sz val="8"/>
      <color theme="10"/>
      <name val="Leelawadee"/>
      <family val="2"/>
    </font>
    <font>
      <sz val="8"/>
      <color rgb="FFFFFFFF"/>
      <name val="Leelawadee"/>
      <family val="2"/>
    </font>
    <font>
      <b/>
      <u val="singleAccounting"/>
      <sz val="8"/>
      <color theme="1"/>
      <name val="Leelawadee"/>
      <family val="2"/>
    </font>
    <font>
      <b/>
      <sz val="8"/>
      <color indexed="62"/>
      <name val="Leelawadee"/>
      <family val="2"/>
    </font>
    <font>
      <sz val="8"/>
      <color rgb="FF383838"/>
      <name val="Leelawadee"/>
      <family val="2"/>
    </font>
    <font>
      <b/>
      <i/>
      <sz val="8"/>
      <name val="Leelawadee"/>
      <family val="2"/>
    </font>
    <font>
      <b/>
      <sz val="8"/>
      <color rgb="FF800000"/>
      <name val="Leelawadee"/>
      <family val="2"/>
    </font>
    <font>
      <b/>
      <i/>
      <u/>
      <sz val="8"/>
      <name val="Leelawadee"/>
      <family val="2"/>
    </font>
    <font>
      <sz val="8"/>
      <color rgb="FFFF0000"/>
      <name val="Leelawadee"/>
      <family val="2"/>
    </font>
    <font>
      <i/>
      <sz val="8"/>
      <color rgb="FFFF0000"/>
      <name val="Leelawadee"/>
      <family val="2"/>
    </font>
    <font>
      <b/>
      <sz val="8"/>
      <color rgb="FFC00000"/>
      <name val="Leelawadee"/>
      <family val="2"/>
    </font>
    <font>
      <sz val="8"/>
      <color theme="0" tint="-0.34998626667073579"/>
      <name val="Leelawadee"/>
      <family val="2"/>
    </font>
    <font>
      <sz val="8"/>
      <color rgb="FF4F2D7F"/>
      <name val="Leelawadee"/>
      <family val="2"/>
    </font>
    <font>
      <sz val="8"/>
      <color rgb="FFC00000"/>
      <name val="Leelawadee"/>
      <family val="2"/>
    </font>
    <font>
      <sz val="8"/>
      <color theme="1" tint="0.34998626667073579"/>
      <name val="Leelawadee"/>
      <family val="2"/>
    </font>
    <font>
      <b/>
      <u val="singleAccounting"/>
      <sz val="8"/>
      <color rgb="FF800000"/>
      <name val="Leelawadee"/>
      <family val="2"/>
    </font>
    <font>
      <b/>
      <i/>
      <u/>
      <sz val="8"/>
      <color rgb="FF800000"/>
      <name val="Leelawadee"/>
      <family val="2"/>
    </font>
    <font>
      <b/>
      <i/>
      <sz val="8"/>
      <color rgb="FF800000"/>
      <name val="Leelawadee"/>
      <family val="2"/>
    </font>
    <font>
      <i/>
      <sz val="8"/>
      <color rgb="FF800000"/>
      <name val="Leelawadee"/>
      <family val="2"/>
    </font>
    <font>
      <u val="singleAccounting"/>
      <sz val="8"/>
      <color rgb="FF800000"/>
      <name val="Leelawadee"/>
      <family val="2"/>
    </font>
    <font>
      <b/>
      <u/>
      <sz val="8"/>
      <color theme="3"/>
      <name val="Leelawadee"/>
      <family val="2"/>
    </font>
    <font>
      <sz val="8"/>
      <color rgb="FF660066"/>
      <name val="Leelawadee"/>
      <family val="2"/>
    </font>
    <font>
      <u/>
      <sz val="8"/>
      <color theme="1"/>
      <name val="Leelawadee"/>
      <family val="2"/>
    </font>
    <font>
      <i/>
      <sz val="8"/>
      <color theme="9"/>
      <name val="Leelawadee"/>
      <family val="2"/>
    </font>
    <font>
      <i/>
      <sz val="8"/>
      <color theme="3"/>
      <name val="Leelawadee"/>
      <family val="2"/>
    </font>
    <font>
      <b/>
      <i/>
      <sz val="8"/>
      <color theme="9"/>
      <name val="Leelawadee"/>
      <family val="2"/>
    </font>
    <font>
      <sz val="11"/>
      <color theme="1"/>
      <name val="Leelawadee"/>
      <family val="2"/>
    </font>
    <font>
      <b/>
      <sz val="11"/>
      <color theme="0"/>
      <name val="Leelawadee"/>
      <family val="2"/>
    </font>
    <font>
      <sz val="11"/>
      <color theme="0"/>
      <name val="Leelawadee"/>
      <family val="2"/>
    </font>
    <font>
      <b/>
      <sz val="11"/>
      <color theme="1"/>
      <name val="Leelawadee"/>
      <family val="2"/>
    </font>
    <font>
      <b/>
      <sz val="8"/>
      <color theme="4"/>
      <name val="Leelawadee"/>
      <family val="2"/>
    </font>
    <font>
      <sz val="8"/>
      <color theme="4"/>
      <name val="Leelawadee"/>
      <family val="2"/>
    </font>
    <font>
      <u/>
      <sz val="8"/>
      <color theme="1" tint="0.34998626667073579"/>
      <name val="Leelawadee"/>
      <family val="2"/>
    </font>
    <font>
      <b/>
      <sz val="8"/>
      <color theme="1" tint="0.34998626667073579"/>
      <name val="Leelawadee"/>
      <family val="2"/>
    </font>
    <font>
      <u val="singleAccounting"/>
      <sz val="8"/>
      <color indexed="8"/>
      <name val="Leelawadee"/>
      <family val="2"/>
    </font>
    <font>
      <b/>
      <u val="doubleAccounting"/>
      <sz val="8"/>
      <name val="Leelawadee"/>
      <family val="2"/>
    </font>
    <font>
      <sz val="8"/>
      <color theme="0" tint="-0.249977111117893"/>
      <name val="Leelawadee"/>
      <family val="2"/>
    </font>
    <font>
      <u/>
      <sz val="8"/>
      <color theme="0" tint="-0.249977111117893"/>
      <name val="Leelawadee"/>
      <family val="2"/>
    </font>
    <font>
      <b/>
      <sz val="8"/>
      <color theme="0" tint="-0.249977111117893"/>
      <name val="Leelawadee"/>
      <family val="2"/>
    </font>
    <font>
      <b/>
      <sz val="8"/>
      <color indexed="8"/>
      <name val="Leelawadee"/>
      <family val="2"/>
    </font>
    <font>
      <sz val="8"/>
      <color rgb="FF00CCE2"/>
      <name val="Leelawadee"/>
      <family val="2"/>
    </font>
    <font>
      <u/>
      <sz val="8"/>
      <color rgb="FFC00000"/>
      <name val="Leelawadee"/>
      <family val="2"/>
    </font>
    <font>
      <sz val="8"/>
      <color theme="1" tint="4.9989318521683403E-2"/>
      <name val="Leelawadee"/>
      <family val="2"/>
    </font>
    <font>
      <b/>
      <i/>
      <u/>
      <sz val="8"/>
      <color rgb="FFFF0000"/>
      <name val="Leelawadee"/>
      <family val="2"/>
    </font>
    <font>
      <i/>
      <sz val="8"/>
      <color indexed="8"/>
      <name val="Leelawadee"/>
      <family val="2"/>
    </font>
    <font>
      <i/>
      <sz val="8"/>
      <color theme="0"/>
      <name val="Leelawadee"/>
      <family val="2"/>
    </font>
    <font>
      <i/>
      <sz val="8"/>
      <color rgb="FF4F2D7F"/>
      <name val="Leelawadee"/>
      <family val="2"/>
    </font>
    <font>
      <sz val="10"/>
      <color theme="0" tint="-0.34998626667073579"/>
      <name val="Leelawadee"/>
      <family val="2"/>
    </font>
    <font>
      <b/>
      <sz val="14"/>
      <color theme="0" tint="-0.34998626667073579"/>
      <name val="Leelawadee"/>
      <family val="2"/>
    </font>
    <font>
      <sz val="10"/>
      <color rgb="FF800000"/>
      <name val="Leelawadee"/>
      <family val="2"/>
    </font>
    <font>
      <sz val="12"/>
      <color rgb="FF00684F"/>
      <name val="Leelawadee"/>
      <family val="2"/>
    </font>
    <font>
      <sz val="10"/>
      <color rgb="FF00684F"/>
      <name val="Leelawadee"/>
      <family val="2"/>
    </font>
    <font>
      <i/>
      <sz val="10"/>
      <name val="Leelawadee"/>
      <family val="2"/>
    </font>
    <font>
      <b/>
      <i/>
      <sz val="10"/>
      <name val="Leelawadee"/>
      <family val="2"/>
    </font>
    <font>
      <b/>
      <i/>
      <u/>
      <sz val="10"/>
      <name val="Leelawadee"/>
      <family val="2"/>
    </font>
    <font>
      <i/>
      <sz val="9"/>
      <name val="Leelawadee"/>
      <family val="2"/>
    </font>
    <font>
      <b/>
      <u val="singleAccounting"/>
      <sz val="10"/>
      <color theme="0"/>
      <name val="Leelawadee"/>
      <family val="2"/>
    </font>
    <font>
      <i/>
      <u/>
      <sz val="11"/>
      <color theme="1"/>
      <name val="Leelawadee"/>
      <family val="2"/>
    </font>
    <font>
      <i/>
      <sz val="11"/>
      <color theme="1"/>
      <name val="Leelawadee"/>
      <family val="2"/>
    </font>
    <font>
      <sz val="11"/>
      <color rgb="FFFF0000"/>
      <name val="Leelawadee"/>
      <family val="2"/>
    </font>
    <font>
      <b/>
      <sz val="11"/>
      <color theme="3"/>
      <name val="Leelawadee"/>
      <family val="2"/>
    </font>
    <font>
      <sz val="11"/>
      <name val="Leelawadee"/>
      <family val="2"/>
    </font>
    <font>
      <sz val="11"/>
      <color theme="3"/>
      <name val="Leelawadee"/>
      <family val="2"/>
    </font>
    <font>
      <b/>
      <sz val="11"/>
      <color theme="1" tint="0.499984740745262"/>
      <name val="Leelawadee"/>
      <family val="2"/>
    </font>
    <font>
      <sz val="11"/>
      <color rgb="FF4F2D7F"/>
      <name val="Leelawadee"/>
      <family val="2"/>
    </font>
    <font>
      <sz val="11"/>
      <color rgb="FF00684F"/>
      <name val="Leelawadee"/>
      <family val="2"/>
    </font>
    <font>
      <sz val="11"/>
      <color theme="0" tint="-0.34998626667073579"/>
      <name val="Leelawadee"/>
      <family val="2"/>
    </font>
    <font>
      <b/>
      <i/>
      <sz val="10"/>
      <color rgb="FF0070C0"/>
      <name val="Leelawadee"/>
      <family val="2"/>
    </font>
    <font>
      <b/>
      <sz val="11"/>
      <color rgb="FFFF0000"/>
      <name val="Leelawadee"/>
      <family val="2"/>
    </font>
    <font>
      <u/>
      <sz val="12"/>
      <color theme="10"/>
      <name val="Leelawadee"/>
      <family val="2"/>
    </font>
    <font>
      <sz val="12"/>
      <color rgb="FF212529"/>
      <name val="Leelawadee"/>
      <family val="2"/>
    </font>
    <font>
      <b/>
      <sz val="12"/>
      <color theme="0"/>
      <name val="Leelawadee"/>
      <family val="2"/>
    </font>
    <font>
      <sz val="12"/>
      <color rgb="FF000000"/>
      <name val="Calibri"/>
      <family val="2"/>
    </font>
    <font>
      <b/>
      <i/>
      <sz val="10"/>
      <color theme="0"/>
      <name val="Verdana"/>
      <family val="2"/>
    </font>
    <font>
      <sz val="8"/>
      <color rgb="FF00B050"/>
      <name val="Leelawadee"/>
      <family val="2"/>
    </font>
    <font>
      <sz val="11"/>
      <color rgb="FF0070C0"/>
      <name val="Leelawadee"/>
      <family val="2"/>
    </font>
    <font>
      <i/>
      <sz val="11"/>
      <name val="Leelawadee"/>
      <family val="2"/>
    </font>
    <font>
      <sz val="11"/>
      <color theme="0" tint="-4.9989318521683403E-2"/>
      <name val="Leelawadee"/>
      <family val="2"/>
    </font>
    <font>
      <u/>
      <sz val="11"/>
      <color theme="1"/>
      <name val="Leelawadee"/>
      <family val="2"/>
    </font>
    <font>
      <sz val="11"/>
      <color theme="4"/>
      <name val="Leelawadee"/>
      <family val="2"/>
    </font>
    <font>
      <sz val="11"/>
      <color theme="0" tint="-0.249977111117893"/>
      <name val="Leelawadee"/>
      <family val="2"/>
    </font>
    <font>
      <sz val="11"/>
      <color rgb="FF138CD7"/>
      <name val="Leelawadee"/>
      <family val="2"/>
    </font>
    <font>
      <i/>
      <u/>
      <sz val="8"/>
      <name val="Leelawadee"/>
      <family val="2"/>
    </font>
    <font>
      <i/>
      <u/>
      <sz val="8"/>
      <color theme="0"/>
      <name val="Leelawadee"/>
      <family val="2"/>
    </font>
    <font>
      <sz val="10"/>
      <color rgb="FFFF0000"/>
      <name val="Leelawadee"/>
      <family val="2"/>
    </font>
    <font>
      <b/>
      <sz val="10"/>
      <color theme="1"/>
      <name val="Leelawadee"/>
      <family val="2"/>
    </font>
    <font>
      <i/>
      <sz val="8"/>
      <color theme="0" tint="-0.249977111117893"/>
      <name val="Leelawadee"/>
      <family val="2"/>
    </font>
    <font>
      <b/>
      <sz val="10"/>
      <color rgb="FF00CCE2"/>
      <name val="Leelawadee"/>
      <family val="2"/>
    </font>
    <font>
      <b/>
      <u/>
      <sz val="10"/>
      <name val="Leelawadee"/>
      <family val="2"/>
    </font>
    <font>
      <b/>
      <sz val="11"/>
      <color rgb="FF0D0D0D"/>
      <name val="Leelawadee UI"/>
      <family val="2"/>
    </font>
    <font>
      <u/>
      <sz val="12"/>
      <name val="Arial"/>
      <family val="2"/>
    </font>
    <font>
      <b/>
      <sz val="10.5"/>
      <color rgb="FF000099"/>
      <name val="Leelawadee"/>
      <family val="2"/>
    </font>
    <font>
      <b/>
      <sz val="8"/>
      <color theme="1"/>
      <name val="Leelawadee"/>
      <family val="2"/>
      <charset val="222"/>
    </font>
    <font>
      <b/>
      <u/>
      <sz val="8"/>
      <color theme="1"/>
      <name val="Leelawadee"/>
      <family val="2"/>
      <charset val="222"/>
    </font>
    <font>
      <u/>
      <sz val="10"/>
      <name val="Leelawadee"/>
      <family val="2"/>
    </font>
    <font>
      <b/>
      <u/>
      <sz val="10"/>
      <name val="Leelawadee"/>
      <family val="2"/>
      <charset val="222"/>
    </font>
    <font>
      <b/>
      <sz val="10"/>
      <name val="Leelawadee"/>
      <family val="2"/>
      <charset val="222"/>
    </font>
    <font>
      <b/>
      <sz val="36"/>
      <color rgb="FF00CCE2"/>
      <name val="Leelawadee"/>
      <family val="2"/>
      <charset val="222"/>
    </font>
    <font>
      <b/>
      <sz val="12"/>
      <color theme="0"/>
      <name val="Leelawadee"/>
      <family val="2"/>
      <charset val="222"/>
    </font>
    <font>
      <b/>
      <sz val="14"/>
      <color theme="0"/>
      <name val="Leelawadee"/>
      <family val="2"/>
      <charset val="222"/>
    </font>
    <font>
      <sz val="10"/>
      <color theme="8"/>
      <name val="Leelawadee"/>
      <family val="2"/>
      <charset val="222"/>
    </font>
    <font>
      <sz val="10"/>
      <color theme="8"/>
      <name val="Leelawadee"/>
      <family val="2"/>
    </font>
    <font>
      <b/>
      <sz val="12"/>
      <color rgb="FF003399"/>
      <name val="Leelawadee"/>
      <family val="2"/>
      <charset val="222"/>
    </font>
    <font>
      <sz val="10"/>
      <color rgb="FF000000"/>
      <name val="Leelawadee"/>
      <family val="2"/>
      <charset val="222"/>
    </font>
    <font>
      <b/>
      <sz val="8"/>
      <name val="Leelawadee"/>
      <family val="2"/>
      <charset val="222"/>
    </font>
    <font>
      <b/>
      <sz val="11"/>
      <color rgb="FF00CCE2"/>
      <name val="Leelawadee"/>
      <family val="2"/>
    </font>
    <font>
      <b/>
      <sz val="11"/>
      <name val="Leelawadee"/>
      <family val="2"/>
    </font>
    <font>
      <b/>
      <sz val="11"/>
      <color rgb="FF0070C0"/>
      <name val="Leelawadee"/>
      <family val="2"/>
    </font>
    <font>
      <b/>
      <sz val="8"/>
      <color rgb="FF138CD7"/>
      <name val="Leelawadee"/>
      <family val="2"/>
    </font>
    <font>
      <sz val="10"/>
      <color theme="1"/>
      <name val="Leelawadee"/>
      <family val="2"/>
    </font>
    <font>
      <sz val="12"/>
      <color theme="1"/>
      <name val="Leelawadee"/>
      <family val="2"/>
    </font>
    <font>
      <b/>
      <i/>
      <sz val="8"/>
      <color rgb="FF383838"/>
      <name val="Leelawadee"/>
      <family val="2"/>
    </font>
    <font>
      <b/>
      <sz val="8"/>
      <color theme="0"/>
      <name val="Leelawadee"/>
      <family val="2"/>
      <charset val="222"/>
    </font>
  </fonts>
  <fills count="59">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2"/>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FF"/>
        <bgColor indexed="8"/>
      </patternFill>
    </fill>
    <fill>
      <patternFill patternType="solid">
        <fgColor theme="0" tint="-4.9989318521683403E-2"/>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2"/>
        <bgColor indexed="64"/>
      </patternFill>
    </fill>
    <fill>
      <patternFill patternType="solid">
        <fgColor rgb="FFFFFFCC"/>
        <bgColor indexed="64"/>
      </patternFill>
    </fill>
    <fill>
      <patternFill patternType="solid">
        <fgColor theme="6" tint="0.79998168889431442"/>
        <bgColor indexed="64"/>
      </patternFill>
    </fill>
    <fill>
      <patternFill patternType="solid">
        <fgColor rgb="FFE7E6E6"/>
        <bgColor indexed="64"/>
      </patternFill>
    </fill>
    <fill>
      <patternFill patternType="solid">
        <fgColor theme="7" tint="0.59999389629810485"/>
        <bgColor indexed="64"/>
      </patternFill>
    </fill>
    <fill>
      <patternFill patternType="solid">
        <fgColor rgb="FFD7EEF1"/>
        <bgColor indexed="64"/>
      </patternFill>
    </fill>
    <fill>
      <patternFill patternType="solid">
        <fgColor theme="7" tint="0.79998168889431442"/>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9.9978637043366805E-2"/>
        <bgColor indexed="64"/>
      </patternFill>
    </fill>
    <fill>
      <patternFill patternType="solid">
        <fgColor rgb="FF7030A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1"/>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4.9989318521683403E-2"/>
        <bgColor indexed="64"/>
      </patternFill>
    </fill>
    <fill>
      <patternFill patternType="solid">
        <fgColor theme="7"/>
        <bgColor indexed="64"/>
      </patternFill>
    </fill>
    <fill>
      <patternFill patternType="solid">
        <fgColor rgb="FF92A4FC"/>
        <bgColor indexed="64"/>
      </patternFill>
    </fill>
    <fill>
      <patternFill patternType="solid">
        <fgColor theme="0" tint="-0.34998626667073579"/>
        <bgColor indexed="64"/>
      </patternFill>
    </fill>
    <fill>
      <patternFill patternType="solid">
        <fgColor rgb="FFFF0000"/>
        <bgColor indexed="64"/>
      </patternFill>
    </fill>
  </fills>
  <borders count="12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01"/>
      </bottom>
      <diagonal/>
    </border>
    <border>
      <left/>
      <right/>
      <top/>
      <bottom style="thin">
        <color theme="1" tint="0.14996795556505021"/>
      </bottom>
      <diagonal/>
    </border>
    <border>
      <left/>
      <right/>
      <top style="thin">
        <color theme="1" tint="0.14996795556505021"/>
      </top>
      <bottom/>
      <diagonal/>
    </border>
    <border>
      <left/>
      <right/>
      <top/>
      <bottom style="thin">
        <color theme="1" tint="0.14993743705557422"/>
      </bottom>
      <diagonal/>
    </border>
    <border>
      <left/>
      <right/>
      <top style="thin">
        <color theme="1" tint="0.14993743705557422"/>
      </top>
      <bottom/>
      <diagonal/>
    </border>
    <border>
      <left/>
      <right/>
      <top style="thin">
        <color theme="1" tint="0.14996795556505021"/>
      </top>
      <bottom style="thin">
        <color theme="1" tint="0.14996795556505021"/>
      </bottom>
      <diagonal/>
    </border>
    <border>
      <left style="hair">
        <color theme="1" tint="0.14993743705557422"/>
      </left>
      <right style="hair">
        <color theme="1" tint="0.14993743705557422"/>
      </right>
      <top style="hair">
        <color theme="1" tint="0.14993743705557422"/>
      </top>
      <bottom style="hair">
        <color theme="1" tint="0.14993743705557422"/>
      </bottom>
      <diagonal/>
    </border>
    <border>
      <left style="thin">
        <color theme="1" tint="0.14996795556505021"/>
      </left>
      <right/>
      <top style="thin">
        <color theme="1" tint="0.14996795556505021"/>
      </top>
      <bottom/>
      <diagonal/>
    </border>
    <border>
      <left style="thin">
        <color theme="1" tint="0.14996795556505021"/>
      </left>
      <right/>
      <top/>
      <bottom/>
      <diagonal/>
    </border>
    <border>
      <left style="thin">
        <color theme="1" tint="0.14996795556505021"/>
      </left>
      <right/>
      <top/>
      <bottom style="thin">
        <color theme="1" tint="0.14996795556505021"/>
      </bottom>
      <diagonal/>
    </border>
    <border>
      <left style="thin">
        <color theme="1" tint="0.14993743705557422"/>
      </left>
      <right/>
      <top style="thin">
        <color theme="1" tint="0.14996795556505021"/>
      </top>
      <bottom/>
      <diagonal/>
    </border>
    <border>
      <left style="thin">
        <color theme="1" tint="0.14993743705557422"/>
      </left>
      <right/>
      <top/>
      <bottom/>
      <diagonal/>
    </border>
    <border>
      <left style="thin">
        <color theme="1" tint="0.14993743705557422"/>
      </left>
      <right/>
      <top/>
      <bottom style="thin">
        <color theme="1" tint="0.14996795556505021"/>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1"/>
      </bottom>
      <diagonal/>
    </border>
    <border>
      <left style="dotted">
        <color theme="1" tint="0.14993743705557422"/>
      </left>
      <right style="dotted">
        <color theme="1" tint="0.14993743705557422"/>
      </right>
      <top style="dotted">
        <color theme="1" tint="0.14990691854609822"/>
      </top>
      <bottom style="dotted">
        <color theme="1" tint="0.14990691854609822"/>
      </bottom>
      <diagonal/>
    </border>
    <border>
      <left style="dotted">
        <color theme="1" tint="0.14993743705557422"/>
      </left>
      <right style="dotted">
        <color theme="1" tint="0.14993743705557422"/>
      </right>
      <top style="dotted">
        <color theme="1" tint="0.14990691854609822"/>
      </top>
      <bottom style="thin">
        <color theme="1" tint="0.1499069185460982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bottom style="thin">
        <color indexed="64"/>
      </bottom>
      <diagonal/>
    </border>
    <border>
      <left/>
      <right/>
      <top/>
      <bottom style="thick">
        <color theme="3" tint="0.59999389629810485"/>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2"/>
      </left>
      <right/>
      <top style="hair">
        <color theme="1" tint="0.14993743705557422"/>
      </top>
      <bottom style="hair">
        <color theme="1" tint="0.14993743705557422"/>
      </bottom>
      <diagonal/>
    </border>
    <border>
      <left/>
      <right/>
      <top/>
      <bottom style="thick">
        <color theme="3" tint="0.79998168889431442"/>
      </bottom>
      <diagonal/>
    </border>
    <border>
      <left/>
      <right style="thin">
        <color indexed="64"/>
      </right>
      <top style="thin">
        <color theme="1" tint="0.14996795556505021"/>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top style="thin">
        <color theme="1" tint="4.9989318521683403E-2"/>
      </top>
      <bottom/>
      <diagonal/>
    </border>
    <border>
      <left/>
      <right/>
      <top style="thin">
        <color theme="1" tint="4.9989318521683403E-2"/>
      </top>
      <bottom/>
      <diagonal/>
    </border>
    <border>
      <left/>
      <right style="thin">
        <color theme="1" tint="4.9989318521683403E-2"/>
      </right>
      <top style="thin">
        <color theme="1" tint="4.9989318521683403E-2"/>
      </top>
      <bottom/>
      <diagonal/>
    </border>
    <border>
      <left style="thin">
        <color theme="1" tint="4.9989318521683403E-2"/>
      </left>
      <right/>
      <top/>
      <bottom/>
      <diagonal/>
    </border>
    <border>
      <left/>
      <right style="thin">
        <color theme="1" tint="4.9989318521683403E-2"/>
      </right>
      <top/>
      <bottom/>
      <diagonal/>
    </border>
    <border>
      <left style="thin">
        <color theme="1" tint="4.9989318521683403E-2"/>
      </left>
      <right/>
      <top/>
      <bottom style="thin">
        <color theme="1" tint="0.14996795556505021"/>
      </bottom>
      <diagonal/>
    </border>
    <border>
      <left/>
      <right style="thin">
        <color theme="1" tint="4.9989318521683403E-2"/>
      </right>
      <top/>
      <bottom style="thin">
        <color theme="1" tint="0.14996795556505021"/>
      </bottom>
      <diagonal/>
    </border>
    <border>
      <left style="thin">
        <color theme="1" tint="4.9989318521683403E-2"/>
      </left>
      <right/>
      <top/>
      <bottom style="thin">
        <color theme="1" tint="4.9989318521683403E-2"/>
      </bottom>
      <diagonal/>
    </border>
    <border>
      <left/>
      <right/>
      <top/>
      <bottom style="thin">
        <color theme="1" tint="4.9989318521683403E-2"/>
      </bottom>
      <diagonal/>
    </border>
    <border>
      <left/>
      <right style="thin">
        <color theme="1" tint="4.9989318521683403E-2"/>
      </right>
      <top/>
      <bottom style="thin">
        <color theme="1" tint="4.9989318521683403E-2"/>
      </bottom>
      <diagonal/>
    </border>
    <border>
      <left style="thin">
        <color theme="1" tint="4.9989318521683403E-2"/>
      </left>
      <right style="thin">
        <color theme="1" tint="4.9989318521683403E-2"/>
      </right>
      <top/>
      <bottom style="thin">
        <color theme="1" tint="4.9989318521683403E-2"/>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4.9989318521683403E-2"/>
      </top>
      <bottom/>
      <diagonal/>
    </border>
    <border>
      <left/>
      <right style="thin">
        <color indexed="64"/>
      </right>
      <top style="thin">
        <color theme="1" tint="4.9989318521683403E-2"/>
      </top>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1"/>
      </top>
      <bottom style="thin">
        <color indexed="64"/>
      </bottom>
      <diagonal/>
    </border>
    <border>
      <left/>
      <right/>
      <top style="thin">
        <color theme="0" tint="-0.14999847407452621"/>
      </top>
      <bottom style="thin">
        <color indexed="64"/>
      </bottom>
      <diagonal/>
    </border>
    <border>
      <left/>
      <right style="thin">
        <color indexed="64"/>
      </right>
      <top style="thin">
        <color theme="0" tint="-0.14999847407452621"/>
      </top>
      <bottom style="thin">
        <color indexed="64"/>
      </bottom>
      <diagonal/>
    </border>
    <border>
      <left/>
      <right style="thin">
        <color theme="0" tint="-0.14999847407452621"/>
      </right>
      <top style="thin">
        <color theme="0" tint="-0.14999847407452621"/>
      </top>
      <bottom style="thin">
        <color indexed="64"/>
      </bottom>
      <diagonal/>
    </border>
  </borders>
  <cellStyleXfs count="183">
    <xf numFmtId="0" fontId="0" fillId="0" borderId="0"/>
    <xf numFmtId="0" fontId="26" fillId="2"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5" borderId="0" applyNumberFormat="0" applyBorder="0" applyAlignment="0" applyProtection="0"/>
    <xf numFmtId="0" fontId="26" fillId="6" borderId="0" applyNumberFormat="0" applyBorder="0" applyAlignment="0" applyProtection="0"/>
    <xf numFmtId="0" fontId="26" fillId="4" borderId="0" applyNumberFormat="0" applyBorder="0" applyAlignment="0" applyProtection="0"/>
    <xf numFmtId="0" fontId="26" fillId="6" borderId="0" applyNumberFormat="0" applyBorder="0" applyAlignment="0" applyProtection="0"/>
    <xf numFmtId="0" fontId="26" fillId="3" borderId="0" applyNumberFormat="0" applyBorder="0" applyAlignment="0" applyProtection="0"/>
    <xf numFmtId="0" fontId="26" fillId="7" borderId="0" applyNumberFormat="0" applyBorder="0" applyAlignment="0" applyProtection="0"/>
    <xf numFmtId="0" fontId="26" fillId="8" borderId="0" applyNumberFormat="0" applyBorder="0" applyAlignment="0" applyProtection="0"/>
    <xf numFmtId="0" fontId="26" fillId="6" borderId="0" applyNumberFormat="0" applyBorder="0" applyAlignment="0" applyProtection="0"/>
    <xf numFmtId="0" fontId="26" fillId="4"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8"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11"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8" fillId="15" borderId="0" applyNumberFormat="0" applyBorder="0" applyAlignment="0" applyProtection="0"/>
    <xf numFmtId="0" fontId="29" fillId="16" borderId="1" applyNumberFormat="0" applyAlignment="0" applyProtection="0"/>
    <xf numFmtId="0" fontId="30" fillId="17" borderId="2" applyNumberFormat="0" applyAlignment="0" applyProtection="0"/>
    <xf numFmtId="168" fontId="17" fillId="0" borderId="0" applyFont="0" applyFill="0" applyBorder="0" applyAlignment="0" applyProtection="0"/>
    <xf numFmtId="167" fontId="17" fillId="0" borderId="0" applyFont="0" applyFill="0" applyBorder="0" applyAlignment="0" applyProtection="0"/>
    <xf numFmtId="165" fontId="17" fillId="0" borderId="0" applyFont="0" applyFill="0" applyBorder="0" applyAlignment="0" applyProtection="0"/>
    <xf numFmtId="0" fontId="31" fillId="0" borderId="0" applyNumberFormat="0" applyFill="0" applyBorder="0" applyAlignment="0" applyProtection="0"/>
    <xf numFmtId="0" fontId="32" fillId="6" borderId="0" applyNumberFormat="0" applyBorder="0" applyAlignment="0" applyProtection="0"/>
    <xf numFmtId="0" fontId="33" fillId="0" borderId="3" applyNumberFormat="0" applyFill="0" applyAlignment="0" applyProtection="0"/>
    <xf numFmtId="0" fontId="34" fillId="0" borderId="4" applyNumberFormat="0" applyFill="0" applyAlignment="0" applyProtection="0"/>
    <xf numFmtId="0" fontId="35" fillId="0" borderId="5" applyNumberFormat="0" applyFill="0" applyAlignment="0" applyProtection="0"/>
    <xf numFmtId="0" fontId="35" fillId="0" borderId="0" applyNumberFormat="0" applyFill="0" applyBorder="0" applyAlignment="0" applyProtection="0"/>
    <xf numFmtId="38" fontId="20" fillId="0" borderId="0" applyNumberFormat="0" applyFill="0" applyBorder="0" applyAlignment="0">
      <protection locked="0"/>
    </xf>
    <xf numFmtId="0" fontId="36" fillId="0" borderId="6" applyNumberFormat="0" applyFill="0" applyAlignment="0" applyProtection="0"/>
    <xf numFmtId="0" fontId="37" fillId="7" borderId="0" applyNumberFormat="0" applyBorder="0" applyAlignment="0" applyProtection="0"/>
    <xf numFmtId="0" fontId="38" fillId="4" borderId="7" applyNumberFormat="0" applyFont="0" applyAlignment="0" applyProtection="0"/>
    <xf numFmtId="0" fontId="39" fillId="16" borderId="8" applyNumberFormat="0" applyAlignment="0" applyProtection="0"/>
    <xf numFmtId="9" fontId="17" fillId="0" borderId="0" applyFon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36" fillId="0" borderId="0" applyNumberFormat="0" applyFill="0" applyBorder="0" applyAlignment="0" applyProtection="0"/>
    <xf numFmtId="0" fontId="42" fillId="0" borderId="0" applyNumberFormat="0" applyFill="0">
      <alignment horizontal="centerContinuous"/>
    </xf>
    <xf numFmtId="0" fontId="16" fillId="18" borderId="0" applyNumberFormat="0" applyFont="0" applyBorder="0" applyAlignment="0"/>
    <xf numFmtId="166" fontId="23" fillId="0" borderId="0" applyFill="0" applyBorder="0">
      <alignment horizontal="right"/>
    </xf>
    <xf numFmtId="0" fontId="16" fillId="0" borderId="0" applyFill="0" applyBorder="0"/>
    <xf numFmtId="0" fontId="43" fillId="0" borderId="0" applyBorder="0">
      <alignment vertical="center"/>
    </xf>
    <xf numFmtId="0" fontId="44" fillId="0" borderId="10">
      <alignment vertical="center"/>
    </xf>
    <xf numFmtId="165" fontId="16" fillId="0" borderId="0" applyFill="0" applyBorder="0">
      <alignment horizontal="right"/>
    </xf>
    <xf numFmtId="171" fontId="23" fillId="0" borderId="0" applyFill="0" applyBorder="0">
      <alignment horizontal="right"/>
    </xf>
    <xf numFmtId="175" fontId="22" fillId="0" borderId="0" applyFill="0" applyBorder="0">
      <alignment horizontal="right"/>
    </xf>
    <xf numFmtId="173" fontId="16" fillId="0" borderId="0" applyFill="0" applyBorder="0"/>
    <xf numFmtId="0" fontId="25" fillId="0" borderId="0" applyFill="0" applyBorder="0"/>
    <xf numFmtId="0" fontId="24" fillId="0" borderId="0" applyFill="0" applyBorder="0"/>
    <xf numFmtId="176" fontId="16" fillId="0" borderId="0" applyFill="0" applyBorder="0"/>
    <xf numFmtId="170" fontId="23" fillId="0" borderId="0" applyFill="0" applyBorder="0">
      <alignment horizontal="right"/>
    </xf>
    <xf numFmtId="166" fontId="45" fillId="0" borderId="0" applyFont="0" applyFill="0" applyBorder="0" applyAlignment="0" applyProtection="0"/>
    <xf numFmtId="172" fontId="23" fillId="0" borderId="0" applyFill="0" applyBorder="0">
      <alignment horizontal="right"/>
    </xf>
    <xf numFmtId="168" fontId="46" fillId="0" borderId="0" applyFont="0" applyFill="0" applyBorder="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0" borderId="0" applyFill="0" applyBorder="0"/>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165" fontId="16" fillId="0" borderId="0" applyFill="0" applyBorder="0"/>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179" fontId="25" fillId="0" borderId="0" applyFill="0" applyBorder="0"/>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18" fillId="0" borderId="0"/>
    <xf numFmtId="9" fontId="21"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0" fontId="15" fillId="0" borderId="0"/>
    <xf numFmtId="9" fontId="16" fillId="0" borderId="0" applyFont="0" applyFill="0" applyBorder="0" applyAlignment="0" applyProtection="0"/>
    <xf numFmtId="0" fontId="18" fillId="0" borderId="0"/>
    <xf numFmtId="0" fontId="13" fillId="0" borderId="0"/>
    <xf numFmtId="0" fontId="54" fillId="0" borderId="0"/>
    <xf numFmtId="166" fontId="55" fillId="0" borderId="0" applyFont="0" applyFill="0" applyBorder="0" applyAlignment="0" applyProtection="0"/>
    <xf numFmtId="175" fontId="12" fillId="0" borderId="0" applyFont="0" applyFill="0" applyBorder="0" applyAlignment="0" applyProtection="0"/>
    <xf numFmtId="0" fontId="56" fillId="0" borderId="0" applyAlignment="0"/>
    <xf numFmtId="9" fontId="11" fillId="0" borderId="0" applyFont="0" applyFill="0" applyBorder="0" applyAlignment="0" applyProtection="0"/>
    <xf numFmtId="0" fontId="11" fillId="0" borderId="0"/>
    <xf numFmtId="165" fontId="11" fillId="0" borderId="0" applyFont="0" applyFill="0" applyBorder="0" applyAlignment="0" applyProtection="0"/>
    <xf numFmtId="175" fontId="11" fillId="0" borderId="0" applyFont="0" applyFill="0" applyBorder="0" applyAlignment="0" applyProtection="0"/>
    <xf numFmtId="0" fontId="16" fillId="0" borderId="0"/>
    <xf numFmtId="0" fontId="10" fillId="0" borderId="0"/>
    <xf numFmtId="0" fontId="9" fillId="0" borderId="0"/>
    <xf numFmtId="0" fontId="76" fillId="0" borderId="0"/>
    <xf numFmtId="9" fontId="76" fillId="0" borderId="0" applyFont="0" applyFill="0" applyBorder="0" applyAlignment="0" applyProtection="0"/>
    <xf numFmtId="0" fontId="8" fillId="0" borderId="0"/>
    <xf numFmtId="0" fontId="15" fillId="0" borderId="0"/>
    <xf numFmtId="168" fontId="8" fillId="0" borderId="0" applyFont="0" applyFill="0" applyBorder="0" applyAlignment="0" applyProtection="0"/>
    <xf numFmtId="9" fontId="8" fillId="0" borderId="0" applyFont="0" applyFill="0" applyBorder="0" applyAlignment="0" applyProtection="0"/>
    <xf numFmtId="0" fontId="7" fillId="0" borderId="0" applyNumberFormat="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0" fontId="6" fillId="0" borderId="0"/>
    <xf numFmtId="0" fontId="6" fillId="0" borderId="0" applyNumberFormat="0" applyBorder="0" applyAlignment="0" applyProtection="0"/>
    <xf numFmtId="168" fontId="6" fillId="0" borderId="0" applyFont="0" applyFill="0" applyBorder="0" applyAlignment="0" applyProtection="0"/>
    <xf numFmtId="9" fontId="6"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98" fontId="54" fillId="0" borderId="0" applyFont="0" applyFill="0" applyBorder="0" applyProtection="0">
      <alignment vertical="top"/>
    </xf>
    <xf numFmtId="199" fontId="78" fillId="0" borderId="0" applyFont="0" applyFill="0" applyBorder="0" applyAlignment="0" applyProtection="0"/>
    <xf numFmtId="200" fontId="77"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6" fillId="0" borderId="0"/>
    <xf numFmtId="170" fontId="5" fillId="0" borderId="0" applyFont="0" applyFill="0" applyBorder="0" applyAlignment="0" applyProtection="0"/>
    <xf numFmtId="0" fontId="79"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9"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16" fillId="0" borderId="0" applyFont="0" applyFill="0" applyBorder="0" applyAlignment="0" applyProtection="0"/>
    <xf numFmtId="0" fontId="55" fillId="0" borderId="0"/>
    <xf numFmtId="164" fontId="1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0" fontId="4" fillId="0" borderId="0"/>
    <xf numFmtId="9" fontId="4" fillId="0" borderId="0" applyFont="0" applyFill="0" applyBorder="0" applyAlignment="0" applyProtection="0"/>
    <xf numFmtId="0" fontId="50" fillId="0" borderId="0" applyNumberFormat="0" applyFill="0" applyBorder="0" applyAlignment="0" applyProtection="0"/>
    <xf numFmtId="0" fontId="3" fillId="0" borderId="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1864">
    <xf numFmtId="0" fontId="0" fillId="0" borderId="0" xfId="0"/>
    <xf numFmtId="0" fontId="16" fillId="0" borderId="0" xfId="0" applyFont="1"/>
    <xf numFmtId="0" fontId="16" fillId="0" borderId="0" xfId="49"/>
    <xf numFmtId="37" fontId="16" fillId="0" borderId="0" xfId="49" applyNumberFormat="1" applyAlignment="1">
      <alignment horizontal="center"/>
    </xf>
    <xf numFmtId="0" fontId="57" fillId="0" borderId="0" xfId="49" applyFont="1"/>
    <xf numFmtId="0" fontId="58" fillId="0" borderId="0" xfId="51" applyFont="1" applyBorder="1" applyAlignment="1">
      <alignment horizontal="right" vertical="center"/>
    </xf>
    <xf numFmtId="0" fontId="60" fillId="0" borderId="0" xfId="49" applyFont="1"/>
    <xf numFmtId="0" fontId="59" fillId="0" borderId="0" xfId="50" applyFont="1" applyAlignment="1">
      <alignment horizontal="right" vertical="center"/>
    </xf>
    <xf numFmtId="0" fontId="59" fillId="0" borderId="30" xfId="50" applyFont="1" applyBorder="1" applyAlignment="1">
      <alignment horizontal="right" vertical="center"/>
    </xf>
    <xf numFmtId="0" fontId="61" fillId="0" borderId="0" xfId="50" applyFont="1">
      <alignment vertical="center"/>
    </xf>
    <xf numFmtId="0" fontId="62" fillId="21" borderId="13" xfId="50" applyFont="1" applyFill="1" applyBorder="1" applyAlignment="1">
      <alignment horizontal="right" vertical="center"/>
    </xf>
    <xf numFmtId="0" fontId="62" fillId="21" borderId="15" xfId="50" applyFont="1" applyFill="1" applyBorder="1" applyAlignment="1">
      <alignment horizontal="right" vertical="center"/>
    </xf>
    <xf numFmtId="0" fontId="63" fillId="0" borderId="0" xfId="49" applyFont="1"/>
    <xf numFmtId="0" fontId="64" fillId="0" borderId="0" xfId="49" applyFont="1"/>
    <xf numFmtId="0" fontId="64" fillId="0" borderId="0" xfId="49" applyFont="1" applyAlignment="1">
      <alignment horizontal="right"/>
    </xf>
    <xf numFmtId="186" fontId="67" fillId="21" borderId="0" xfId="112" applyNumberFormat="1" applyFont="1" applyFill="1" applyAlignment="1">
      <alignment horizontal="left" vertical="center"/>
    </xf>
    <xf numFmtId="186" fontId="68" fillId="21" borderId="0" xfId="112" applyNumberFormat="1" applyFont="1" applyFill="1" applyAlignment="1">
      <alignment horizontal="right" vertical="center"/>
    </xf>
    <xf numFmtId="186" fontId="60" fillId="0" borderId="0" xfId="49" applyNumberFormat="1" applyFont="1"/>
    <xf numFmtId="186" fontId="64" fillId="0" borderId="0" xfId="49" applyNumberFormat="1" applyFont="1"/>
    <xf numFmtId="186" fontId="69" fillId="21" borderId="0" xfId="112" applyNumberFormat="1" applyFont="1" applyFill="1" applyAlignment="1">
      <alignment horizontal="left" vertical="center"/>
    </xf>
    <xf numFmtId="186" fontId="69" fillId="21" borderId="0" xfId="112" applyNumberFormat="1" applyFont="1" applyFill="1" applyAlignment="1">
      <alignment horizontal="right" vertical="center"/>
    </xf>
    <xf numFmtId="186" fontId="70" fillId="0" borderId="0" xfId="50" applyNumberFormat="1" applyFont="1" applyAlignment="1">
      <alignment horizontal="left" vertical="center"/>
    </xf>
    <xf numFmtId="186" fontId="71" fillId="21" borderId="0" xfId="112" applyNumberFormat="1" applyFont="1" applyFill="1" applyAlignment="1">
      <alignment horizontal="left" vertical="center"/>
    </xf>
    <xf numFmtId="186" fontId="71" fillId="21" borderId="30" xfId="112" applyNumberFormat="1" applyFont="1" applyFill="1" applyBorder="1" applyAlignment="1">
      <alignment horizontal="left" vertical="center"/>
    </xf>
    <xf numFmtId="186" fontId="71" fillId="21" borderId="30" xfId="112" applyNumberFormat="1" applyFont="1" applyFill="1" applyBorder="1" applyAlignment="1">
      <alignment horizontal="right" vertical="center"/>
    </xf>
    <xf numFmtId="186" fontId="71" fillId="21" borderId="32" xfId="112" applyNumberFormat="1" applyFont="1" applyFill="1" applyBorder="1" applyAlignment="1">
      <alignment horizontal="left" vertical="center"/>
    </xf>
    <xf numFmtId="186" fontId="71" fillId="21" borderId="32" xfId="112" applyNumberFormat="1" applyFont="1" applyFill="1" applyBorder="1" applyAlignment="1">
      <alignment horizontal="right" vertical="center"/>
    </xf>
    <xf numFmtId="0" fontId="72" fillId="0" borderId="0" xfId="49" applyFont="1"/>
    <xf numFmtId="186" fontId="73" fillId="21" borderId="30" xfId="112" applyNumberFormat="1" applyFont="1" applyFill="1" applyBorder="1" applyAlignment="1">
      <alignment horizontal="left" vertical="center"/>
    </xf>
    <xf numFmtId="0" fontId="66" fillId="0" borderId="30" xfId="50" applyFont="1" applyBorder="1">
      <alignment vertical="center"/>
    </xf>
    <xf numFmtId="0" fontId="74" fillId="0" borderId="30" xfId="50" applyFont="1" applyBorder="1">
      <alignment vertical="center"/>
    </xf>
    <xf numFmtId="186" fontId="69" fillId="21" borderId="30" xfId="112" applyNumberFormat="1" applyFont="1" applyFill="1" applyBorder="1" applyAlignment="1">
      <alignment horizontal="left" vertical="center"/>
    </xf>
    <xf numFmtId="171" fontId="69" fillId="0" borderId="30" xfId="53" applyFont="1" applyBorder="1">
      <alignment horizontal="right"/>
    </xf>
    <xf numFmtId="186" fontId="69" fillId="21" borderId="33" xfId="112" applyNumberFormat="1" applyFont="1" applyFill="1" applyBorder="1" applyAlignment="1">
      <alignment horizontal="left" vertical="center"/>
    </xf>
    <xf numFmtId="186" fontId="69" fillId="21" borderId="33" xfId="112" applyNumberFormat="1" applyFont="1" applyFill="1" applyBorder="1" applyAlignment="1">
      <alignment horizontal="right" vertical="center"/>
    </xf>
    <xf numFmtId="0" fontId="75" fillId="0" borderId="0" xfId="51" applyFont="1" applyBorder="1">
      <alignment vertical="center"/>
    </xf>
    <xf numFmtId="0" fontId="75" fillId="0" borderId="30" xfId="50" applyFont="1" applyBorder="1">
      <alignment vertical="center"/>
    </xf>
    <xf numFmtId="0" fontId="75" fillId="0" borderId="0" xfId="50" applyFont="1">
      <alignment vertical="center"/>
    </xf>
    <xf numFmtId="0" fontId="58" fillId="24" borderId="0" xfId="144" applyFont="1" applyFill="1" applyAlignment="1">
      <alignment horizontal="left" vertical="center"/>
    </xf>
    <xf numFmtId="0" fontId="59" fillId="24" borderId="0" xfId="144" applyFont="1" applyFill="1" applyAlignment="1">
      <alignment horizontal="left" vertical="center"/>
    </xf>
    <xf numFmtId="0" fontId="59" fillId="24" borderId="30" xfId="144" applyFont="1" applyFill="1" applyBorder="1" applyAlignment="1">
      <alignment horizontal="left" vertical="center"/>
    </xf>
    <xf numFmtId="0" fontId="58" fillId="24" borderId="0" xfId="144" applyFont="1" applyFill="1" applyAlignment="1">
      <alignment horizontal="left"/>
    </xf>
    <xf numFmtId="0" fontId="65" fillId="25" borderId="28" xfId="144" applyFont="1" applyFill="1" applyBorder="1" applyAlignment="1">
      <alignment horizontal="left" wrapText="1"/>
    </xf>
    <xf numFmtId="167" fontId="66" fillId="23" borderId="30" xfId="96" applyNumberFormat="1" applyFont="1" applyFill="1" applyBorder="1" applyAlignment="1">
      <alignment horizontal="right"/>
    </xf>
    <xf numFmtId="186" fontId="69" fillId="21" borderId="0" xfId="50" applyNumberFormat="1" applyFont="1" applyFill="1" applyAlignment="1">
      <alignment horizontal="right" vertical="center"/>
    </xf>
    <xf numFmtId="171" fontId="69" fillId="0" borderId="0" xfId="53" applyFont="1">
      <alignment horizontal="right"/>
    </xf>
    <xf numFmtId="9" fontId="69" fillId="21" borderId="0" xfId="143" applyFont="1" applyFill="1" applyAlignment="1">
      <alignment horizontal="right" vertical="center"/>
    </xf>
    <xf numFmtId="186" fontId="69" fillId="32" borderId="0" xfId="112" applyNumberFormat="1" applyFont="1" applyFill="1" applyAlignment="1">
      <alignment horizontal="right" vertical="center"/>
    </xf>
    <xf numFmtId="186" fontId="71" fillId="32" borderId="0" xfId="112" applyNumberFormat="1" applyFont="1" applyFill="1" applyAlignment="1">
      <alignment horizontal="right" vertical="center"/>
    </xf>
    <xf numFmtId="0" fontId="80" fillId="0" borderId="0" xfId="117" applyFont="1"/>
    <xf numFmtId="0" fontId="81" fillId="0" borderId="0" xfId="118" applyFont="1" applyAlignment="1">
      <alignment horizontal="left"/>
    </xf>
    <xf numFmtId="0" fontId="80" fillId="0" borderId="97" xfId="117" applyFont="1" applyBorder="1"/>
    <xf numFmtId="0" fontId="82" fillId="0" borderId="0" xfId="117" applyFont="1"/>
    <xf numFmtId="0" fontId="83" fillId="40" borderId="0" xfId="117" applyFont="1" applyFill="1" applyAlignment="1">
      <alignment horizontal="center"/>
    </xf>
    <xf numFmtId="192" fontId="84" fillId="20" borderId="56" xfId="119" applyNumberFormat="1" applyFont="1" applyFill="1" applyBorder="1" applyAlignment="1" applyProtection="1">
      <alignment horizontal="center" vertical="center"/>
      <protection locked="0"/>
    </xf>
    <xf numFmtId="9" fontId="84" fillId="0" borderId="0" xfId="120" applyFont="1" applyFill="1" applyBorder="1" applyAlignment="1" applyProtection="1">
      <alignment horizontal="center" vertical="center"/>
      <protection locked="0"/>
    </xf>
    <xf numFmtId="0" fontId="80" fillId="0" borderId="0" xfId="117" applyFont="1" applyAlignment="1">
      <alignment horizontal="center"/>
    </xf>
    <xf numFmtId="0" fontId="80" fillId="39" borderId="0" xfId="117" applyFont="1" applyFill="1"/>
    <xf numFmtId="0" fontId="80" fillId="28" borderId="0" xfId="117" applyFont="1" applyFill="1" applyAlignment="1">
      <alignment horizontal="center"/>
    </xf>
    <xf numFmtId="189" fontId="80" fillId="23" borderId="0" xfId="100" applyNumberFormat="1" applyFont="1" applyFill="1"/>
    <xf numFmtId="0" fontId="80" fillId="23" borderId="0" xfId="117" applyFont="1" applyFill="1" applyAlignment="1">
      <alignment horizontal="center"/>
    </xf>
    <xf numFmtId="0" fontId="85" fillId="0" borderId="0" xfId="117" applyFont="1"/>
    <xf numFmtId="0" fontId="86" fillId="0" borderId="0" xfId="0" applyFont="1"/>
    <xf numFmtId="0" fontId="87" fillId="0" borderId="0" xfId="0" applyFont="1"/>
    <xf numFmtId="0" fontId="88" fillId="0" borderId="0" xfId="0" applyFont="1"/>
    <xf numFmtId="0" fontId="89" fillId="0" borderId="0" xfId="0" applyFont="1"/>
    <xf numFmtId="0" fontId="87" fillId="0" borderId="96" xfId="0" applyFont="1" applyBorder="1"/>
    <xf numFmtId="0" fontId="90" fillId="37" borderId="0" xfId="0" applyFont="1" applyFill="1" applyAlignment="1">
      <alignment horizontal="left"/>
    </xf>
    <xf numFmtId="0" fontId="87" fillId="37" borderId="0" xfId="0" applyFont="1" applyFill="1"/>
    <xf numFmtId="0" fontId="83" fillId="37" borderId="0" xfId="0" applyFont="1" applyFill="1" applyAlignment="1">
      <alignment horizontal="right"/>
    </xf>
    <xf numFmtId="0" fontId="83" fillId="37" borderId="0" xfId="0" applyFont="1" applyFill="1" applyAlignment="1">
      <alignment horizontal="right" wrapText="1"/>
    </xf>
    <xf numFmtId="0" fontId="91" fillId="0" borderId="0" xfId="0" applyFont="1"/>
    <xf numFmtId="0" fontId="87" fillId="19" borderId="0" xfId="49" applyFont="1" applyFill="1" applyProtection="1">
      <protection locked="0"/>
    </xf>
    <xf numFmtId="0" fontId="87" fillId="0" borderId="0" xfId="49" applyFont="1" applyFill="1" applyProtection="1">
      <protection locked="0"/>
    </xf>
    <xf numFmtId="0" fontId="87" fillId="19" borderId="0" xfId="49" applyFont="1" applyFill="1"/>
    <xf numFmtId="0" fontId="93" fillId="19" borderId="0" xfId="49" applyFont="1" applyFill="1"/>
    <xf numFmtId="0" fontId="93" fillId="0" borderId="0" xfId="0" applyFont="1"/>
    <xf numFmtId="0" fontId="94" fillId="19" borderId="0" xfId="49" applyFont="1" applyFill="1"/>
    <xf numFmtId="185" fontId="87" fillId="19" borderId="0" xfId="105" applyNumberFormat="1" applyFont="1" applyFill="1"/>
    <xf numFmtId="0" fontId="94" fillId="19" borderId="0" xfId="49" applyFont="1" applyFill="1" applyProtection="1">
      <protection locked="0"/>
    </xf>
    <xf numFmtId="0" fontId="95" fillId="0" borderId="0" xfId="0" applyFont="1"/>
    <xf numFmtId="0" fontId="87" fillId="19" borderId="0" xfId="49" applyFont="1" applyFill="1" applyAlignment="1" applyProtection="1">
      <alignment horizontal="right"/>
      <protection locked="0"/>
    </xf>
    <xf numFmtId="0" fontId="94" fillId="0" borderId="0" xfId="0" applyFont="1"/>
    <xf numFmtId="0" fontId="95" fillId="0" borderId="0" xfId="0" applyFont="1" applyAlignment="1">
      <alignment horizontal="right"/>
    </xf>
    <xf numFmtId="0" fontId="94" fillId="22" borderId="0" xfId="0" applyFont="1" applyFill="1"/>
    <xf numFmtId="0" fontId="80" fillId="19" borderId="0" xfId="0" applyFont="1" applyFill="1" applyAlignment="1">
      <alignment horizontal="left"/>
    </xf>
    <xf numFmtId="9" fontId="87" fillId="0" borderId="0" xfId="0" applyNumberFormat="1" applyFont="1" applyAlignment="1">
      <alignment horizontal="center"/>
    </xf>
    <xf numFmtId="169" fontId="87" fillId="26" borderId="0" xfId="49" quotePrefix="1" applyNumberFormat="1" applyFont="1" applyFill="1" applyProtection="1">
      <protection locked="0"/>
    </xf>
    <xf numFmtId="169" fontId="87" fillId="26" borderId="0" xfId="49" applyNumberFormat="1" applyFont="1" applyFill="1" applyProtection="1">
      <protection locked="0"/>
    </xf>
    <xf numFmtId="15" fontId="87" fillId="26" borderId="0" xfId="0" applyNumberFormat="1" applyFont="1" applyFill="1"/>
    <xf numFmtId="0" fontId="96" fillId="0" borderId="0" xfId="0" applyFont="1"/>
    <xf numFmtId="177" fontId="87" fillId="26" borderId="0" xfId="105" quotePrefix="1" applyNumberFormat="1" applyFont="1" applyFill="1" applyProtection="1">
      <protection locked="0"/>
    </xf>
    <xf numFmtId="185" fontId="87" fillId="19" borderId="0" xfId="105" applyNumberFormat="1" applyFont="1" applyFill="1" applyProtection="1">
      <protection locked="0"/>
    </xf>
    <xf numFmtId="0" fontId="90" fillId="40" borderId="0" xfId="0" applyFont="1" applyFill="1" applyAlignment="1">
      <alignment horizontal="left"/>
    </xf>
    <xf numFmtId="0" fontId="83" fillId="40" borderId="0" xfId="0" applyFont="1" applyFill="1" applyAlignment="1">
      <alignment horizontal="right"/>
    </xf>
    <xf numFmtId="167" fontId="83" fillId="40" borderId="30" xfId="0" applyNumberFormat="1" applyFont="1" applyFill="1" applyBorder="1"/>
    <xf numFmtId="167" fontId="83" fillId="40" borderId="30" xfId="0" applyNumberFormat="1" applyFont="1" applyFill="1" applyBorder="1" applyAlignment="1">
      <alignment horizontal="right"/>
    </xf>
    <xf numFmtId="167" fontId="83" fillId="40" borderId="0" xfId="0" applyNumberFormat="1" applyFont="1" applyFill="1"/>
    <xf numFmtId="0" fontId="97" fillId="0" borderId="0" xfId="0" applyFont="1"/>
    <xf numFmtId="0" fontId="98" fillId="0" borderId="96" xfId="0" applyFont="1" applyBorder="1"/>
    <xf numFmtId="0" fontId="91" fillId="0" borderId="96" xfId="0" applyFont="1" applyBorder="1"/>
    <xf numFmtId="0" fontId="99" fillId="0" borderId="0" xfId="0" applyFont="1"/>
    <xf numFmtId="0" fontId="87" fillId="0" borderId="57" xfId="0" applyFont="1" applyBorder="1"/>
    <xf numFmtId="0" fontId="93" fillId="0" borderId="57" xfId="0" applyFont="1" applyBorder="1" applyAlignment="1">
      <alignment horizontal="right"/>
    </xf>
    <xf numFmtId="0" fontId="98" fillId="0" borderId="57" xfId="0" applyFont="1" applyBorder="1" applyAlignment="1">
      <alignment horizontal="right"/>
    </xf>
    <xf numFmtId="0" fontId="87" fillId="0" borderId="0" xfId="0" applyFont="1" applyAlignment="1">
      <alignment horizontal="right"/>
    </xf>
    <xf numFmtId="166" fontId="87" fillId="0" borderId="0" xfId="105" applyFont="1" applyAlignment="1">
      <alignment horizontal="right"/>
    </xf>
    <xf numFmtId="166" fontId="87" fillId="0" borderId="0" xfId="0" applyNumberFormat="1" applyFont="1" applyAlignment="1">
      <alignment horizontal="right"/>
    </xf>
    <xf numFmtId="0" fontId="87" fillId="22" borderId="0" xfId="0" applyFont="1" applyFill="1" applyAlignment="1">
      <alignment horizontal="right"/>
    </xf>
    <xf numFmtId="0" fontId="80" fillId="19" borderId="0" xfId="0" applyFont="1" applyFill="1"/>
    <xf numFmtId="193" fontId="80" fillId="19" borderId="0" xfId="119" applyNumberFormat="1" applyFont="1" applyFill="1"/>
    <xf numFmtId="9" fontId="80" fillId="19" borderId="0" xfId="120" applyFont="1" applyFill="1" applyAlignment="1">
      <alignment horizontal="right"/>
    </xf>
    <xf numFmtId="193" fontId="80" fillId="0" borderId="0" xfId="0" applyNumberFormat="1" applyFont="1" applyAlignment="1">
      <alignment horizontal="right"/>
    </xf>
    <xf numFmtId="0" fontId="83" fillId="37" borderId="53" xfId="0" applyFont="1" applyFill="1" applyBorder="1"/>
    <xf numFmtId="0" fontId="83" fillId="37" borderId="54" xfId="0" applyFont="1" applyFill="1" applyBorder="1"/>
    <xf numFmtId="0" fontId="83" fillId="37" borderId="54" xfId="0" applyFont="1" applyFill="1" applyBorder="1" applyAlignment="1">
      <alignment horizontal="right"/>
    </xf>
    <xf numFmtId="0" fontId="83" fillId="37" borderId="52" xfId="0" applyFont="1" applyFill="1" applyBorder="1" applyAlignment="1">
      <alignment horizontal="right"/>
    </xf>
    <xf numFmtId="0" fontId="80" fillId="19" borderId="55" xfId="0" applyFont="1" applyFill="1" applyBorder="1"/>
    <xf numFmtId="169" fontId="80" fillId="19" borderId="0" xfId="120" applyNumberFormat="1" applyFont="1" applyFill="1" applyBorder="1" applyAlignment="1">
      <alignment horizontal="right"/>
    </xf>
    <xf numFmtId="169" fontId="80" fillId="22" borderId="0" xfId="120" applyNumberFormat="1" applyFont="1" applyFill="1" applyBorder="1" applyAlignment="1">
      <alignment horizontal="right"/>
    </xf>
    <xf numFmtId="169" fontId="80" fillId="0" borderId="0" xfId="120" applyNumberFormat="1" applyFont="1" applyBorder="1" applyAlignment="1">
      <alignment horizontal="right"/>
    </xf>
    <xf numFmtId="169" fontId="80" fillId="0" borderId="0" xfId="120" applyNumberFormat="1" applyFont="1" applyFill="1" applyBorder="1" applyAlignment="1">
      <alignment horizontal="right"/>
    </xf>
    <xf numFmtId="169" fontId="80" fillId="0" borderId="27" xfId="120" applyNumberFormat="1" applyFont="1" applyFill="1" applyBorder="1" applyAlignment="1">
      <alignment horizontal="right"/>
    </xf>
    <xf numFmtId="169" fontId="80" fillId="19" borderId="0" xfId="120" applyNumberFormat="1" applyFont="1" applyFill="1" applyBorder="1"/>
    <xf numFmtId="169" fontId="80" fillId="19" borderId="27" xfId="120" applyNumberFormat="1" applyFont="1" applyFill="1" applyBorder="1" applyAlignment="1">
      <alignment horizontal="right"/>
    </xf>
    <xf numFmtId="0" fontId="80" fillId="19" borderId="49" xfId="0" applyFont="1" applyFill="1" applyBorder="1"/>
    <xf numFmtId="0" fontId="80" fillId="19" borderId="57" xfId="0" applyFont="1" applyFill="1" applyBorder="1"/>
    <xf numFmtId="169" fontId="80" fillId="19" borderId="57" xfId="120" applyNumberFormat="1" applyFont="1" applyFill="1" applyBorder="1" applyAlignment="1">
      <alignment horizontal="right"/>
    </xf>
    <xf numFmtId="169" fontId="80" fillId="0" borderId="57" xfId="120" applyNumberFormat="1" applyFont="1" applyBorder="1" applyAlignment="1">
      <alignment horizontal="right"/>
    </xf>
    <xf numFmtId="169" fontId="80" fillId="0" borderId="57" xfId="120" applyNumberFormat="1" applyFont="1" applyFill="1" applyBorder="1" applyAlignment="1">
      <alignment horizontal="right"/>
    </xf>
    <xf numFmtId="169" fontId="80" fillId="0" borderId="47" xfId="120" applyNumberFormat="1" applyFont="1" applyFill="1" applyBorder="1" applyAlignment="1">
      <alignment horizontal="right"/>
    </xf>
    <xf numFmtId="0" fontId="98" fillId="0" borderId="0" xfId="0" applyFont="1" applyAlignment="1">
      <alignment horizontal="right"/>
    </xf>
    <xf numFmtId="0" fontId="100" fillId="0" borderId="0" xfId="0" applyFont="1"/>
    <xf numFmtId="186" fontId="97" fillId="0" borderId="88" xfId="112" applyNumberFormat="1" applyFont="1" applyBorder="1" applyAlignment="1">
      <alignment horizontal="left" vertical="center"/>
    </xf>
    <xf numFmtId="186" fontId="97" fillId="0" borderId="0" xfId="112" applyNumberFormat="1" applyFont="1" applyAlignment="1">
      <alignment horizontal="right" vertical="center"/>
    </xf>
    <xf numFmtId="186" fontId="97" fillId="0" borderId="89" xfId="112" applyNumberFormat="1" applyFont="1" applyBorder="1" applyAlignment="1">
      <alignment horizontal="right" vertical="center"/>
    </xf>
    <xf numFmtId="186" fontId="80" fillId="0" borderId="88" xfId="112" applyNumberFormat="1" applyFont="1" applyBorder="1" applyAlignment="1">
      <alignment horizontal="left" vertical="center"/>
    </xf>
    <xf numFmtId="186" fontId="80" fillId="0" borderId="0" xfId="112" applyNumberFormat="1" applyFont="1" applyAlignment="1">
      <alignment horizontal="right" vertical="center"/>
    </xf>
    <xf numFmtId="186" fontId="80" fillId="0" borderId="89" xfId="112" applyNumberFormat="1" applyFont="1" applyBorder="1" applyAlignment="1">
      <alignment horizontal="right" vertical="center"/>
    </xf>
    <xf numFmtId="186" fontId="101" fillId="35" borderId="0" xfId="112" applyNumberFormat="1" applyFont="1" applyFill="1" applyAlignment="1">
      <alignment horizontal="right" vertical="center"/>
    </xf>
    <xf numFmtId="186" fontId="82" fillId="0" borderId="90" xfId="112" applyNumberFormat="1" applyFont="1" applyBorder="1" applyAlignment="1">
      <alignment horizontal="left" vertical="center"/>
    </xf>
    <xf numFmtId="186" fontId="82" fillId="0" borderId="30" xfId="112" applyNumberFormat="1" applyFont="1" applyBorder="1" applyAlignment="1">
      <alignment horizontal="right" vertical="center"/>
    </xf>
    <xf numFmtId="186" fontId="82" fillId="0" borderId="91" xfId="112" applyNumberFormat="1" applyFont="1" applyBorder="1" applyAlignment="1">
      <alignment horizontal="right" vertical="center"/>
    </xf>
    <xf numFmtId="0" fontId="87" fillId="0" borderId="92" xfId="0" applyFont="1" applyBorder="1"/>
    <xf numFmtId="166" fontId="87" fillId="0" borderId="93" xfId="105" applyFont="1" applyBorder="1" applyAlignment="1">
      <alignment horizontal="right"/>
    </xf>
    <xf numFmtId="166" fontId="87" fillId="0" borderId="94" xfId="105" applyFont="1" applyBorder="1" applyAlignment="1">
      <alignment horizontal="right"/>
    </xf>
    <xf numFmtId="0" fontId="87" fillId="0" borderId="88" xfId="0" applyFont="1" applyBorder="1"/>
    <xf numFmtId="166" fontId="87" fillId="0" borderId="0" xfId="105" applyFont="1" applyFill="1" applyBorder="1"/>
    <xf numFmtId="166" fontId="87" fillId="0" borderId="0" xfId="105" applyFont="1" applyFill="1" applyBorder="1" applyAlignment="1">
      <alignment horizontal="right"/>
    </xf>
    <xf numFmtId="166" fontId="87" fillId="0" borderId="89" xfId="105" applyFont="1" applyFill="1" applyBorder="1" applyAlignment="1">
      <alignment horizontal="right"/>
    </xf>
    <xf numFmtId="9" fontId="101" fillId="35" borderId="0" xfId="175" applyFont="1" applyFill="1" applyBorder="1" applyAlignment="1">
      <alignment horizontal="right" vertical="center"/>
    </xf>
    <xf numFmtId="9" fontId="87" fillId="0" borderId="0" xfId="98" applyFont="1" applyFill="1" applyBorder="1" applyAlignment="1">
      <alignment horizontal="right"/>
    </xf>
    <xf numFmtId="9" fontId="87" fillId="0" borderId="89" xfId="98" applyFont="1" applyFill="1" applyBorder="1" applyAlignment="1">
      <alignment horizontal="right"/>
    </xf>
    <xf numFmtId="186" fontId="80" fillId="0" borderId="90" xfId="112" applyNumberFormat="1" applyFont="1" applyBorder="1" applyAlignment="1">
      <alignment horizontal="left" vertical="center"/>
    </xf>
    <xf numFmtId="186" fontId="102" fillId="0" borderId="92" xfId="112" applyNumberFormat="1" applyFont="1" applyBorder="1" applyAlignment="1">
      <alignment horizontal="left" vertical="center"/>
    </xf>
    <xf numFmtId="186" fontId="102" fillId="0" borderId="93" xfId="112" applyNumberFormat="1" applyFont="1" applyBorder="1" applyAlignment="1">
      <alignment horizontal="right" vertical="center"/>
    </xf>
    <xf numFmtId="186" fontId="102" fillId="0" borderId="94" xfId="112" applyNumberFormat="1" applyFont="1" applyBorder="1" applyAlignment="1">
      <alignment horizontal="right" vertical="center"/>
    </xf>
    <xf numFmtId="166" fontId="87" fillId="0" borderId="89" xfId="0" applyNumberFormat="1" applyFont="1" applyBorder="1" applyAlignment="1">
      <alignment horizontal="right"/>
    </xf>
    <xf numFmtId="171" fontId="80" fillId="0" borderId="89" xfId="53" applyFont="1" applyFill="1" applyBorder="1">
      <alignment horizontal="right"/>
    </xf>
    <xf numFmtId="9" fontId="80" fillId="0" borderId="0" xfId="175" applyFont="1" applyFill="1" applyBorder="1" applyAlignment="1">
      <alignment horizontal="right" vertical="center"/>
    </xf>
    <xf numFmtId="9" fontId="80" fillId="0" borderId="89" xfId="175" applyFont="1" applyFill="1" applyBorder="1" applyAlignment="1">
      <alignment horizontal="right" vertical="center"/>
    </xf>
    <xf numFmtId="0" fontId="83" fillId="37" borderId="86" xfId="0" applyFont="1" applyFill="1" applyBorder="1" applyAlignment="1">
      <alignment horizontal="right"/>
    </xf>
    <xf numFmtId="0" fontId="83" fillId="37" borderId="87" xfId="0" applyFont="1" applyFill="1" applyBorder="1" applyAlignment="1">
      <alignment horizontal="right"/>
    </xf>
    <xf numFmtId="186" fontId="87" fillId="0" borderId="0" xfId="0" applyNumberFormat="1" applyFont="1" applyAlignment="1">
      <alignment horizontal="right"/>
    </xf>
    <xf numFmtId="0" fontId="83" fillId="37" borderId="85" xfId="0" applyFont="1" applyFill="1" applyBorder="1"/>
    <xf numFmtId="0" fontId="104" fillId="24" borderId="0" xfId="174" applyFont="1" applyFill="1" applyAlignment="1">
      <alignment horizontal="left" vertical="center"/>
    </xf>
    <xf numFmtId="0" fontId="105" fillId="0" borderId="0" xfId="51" applyFont="1" applyBorder="1">
      <alignment vertical="center"/>
    </xf>
    <xf numFmtId="0" fontId="106" fillId="0" borderId="0" xfId="0" applyFont="1" applyAlignment="1">
      <alignment horizontal="left"/>
    </xf>
    <xf numFmtId="0" fontId="106" fillId="0" borderId="0" xfId="0" applyFont="1"/>
    <xf numFmtId="0" fontId="107" fillId="24" borderId="0" xfId="174" applyFont="1" applyFill="1" applyAlignment="1">
      <alignment horizontal="left" vertical="center"/>
    </xf>
    <xf numFmtId="0" fontId="105" fillId="0" borderId="0" xfId="50" applyFont="1">
      <alignment vertical="center"/>
    </xf>
    <xf numFmtId="0" fontId="107" fillId="24" borderId="30" xfId="174" applyFont="1" applyFill="1" applyBorder="1" applyAlignment="1">
      <alignment horizontal="left" vertical="center"/>
    </xf>
    <xf numFmtId="0" fontId="105" fillId="0" borderId="30" xfId="50" applyFont="1" applyBorder="1">
      <alignment vertical="center"/>
    </xf>
    <xf numFmtId="0" fontId="108" fillId="24" borderId="0" xfId="174" applyFont="1" applyFill="1" applyAlignment="1">
      <alignment horizontal="left" vertical="center"/>
    </xf>
    <xf numFmtId="0" fontId="105" fillId="0" borderId="0" xfId="50" applyFont="1" applyBorder="1">
      <alignment vertical="center"/>
    </xf>
    <xf numFmtId="0" fontId="109" fillId="41" borderId="0" xfId="174" applyFont="1" applyFill="1" applyAlignment="1">
      <alignment horizontal="left" vertical="center"/>
    </xf>
    <xf numFmtId="0" fontId="110" fillId="40" borderId="0" xfId="50" applyFont="1" applyFill="1" applyBorder="1">
      <alignment vertical="center"/>
    </xf>
    <xf numFmtId="0" fontId="111" fillId="40" borderId="0" xfId="0" applyFont="1" applyFill="1"/>
    <xf numFmtId="0" fontId="112" fillId="40" borderId="0" xfId="0" applyFont="1" applyFill="1" applyAlignment="1">
      <alignment horizontal="left"/>
    </xf>
    <xf numFmtId="0" fontId="112" fillId="40" borderId="0" xfId="0" applyFont="1" applyFill="1"/>
    <xf numFmtId="0" fontId="113" fillId="37" borderId="53" xfId="0" applyFont="1" applyFill="1" applyBorder="1" applyAlignment="1">
      <alignment horizontal="left"/>
    </xf>
    <xf numFmtId="0" fontId="113" fillId="37" borderId="54" xfId="0" applyFont="1" applyFill="1" applyBorder="1" applyAlignment="1">
      <alignment horizontal="right"/>
    </xf>
    <xf numFmtId="0" fontId="113" fillId="37" borderId="52" xfId="0" applyFont="1" applyFill="1" applyBorder="1" applyAlignment="1">
      <alignment horizontal="right"/>
    </xf>
    <xf numFmtId="166" fontId="106" fillId="0" borderId="55" xfId="105" applyFont="1" applyBorder="1" applyAlignment="1">
      <alignment horizontal="left"/>
    </xf>
    <xf numFmtId="185" fontId="106" fillId="32" borderId="0" xfId="105" applyNumberFormat="1" applyFont="1" applyFill="1" applyBorder="1"/>
    <xf numFmtId="185" fontId="106" fillId="0" borderId="0" xfId="105" applyNumberFormat="1" applyFont="1" applyBorder="1"/>
    <xf numFmtId="185" fontId="106" fillId="32" borderId="27" xfId="105" applyNumberFormat="1" applyFont="1" applyFill="1" applyBorder="1"/>
    <xf numFmtId="166" fontId="106" fillId="0" borderId="49" xfId="105" applyFont="1" applyBorder="1" applyAlignment="1">
      <alignment horizontal="left"/>
    </xf>
    <xf numFmtId="185" fontId="106" fillId="32" borderId="57" xfId="105" applyNumberFormat="1" applyFont="1" applyFill="1" applyBorder="1"/>
    <xf numFmtId="185" fontId="106" fillId="0" borderId="57" xfId="105" applyNumberFormat="1" applyFont="1" applyBorder="1"/>
    <xf numFmtId="185" fontId="106" fillId="32" borderId="47" xfId="105" applyNumberFormat="1" applyFont="1" applyFill="1" applyBorder="1"/>
    <xf numFmtId="166" fontId="106" fillId="35" borderId="49" xfId="105" applyFont="1" applyFill="1" applyBorder="1" applyAlignment="1">
      <alignment horizontal="left"/>
    </xf>
    <xf numFmtId="185" fontId="106" fillId="35" borderId="57" xfId="105" applyNumberFormat="1" applyFont="1" applyFill="1" applyBorder="1"/>
    <xf numFmtId="185" fontId="106" fillId="35" borderId="47" xfId="105" applyNumberFormat="1" applyFont="1" applyFill="1" applyBorder="1"/>
    <xf numFmtId="0" fontId="108" fillId="0" borderId="0" xfId="174" applyFont="1" applyAlignment="1">
      <alignment horizontal="left" vertical="center"/>
    </xf>
    <xf numFmtId="0" fontId="113" fillId="37" borderId="52" xfId="0" applyFont="1" applyFill="1" applyBorder="1" applyAlignment="1">
      <alignment horizontal="right" wrapText="1"/>
    </xf>
    <xf numFmtId="166" fontId="114" fillId="0" borderId="51" xfId="105" applyFont="1" applyBorder="1" applyAlignment="1">
      <alignment horizontal="left"/>
    </xf>
    <xf numFmtId="185" fontId="114" fillId="0" borderId="76" xfId="0" applyNumberFormat="1" applyFont="1" applyBorder="1"/>
    <xf numFmtId="166" fontId="87" fillId="0" borderId="0" xfId="105" applyFont="1"/>
    <xf numFmtId="185" fontId="87" fillId="0" borderId="0" xfId="105" applyNumberFormat="1" applyFont="1"/>
    <xf numFmtId="0" fontId="106" fillId="0" borderId="55" xfId="0" applyFont="1" applyBorder="1" applyAlignment="1">
      <alignment horizontal="left"/>
    </xf>
    <xf numFmtId="0" fontId="106" fillId="0" borderId="27" xfId="0" applyFont="1" applyBorder="1"/>
    <xf numFmtId="190" fontId="106" fillId="0" borderId="0" xfId="0" applyNumberFormat="1" applyFont="1"/>
    <xf numFmtId="190" fontId="106" fillId="0" borderId="27" xfId="0" applyNumberFormat="1" applyFont="1" applyBorder="1"/>
    <xf numFmtId="185" fontId="114" fillId="0" borderId="51" xfId="105" applyNumberFormat="1" applyFont="1" applyBorder="1" applyAlignment="1">
      <alignment horizontal="left"/>
    </xf>
    <xf numFmtId="185" fontId="114" fillId="0" borderId="76" xfId="105" applyNumberFormat="1" applyFont="1" applyBorder="1"/>
    <xf numFmtId="185" fontId="114" fillId="0" borderId="50" xfId="105" applyNumberFormat="1" applyFont="1" applyBorder="1"/>
    <xf numFmtId="9" fontId="106" fillId="0" borderId="0" xfId="98" applyFont="1" applyBorder="1"/>
    <xf numFmtId="9" fontId="106" fillId="0" borderId="27" xfId="98" applyFont="1" applyBorder="1"/>
    <xf numFmtId="0" fontId="106" fillId="0" borderId="49" xfId="0" applyFont="1" applyBorder="1" applyAlignment="1">
      <alignment horizontal="left"/>
    </xf>
    <xf numFmtId="9" fontId="106" fillId="0" borderId="57" xfId="98" applyFont="1" applyBorder="1"/>
    <xf numFmtId="9" fontId="106" fillId="0" borderId="47" xfId="98" applyFont="1" applyBorder="1"/>
    <xf numFmtId="9" fontId="106" fillId="0" borderId="0" xfId="98" applyFont="1"/>
    <xf numFmtId="9" fontId="113" fillId="37" borderId="54" xfId="0" applyNumberFormat="1" applyFont="1" applyFill="1" applyBorder="1" applyAlignment="1">
      <alignment horizontal="right"/>
    </xf>
    <xf numFmtId="9" fontId="113" fillId="37" borderId="52" xfId="0" applyNumberFormat="1" applyFont="1" applyFill="1" applyBorder="1" applyAlignment="1">
      <alignment horizontal="right"/>
    </xf>
    <xf numFmtId="166" fontId="106" fillId="22" borderId="0" xfId="105" applyFont="1" applyFill="1" applyBorder="1"/>
    <xf numFmtId="166" fontId="106" fillId="0" borderId="0" xfId="105" applyFont="1" applyBorder="1"/>
    <xf numFmtId="166" fontId="106" fillId="0" borderId="27" xfId="105" applyFont="1" applyBorder="1"/>
    <xf numFmtId="166" fontId="114" fillId="0" borderId="76" xfId="105" applyFont="1" applyBorder="1"/>
    <xf numFmtId="166" fontId="114" fillId="0" borderId="50" xfId="105" applyFont="1" applyBorder="1"/>
    <xf numFmtId="0" fontId="113" fillId="37" borderId="55" xfId="0" applyFont="1" applyFill="1" applyBorder="1" applyAlignment="1">
      <alignment horizontal="left"/>
    </xf>
    <xf numFmtId="9" fontId="113" fillId="37" borderId="27" xfId="0" applyNumberFormat="1" applyFont="1" applyFill="1" applyBorder="1" applyAlignment="1">
      <alignment horizontal="right"/>
    </xf>
    <xf numFmtId="0" fontId="106" fillId="22" borderId="0" xfId="0" applyFont="1" applyFill="1"/>
    <xf numFmtId="190" fontId="106" fillId="22" borderId="0" xfId="0" applyNumberFormat="1" applyFont="1" applyFill="1"/>
    <xf numFmtId="9" fontId="91" fillId="0" borderId="0" xfId="0" applyNumberFormat="1" applyFont="1"/>
    <xf numFmtId="0" fontId="115" fillId="0" borderId="0" xfId="0" applyFont="1"/>
    <xf numFmtId="0" fontId="98" fillId="0" borderId="58" xfId="0" applyFont="1" applyBorder="1"/>
    <xf numFmtId="0" fontId="87" fillId="0" borderId="58" xfId="0" applyFont="1" applyBorder="1"/>
    <xf numFmtId="0" fontId="87" fillId="0" borderId="0" xfId="0" applyFont="1" applyAlignment="1">
      <alignment horizontal="center"/>
    </xf>
    <xf numFmtId="0" fontId="87" fillId="0" borderId="0" xfId="49" applyFont="1"/>
    <xf numFmtId="0" fontId="87" fillId="0" borderId="96" xfId="0" applyFont="1" applyBorder="1" applyAlignment="1">
      <alignment horizontal="center"/>
    </xf>
    <xf numFmtId="0" fontId="93" fillId="0" borderId="0" xfId="49" applyFont="1"/>
    <xf numFmtId="0" fontId="98" fillId="0" borderId="0" xfId="49" applyFont="1"/>
    <xf numFmtId="0" fontId="116" fillId="0" borderId="0" xfId="49" applyFont="1"/>
    <xf numFmtId="0" fontId="87" fillId="0" borderId="0" xfId="49" applyFont="1" applyAlignment="1">
      <alignment horizontal="center"/>
    </xf>
    <xf numFmtId="0" fontId="98" fillId="22" borderId="82" xfId="49" applyFont="1" applyFill="1" applyBorder="1" applyAlignment="1">
      <alignment horizontal="center"/>
    </xf>
    <xf numFmtId="0" fontId="98" fillId="36" borderId="82" xfId="49" applyFont="1" applyFill="1" applyBorder="1"/>
    <xf numFmtId="169" fontId="87" fillId="22" borderId="83" xfId="98" applyNumberFormat="1" applyFont="1" applyFill="1" applyBorder="1" applyAlignment="1">
      <alignment horizontal="center"/>
    </xf>
    <xf numFmtId="166" fontId="87" fillId="36" borderId="83" xfId="105" applyFont="1" applyFill="1" applyBorder="1"/>
    <xf numFmtId="0" fontId="87" fillId="23" borderId="0" xfId="49" applyFont="1" applyFill="1" applyBorder="1"/>
    <xf numFmtId="166" fontId="87" fillId="23" borderId="0" xfId="49" applyNumberFormat="1" applyFont="1" applyFill="1" applyBorder="1"/>
    <xf numFmtId="0" fontId="87" fillId="23" borderId="57" xfId="49" applyFont="1" applyFill="1" applyBorder="1"/>
    <xf numFmtId="166" fontId="87" fillId="23" borderId="57" xfId="49" applyNumberFormat="1" applyFont="1" applyFill="1" applyBorder="1"/>
    <xf numFmtId="166" fontId="98" fillId="0" borderId="0" xfId="49" applyNumberFormat="1" applyFont="1"/>
    <xf numFmtId="0" fontId="98" fillId="0" borderId="54" xfId="49" applyFont="1" applyFill="1" applyBorder="1"/>
    <xf numFmtId="166" fontId="98" fillId="0" borderId="54" xfId="49" applyNumberFormat="1" applyFont="1" applyFill="1" applyBorder="1"/>
    <xf numFmtId="0" fontId="87" fillId="23" borderId="0" xfId="49" applyFont="1" applyFill="1"/>
    <xf numFmtId="0" fontId="98" fillId="0" borderId="54" xfId="49" applyFont="1" applyBorder="1"/>
    <xf numFmtId="166" fontId="98" fillId="0" borderId="54" xfId="105" applyFont="1" applyBorder="1"/>
    <xf numFmtId="166" fontId="98" fillId="0" borderId="54" xfId="49" applyNumberFormat="1" applyFont="1" applyBorder="1"/>
    <xf numFmtId="169" fontId="87" fillId="22" borderId="48" xfId="98" applyNumberFormat="1" applyFont="1" applyFill="1" applyBorder="1" applyAlignment="1">
      <alignment horizontal="center"/>
    </xf>
    <xf numFmtId="0" fontId="87" fillId="0" borderId="0" xfId="49" applyFont="1" applyBorder="1"/>
    <xf numFmtId="0" fontId="87" fillId="0" borderId="0" xfId="49" quotePrefix="1" applyFont="1"/>
    <xf numFmtId="169" fontId="87" fillId="0" borderId="0" xfId="98" applyNumberFormat="1" applyFont="1"/>
    <xf numFmtId="0" fontId="98" fillId="35" borderId="82" xfId="49" applyFont="1" applyFill="1" applyBorder="1" applyAlignment="1">
      <alignment horizontal="center"/>
    </xf>
    <xf numFmtId="169" fontId="87" fillId="35" borderId="83" xfId="98" applyNumberFormat="1" applyFont="1" applyFill="1" applyBorder="1" applyAlignment="1">
      <alignment horizontal="center"/>
    </xf>
    <xf numFmtId="169" fontId="87" fillId="35" borderId="48" xfId="98" applyNumberFormat="1" applyFont="1" applyFill="1" applyBorder="1" applyAlignment="1">
      <alignment horizontal="center"/>
    </xf>
    <xf numFmtId="0" fontId="98" fillId="0" borderId="0" xfId="49" applyFont="1" applyFill="1" applyBorder="1"/>
    <xf numFmtId="0" fontId="87" fillId="0" borderId="0" xfId="49" applyFont="1" applyFill="1" applyBorder="1"/>
    <xf numFmtId="0" fontId="87" fillId="0" borderId="0" xfId="49" applyFont="1" applyFill="1"/>
    <xf numFmtId="0" fontId="90" fillId="37" borderId="53" xfId="0" applyFont="1" applyFill="1" applyBorder="1" applyAlignment="1">
      <alignment horizontal="left"/>
    </xf>
    <xf numFmtId="0" fontId="87" fillId="37" borderId="54" xfId="0" applyFont="1" applyFill="1" applyBorder="1"/>
    <xf numFmtId="0" fontId="87" fillId="37" borderId="52" xfId="0" applyFont="1" applyFill="1" applyBorder="1"/>
    <xf numFmtId="0" fontId="83" fillId="37" borderId="53" xfId="0" applyFont="1" applyFill="1" applyBorder="1" applyAlignment="1">
      <alignment horizontal="right"/>
    </xf>
    <xf numFmtId="0" fontId="87" fillId="37" borderId="55" xfId="0" applyFont="1" applyFill="1" applyBorder="1"/>
    <xf numFmtId="0" fontId="87" fillId="37" borderId="27" xfId="0" applyFont="1" applyFill="1" applyBorder="1"/>
    <xf numFmtId="0" fontId="83" fillId="37" borderId="55" xfId="0" applyFont="1" applyFill="1" applyBorder="1" applyAlignment="1">
      <alignment horizontal="right"/>
    </xf>
    <xf numFmtId="166" fontId="117" fillId="0" borderId="0" xfId="105" applyFont="1" applyFill="1"/>
    <xf numFmtId="166" fontId="87" fillId="31" borderId="0" xfId="105" applyFont="1" applyFill="1"/>
    <xf numFmtId="166" fontId="118" fillId="0" borderId="54" xfId="105" applyFont="1" applyFill="1" applyBorder="1"/>
    <xf numFmtId="166" fontId="98" fillId="31" borderId="54" xfId="105" applyFont="1" applyFill="1" applyBorder="1"/>
    <xf numFmtId="0" fontId="117" fillId="0" borderId="0" xfId="49" applyFont="1" applyFill="1"/>
    <xf numFmtId="0" fontId="87" fillId="31" borderId="0" xfId="49" applyFont="1" applyFill="1"/>
    <xf numFmtId="166" fontId="117" fillId="0" borderId="0" xfId="49" applyNumberFormat="1" applyFont="1" applyFill="1"/>
    <xf numFmtId="166" fontId="118" fillId="0" borderId="0" xfId="105" applyFont="1" applyFill="1"/>
    <xf numFmtId="166" fontId="98" fillId="31" borderId="0" xfId="105" applyFont="1" applyFill="1"/>
    <xf numFmtId="0" fontId="87" fillId="0" borderId="54" xfId="49" applyFont="1" applyBorder="1"/>
    <xf numFmtId="166" fontId="117" fillId="0" borderId="54" xfId="105" applyFont="1" applyFill="1" applyBorder="1"/>
    <xf numFmtId="166" fontId="87" fillId="31" borderId="54" xfId="105" applyFont="1" applyFill="1" applyBorder="1"/>
    <xf numFmtId="166" fontId="118" fillId="0" borderId="0" xfId="49" applyNumberFormat="1" applyFont="1" applyFill="1"/>
    <xf numFmtId="0" fontId="119" fillId="0" borderId="0" xfId="0" applyFont="1"/>
    <xf numFmtId="0" fontId="83" fillId="37" borderId="52" xfId="0" applyFont="1" applyFill="1" applyBorder="1" applyAlignment="1">
      <alignment horizontal="right" wrapText="1"/>
    </xf>
    <xf numFmtId="0" fontId="83" fillId="37" borderId="27" xfId="0" applyFont="1" applyFill="1" applyBorder="1" applyAlignment="1">
      <alignment horizontal="right"/>
    </xf>
    <xf numFmtId="0" fontId="98" fillId="35" borderId="0" xfId="49" applyFont="1" applyFill="1" applyAlignment="1">
      <alignment horizontal="center"/>
    </xf>
    <xf numFmtId="0" fontId="80" fillId="0" borderId="0" xfId="0" applyFont="1"/>
    <xf numFmtId="0" fontId="120" fillId="0" borderId="0" xfId="0" applyFont="1"/>
    <xf numFmtId="169" fontId="87" fillId="35" borderId="0" xfId="98" applyNumberFormat="1" applyFont="1" applyFill="1" applyAlignment="1">
      <alignment horizontal="center"/>
    </xf>
    <xf numFmtId="0" fontId="82" fillId="0" borderId="0" xfId="0" applyFont="1"/>
    <xf numFmtId="0" fontId="82" fillId="0" borderId="81" xfId="0" applyFont="1" applyBorder="1"/>
    <xf numFmtId="166" fontId="82" fillId="0" borderId="81" xfId="105" applyFont="1" applyBorder="1"/>
    <xf numFmtId="166" fontId="80" fillId="0" borderId="0" xfId="105" applyFont="1"/>
    <xf numFmtId="0" fontId="98" fillId="34" borderId="76" xfId="0" applyFont="1" applyFill="1" applyBorder="1"/>
    <xf numFmtId="0" fontId="98" fillId="34" borderId="76" xfId="49" applyFont="1" applyFill="1" applyBorder="1"/>
    <xf numFmtId="166" fontId="98" fillId="34" borderId="76" xfId="105" applyFont="1" applyFill="1" applyBorder="1"/>
    <xf numFmtId="0" fontId="83" fillId="0" borderId="0" xfId="0" applyFont="1"/>
    <xf numFmtId="0" fontId="98" fillId="0" borderId="0" xfId="0" applyFont="1"/>
    <xf numFmtId="0" fontId="98" fillId="0" borderId="77" xfId="0" applyFont="1" applyBorder="1"/>
    <xf numFmtId="0" fontId="98" fillId="0" borderId="77" xfId="49" applyFont="1" applyFill="1" applyBorder="1"/>
    <xf numFmtId="166" fontId="98" fillId="0" borderId="77" xfId="105" applyFont="1" applyFill="1" applyBorder="1"/>
    <xf numFmtId="0" fontId="121" fillId="24" borderId="0" xfId="125" applyFont="1" applyFill="1" applyAlignment="1">
      <alignment horizontal="left" vertical="center"/>
    </xf>
    <xf numFmtId="0" fontId="80" fillId="0" borderId="0" xfId="126" applyFont="1"/>
    <xf numFmtId="0" fontId="122" fillId="0" borderId="0" xfId="51" applyFont="1" applyBorder="1">
      <alignment vertical="center"/>
    </xf>
    <xf numFmtId="0" fontId="86" fillId="0" borderId="0" xfId="51" applyFont="1" applyBorder="1" applyAlignment="1">
      <alignment horizontal="right" vertical="center"/>
    </xf>
    <xf numFmtId="0" fontId="121" fillId="0" borderId="0" xfId="51" applyFont="1" applyBorder="1" applyAlignment="1">
      <alignment horizontal="right" vertical="center"/>
    </xf>
    <xf numFmtId="0" fontId="122" fillId="24" borderId="0" xfId="125" applyFont="1" applyFill="1" applyAlignment="1">
      <alignment horizontal="left" vertical="center"/>
    </xf>
    <xf numFmtId="0" fontId="122" fillId="0" borderId="0" xfId="50" applyFont="1">
      <alignment vertical="center"/>
    </xf>
    <xf numFmtId="0" fontId="122" fillId="0" borderId="0" xfId="50" applyFont="1" applyAlignment="1">
      <alignment horizontal="right" vertical="center"/>
    </xf>
    <xf numFmtId="0" fontId="80" fillId="0" borderId="0" xfId="126" applyFont="1" applyBorder="1"/>
    <xf numFmtId="0" fontId="122" fillId="0" borderId="0" xfId="50" applyFont="1" applyBorder="1">
      <alignment vertical="center"/>
    </xf>
    <xf numFmtId="0" fontId="88" fillId="0" borderId="0" xfId="50" applyFont="1" applyBorder="1" applyAlignment="1">
      <alignment horizontal="right" vertical="center"/>
    </xf>
    <xf numFmtId="0" fontId="122" fillId="0" borderId="0" xfId="50" applyFont="1" applyBorder="1" applyAlignment="1">
      <alignment horizontal="right" vertical="center"/>
    </xf>
    <xf numFmtId="0" fontId="80" fillId="0" borderId="96" xfId="126" applyFont="1" applyBorder="1"/>
    <xf numFmtId="0" fontId="86" fillId="24" borderId="0" xfId="125" applyFont="1" applyFill="1" applyAlignment="1">
      <alignment horizontal="left" vertical="center"/>
    </xf>
    <xf numFmtId="0" fontId="83" fillId="37" borderId="53" xfId="126" applyFont="1" applyFill="1" applyBorder="1"/>
    <xf numFmtId="0" fontId="83" fillId="37" borderId="54" xfId="126" applyFont="1" applyFill="1" applyBorder="1"/>
    <xf numFmtId="0" fontId="83" fillId="37" borderId="52" xfId="126" applyFont="1" applyFill="1" applyBorder="1" applyAlignment="1">
      <alignment wrapText="1"/>
    </xf>
    <xf numFmtId="0" fontId="83" fillId="37" borderId="49" xfId="126" applyFont="1" applyFill="1" applyBorder="1"/>
    <xf numFmtId="0" fontId="83" fillId="37" borderId="57" xfId="126" applyFont="1" applyFill="1" applyBorder="1"/>
    <xf numFmtId="182" fontId="83" fillId="37" borderId="57" xfId="126" applyNumberFormat="1" applyFont="1" applyFill="1" applyBorder="1"/>
    <xf numFmtId="0" fontId="83" fillId="37" borderId="47" xfId="126" applyFont="1" applyFill="1" applyBorder="1" applyAlignment="1">
      <alignment horizontal="right" wrapText="1"/>
    </xf>
    <xf numFmtId="0" fontId="82" fillId="0" borderId="53" xfId="126" applyFont="1" applyBorder="1"/>
    <xf numFmtId="0" fontId="82" fillId="0" borderId="54" xfId="126" applyFont="1" applyBorder="1"/>
    <xf numFmtId="0" fontId="80" fillId="0" borderId="54" xfId="126" applyFont="1" applyBorder="1"/>
    <xf numFmtId="192" fontId="82" fillId="0" borderId="54" xfId="127" applyNumberFormat="1" applyFont="1" applyBorder="1"/>
    <xf numFmtId="192" fontId="82" fillId="0" borderId="52" xfId="127" applyNumberFormat="1" applyFont="1" applyBorder="1"/>
    <xf numFmtId="0" fontId="82" fillId="0" borderId="55" xfId="126" applyFont="1" applyBorder="1"/>
    <xf numFmtId="0" fontId="82" fillId="0" borderId="0" xfId="126" applyFont="1" applyBorder="1"/>
    <xf numFmtId="0" fontId="80" fillId="0" borderId="55" xfId="126" applyFont="1" applyBorder="1"/>
    <xf numFmtId="0" fontId="80" fillId="0" borderId="27" xfId="126" applyFont="1" applyBorder="1"/>
    <xf numFmtId="192" fontId="80" fillId="0" borderId="0" xfId="127" applyNumberFormat="1" applyFont="1" applyBorder="1"/>
    <xf numFmtId="192" fontId="80" fillId="0" borderId="27" xfId="127" applyNumberFormat="1" applyFont="1" applyBorder="1"/>
    <xf numFmtId="193" fontId="80" fillId="0" borderId="0" xfId="127" applyNumberFormat="1" applyFont="1"/>
    <xf numFmtId="0" fontId="82" fillId="0" borderId="49" xfId="126" applyFont="1" applyBorder="1"/>
    <xf numFmtId="0" fontId="82" fillId="0" borderId="57" xfId="126" applyFont="1" applyBorder="1"/>
    <xf numFmtId="0" fontId="80" fillId="0" borderId="57" xfId="126" applyFont="1" applyBorder="1"/>
    <xf numFmtId="192" fontId="82" fillId="0" borderId="76" xfId="127" applyNumberFormat="1" applyFont="1" applyBorder="1"/>
    <xf numFmtId="192" fontId="82" fillId="0" borderId="50" xfId="127" applyNumberFormat="1" applyFont="1" applyBorder="1"/>
    <xf numFmtId="193" fontId="80" fillId="0" borderId="27" xfId="127" applyNumberFormat="1" applyFont="1" applyBorder="1"/>
    <xf numFmtId="193" fontId="80" fillId="0" borderId="0" xfId="127" applyNumberFormat="1" applyFont="1" applyBorder="1"/>
    <xf numFmtId="168" fontId="80" fillId="0" borderId="0" xfId="127" applyFont="1" applyBorder="1"/>
    <xf numFmtId="169" fontId="101" fillId="35" borderId="84" xfId="126" applyNumberFormat="1" applyFont="1" applyFill="1" applyBorder="1" applyAlignment="1">
      <alignment horizontal="center"/>
    </xf>
    <xf numFmtId="169" fontId="101" fillId="35" borderId="95" xfId="126" applyNumberFormat="1" applyFont="1" applyFill="1" applyBorder="1" applyAlignment="1">
      <alignment horizontal="center"/>
    </xf>
    <xf numFmtId="0" fontId="124" fillId="37" borderId="53" xfId="126" applyFont="1" applyFill="1" applyBorder="1"/>
    <xf numFmtId="0" fontId="124" fillId="37" borderId="54" xfId="126" applyFont="1" applyFill="1" applyBorder="1"/>
    <xf numFmtId="0" fontId="83" fillId="37" borderId="54" xfId="126" applyFont="1" applyFill="1" applyBorder="1" applyAlignment="1">
      <alignment horizontal="right"/>
    </xf>
    <xf numFmtId="0" fontId="83" fillId="37" borderId="52" xfId="126" applyFont="1" applyFill="1" applyBorder="1" applyAlignment="1">
      <alignment horizontal="right"/>
    </xf>
    <xf numFmtId="0" fontId="82" fillId="0" borderId="51" xfId="126" applyFont="1" applyBorder="1"/>
    <xf numFmtId="0" fontId="82" fillId="0" borderId="76" xfId="126" applyFont="1" applyBorder="1"/>
    <xf numFmtId="0" fontId="80" fillId="0" borderId="76" xfId="126" applyFont="1" applyBorder="1"/>
    <xf numFmtId="169" fontId="80" fillId="0" borderId="0" xfId="126" applyNumberFormat="1" applyFont="1" applyBorder="1"/>
    <xf numFmtId="169" fontId="80" fillId="0" borderId="27" xfId="126" applyNumberFormat="1" applyFont="1" applyBorder="1"/>
    <xf numFmtId="168" fontId="80" fillId="0" borderId="27" xfId="127" applyFont="1" applyBorder="1"/>
    <xf numFmtId="192" fontId="80" fillId="0" borderId="76" xfId="127" applyNumberFormat="1" applyFont="1" applyBorder="1"/>
    <xf numFmtId="192" fontId="80" fillId="0" borderId="50" xfId="127" applyNumberFormat="1" applyFont="1" applyBorder="1"/>
    <xf numFmtId="0" fontId="82" fillId="35" borderId="53" xfId="126" applyFont="1" applyFill="1" applyBorder="1"/>
    <xf numFmtId="0" fontId="82" fillId="35" borderId="54" xfId="126" applyFont="1" applyFill="1" applyBorder="1"/>
    <xf numFmtId="0" fontId="123" fillId="35" borderId="54" xfId="126" applyFont="1" applyFill="1" applyBorder="1"/>
    <xf numFmtId="192" fontId="82" fillId="35" borderId="54" xfId="127" applyNumberFormat="1" applyFont="1" applyFill="1" applyBorder="1"/>
    <xf numFmtId="192" fontId="82" fillId="35" borderId="52" xfId="127" applyNumberFormat="1" applyFont="1" applyFill="1" applyBorder="1"/>
    <xf numFmtId="0" fontId="98" fillId="0" borderId="76" xfId="0" applyFont="1" applyBorder="1"/>
    <xf numFmtId="0" fontId="87" fillId="0" borderId="46" xfId="0" applyFont="1" applyBorder="1"/>
    <xf numFmtId="177" fontId="87" fillId="34" borderId="50" xfId="105" applyNumberFormat="1" applyFont="1" applyFill="1" applyBorder="1"/>
    <xf numFmtId="0" fontId="125" fillId="0" borderId="76" xfId="126" applyFont="1" applyBorder="1"/>
    <xf numFmtId="0" fontId="98" fillId="0" borderId="57" xfId="0" applyFont="1" applyBorder="1"/>
    <xf numFmtId="0" fontId="87" fillId="31" borderId="48" xfId="0" applyFont="1" applyFill="1" applyBorder="1"/>
    <xf numFmtId="177" fontId="87" fillId="34" borderId="47" xfId="105" applyNumberFormat="1" applyFont="1" applyFill="1" applyBorder="1"/>
    <xf numFmtId="0" fontId="86" fillId="0" borderId="0" xfId="49" applyFont="1"/>
    <xf numFmtId="0" fontId="80" fillId="0" borderId="55" xfId="126" applyFont="1" applyBorder="1" applyAlignment="1">
      <alignment horizontal="left"/>
    </xf>
    <xf numFmtId="192" fontId="80" fillId="0" borderId="0" xfId="126" applyNumberFormat="1" applyFont="1" applyBorder="1"/>
    <xf numFmtId="192" fontId="80" fillId="0" borderId="27" xfId="126" applyNumberFormat="1" applyFont="1" applyBorder="1"/>
    <xf numFmtId="192" fontId="101" fillId="35" borderId="0" xfId="126" applyNumberFormat="1" applyFont="1" applyFill="1" applyBorder="1"/>
    <xf numFmtId="192" fontId="87" fillId="0" borderId="27" xfId="126" applyNumberFormat="1" applyFont="1" applyBorder="1"/>
    <xf numFmtId="192" fontId="82" fillId="0" borderId="76" xfId="126" applyNumberFormat="1" applyFont="1" applyBorder="1"/>
    <xf numFmtId="192" fontId="82" fillId="0" borderId="50" xfId="126" applyNumberFormat="1" applyFont="1" applyBorder="1"/>
    <xf numFmtId="0" fontId="97" fillId="0" borderId="0" xfId="49" applyFont="1"/>
    <xf numFmtId="0" fontId="80" fillId="0" borderId="0" xfId="49" applyFont="1"/>
    <xf numFmtId="169" fontId="82" fillId="0" borderId="17" xfId="49" applyNumberFormat="1" applyFont="1" applyBorder="1" applyAlignment="1">
      <alignment horizontal="center" vertical="center"/>
    </xf>
    <xf numFmtId="0" fontId="86" fillId="24" borderId="0" xfId="125" applyFont="1" applyFill="1" applyAlignment="1">
      <alignment horizontal="left"/>
    </xf>
    <xf numFmtId="0" fontId="97" fillId="24" borderId="0" xfId="125" applyFont="1" applyFill="1" applyAlignment="1">
      <alignment horizontal="left"/>
    </xf>
    <xf numFmtId="0" fontId="82" fillId="23" borderId="0" xfId="49" applyFont="1" applyFill="1" applyAlignment="1">
      <alignment horizontal="left"/>
    </xf>
    <xf numFmtId="0" fontId="80" fillId="23" borderId="0" xfId="49" applyFont="1" applyFill="1" applyAlignment="1">
      <alignment horizontal="right"/>
    </xf>
    <xf numFmtId="186" fontId="82" fillId="0" borderId="0" xfId="49" applyNumberFormat="1" applyFont="1" applyAlignment="1">
      <alignment horizontal="center" vertical="center"/>
    </xf>
    <xf numFmtId="0" fontId="80" fillId="23" borderId="0" xfId="49" applyFont="1" applyFill="1"/>
    <xf numFmtId="186" fontId="83" fillId="0" borderId="0" xfId="49" applyNumberFormat="1" applyFont="1"/>
    <xf numFmtId="169" fontId="80" fillId="0" borderId="0" xfId="49" applyNumberFormat="1" applyFont="1" applyAlignment="1">
      <alignment horizontal="center"/>
    </xf>
    <xf numFmtId="169" fontId="80" fillId="0" borderId="0" xfId="49" applyNumberFormat="1" applyFont="1"/>
    <xf numFmtId="187" fontId="80" fillId="0" borderId="35" xfId="49" applyNumberFormat="1" applyFont="1" applyBorder="1" applyAlignment="1">
      <alignment horizontal="center"/>
    </xf>
    <xf numFmtId="187" fontId="80" fillId="23" borderId="35" xfId="49" applyNumberFormat="1" applyFont="1" applyFill="1" applyBorder="1" applyAlignment="1">
      <alignment horizontal="center"/>
    </xf>
    <xf numFmtId="187" fontId="80" fillId="0" borderId="78" xfId="49" applyNumberFormat="1" applyFont="1" applyBorder="1" applyAlignment="1">
      <alignment horizontal="center"/>
    </xf>
    <xf numFmtId="187" fontId="82" fillId="23" borderId="35" xfId="49" applyNumberFormat="1" applyFont="1" applyFill="1" applyBorder="1" applyAlignment="1">
      <alignment horizontal="center"/>
    </xf>
    <xf numFmtId="187" fontId="80" fillId="23" borderId="78" xfId="49" applyNumberFormat="1" applyFont="1" applyFill="1" applyBorder="1" applyAlignment="1">
      <alignment horizontal="center"/>
    </xf>
    <xf numFmtId="0" fontId="126" fillId="0" borderId="0" xfId="57" applyFont="1"/>
    <xf numFmtId="0" fontId="127" fillId="0" borderId="0" xfId="49" applyFont="1"/>
    <xf numFmtId="0" fontId="87" fillId="0" borderId="0" xfId="51" applyFont="1" applyBorder="1">
      <alignment vertical="center"/>
    </xf>
    <xf numFmtId="0" fontId="98" fillId="0" borderId="0" xfId="114" applyFont="1" applyAlignment="1">
      <alignment horizontal="right" vertical="center"/>
    </xf>
    <xf numFmtId="0" fontId="97" fillId="24" borderId="0" xfId="114" applyFont="1" applyFill="1" applyAlignment="1">
      <alignment horizontal="right" vertical="center"/>
    </xf>
    <xf numFmtId="0" fontId="128" fillId="0" borderId="0" xfId="51" applyFont="1" applyBorder="1" applyAlignment="1">
      <alignment horizontal="right" vertical="center"/>
    </xf>
    <xf numFmtId="0" fontId="86" fillId="24" borderId="0" xfId="114" applyFont="1" applyFill="1" applyAlignment="1">
      <alignment horizontal="left" vertical="center"/>
    </xf>
    <xf numFmtId="0" fontId="87" fillId="0" borderId="0" xfId="50" applyFont="1">
      <alignment vertical="center"/>
    </xf>
    <xf numFmtId="0" fontId="87" fillId="0" borderId="0" xfId="114" applyFont="1" applyAlignment="1">
      <alignment horizontal="right" vertical="center"/>
    </xf>
    <xf numFmtId="0" fontId="115" fillId="24" borderId="0" xfId="114" applyFont="1" applyFill="1" applyAlignment="1">
      <alignment horizontal="right" vertical="center"/>
    </xf>
    <xf numFmtId="0" fontId="128" fillId="0" borderId="0" xfId="50" applyFont="1" applyAlignment="1">
      <alignment horizontal="right" vertical="center"/>
    </xf>
    <xf numFmtId="0" fontId="115" fillId="24" borderId="29" xfId="114" applyFont="1" applyFill="1" applyBorder="1" applyAlignment="1">
      <alignment horizontal="left" vertical="center"/>
    </xf>
    <xf numFmtId="0" fontId="87" fillId="0" borderId="29" xfId="50" applyFont="1" applyBorder="1">
      <alignment vertical="center"/>
    </xf>
    <xf numFmtId="0" fontId="87" fillId="0" borderId="29" xfId="114" applyFont="1" applyBorder="1" applyAlignment="1">
      <alignment horizontal="right" vertical="center"/>
    </xf>
    <xf numFmtId="0" fontId="80" fillId="0" borderId="0" xfId="49" applyFont="1" applyBorder="1"/>
    <xf numFmtId="0" fontId="129" fillId="0" borderId="0" xfId="50" applyFont="1">
      <alignment vertical="center"/>
    </xf>
    <xf numFmtId="0" fontId="130" fillId="0" borderId="0" xfId="49" applyFont="1"/>
    <xf numFmtId="0" fontId="82" fillId="0" borderId="0" xfId="49" applyFont="1" applyBorder="1"/>
    <xf numFmtId="0" fontId="98" fillId="0" borderId="51" xfId="50" applyFont="1" applyBorder="1">
      <alignment vertical="center"/>
    </xf>
    <xf numFmtId="0" fontId="117" fillId="31" borderId="50" xfId="50" applyFont="1" applyFill="1" applyBorder="1">
      <alignment vertical="center"/>
    </xf>
    <xf numFmtId="0" fontId="132" fillId="0" borderId="57" xfId="49" applyFont="1" applyBorder="1"/>
    <xf numFmtId="0" fontId="87" fillId="0" borderId="57" xfId="49" applyFont="1" applyBorder="1"/>
    <xf numFmtId="10" fontId="80" fillId="0" borderId="0" xfId="98" applyNumberFormat="1" applyFont="1" applyBorder="1" applyAlignment="1">
      <alignment horizontal="right"/>
    </xf>
    <xf numFmtId="169" fontId="80" fillId="19" borderId="0" xfId="97" applyNumberFormat="1" applyFont="1" applyFill="1" applyBorder="1" applyAlignment="1">
      <alignment horizontal="right"/>
    </xf>
    <xf numFmtId="169" fontId="134" fillId="19" borderId="67" xfId="98" applyNumberFormat="1" applyFont="1" applyFill="1" applyBorder="1" applyAlignment="1">
      <alignment horizontal="right"/>
    </xf>
    <xf numFmtId="169" fontId="98" fillId="19" borderId="63" xfId="98" applyNumberFormat="1" applyFont="1" applyFill="1" applyBorder="1" applyAlignment="1">
      <alignment horizontal="right"/>
    </xf>
    <xf numFmtId="169" fontId="133" fillId="19" borderId="0" xfId="97" applyNumberFormat="1" applyFont="1" applyFill="1" applyBorder="1" applyAlignment="1">
      <alignment horizontal="right"/>
    </xf>
    <xf numFmtId="0" fontId="136" fillId="0" borderId="0" xfId="176" applyFont="1"/>
    <xf numFmtId="169" fontId="134" fillId="19" borderId="67" xfId="97" applyNumberFormat="1" applyFont="1" applyFill="1" applyBorder="1" applyAlignment="1">
      <alignment horizontal="right"/>
    </xf>
    <xf numFmtId="10" fontId="133" fillId="19" borderId="0" xfId="97" applyNumberFormat="1" applyFont="1" applyFill="1" applyBorder="1" applyAlignment="1">
      <alignment horizontal="right"/>
    </xf>
    <xf numFmtId="192" fontId="87" fillId="19" borderId="0" xfId="127" applyNumberFormat="1" applyFont="1" applyFill="1" applyBorder="1" applyAlignment="1">
      <alignment horizontal="left"/>
    </xf>
    <xf numFmtId="10" fontId="87" fillId="19" borderId="0" xfId="97" applyNumberFormat="1" applyFont="1" applyFill="1" applyBorder="1" applyAlignment="1">
      <alignment horizontal="right"/>
    </xf>
    <xf numFmtId="169" fontId="133" fillId="31" borderId="63" xfId="97" applyNumberFormat="1" applyFont="1" applyFill="1" applyBorder="1" applyAlignment="1">
      <alignment horizontal="right"/>
    </xf>
    <xf numFmtId="169" fontId="134" fillId="19" borderId="63" xfId="98" applyNumberFormat="1" applyFont="1" applyFill="1" applyBorder="1" applyAlignment="1">
      <alignment horizontal="right"/>
    </xf>
    <xf numFmtId="0" fontId="86" fillId="24" borderId="0" xfId="114" applyFont="1" applyFill="1" applyAlignment="1">
      <alignment horizontal="left"/>
    </xf>
    <xf numFmtId="0" fontId="137" fillId="0" borderId="0" xfId="49" applyFont="1" applyFill="1" applyBorder="1" applyAlignment="1">
      <alignment horizontal="center" wrapText="1"/>
    </xf>
    <xf numFmtId="0" fontId="98" fillId="0" borderId="0" xfId="49" applyFont="1" applyAlignment="1">
      <alignment horizontal="center"/>
    </xf>
    <xf numFmtId="0" fontId="82" fillId="0" borderId="0" xfId="49" applyFont="1" applyAlignment="1">
      <alignment horizontal="center"/>
    </xf>
    <xf numFmtId="0" fontId="98" fillId="0" borderId="0" xfId="49" applyFont="1" applyAlignment="1">
      <alignment horizontal="center" wrapText="1"/>
    </xf>
    <xf numFmtId="0" fontId="83" fillId="38" borderId="0" xfId="114" applyFont="1" applyFill="1" applyAlignment="1">
      <alignment horizontal="left" wrapText="1"/>
    </xf>
    <xf numFmtId="0" fontId="83" fillId="38" borderId="0" xfId="114" applyFont="1" applyFill="1" applyAlignment="1">
      <alignment horizontal="right" wrapText="1"/>
    </xf>
    <xf numFmtId="0" fontId="98" fillId="0" borderId="0" xfId="49" applyFont="1" applyBorder="1"/>
    <xf numFmtId="0" fontId="98" fillId="0" borderId="0" xfId="49" applyFont="1" applyBorder="1" applyAlignment="1">
      <alignment horizontal="center" wrapText="1"/>
    </xf>
    <xf numFmtId="0" fontId="98" fillId="0" borderId="0" xfId="49" applyFont="1" applyBorder="1" applyAlignment="1">
      <alignment horizontal="center"/>
    </xf>
    <xf numFmtId="0" fontId="138" fillId="0" borderId="0" xfId="49" applyFont="1" applyBorder="1" applyAlignment="1">
      <alignment horizontal="center" wrapText="1"/>
    </xf>
    <xf numFmtId="0" fontId="124" fillId="0" borderId="0" xfId="49" applyFont="1"/>
    <xf numFmtId="186" fontId="133" fillId="24" borderId="31" xfId="114" applyNumberFormat="1" applyFont="1" applyFill="1" applyBorder="1" applyAlignment="1">
      <alignment horizontal="left" vertical="top"/>
    </xf>
    <xf numFmtId="188" fontId="80" fillId="21" borderId="31" xfId="52" applyNumberFormat="1" applyFont="1" applyFill="1" applyBorder="1">
      <alignment horizontal="right"/>
    </xf>
    <xf numFmtId="186" fontId="80" fillId="21" borderId="31" xfId="52" applyNumberFormat="1" applyFont="1" applyFill="1" applyBorder="1">
      <alignment horizontal="right"/>
    </xf>
    <xf numFmtId="169" fontId="80" fillId="21" borderId="31" xfId="98" applyNumberFormat="1" applyFont="1" applyFill="1" applyBorder="1" applyAlignment="1">
      <alignment horizontal="right"/>
    </xf>
    <xf numFmtId="188" fontId="80" fillId="0" borderId="31" xfId="59" applyNumberFormat="1" applyFont="1" applyBorder="1">
      <alignment horizontal="right"/>
    </xf>
    <xf numFmtId="188" fontId="80" fillId="21" borderId="31" xfId="59" applyNumberFormat="1" applyFont="1" applyFill="1" applyBorder="1">
      <alignment horizontal="right"/>
    </xf>
    <xf numFmtId="0" fontId="87" fillId="0" borderId="11" xfId="49" applyFont="1" applyBorder="1" applyAlignment="1">
      <alignment horizontal="center"/>
    </xf>
    <xf numFmtId="0" fontId="87" fillId="0" borderId="0" xfId="49" applyFont="1" applyBorder="1" applyAlignment="1">
      <alignment horizontal="center"/>
    </xf>
    <xf numFmtId="10" fontId="87" fillId="0" borderId="0" xfId="98" applyNumberFormat="1" applyFont="1" applyBorder="1" applyAlignment="1">
      <alignment horizontal="right"/>
    </xf>
    <xf numFmtId="2" fontId="80" fillId="0" borderId="0" xfId="59" applyNumberFormat="1" applyFont="1" applyBorder="1" applyAlignment="1">
      <alignment horizontal="center"/>
    </xf>
    <xf numFmtId="0" fontId="80" fillId="0" borderId="0" xfId="49" applyFont="1" applyBorder="1" applyAlignment="1">
      <alignment horizontal="center"/>
    </xf>
    <xf numFmtId="186" fontId="133" fillId="24" borderId="0" xfId="114" applyNumberFormat="1" applyFont="1" applyFill="1" applyAlignment="1">
      <alignment horizontal="left" vertical="top"/>
    </xf>
    <xf numFmtId="188" fontId="80" fillId="21" borderId="0" xfId="52" applyNumberFormat="1" applyFont="1" applyFill="1" applyBorder="1">
      <alignment horizontal="right"/>
    </xf>
    <xf numFmtId="186" fontId="80" fillId="21" borderId="0" xfId="52" applyNumberFormat="1" applyFont="1" applyFill="1" applyBorder="1">
      <alignment horizontal="right"/>
    </xf>
    <xf numFmtId="169" fontId="80" fillId="21" borderId="0" xfId="98" applyNumberFormat="1" applyFont="1" applyFill="1" applyBorder="1" applyAlignment="1">
      <alignment horizontal="right"/>
    </xf>
    <xf numFmtId="188" fontId="80" fillId="0" borderId="0" xfId="59" applyNumberFormat="1" applyFont="1" applyBorder="1">
      <alignment horizontal="right"/>
    </xf>
    <xf numFmtId="188" fontId="80" fillId="21" borderId="0" xfId="59" applyNumberFormat="1" applyFont="1" applyFill="1" applyBorder="1">
      <alignment horizontal="right"/>
    </xf>
    <xf numFmtId="0" fontId="87" fillId="0" borderId="31" xfId="49" applyFont="1" applyBorder="1" applyAlignment="1">
      <alignment horizontal="left"/>
    </xf>
    <xf numFmtId="0" fontId="98" fillId="0" borderId="31" xfId="49" applyFont="1" applyBorder="1"/>
    <xf numFmtId="0" fontId="139" fillId="24" borderId="31" xfId="114" applyFont="1" applyFill="1" applyBorder="1" applyAlignment="1">
      <alignment horizontal="left"/>
    </xf>
    <xf numFmtId="169" fontId="140" fillId="21" borderId="31" xfId="98" applyNumberFormat="1" applyFont="1" applyFill="1" applyBorder="1" applyAlignment="1">
      <alignment horizontal="right"/>
    </xf>
    <xf numFmtId="188" fontId="140" fillId="21" borderId="31" xfId="105" applyNumberFormat="1" applyFont="1" applyFill="1" applyBorder="1" applyAlignment="1">
      <alignment horizontal="right"/>
    </xf>
    <xf numFmtId="2" fontId="82" fillId="0" borderId="0" xfId="59" applyNumberFormat="1" applyFont="1" applyAlignment="1">
      <alignment horizontal="center"/>
    </xf>
    <xf numFmtId="2" fontId="82" fillId="0" borderId="0" xfId="49" applyNumberFormat="1" applyFont="1" applyAlignment="1">
      <alignment horizontal="center"/>
    </xf>
    <xf numFmtId="0" fontId="82" fillId="0" borderId="0" xfId="49" applyFont="1"/>
    <xf numFmtId="0" fontId="87" fillId="0" borderId="0" xfId="49" applyFont="1" applyAlignment="1">
      <alignment horizontal="left"/>
    </xf>
    <xf numFmtId="0" fontId="139" fillId="24" borderId="0" xfId="114" applyFont="1" applyFill="1" applyAlignment="1">
      <alignment horizontal="left"/>
    </xf>
    <xf numFmtId="169" fontId="140" fillId="21" borderId="0" xfId="98" applyNumberFormat="1" applyFont="1" applyFill="1" applyAlignment="1">
      <alignment horizontal="right"/>
    </xf>
    <xf numFmtId="188" fontId="140" fillId="21" borderId="0" xfId="105" applyNumberFormat="1" applyFont="1" applyFill="1" applyAlignment="1">
      <alignment horizontal="right"/>
    </xf>
    <xf numFmtId="0" fontId="97" fillId="24" borderId="0" xfId="114" applyFont="1" applyFill="1" applyAlignment="1">
      <alignment horizontal="left"/>
    </xf>
    <xf numFmtId="186" fontId="134" fillId="24" borderId="31" xfId="114" applyNumberFormat="1" applyFont="1" applyFill="1" applyBorder="1" applyAlignment="1">
      <alignment horizontal="right" vertical="top"/>
    </xf>
    <xf numFmtId="188" fontId="80" fillId="21" borderId="31" xfId="105" applyNumberFormat="1" applyFont="1" applyFill="1" applyBorder="1" applyAlignment="1">
      <alignment horizontal="right"/>
    </xf>
    <xf numFmtId="186" fontId="134" fillId="24" borderId="0" xfId="114" applyNumberFormat="1" applyFont="1" applyFill="1" applyAlignment="1">
      <alignment horizontal="right" vertical="top"/>
    </xf>
    <xf numFmtId="188" fontId="80" fillId="21" borderId="0" xfId="105" applyNumberFormat="1" applyFont="1" applyFill="1" applyBorder="1" applyAlignment="1">
      <alignment horizontal="right"/>
    </xf>
    <xf numFmtId="186" fontId="134" fillId="0" borderId="30" xfId="114" applyNumberFormat="1" applyFont="1" applyBorder="1" applyAlignment="1">
      <alignment horizontal="right" vertical="top"/>
    </xf>
    <xf numFmtId="169" fontId="80" fillId="0" borderId="30" xfId="98" applyNumberFormat="1" applyFont="1" applyFill="1" applyBorder="1" applyAlignment="1">
      <alignment horizontal="right"/>
    </xf>
    <xf numFmtId="188" fontId="80" fillId="0" borderId="30" xfId="105" applyNumberFormat="1" applyFont="1" applyFill="1" applyBorder="1" applyAlignment="1">
      <alignment horizontal="right"/>
    </xf>
    <xf numFmtId="186" fontId="102" fillId="21" borderId="0" xfId="49" applyNumberFormat="1" applyFont="1" applyFill="1" applyAlignment="1">
      <alignment horizontal="right"/>
    </xf>
    <xf numFmtId="0" fontId="98" fillId="0" borderId="0" xfId="49" applyFont="1" applyAlignment="1">
      <alignment horizontal="right"/>
    </xf>
    <xf numFmtId="4" fontId="82" fillId="0" borderId="0" xfId="59" applyNumberFormat="1" applyFont="1" applyAlignment="1">
      <alignment horizontal="center"/>
    </xf>
    <xf numFmtId="169" fontId="80" fillId="21" borderId="0" xfId="98" applyNumberFormat="1" applyFont="1" applyFill="1" applyAlignment="1">
      <alignment horizontal="right"/>
    </xf>
    <xf numFmtId="169" fontId="80" fillId="0" borderId="30" xfId="98" applyNumberFormat="1" applyFont="1" applyBorder="1" applyAlignment="1">
      <alignment horizontal="right"/>
    </xf>
    <xf numFmtId="188" fontId="98" fillId="0" borderId="0" xfId="49" applyNumberFormat="1" applyFont="1"/>
    <xf numFmtId="0" fontId="141" fillId="0" borderId="0" xfId="49" applyFont="1"/>
    <xf numFmtId="175" fontId="141" fillId="0" borderId="0" xfId="54" applyFont="1">
      <alignment horizontal="right"/>
    </xf>
    <xf numFmtId="168" fontId="92" fillId="0" borderId="0" xfId="59" applyNumberFormat="1" applyFont="1">
      <alignment horizontal="right"/>
    </xf>
    <xf numFmtId="0" fontId="138" fillId="0" borderId="0" xfId="46" applyFont="1" applyAlignment="1">
      <alignment horizontal="center"/>
    </xf>
    <xf numFmtId="0" fontId="138" fillId="0" borderId="0" xfId="46" applyFont="1">
      <alignment horizontal="centerContinuous"/>
    </xf>
    <xf numFmtId="0" fontId="142" fillId="0" borderId="0" xfId="49" applyFont="1"/>
    <xf numFmtId="0" fontId="97" fillId="24" borderId="30" xfId="114" applyFont="1" applyFill="1" applyBorder="1" applyAlignment="1">
      <alignment horizontal="left"/>
    </xf>
    <xf numFmtId="0" fontId="87" fillId="0" borderId="30" xfId="49" applyFont="1" applyBorder="1"/>
    <xf numFmtId="165" fontId="138" fillId="0" borderId="0" xfId="52" applyFont="1">
      <alignment horizontal="right"/>
    </xf>
    <xf numFmtId="175" fontId="138" fillId="0" borderId="0" xfId="54" applyFont="1">
      <alignment horizontal="right"/>
    </xf>
    <xf numFmtId="186" fontId="134" fillId="24" borderId="0" xfId="114" applyNumberFormat="1" applyFont="1" applyFill="1" applyAlignment="1">
      <alignment horizontal="left" vertical="top"/>
    </xf>
    <xf numFmtId="169" fontId="87" fillId="0" borderId="0" xfId="49" applyNumberFormat="1" applyFont="1"/>
    <xf numFmtId="186" fontId="134" fillId="0" borderId="34" xfId="114" applyNumberFormat="1" applyFont="1" applyBorder="1" applyAlignment="1">
      <alignment horizontal="left" vertical="top"/>
    </xf>
    <xf numFmtId="188" fontId="80" fillId="0" borderId="34" xfId="105" applyNumberFormat="1" applyFont="1" applyFill="1" applyBorder="1" applyAlignment="1">
      <alignment horizontal="right"/>
    </xf>
    <xf numFmtId="0" fontId="98" fillId="0" borderId="32" xfId="57" applyFont="1" applyBorder="1"/>
    <xf numFmtId="0" fontId="143" fillId="0" borderId="32" xfId="57" applyFont="1" applyBorder="1"/>
    <xf numFmtId="0" fontId="143" fillId="0" borderId="0" xfId="57" applyFont="1"/>
    <xf numFmtId="179" fontId="87" fillId="0" borderId="0" xfId="92" quotePrefix="1" applyFont="1"/>
    <xf numFmtId="0" fontId="87" fillId="0" borderId="0" xfId="56" applyFont="1"/>
    <xf numFmtId="0" fontId="93" fillId="0" borderId="0" xfId="56" applyFont="1"/>
    <xf numFmtId="179" fontId="144" fillId="0" borderId="0" xfId="92" quotePrefix="1" applyFont="1"/>
    <xf numFmtId="0" fontId="145" fillId="0" borderId="0" xfId="56" applyFont="1"/>
    <xf numFmtId="0" fontId="87" fillId="24" borderId="29" xfId="114" applyFont="1" applyFill="1" applyBorder="1" applyAlignment="1">
      <alignment horizontal="right" vertical="center"/>
    </xf>
    <xf numFmtId="0" fontId="87" fillId="0" borderId="0" xfId="50" applyFont="1" applyBorder="1" applyAlignment="1">
      <alignment horizontal="right" vertical="center"/>
    </xf>
    <xf numFmtId="0" fontId="147" fillId="0" borderId="0" xfId="49" applyFont="1"/>
    <xf numFmtId="0" fontId="86" fillId="0" borderId="0" xfId="51" applyFont="1" applyBorder="1">
      <alignment vertical="center"/>
    </xf>
    <xf numFmtId="0" fontId="87" fillId="0" borderId="0" xfId="50" applyFont="1" applyBorder="1">
      <alignment vertical="center"/>
    </xf>
    <xf numFmtId="0" fontId="115" fillId="0" borderId="30" xfId="50" applyFont="1" applyBorder="1">
      <alignment vertical="center"/>
    </xf>
    <xf numFmtId="0" fontId="87" fillId="0" borderId="30" xfId="50" applyFont="1" applyBorder="1">
      <alignment vertical="center"/>
    </xf>
    <xf numFmtId="0" fontId="115" fillId="0" borderId="30" xfId="50" applyFont="1" applyBorder="1" applyAlignment="1">
      <alignment horizontal="right" vertical="center"/>
    </xf>
    <xf numFmtId="0" fontId="129" fillId="0" borderId="0" xfId="50" applyFont="1" applyBorder="1">
      <alignment vertical="center"/>
    </xf>
    <xf numFmtId="0" fontId="128" fillId="21" borderId="14" xfId="49" applyFont="1" applyFill="1" applyBorder="1" applyAlignment="1">
      <alignment horizontal="left"/>
    </xf>
    <xf numFmtId="0" fontId="148" fillId="21" borderId="13" xfId="49" applyFont="1" applyFill="1" applyBorder="1" applyAlignment="1">
      <alignment horizontal="right"/>
    </xf>
    <xf numFmtId="0" fontId="148" fillId="21" borderId="13" xfId="49" quotePrefix="1" applyFont="1" applyFill="1" applyBorder="1" applyAlignment="1">
      <alignment horizontal="right"/>
    </xf>
    <xf numFmtId="0" fontId="148" fillId="21" borderId="15" xfId="49" quotePrefix="1" applyFont="1" applyFill="1" applyBorder="1" applyAlignment="1">
      <alignment horizontal="right"/>
    </xf>
    <xf numFmtId="0" fontId="83" fillId="37" borderId="0" xfId="0" applyFont="1" applyFill="1" applyAlignment="1">
      <alignment horizontal="left"/>
    </xf>
    <xf numFmtId="0" fontId="94" fillId="0" borderId="0" xfId="49" applyFont="1" applyAlignment="1">
      <alignment horizontal="center"/>
    </xf>
    <xf numFmtId="0" fontId="83" fillId="37" borderId="30" xfId="0" applyFont="1" applyFill="1" applyBorder="1" applyAlignment="1">
      <alignment horizontal="left"/>
    </xf>
    <xf numFmtId="0" fontId="83" fillId="37" borderId="30" xfId="0" applyFont="1" applyFill="1" applyBorder="1" applyAlignment="1">
      <alignment horizontal="right" wrapText="1"/>
    </xf>
    <xf numFmtId="189" fontId="87" fillId="21" borderId="31" xfId="0" applyNumberFormat="1" applyFont="1" applyFill="1" applyBorder="1" applyAlignment="1">
      <alignment horizontal="left"/>
    </xf>
    <xf numFmtId="186" fontId="87" fillId="21" borderId="31" xfId="0" applyNumberFormat="1" applyFont="1" applyFill="1" applyBorder="1" applyAlignment="1">
      <alignment horizontal="left"/>
    </xf>
    <xf numFmtId="186" fontId="87" fillId="21" borderId="31" xfId="0" applyNumberFormat="1" applyFont="1" applyFill="1" applyBorder="1" applyAlignment="1">
      <alignment horizontal="right"/>
    </xf>
    <xf numFmtId="169" fontId="87" fillId="21" borderId="31" xfId="98" applyNumberFormat="1" applyFont="1" applyFill="1" applyBorder="1" applyAlignment="1">
      <alignment horizontal="right"/>
    </xf>
    <xf numFmtId="171" fontId="87" fillId="21" borderId="31" xfId="0" applyNumberFormat="1" applyFont="1" applyFill="1" applyBorder="1" applyAlignment="1">
      <alignment horizontal="right"/>
    </xf>
    <xf numFmtId="189" fontId="87" fillId="21" borderId="0" xfId="0" applyNumberFormat="1" applyFont="1" applyFill="1" applyAlignment="1">
      <alignment horizontal="left"/>
    </xf>
    <xf numFmtId="186" fontId="87" fillId="21" borderId="0" xfId="0" applyNumberFormat="1" applyFont="1" applyFill="1" applyAlignment="1">
      <alignment horizontal="left"/>
    </xf>
    <xf numFmtId="186" fontId="87" fillId="21" borderId="0" xfId="0" applyNumberFormat="1" applyFont="1" applyFill="1" applyAlignment="1">
      <alignment horizontal="right"/>
    </xf>
    <xf numFmtId="169" fontId="87" fillId="21" borderId="0" xfId="98" applyNumberFormat="1" applyFont="1" applyFill="1" applyBorder="1" applyAlignment="1">
      <alignment horizontal="right"/>
    </xf>
    <xf numFmtId="171" fontId="87" fillId="21" borderId="0" xfId="0" applyNumberFormat="1" applyFont="1" applyFill="1" applyAlignment="1">
      <alignment horizontal="right"/>
    </xf>
    <xf numFmtId="189" fontId="87" fillId="21" borderId="32" xfId="0" applyNumberFormat="1" applyFont="1" applyFill="1" applyBorder="1" applyAlignment="1">
      <alignment horizontal="left"/>
    </xf>
    <xf numFmtId="186" fontId="87" fillId="21" borderId="32" xfId="0" applyNumberFormat="1" applyFont="1" applyFill="1" applyBorder="1" applyAlignment="1">
      <alignment horizontal="left"/>
    </xf>
    <xf numFmtId="186" fontId="87" fillId="21" borderId="32" xfId="0" applyNumberFormat="1" applyFont="1" applyFill="1" applyBorder="1" applyAlignment="1">
      <alignment horizontal="right"/>
    </xf>
    <xf numFmtId="169" fontId="87" fillId="21" borderId="32" xfId="98" applyNumberFormat="1" applyFont="1" applyFill="1" applyBorder="1" applyAlignment="1">
      <alignment horizontal="right"/>
    </xf>
    <xf numFmtId="171" fontId="87" fillId="21" borderId="32" xfId="0" applyNumberFormat="1" applyFont="1" applyFill="1" applyBorder="1" applyAlignment="1">
      <alignment horizontal="right"/>
    </xf>
    <xf numFmtId="189" fontId="149" fillId="21" borderId="0" xfId="0" applyNumberFormat="1" applyFont="1" applyFill="1" applyAlignment="1">
      <alignment horizontal="left"/>
    </xf>
    <xf numFmtId="186" fontId="149" fillId="21" borderId="0" xfId="0" applyNumberFormat="1" applyFont="1" applyFill="1" applyAlignment="1">
      <alignment horizontal="left"/>
    </xf>
    <xf numFmtId="186" fontId="149" fillId="21" borderId="0" xfId="0" applyNumberFormat="1" applyFont="1" applyFill="1" applyAlignment="1">
      <alignment horizontal="right"/>
    </xf>
    <xf numFmtId="169" fontId="149" fillId="21" borderId="0" xfId="98" applyNumberFormat="1" applyFont="1" applyFill="1" applyBorder="1" applyAlignment="1">
      <alignment horizontal="right"/>
    </xf>
    <xf numFmtId="171" fontId="149" fillId="21" borderId="0" xfId="0" applyNumberFormat="1" applyFont="1" applyFill="1" applyAlignment="1">
      <alignment horizontal="right"/>
    </xf>
    <xf numFmtId="169" fontId="87" fillId="0" borderId="0" xfId="98" applyNumberFormat="1" applyFont="1" applyFill="1" applyBorder="1" applyAlignment="1">
      <alignment horizontal="right"/>
    </xf>
    <xf numFmtId="171" fontId="87" fillId="0" borderId="0" xfId="0" applyNumberFormat="1" applyFont="1" applyAlignment="1">
      <alignment horizontal="right"/>
    </xf>
    <xf numFmtId="0" fontId="87" fillId="0" borderId="31" xfId="49" applyFont="1" applyFill="1" applyBorder="1"/>
    <xf numFmtId="186" fontId="87" fillId="0" borderId="31" xfId="0" applyNumberFormat="1" applyFont="1" applyBorder="1" applyAlignment="1">
      <alignment horizontal="right"/>
    </xf>
    <xf numFmtId="169" fontId="87" fillId="0" borderId="31" xfId="98" applyNumberFormat="1" applyFont="1" applyFill="1" applyBorder="1" applyAlignment="1">
      <alignment horizontal="right"/>
    </xf>
    <xf numFmtId="171" fontId="87" fillId="0" borderId="31" xfId="0" applyNumberFormat="1" applyFont="1" applyBorder="1" applyAlignment="1">
      <alignment horizontal="right"/>
    </xf>
    <xf numFmtId="0" fontId="87" fillId="0" borderId="30" xfId="49" applyFont="1" applyFill="1" applyBorder="1"/>
    <xf numFmtId="186" fontId="87" fillId="0" borderId="30" xfId="0" applyNumberFormat="1" applyFont="1" applyBorder="1" applyAlignment="1">
      <alignment horizontal="right"/>
    </xf>
    <xf numFmtId="169" fontId="87" fillId="0" borderId="30" xfId="98" applyNumberFormat="1" applyFont="1" applyFill="1" applyBorder="1" applyAlignment="1">
      <alignment horizontal="right"/>
    </xf>
    <xf numFmtId="171" fontId="87" fillId="0" borderId="30" xfId="0" applyNumberFormat="1" applyFont="1" applyBorder="1" applyAlignment="1">
      <alignment horizontal="right"/>
    </xf>
    <xf numFmtId="0" fontId="150" fillId="0" borderId="0" xfId="49" applyFont="1" applyBorder="1" applyAlignment="1">
      <alignment horizontal="left"/>
    </xf>
    <xf numFmtId="0" fontId="151" fillId="0" borderId="0" xfId="46" applyFont="1">
      <alignment horizontal="centerContinuous"/>
    </xf>
    <xf numFmtId="0" fontId="143" fillId="0" borderId="0" xfId="57" applyFont="1" applyBorder="1"/>
    <xf numFmtId="0" fontId="152" fillId="0" borderId="0" xfId="57" applyFont="1"/>
    <xf numFmtId="0" fontId="153" fillId="0" borderId="0" xfId="49" applyFont="1"/>
    <xf numFmtId="0" fontId="154" fillId="0" borderId="0" xfId="49" applyFont="1"/>
    <xf numFmtId="175" fontId="153" fillId="0" borderId="0" xfId="54" applyFont="1">
      <alignment horizontal="right"/>
    </xf>
    <xf numFmtId="179" fontId="93" fillId="0" borderId="0" xfId="92" quotePrefix="1" applyFont="1"/>
    <xf numFmtId="0" fontId="154" fillId="0" borderId="0" xfId="56" applyFont="1"/>
    <xf numFmtId="0" fontId="155" fillId="0" borderId="0" xfId="49" applyFont="1" applyAlignment="1">
      <alignment horizontal="centerContinuous"/>
    </xf>
    <xf numFmtId="175" fontId="142" fillId="0" borderId="0" xfId="54" applyFont="1">
      <alignment horizontal="right"/>
    </xf>
    <xf numFmtId="181" fontId="142" fillId="0" borderId="0" xfId="52" applyNumberFormat="1" applyFont="1">
      <alignment horizontal="right"/>
    </xf>
    <xf numFmtId="0" fontId="87" fillId="0" borderId="30" xfId="50" applyFont="1" applyBorder="1" applyAlignment="1">
      <alignment horizontal="right" vertical="center"/>
    </xf>
    <xf numFmtId="0" fontId="83" fillId="37" borderId="0" xfId="0" applyFont="1" applyFill="1"/>
    <xf numFmtId="0" fontId="156" fillId="0" borderId="0" xfId="0" applyFont="1"/>
    <xf numFmtId="177" fontId="87" fillId="22" borderId="0" xfId="105" applyNumberFormat="1" applyFont="1" applyFill="1" applyAlignment="1">
      <alignment horizontal="right"/>
    </xf>
    <xf numFmtId="185" fontId="87" fillId="22" borderId="0" xfId="105" applyNumberFormat="1" applyFont="1" applyFill="1" applyAlignment="1">
      <alignment horizontal="right"/>
    </xf>
    <xf numFmtId="0" fontId="87" fillId="36" borderId="83" xfId="0" applyFont="1" applyFill="1" applyBorder="1"/>
    <xf numFmtId="0" fontId="83" fillId="37" borderId="54" xfId="0" applyFont="1" applyFill="1" applyBorder="1" applyAlignment="1">
      <alignment horizontal="right" wrapText="1"/>
    </xf>
    <xf numFmtId="0" fontId="83" fillId="37" borderId="65" xfId="0" applyFont="1" applyFill="1" applyBorder="1"/>
    <xf numFmtId="0" fontId="98" fillId="18" borderId="55" xfId="0" applyFont="1" applyFill="1" applyBorder="1"/>
    <xf numFmtId="0" fontId="98" fillId="18" borderId="0" xfId="0" applyFont="1" applyFill="1"/>
    <xf numFmtId="0" fontId="87" fillId="0" borderId="27" xfId="0" applyFont="1" applyBorder="1" applyAlignment="1">
      <alignment horizontal="right" wrapText="1"/>
    </xf>
    <xf numFmtId="0" fontId="95" fillId="0" borderId="55" xfId="0" applyFont="1" applyBorder="1"/>
    <xf numFmtId="0" fontId="87" fillId="0" borderId="55" xfId="0" applyFont="1" applyBorder="1"/>
    <xf numFmtId="0" fontId="117" fillId="0" borderId="0" xfId="0" applyFont="1" applyAlignment="1">
      <alignment horizontal="right"/>
    </xf>
    <xf numFmtId="166" fontId="157" fillId="35" borderId="0" xfId="105" applyFont="1" applyFill="1" applyAlignment="1">
      <alignment horizontal="right"/>
    </xf>
    <xf numFmtId="166" fontId="87" fillId="0" borderId="0" xfId="105" applyFont="1" applyFill="1" applyAlignment="1">
      <alignment horizontal="right"/>
    </xf>
    <xf numFmtId="166" fontId="87" fillId="0" borderId="27" xfId="105" applyFont="1" applyFill="1" applyBorder="1" applyAlignment="1">
      <alignment horizontal="right" wrapText="1"/>
    </xf>
    <xf numFmtId="166" fontId="87" fillId="36" borderId="83" xfId="105" applyFont="1" applyFill="1" applyBorder="1" applyAlignment="1">
      <alignment horizontal="right"/>
    </xf>
    <xf numFmtId="166" fontId="87" fillId="35" borderId="0" xfId="105" applyFont="1" applyFill="1" applyAlignment="1">
      <alignment horizontal="right"/>
    </xf>
    <xf numFmtId="0" fontId="83" fillId="0" borderId="0" xfId="0" applyFont="1" applyAlignment="1">
      <alignment horizontal="right"/>
    </xf>
    <xf numFmtId="0" fontId="83" fillId="0" borderId="27" xfId="0" applyFont="1" applyBorder="1" applyAlignment="1">
      <alignment horizontal="right" wrapText="1"/>
    </xf>
    <xf numFmtId="0" fontId="80" fillId="19" borderId="55" xfId="0" applyFont="1" applyFill="1" applyBorder="1" applyAlignment="1">
      <alignment horizontal="left"/>
    </xf>
    <xf numFmtId="193" fontId="80" fillId="19" borderId="0" xfId="119" applyNumberFormat="1" applyFont="1" applyFill="1" applyBorder="1" applyAlignment="1">
      <alignment horizontal="right"/>
    </xf>
    <xf numFmtId="166" fontId="80" fillId="35" borderId="0" xfId="105" applyFont="1" applyFill="1" applyBorder="1" applyAlignment="1">
      <alignment horizontal="right"/>
    </xf>
    <xf numFmtId="193" fontId="80" fillId="19" borderId="27" xfId="119" applyNumberFormat="1" applyFont="1" applyFill="1" applyBorder="1" applyAlignment="1">
      <alignment horizontal="right"/>
    </xf>
    <xf numFmtId="0" fontId="82" fillId="19" borderId="71" xfId="0" applyFont="1" applyFill="1" applyBorder="1" applyAlignment="1">
      <alignment horizontal="left"/>
    </xf>
    <xf numFmtId="0" fontId="82" fillId="19" borderId="60" xfId="0" applyFont="1" applyFill="1" applyBorder="1" applyAlignment="1">
      <alignment horizontal="left"/>
    </xf>
    <xf numFmtId="193" fontId="82" fillId="19" borderId="60" xfId="119" applyNumberFormat="1" applyFont="1" applyFill="1" applyBorder="1" applyAlignment="1">
      <alignment horizontal="right"/>
    </xf>
    <xf numFmtId="193" fontId="82" fillId="19" borderId="72" xfId="119" applyNumberFormat="1" applyFont="1" applyFill="1" applyBorder="1" applyAlignment="1">
      <alignment horizontal="right"/>
    </xf>
    <xf numFmtId="0" fontId="123" fillId="19" borderId="55" xfId="0" applyFont="1" applyFill="1" applyBorder="1" applyAlignment="1">
      <alignment horizontal="left"/>
    </xf>
    <xf numFmtId="0" fontId="123" fillId="19" borderId="0" xfId="0" applyFont="1" applyFill="1" applyAlignment="1">
      <alignment horizontal="left"/>
    </xf>
    <xf numFmtId="193" fontId="123" fillId="19" borderId="0" xfId="119" applyNumberFormat="1" applyFont="1" applyFill="1" applyBorder="1" applyAlignment="1">
      <alignment horizontal="right"/>
    </xf>
    <xf numFmtId="169" fontId="123" fillId="19" borderId="0" xfId="120" applyNumberFormat="1" applyFont="1" applyFill="1" applyBorder="1" applyAlignment="1">
      <alignment horizontal="right"/>
    </xf>
    <xf numFmtId="169" fontId="123" fillId="19" borderId="27" xfId="120" applyNumberFormat="1" applyFont="1" applyFill="1" applyBorder="1" applyAlignment="1">
      <alignment horizontal="right"/>
    </xf>
    <xf numFmtId="0" fontId="82" fillId="30" borderId="73" xfId="0" applyFont="1" applyFill="1" applyBorder="1"/>
    <xf numFmtId="0" fontId="82" fillId="30" borderId="74" xfId="0" applyFont="1" applyFill="1" applyBorder="1"/>
    <xf numFmtId="193" fontId="82" fillId="30" borderId="74" xfId="119" applyNumberFormat="1" applyFont="1" applyFill="1" applyBorder="1" applyAlignment="1">
      <alignment horizontal="right"/>
    </xf>
    <xf numFmtId="193" fontId="82" fillId="30" borderId="75" xfId="119" applyNumberFormat="1" applyFont="1" applyFill="1" applyBorder="1" applyAlignment="1">
      <alignment horizontal="right"/>
    </xf>
    <xf numFmtId="193" fontId="80" fillId="19" borderId="0" xfId="0" applyNumberFormat="1" applyFont="1" applyFill="1"/>
    <xf numFmtId="0" fontId="80" fillId="19" borderId="27" xfId="0" applyFont="1" applyFill="1" applyBorder="1"/>
    <xf numFmtId="0" fontId="120" fillId="19" borderId="55" xfId="0" applyFont="1" applyFill="1" applyBorder="1"/>
    <xf numFmtId="169" fontId="80" fillId="19" borderId="27" xfId="120" applyNumberFormat="1" applyFont="1" applyFill="1" applyBorder="1"/>
    <xf numFmtId="0" fontId="80" fillId="19" borderId="49" xfId="0" applyFont="1" applyFill="1" applyBorder="1" applyAlignment="1">
      <alignment horizontal="left"/>
    </xf>
    <xf numFmtId="193" fontId="80" fillId="19" borderId="57" xfId="0" applyNumberFormat="1" applyFont="1" applyFill="1" applyBorder="1"/>
    <xf numFmtId="169" fontId="80" fillId="19" borderId="57" xfId="120" applyNumberFormat="1" applyFont="1" applyFill="1" applyBorder="1"/>
    <xf numFmtId="169" fontId="80" fillId="19" borderId="47" xfId="120" applyNumberFormat="1" applyFont="1" applyFill="1" applyBorder="1"/>
    <xf numFmtId="0" fontId="83" fillId="37" borderId="59" xfId="0" applyFont="1" applyFill="1" applyBorder="1"/>
    <xf numFmtId="0" fontId="83" fillId="37" borderId="60" xfId="0" applyFont="1" applyFill="1" applyBorder="1"/>
    <xf numFmtId="0" fontId="83" fillId="37" borderId="60" xfId="0" applyFont="1" applyFill="1" applyBorder="1" applyAlignment="1">
      <alignment horizontal="right"/>
    </xf>
    <xf numFmtId="0" fontId="83" fillId="37" borderId="61" xfId="0" applyFont="1" applyFill="1" applyBorder="1" applyAlignment="1">
      <alignment horizontal="right"/>
    </xf>
    <xf numFmtId="0" fontId="83" fillId="37" borderId="59" xfId="0" applyFont="1" applyFill="1" applyBorder="1" applyAlignment="1">
      <alignment horizontal="right"/>
    </xf>
    <xf numFmtId="0" fontId="83" fillId="37" borderId="61" xfId="0" applyFont="1" applyFill="1" applyBorder="1" applyAlignment="1">
      <alignment horizontal="right" wrapText="1"/>
    </xf>
    <xf numFmtId="0" fontId="156" fillId="0" borderId="65" xfId="0" applyFont="1" applyBorder="1"/>
    <xf numFmtId="0" fontId="156" fillId="0" borderId="0" xfId="0" applyFont="1" applyAlignment="1">
      <alignment horizontal="right"/>
    </xf>
    <xf numFmtId="0" fontId="156" fillId="0" borderId="66" xfId="0" applyFont="1" applyBorder="1" applyAlignment="1">
      <alignment horizontal="right" wrapText="1"/>
    </xf>
    <xf numFmtId="0" fontId="80" fillId="19" borderId="65" xfId="0" applyFont="1" applyFill="1" applyBorder="1" applyAlignment="1">
      <alignment horizontal="left"/>
    </xf>
    <xf numFmtId="166" fontId="87" fillId="35" borderId="0" xfId="105" applyFont="1" applyFill="1" applyAlignment="1">
      <alignment horizontal="center"/>
    </xf>
    <xf numFmtId="193" fontId="80" fillId="19" borderId="0" xfId="119" applyNumberFormat="1" applyFont="1" applyFill="1" applyAlignment="1">
      <alignment horizontal="right"/>
    </xf>
    <xf numFmtId="193" fontId="80" fillId="19" borderId="66" xfId="119" applyNumberFormat="1" applyFont="1" applyFill="1" applyBorder="1" applyAlignment="1">
      <alignment horizontal="right"/>
    </xf>
    <xf numFmtId="193" fontId="80" fillId="35" borderId="0" xfId="119" applyNumberFormat="1" applyFont="1" applyFill="1" applyBorder="1" applyAlignment="1">
      <alignment horizontal="center"/>
    </xf>
    <xf numFmtId="193" fontId="80" fillId="22" borderId="0" xfId="119" applyNumberFormat="1" applyFont="1" applyFill="1" applyBorder="1" applyAlignment="1">
      <alignment horizontal="right"/>
    </xf>
    <xf numFmtId="0" fontId="82" fillId="19" borderId="55" xfId="0" applyFont="1" applyFill="1" applyBorder="1" applyAlignment="1">
      <alignment horizontal="left"/>
    </xf>
    <xf numFmtId="0" fontId="82" fillId="19" borderId="0" xfId="0" applyFont="1" applyFill="1" applyAlignment="1">
      <alignment horizontal="left"/>
    </xf>
    <xf numFmtId="193" fontId="82" fillId="19" borderId="0" xfId="119" applyNumberFormat="1" applyFont="1" applyFill="1" applyBorder="1" applyAlignment="1">
      <alignment horizontal="right"/>
    </xf>
    <xf numFmtId="193" fontId="82" fillId="19" borderId="27" xfId="119" applyNumberFormat="1" applyFont="1" applyFill="1" applyBorder="1" applyAlignment="1">
      <alignment horizontal="right"/>
    </xf>
    <xf numFmtId="0" fontId="82" fillId="18" borderId="51" xfId="0" applyFont="1" applyFill="1" applyBorder="1" applyAlignment="1">
      <alignment horizontal="left"/>
    </xf>
    <xf numFmtId="0" fontId="82" fillId="18" borderId="76" xfId="0" applyFont="1" applyFill="1" applyBorder="1" applyAlignment="1">
      <alignment horizontal="left"/>
    </xf>
    <xf numFmtId="193" fontId="82" fillId="18" borderId="76" xfId="119" applyNumberFormat="1" applyFont="1" applyFill="1" applyBorder="1" applyAlignment="1">
      <alignment horizontal="right"/>
    </xf>
    <xf numFmtId="193" fontId="82" fillId="18" borderId="50" xfId="119" applyNumberFormat="1" applyFont="1" applyFill="1" applyBorder="1" applyAlignment="1">
      <alignment horizontal="right"/>
    </xf>
    <xf numFmtId="0" fontId="80" fillId="19" borderId="53" xfId="0" applyFont="1" applyFill="1" applyBorder="1"/>
    <xf numFmtId="0" fontId="80" fillId="19" borderId="54" xfId="0" applyFont="1" applyFill="1" applyBorder="1"/>
    <xf numFmtId="0" fontId="80" fillId="19" borderId="52" xfId="0" applyFont="1" applyFill="1" applyBorder="1"/>
    <xf numFmtId="0" fontId="94" fillId="22" borderId="55" xfId="0" applyFont="1" applyFill="1" applyBorder="1"/>
    <xf numFmtId="0" fontId="98" fillId="22" borderId="0" xfId="0" applyFont="1" applyFill="1"/>
    <xf numFmtId="0" fontId="98" fillId="22" borderId="0" xfId="0" applyFont="1" applyFill="1" applyAlignment="1">
      <alignment horizontal="right"/>
    </xf>
    <xf numFmtId="0" fontId="98" fillId="22" borderId="27" xfId="0" applyFont="1" applyFill="1" applyBorder="1" applyAlignment="1">
      <alignment horizontal="right" wrapText="1"/>
    </xf>
    <xf numFmtId="0" fontId="80" fillId="0" borderId="55" xfId="0" applyFont="1" applyBorder="1" applyAlignment="1">
      <alignment horizontal="left"/>
    </xf>
    <xf numFmtId="0" fontId="80" fillId="0" borderId="0" xfId="0" applyFont="1" applyAlignment="1">
      <alignment horizontal="left"/>
    </xf>
    <xf numFmtId="9" fontId="80" fillId="0" borderId="0" xfId="98" applyFont="1" applyFill="1" applyBorder="1" applyAlignment="1">
      <alignment horizontal="right"/>
    </xf>
    <xf numFmtId="9" fontId="80" fillId="0" borderId="27" xfId="98" applyFont="1" applyFill="1" applyBorder="1" applyAlignment="1">
      <alignment horizontal="right"/>
    </xf>
    <xf numFmtId="169" fontId="80" fillId="19" borderId="0" xfId="98" applyNumberFormat="1" applyFont="1" applyFill="1"/>
    <xf numFmtId="169" fontId="80" fillId="19" borderId="57" xfId="98" applyNumberFormat="1" applyFont="1" applyFill="1" applyBorder="1"/>
    <xf numFmtId="0" fontId="83" fillId="37" borderId="66" xfId="0" applyFont="1" applyFill="1" applyBorder="1" applyAlignment="1">
      <alignment horizontal="right"/>
    </xf>
    <xf numFmtId="0" fontId="83" fillId="37" borderId="65" xfId="0" applyFont="1" applyFill="1" applyBorder="1" applyAlignment="1">
      <alignment horizontal="right"/>
    </xf>
    <xf numFmtId="193" fontId="80" fillId="31" borderId="0" xfId="119" applyNumberFormat="1" applyFont="1" applyFill="1" applyBorder="1" applyAlignment="1">
      <alignment horizontal="right"/>
    </xf>
    <xf numFmtId="193" fontId="117" fillId="0" borderId="0" xfId="119" applyNumberFormat="1" applyFont="1" applyFill="1" applyBorder="1" applyAlignment="1">
      <alignment horizontal="right"/>
    </xf>
    <xf numFmtId="193" fontId="80" fillId="35" borderId="0" xfId="119" applyNumberFormat="1" applyFont="1" applyFill="1" applyBorder="1" applyAlignment="1">
      <alignment horizontal="right"/>
    </xf>
    <xf numFmtId="0" fontId="82" fillId="19" borderId="68" xfId="0" applyFont="1" applyFill="1" applyBorder="1"/>
    <xf numFmtId="0" fontId="82" fillId="19" borderId="69" xfId="0" applyFont="1" applyFill="1" applyBorder="1"/>
    <xf numFmtId="193" fontId="82" fillId="19" borderId="69" xfId="119" applyNumberFormat="1" applyFont="1" applyFill="1" applyBorder="1" applyAlignment="1">
      <alignment horizontal="right"/>
    </xf>
    <xf numFmtId="193" fontId="82" fillId="19" borderId="70" xfId="119" applyNumberFormat="1" applyFont="1" applyFill="1" applyBorder="1" applyAlignment="1">
      <alignment horizontal="right"/>
    </xf>
    <xf numFmtId="0" fontId="83" fillId="37" borderId="63" xfId="0" applyFont="1" applyFill="1" applyBorder="1"/>
    <xf numFmtId="0" fontId="83" fillId="37" borderId="63" xfId="0" applyFont="1" applyFill="1" applyBorder="1" applyAlignment="1">
      <alignment horizontal="right"/>
    </xf>
    <xf numFmtId="0" fontId="83" fillId="37" borderId="64" xfId="0" applyFont="1" applyFill="1" applyBorder="1" applyAlignment="1">
      <alignment horizontal="right"/>
    </xf>
    <xf numFmtId="0" fontId="83" fillId="37" borderId="62" xfId="0" applyFont="1" applyFill="1" applyBorder="1" applyAlignment="1">
      <alignment horizontal="right"/>
    </xf>
    <xf numFmtId="169" fontId="117" fillId="0" borderId="0" xfId="120" applyNumberFormat="1" applyFont="1" applyFill="1" applyBorder="1"/>
    <xf numFmtId="169" fontId="117" fillId="0" borderId="66" xfId="120" applyNumberFormat="1" applyFont="1" applyFill="1" applyBorder="1"/>
    <xf numFmtId="0" fontId="80" fillId="19" borderId="63" xfId="0" applyFont="1" applyFill="1" applyBorder="1"/>
    <xf numFmtId="0" fontId="82" fillId="19" borderId="62" xfId="0" applyFont="1" applyFill="1" applyBorder="1"/>
    <xf numFmtId="0" fontId="82" fillId="19" borderId="63" xfId="0" applyFont="1" applyFill="1" applyBorder="1"/>
    <xf numFmtId="169" fontId="82" fillId="19" borderId="74" xfId="120" applyNumberFormat="1" applyFont="1" applyFill="1" applyBorder="1"/>
    <xf numFmtId="169" fontId="82" fillId="19" borderId="63" xfId="120" applyNumberFormat="1" applyFont="1" applyFill="1" applyBorder="1"/>
    <xf numFmtId="169" fontId="82" fillId="19" borderId="64" xfId="120" applyNumberFormat="1" applyFont="1" applyFill="1" applyBorder="1"/>
    <xf numFmtId="166" fontId="87" fillId="36" borderId="48" xfId="105" applyFont="1" applyFill="1" applyBorder="1" applyAlignment="1">
      <alignment horizontal="right"/>
    </xf>
    <xf numFmtId="0" fontId="83" fillId="37" borderId="55" xfId="0" applyFont="1" applyFill="1" applyBorder="1"/>
    <xf numFmtId="0" fontId="94" fillId="0" borderId="55" xfId="0" applyFont="1" applyBorder="1"/>
    <xf numFmtId="0" fontId="83" fillId="0" borderId="27" xfId="0" applyFont="1" applyBorder="1" applyAlignment="1">
      <alignment horizontal="right"/>
    </xf>
    <xf numFmtId="166" fontId="80" fillId="19" borderId="0" xfId="105" applyFont="1" applyFill="1" applyBorder="1" applyAlignment="1">
      <alignment horizontal="right"/>
    </xf>
    <xf numFmtId="166" fontId="80" fillId="19" borderId="27" xfId="105" applyFont="1" applyFill="1" applyBorder="1" applyAlignment="1">
      <alignment horizontal="right"/>
    </xf>
    <xf numFmtId="0" fontId="82" fillId="19" borderId="51" xfId="0" applyFont="1" applyFill="1" applyBorder="1"/>
    <xf numFmtId="0" fontId="82" fillId="19" borderId="76" xfId="0" applyFont="1" applyFill="1" applyBorder="1"/>
    <xf numFmtId="193" fontId="82" fillId="19" borderId="76" xfId="119" applyNumberFormat="1" applyFont="1" applyFill="1" applyBorder="1" applyAlignment="1">
      <alignment horizontal="right"/>
    </xf>
    <xf numFmtId="193" fontId="82" fillId="19" borderId="50" xfId="119" applyNumberFormat="1" applyFont="1" applyFill="1" applyBorder="1" applyAlignment="1">
      <alignment horizontal="right"/>
    </xf>
    <xf numFmtId="0" fontId="82" fillId="19" borderId="0" xfId="0" applyFont="1" applyFill="1"/>
    <xf numFmtId="193" fontId="82" fillId="35" borderId="0" xfId="119" applyNumberFormat="1" applyFont="1" applyFill="1" applyBorder="1" applyAlignment="1">
      <alignment horizontal="right"/>
    </xf>
    <xf numFmtId="9" fontId="80" fillId="19" borderId="0" xfId="98" applyFont="1" applyFill="1" applyBorder="1" applyAlignment="1">
      <alignment horizontal="right"/>
    </xf>
    <xf numFmtId="9" fontId="80" fillId="19" borderId="27" xfId="98" applyFont="1" applyFill="1" applyBorder="1" applyAlignment="1">
      <alignment horizontal="right"/>
    </xf>
    <xf numFmtId="0" fontId="82" fillId="19" borderId="57" xfId="0" applyFont="1" applyFill="1" applyBorder="1"/>
    <xf numFmtId="0" fontId="94" fillId="0" borderId="53" xfId="0" applyFont="1" applyBorder="1"/>
    <xf numFmtId="0" fontId="83" fillId="0" borderId="54" xfId="0" applyFont="1" applyBorder="1"/>
    <xf numFmtId="0" fontId="83" fillId="0" borderId="54" xfId="0" applyFont="1" applyBorder="1" applyAlignment="1">
      <alignment horizontal="right"/>
    </xf>
    <xf numFmtId="0" fontId="83" fillId="0" borderId="52" xfId="0" applyFont="1" applyBorder="1" applyAlignment="1">
      <alignment horizontal="right"/>
    </xf>
    <xf numFmtId="0" fontId="120" fillId="0" borderId="53" xfId="144" applyFont="1" applyBorder="1"/>
    <xf numFmtId="0" fontId="87" fillId="0" borderId="54" xfId="0" applyFont="1" applyBorder="1"/>
    <xf numFmtId="166" fontId="87" fillId="0" borderId="54" xfId="0" applyNumberFormat="1" applyFont="1" applyBorder="1"/>
    <xf numFmtId="0" fontId="87" fillId="0" borderId="52" xfId="0" applyFont="1" applyBorder="1"/>
    <xf numFmtId="0" fontId="80" fillId="0" borderId="55" xfId="144" applyFont="1" applyBorder="1"/>
    <xf numFmtId="166" fontId="87" fillId="0" borderId="0" xfId="0" applyNumberFormat="1" applyFont="1"/>
    <xf numFmtId="166" fontId="87" fillId="0" borderId="0" xfId="105" applyFont="1" applyBorder="1"/>
    <xf numFmtId="166" fontId="87" fillId="0" borderId="27" xfId="105" applyFont="1" applyBorder="1"/>
    <xf numFmtId="0" fontId="80" fillId="0" borderId="49" xfId="144" applyFont="1" applyBorder="1"/>
    <xf numFmtId="166" fontId="87" fillId="0" borderId="57" xfId="0" applyNumberFormat="1" applyFont="1" applyBorder="1"/>
    <xf numFmtId="166" fontId="87" fillId="0" borderId="57" xfId="105" applyFont="1" applyBorder="1"/>
    <xf numFmtId="166" fontId="87" fillId="0" borderId="47" xfId="105" applyFont="1" applyBorder="1"/>
    <xf numFmtId="0" fontId="82" fillId="0" borderId="0" xfId="144" applyFont="1"/>
    <xf numFmtId="0" fontId="158" fillId="0" borderId="0" xfId="144" applyFont="1"/>
    <xf numFmtId="0" fontId="80" fillId="0" borderId="0" xfId="144" applyFont="1"/>
    <xf numFmtId="0" fontId="82" fillId="0" borderId="76" xfId="144" applyFont="1" applyBorder="1"/>
    <xf numFmtId="166" fontId="98" fillId="0" borderId="76" xfId="0" applyNumberFormat="1" applyFont="1" applyBorder="1"/>
    <xf numFmtId="164" fontId="82" fillId="22" borderId="0" xfId="145" applyFont="1" applyFill="1" applyBorder="1"/>
    <xf numFmtId="0" fontId="82" fillId="22" borderId="0" xfId="144" applyFont="1" applyFill="1"/>
    <xf numFmtId="193" fontId="117" fillId="0" borderId="0" xfId="144" applyNumberFormat="1" applyFont="1"/>
    <xf numFmtId="0" fontId="159" fillId="0" borderId="0" xfId="144" applyFont="1" applyAlignment="1">
      <alignment horizontal="right"/>
    </xf>
    <xf numFmtId="0" fontId="159" fillId="0" borderId="0" xfId="144" applyFont="1" applyAlignment="1">
      <alignment horizontal="center"/>
    </xf>
    <xf numFmtId="193" fontId="80" fillId="0" borderId="0" xfId="144" applyNumberFormat="1" applyFont="1"/>
    <xf numFmtId="0" fontId="80" fillId="0" borderId="0" xfId="144" applyFont="1" applyAlignment="1">
      <alignment horizontal="center"/>
    </xf>
    <xf numFmtId="0" fontId="160" fillId="0" borderId="0" xfId="144" applyFont="1" applyAlignment="1">
      <alignment horizontal="center"/>
    </xf>
    <xf numFmtId="0" fontId="87" fillId="22" borderId="0" xfId="0" applyFont="1" applyFill="1"/>
    <xf numFmtId="166" fontId="117" fillId="0" borderId="0" xfId="0" applyNumberFormat="1" applyFont="1"/>
    <xf numFmtId="0" fontId="117" fillId="0" borderId="0" xfId="0" applyFont="1"/>
    <xf numFmtId="193" fontId="82" fillId="0" borderId="76" xfId="144" applyNumberFormat="1" applyFont="1" applyBorder="1"/>
    <xf numFmtId="0" fontId="161" fillId="0" borderId="76" xfId="144" applyFont="1" applyBorder="1" applyAlignment="1">
      <alignment horizontal="right"/>
    </xf>
    <xf numFmtId="0" fontId="131" fillId="0" borderId="76" xfId="144" applyFont="1" applyBorder="1" applyAlignment="1">
      <alignment horizontal="center"/>
    </xf>
    <xf numFmtId="166" fontId="98" fillId="22" borderId="76" xfId="105" applyFont="1" applyFill="1" applyBorder="1"/>
    <xf numFmtId="166" fontId="98" fillId="0" borderId="76" xfId="105" applyFont="1" applyBorder="1"/>
    <xf numFmtId="166" fontId="87" fillId="35" borderId="0" xfId="105" applyFont="1" applyFill="1"/>
    <xf numFmtId="196" fontId="80" fillId="32" borderId="0" xfId="145" applyNumberFormat="1" applyFont="1" applyFill="1"/>
    <xf numFmtId="166" fontId="87" fillId="22" borderId="0" xfId="105" applyFont="1" applyFill="1"/>
    <xf numFmtId="0" fontId="80" fillId="0" borderId="76" xfId="144" applyFont="1" applyBorder="1"/>
    <xf numFmtId="0" fontId="159" fillId="0" borderId="76" xfId="144" applyFont="1" applyBorder="1" applyAlignment="1">
      <alignment horizontal="right"/>
    </xf>
    <xf numFmtId="0" fontId="160" fillId="0" borderId="76" xfId="144" applyFont="1" applyBorder="1" applyAlignment="1">
      <alignment horizontal="center"/>
    </xf>
    <xf numFmtId="0" fontId="87" fillId="22" borderId="76" xfId="0" applyFont="1" applyFill="1" applyBorder="1"/>
    <xf numFmtId="166" fontId="87" fillId="0" borderId="76" xfId="105" applyFont="1" applyBorder="1"/>
    <xf numFmtId="0" fontId="123" fillId="0" borderId="76" xfId="144" applyFont="1" applyBorder="1" applyAlignment="1">
      <alignment horizontal="right"/>
    </xf>
    <xf numFmtId="0" fontId="160" fillId="22" borderId="76" xfId="144" applyFont="1" applyFill="1" applyBorder="1" applyAlignment="1">
      <alignment horizontal="center"/>
    </xf>
    <xf numFmtId="166" fontId="98" fillId="0" borderId="76" xfId="105" applyFont="1" applyBorder="1" applyAlignment="1">
      <alignment horizontal="right"/>
    </xf>
    <xf numFmtId="0" fontId="125" fillId="0" borderId="76" xfId="144" applyFont="1" applyBorder="1" applyAlignment="1">
      <alignment horizontal="right"/>
    </xf>
    <xf numFmtId="0" fontId="131" fillId="22" borderId="76" xfId="144" applyFont="1" applyFill="1" applyBorder="1" applyAlignment="1">
      <alignment horizontal="center"/>
    </xf>
    <xf numFmtId="166" fontId="131" fillId="0" borderId="76" xfId="105" applyFont="1" applyBorder="1" applyAlignment="1">
      <alignment horizontal="center"/>
    </xf>
    <xf numFmtId="0" fontId="162" fillId="0" borderId="0" xfId="177" applyFont="1" applyAlignment="1">
      <alignment vertical="top"/>
    </xf>
    <xf numFmtId="185" fontId="162" fillId="0" borderId="0" xfId="105" applyNumberFormat="1" applyFont="1" applyAlignment="1">
      <alignment vertical="top"/>
    </xf>
    <xf numFmtId="0" fontId="162" fillId="0" borderId="57" xfId="177" applyFont="1" applyBorder="1" applyAlignment="1">
      <alignment vertical="top"/>
    </xf>
    <xf numFmtId="0" fontId="165" fillId="0" borderId="57" xfId="177" applyFont="1" applyBorder="1" applyAlignment="1">
      <alignment vertical="top"/>
    </xf>
    <xf numFmtId="0" fontId="165" fillId="0" borderId="57" xfId="177" applyFont="1" applyBorder="1" applyAlignment="1">
      <alignment vertical="top" wrapText="1"/>
    </xf>
    <xf numFmtId="9" fontId="162" fillId="0" borderId="0" xfId="98" applyFont="1" applyAlignment="1">
      <alignment vertical="top"/>
    </xf>
    <xf numFmtId="0" fontId="162" fillId="0" borderId="0" xfId="177" applyFont="1" applyAlignment="1">
      <alignment vertical="top" wrapText="1"/>
    </xf>
    <xf numFmtId="9" fontId="162" fillId="0" borderId="0" xfId="177" applyNumberFormat="1" applyFont="1" applyAlignment="1">
      <alignment vertical="top"/>
    </xf>
    <xf numFmtId="0" fontId="130" fillId="0" borderId="0" xfId="49" applyFont="1" applyFill="1"/>
    <xf numFmtId="0" fontId="88" fillId="0" borderId="0" xfId="51" applyFont="1" applyBorder="1">
      <alignment vertical="center"/>
    </xf>
    <xf numFmtId="0" fontId="87" fillId="0" borderId="0" xfId="51" applyFont="1" applyBorder="1" applyAlignment="1">
      <alignment horizontal="right" vertical="center"/>
    </xf>
    <xf numFmtId="0" fontId="97" fillId="0" borderId="0" xfId="51" applyFont="1" applyBorder="1" applyAlignment="1">
      <alignment horizontal="right" vertical="center"/>
    </xf>
    <xf numFmtId="0" fontId="88" fillId="0" borderId="0" xfId="50" applyFont="1" applyBorder="1">
      <alignment vertical="center"/>
    </xf>
    <xf numFmtId="14" fontId="87" fillId="0" borderId="0" xfId="50" applyNumberFormat="1" applyFont="1" applyBorder="1" applyAlignment="1">
      <alignment horizontal="center" vertical="center"/>
    </xf>
    <xf numFmtId="0" fontId="87" fillId="0" borderId="0" xfId="50" applyFont="1" applyBorder="1" applyAlignment="1">
      <alignment horizontal="center" vertical="center"/>
    </xf>
    <xf numFmtId="0" fontId="115" fillId="0" borderId="0" xfId="50" applyFont="1" applyBorder="1" applyAlignment="1">
      <alignment horizontal="right" vertical="center"/>
    </xf>
    <xf numFmtId="0" fontId="130" fillId="0" borderId="0" xfId="49" applyFont="1" applyFill="1" applyBorder="1"/>
    <xf numFmtId="0" fontId="130" fillId="0" borderId="0" xfId="49" applyFont="1" applyBorder="1"/>
    <xf numFmtId="0" fontId="127" fillId="0" borderId="0" xfId="49" applyFont="1" applyFill="1" applyBorder="1"/>
    <xf numFmtId="0" fontId="127" fillId="0" borderId="79" xfId="49" applyFont="1" applyBorder="1"/>
    <xf numFmtId="0" fontId="127" fillId="0" borderId="96" xfId="49" applyFont="1" applyBorder="1"/>
    <xf numFmtId="14" fontId="127" fillId="0" borderId="96" xfId="49" applyNumberFormat="1" applyFont="1" applyBorder="1"/>
    <xf numFmtId="0" fontId="127" fillId="0" borderId="0" xfId="49" applyFont="1" applyFill="1"/>
    <xf numFmtId="0" fontId="142" fillId="0" borderId="0" xfId="49" applyFont="1" applyFill="1"/>
    <xf numFmtId="167" fontId="83" fillId="37" borderId="0" xfId="49" applyNumberFormat="1" applyFont="1" applyFill="1" applyBorder="1" applyAlignment="1">
      <alignment horizontal="center"/>
    </xf>
    <xf numFmtId="167" fontId="98" fillId="23" borderId="0" xfId="49" applyNumberFormat="1" applyFont="1" applyFill="1" applyBorder="1" applyAlignment="1">
      <alignment horizontal="centerContinuous"/>
    </xf>
    <xf numFmtId="0" fontId="124" fillId="37" borderId="30" xfId="49" applyFont="1" applyFill="1" applyBorder="1" applyAlignment="1">
      <alignment wrapText="1"/>
    </xf>
    <xf numFmtId="0" fontId="124" fillId="37" borderId="30" xfId="49" applyFont="1" applyFill="1" applyBorder="1"/>
    <xf numFmtId="0" fontId="124" fillId="37" borderId="30" xfId="49" applyFont="1" applyFill="1" applyBorder="1" applyAlignment="1">
      <alignment horizontal="center" wrapText="1"/>
    </xf>
    <xf numFmtId="0" fontId="124" fillId="37" borderId="30" xfId="49" applyFont="1" applyFill="1" applyBorder="1" applyAlignment="1">
      <alignment horizontal="center" vertical="center" wrapText="1"/>
    </xf>
    <xf numFmtId="0" fontId="87" fillId="23" borderId="30" xfId="49" applyFont="1" applyFill="1" applyBorder="1" applyAlignment="1">
      <alignment wrapText="1"/>
    </xf>
    <xf numFmtId="0" fontId="87" fillId="23" borderId="30" xfId="49" applyFont="1" applyFill="1" applyBorder="1" applyAlignment="1">
      <alignment horizontal="center" wrapText="1"/>
    </xf>
    <xf numFmtId="0" fontId="87" fillId="0" borderId="31" xfId="49" applyFont="1" applyBorder="1"/>
    <xf numFmtId="176" fontId="87" fillId="0" borderId="31" xfId="58" applyFont="1" applyBorder="1" applyAlignment="1">
      <alignment horizontal="center"/>
    </xf>
    <xf numFmtId="166" fontId="87" fillId="0" borderId="31" xfId="46" applyNumberFormat="1" applyFont="1" applyBorder="1">
      <alignment horizontal="centerContinuous"/>
    </xf>
    <xf numFmtId="166" fontId="87" fillId="0" borderId="31" xfId="46" applyNumberFormat="1" applyFont="1" applyBorder="1" applyAlignment="1">
      <alignment horizontal="right"/>
    </xf>
    <xf numFmtId="166" fontId="87" fillId="0" borderId="39" xfId="46" applyNumberFormat="1" applyFont="1" applyBorder="1" applyAlignment="1">
      <alignment horizontal="right"/>
    </xf>
    <xf numFmtId="169" fontId="93" fillId="0" borderId="39" xfId="46" applyNumberFormat="1" applyFont="1" applyBorder="1" applyAlignment="1">
      <alignment horizontal="right"/>
    </xf>
    <xf numFmtId="169" fontId="93" fillId="0" borderId="31" xfId="46" applyNumberFormat="1" applyFont="1" applyBorder="1" applyAlignment="1">
      <alignment horizontal="right"/>
    </xf>
    <xf numFmtId="191" fontId="87" fillId="0" borderId="39" xfId="53" applyNumberFormat="1" applyFont="1" applyBorder="1">
      <alignment horizontal="right"/>
    </xf>
    <xf numFmtId="191" fontId="87" fillId="0" borderId="31" xfId="53" applyNumberFormat="1" applyFont="1" applyBorder="1">
      <alignment horizontal="right"/>
    </xf>
    <xf numFmtId="0" fontId="87" fillId="0" borderId="0" xfId="49" applyFont="1" applyBorder="1" applyAlignment="1">
      <alignment horizontal="left"/>
    </xf>
    <xf numFmtId="176" fontId="87" fillId="0" borderId="0" xfId="58" applyFont="1" applyBorder="1" applyAlignment="1">
      <alignment horizontal="center"/>
    </xf>
    <xf numFmtId="166" fontId="87" fillId="0" borderId="0" xfId="46" applyNumberFormat="1" applyFont="1">
      <alignment horizontal="centerContinuous"/>
    </xf>
    <xf numFmtId="166" fontId="87" fillId="0" borderId="0" xfId="46" applyNumberFormat="1" applyFont="1" applyAlignment="1">
      <alignment horizontal="right"/>
    </xf>
    <xf numFmtId="166" fontId="87" fillId="0" borderId="0" xfId="46" applyNumberFormat="1" applyFont="1" applyAlignment="1">
      <alignment horizontal="center"/>
    </xf>
    <xf numFmtId="166" fontId="87" fillId="0" borderId="40" xfId="46" applyNumberFormat="1" applyFont="1" applyBorder="1" applyAlignment="1">
      <alignment horizontal="right"/>
    </xf>
    <xf numFmtId="169" fontId="93" fillId="0" borderId="40" xfId="46" applyNumberFormat="1" applyFont="1" applyBorder="1" applyAlignment="1">
      <alignment horizontal="right"/>
    </xf>
    <xf numFmtId="169" fontId="93" fillId="0" borderId="0" xfId="46" applyNumberFormat="1" applyFont="1" applyAlignment="1">
      <alignment horizontal="right"/>
    </xf>
    <xf numFmtId="191" fontId="87" fillId="0" borderId="40" xfId="53" applyNumberFormat="1" applyFont="1" applyBorder="1">
      <alignment horizontal="right"/>
    </xf>
    <xf numFmtId="191" fontId="87" fillId="0" borderId="0" xfId="53" applyNumberFormat="1" applyFont="1" applyBorder="1">
      <alignment horizontal="right"/>
    </xf>
    <xf numFmtId="176" fontId="98" fillId="0" borderId="0" xfId="58" applyFont="1" applyAlignment="1">
      <alignment horizontal="center"/>
    </xf>
    <xf numFmtId="176" fontId="98" fillId="0" borderId="0" xfId="46" applyNumberFormat="1" applyFont="1">
      <alignment horizontal="centerContinuous"/>
    </xf>
    <xf numFmtId="181" fontId="87" fillId="0" borderId="0" xfId="52" applyNumberFormat="1" applyFont="1">
      <alignment horizontal="right"/>
    </xf>
    <xf numFmtId="171" fontId="87" fillId="0" borderId="0" xfId="53" applyFont="1">
      <alignment horizontal="right"/>
    </xf>
    <xf numFmtId="178" fontId="87" fillId="0" borderId="0" xfId="59" applyNumberFormat="1" applyFont="1">
      <alignment horizontal="right"/>
    </xf>
    <xf numFmtId="0" fontId="87" fillId="0" borderId="31" xfId="49" applyFont="1" applyFill="1" applyBorder="1" applyAlignment="1">
      <alignment horizontal="right"/>
    </xf>
    <xf numFmtId="169" fontId="87" fillId="0" borderId="31" xfId="48" applyNumberFormat="1" applyFont="1" applyFill="1" applyBorder="1">
      <alignment horizontal="right"/>
    </xf>
    <xf numFmtId="169" fontId="87" fillId="0" borderId="31" xfId="53" applyNumberFormat="1" applyFont="1" applyFill="1" applyBorder="1">
      <alignment horizontal="right"/>
    </xf>
    <xf numFmtId="169" fontId="87" fillId="0" borderId="36" xfId="48" applyNumberFormat="1" applyFont="1" applyFill="1" applyBorder="1">
      <alignment horizontal="right"/>
    </xf>
    <xf numFmtId="191" fontId="87" fillId="0" borderId="36" xfId="53" applyNumberFormat="1" applyFont="1" applyFill="1" applyBorder="1">
      <alignment horizontal="right"/>
    </xf>
    <xf numFmtId="191" fontId="87" fillId="0" borderId="31" xfId="53" applyNumberFormat="1" applyFont="1" applyFill="1" applyBorder="1">
      <alignment horizontal="right"/>
    </xf>
    <xf numFmtId="0" fontId="87" fillId="0" borderId="0" xfId="49" applyFont="1" applyFill="1" applyBorder="1" applyAlignment="1">
      <alignment horizontal="right"/>
    </xf>
    <xf numFmtId="169" fontId="87" fillId="0" borderId="0" xfId="48" applyNumberFormat="1" applyFont="1" applyFill="1" applyBorder="1">
      <alignment horizontal="right"/>
    </xf>
    <xf numFmtId="169" fontId="87" fillId="0" borderId="0" xfId="53" applyNumberFormat="1" applyFont="1" applyFill="1" applyBorder="1">
      <alignment horizontal="right"/>
    </xf>
    <xf numFmtId="169" fontId="87" fillId="0" borderId="37" xfId="48" applyNumberFormat="1" applyFont="1" applyFill="1" applyBorder="1">
      <alignment horizontal="right"/>
    </xf>
    <xf numFmtId="191" fontId="87" fillId="0" borderId="37" xfId="53" applyNumberFormat="1" applyFont="1" applyFill="1" applyBorder="1">
      <alignment horizontal="right"/>
    </xf>
    <xf numFmtId="191" fontId="87" fillId="0" borderId="0" xfId="53" applyNumberFormat="1" applyFont="1" applyFill="1" applyBorder="1">
      <alignment horizontal="right"/>
    </xf>
    <xf numFmtId="0" fontId="87" fillId="23" borderId="0" xfId="49" applyFont="1" applyFill="1" applyBorder="1" applyAlignment="1">
      <alignment horizontal="right"/>
    </xf>
    <xf numFmtId="169" fontId="87" fillId="23" borderId="0" xfId="48" applyNumberFormat="1" applyFont="1" applyFill="1" applyBorder="1">
      <alignment horizontal="right"/>
    </xf>
    <xf numFmtId="169" fontId="87" fillId="23" borderId="37" xfId="48" applyNumberFormat="1" applyFont="1" applyFill="1" applyBorder="1">
      <alignment horizontal="right"/>
    </xf>
    <xf numFmtId="191" fontId="87" fillId="23" borderId="37" xfId="53" applyNumberFormat="1" applyFont="1" applyFill="1" applyBorder="1">
      <alignment horizontal="right"/>
    </xf>
    <xf numFmtId="191" fontId="87" fillId="23" borderId="0" xfId="53" applyNumberFormat="1" applyFont="1" applyFill="1" applyBorder="1">
      <alignment horizontal="right"/>
    </xf>
    <xf numFmtId="0" fontId="87" fillId="0" borderId="30" xfId="49" applyFont="1" applyFill="1" applyBorder="1" applyAlignment="1">
      <alignment horizontal="right"/>
    </xf>
    <xf numFmtId="169" fontId="87" fillId="0" borderId="30" xfId="48" applyNumberFormat="1" applyFont="1" applyFill="1" applyBorder="1">
      <alignment horizontal="right"/>
    </xf>
    <xf numFmtId="169" fontId="87" fillId="0" borderId="30" xfId="53" applyNumberFormat="1" applyFont="1" applyFill="1" applyBorder="1">
      <alignment horizontal="right"/>
    </xf>
    <xf numFmtId="169" fontId="87" fillId="0" borderId="38" xfId="48" applyNumberFormat="1" applyFont="1" applyFill="1" applyBorder="1">
      <alignment horizontal="right"/>
    </xf>
    <xf numFmtId="191" fontId="87" fillId="0" borderId="38" xfId="53" applyNumberFormat="1" applyFont="1" applyFill="1" applyBorder="1">
      <alignment horizontal="right"/>
    </xf>
    <xf numFmtId="191" fontId="87" fillId="0" borderId="30" xfId="53" applyNumberFormat="1" applyFont="1" applyFill="1" applyBorder="1">
      <alignment horizontal="right"/>
    </xf>
    <xf numFmtId="0" fontId="98" fillId="0" borderId="0" xfId="49" applyFont="1" applyFill="1" applyAlignment="1">
      <alignment horizontal="right"/>
    </xf>
    <xf numFmtId="171" fontId="92" fillId="0" borderId="0" xfId="53" applyFont="1">
      <alignment horizontal="right"/>
    </xf>
    <xf numFmtId="169" fontId="92" fillId="0" borderId="0" xfId="48" applyNumberFormat="1" applyFont="1">
      <alignment horizontal="right"/>
    </xf>
    <xf numFmtId="169" fontId="92" fillId="0" borderId="0" xfId="53" applyNumberFormat="1" applyFont="1">
      <alignment horizontal="right"/>
    </xf>
    <xf numFmtId="166" fontId="92" fillId="0" borderId="0" xfId="105" applyFont="1" applyAlignment="1">
      <alignment horizontal="right"/>
    </xf>
    <xf numFmtId="0" fontId="98" fillId="23" borderId="0" xfId="49" applyFont="1" applyFill="1"/>
    <xf numFmtId="0" fontId="98" fillId="23" borderId="0" xfId="49" applyFont="1" applyFill="1" applyAlignment="1">
      <alignment horizontal="center"/>
    </xf>
    <xf numFmtId="0" fontId="98" fillId="23" borderId="30" xfId="49" applyFont="1" applyFill="1" applyBorder="1" applyAlignment="1">
      <alignment horizontal="right" wrapText="1"/>
    </xf>
    <xf numFmtId="0" fontId="98" fillId="23" borderId="30" xfId="49" applyFont="1" applyFill="1" applyBorder="1" applyAlignment="1">
      <alignment horizontal="right"/>
    </xf>
    <xf numFmtId="169" fontId="87" fillId="0" borderId="42" xfId="98" applyNumberFormat="1" applyFont="1" applyBorder="1"/>
    <xf numFmtId="171" fontId="87" fillId="0" borderId="42" xfId="49" applyNumberFormat="1" applyFont="1" applyBorder="1" applyAlignment="1">
      <alignment horizontal="center"/>
    </xf>
    <xf numFmtId="0" fontId="124" fillId="0" borderId="0" xfId="49" applyFont="1" applyAlignment="1">
      <alignment horizontal="right"/>
    </xf>
    <xf numFmtId="169" fontId="87" fillId="0" borderId="16" xfId="98" applyNumberFormat="1" applyFont="1" applyBorder="1"/>
    <xf numFmtId="171" fontId="87" fillId="0" borderId="16" xfId="49" applyNumberFormat="1" applyFont="1" applyBorder="1" applyAlignment="1">
      <alignment horizontal="center"/>
    </xf>
    <xf numFmtId="169" fontId="87" fillId="0" borderId="43" xfId="98" applyNumberFormat="1" applyFont="1" applyBorder="1"/>
    <xf numFmtId="171" fontId="87" fillId="0" borderId="43" xfId="49" applyNumberFormat="1" applyFont="1" applyBorder="1" applyAlignment="1">
      <alignment horizontal="center"/>
    </xf>
    <xf numFmtId="0" fontId="166" fillId="0" borderId="0" xfId="51" applyFont="1" applyBorder="1" applyAlignment="1">
      <alignment horizontal="right" vertical="center"/>
    </xf>
    <xf numFmtId="0" fontId="167" fillId="0" borderId="0" xfId="50" applyFont="1" applyBorder="1" applyAlignment="1">
      <alignment horizontal="right" vertical="center"/>
    </xf>
    <xf numFmtId="0" fontId="130" fillId="0" borderId="96" xfId="50" applyFont="1" applyBorder="1">
      <alignment vertical="center"/>
    </xf>
    <xf numFmtId="0" fontId="129" fillId="0" borderId="96" xfId="50" applyFont="1" applyBorder="1">
      <alignment vertical="center"/>
    </xf>
    <xf numFmtId="0" fontId="85" fillId="0" borderId="0" xfId="49" applyFont="1" applyAlignment="1">
      <alignment horizontal="center"/>
    </xf>
    <xf numFmtId="49" fontId="166" fillId="21" borderId="12" xfId="49" applyNumberFormat="1" applyFont="1" applyFill="1" applyBorder="1"/>
    <xf numFmtId="0" fontId="98" fillId="0" borderId="0" xfId="49" applyFont="1" applyAlignment="1">
      <alignment vertical="center"/>
    </xf>
    <xf numFmtId="0" fontId="83" fillId="37" borderId="0" xfId="49" applyFont="1" applyFill="1" applyBorder="1" applyAlignment="1">
      <alignment vertical="top"/>
    </xf>
    <xf numFmtId="180" fontId="83" fillId="37" borderId="27" xfId="49" applyNumberFormat="1" applyFont="1" applyFill="1" applyBorder="1" applyAlignment="1">
      <alignment horizontal="center"/>
    </xf>
    <xf numFmtId="180" fontId="83" fillId="37" borderId="0" xfId="49" applyNumberFormat="1" applyFont="1" applyFill="1" applyBorder="1" applyAlignment="1">
      <alignment horizontal="center"/>
    </xf>
    <xf numFmtId="0" fontId="83" fillId="37" borderId="0" xfId="49" applyFont="1" applyFill="1" applyBorder="1" applyAlignment="1">
      <alignment horizontal="center"/>
    </xf>
    <xf numFmtId="0" fontId="83" fillId="37" borderId="0" xfId="49" applyFont="1" applyFill="1" applyBorder="1" applyAlignment="1">
      <alignment horizontal="center" wrapText="1"/>
    </xf>
    <xf numFmtId="169" fontId="150" fillId="0" borderId="0" xfId="97" applyNumberFormat="1" applyFont="1" applyAlignment="1">
      <alignment horizontal="right"/>
    </xf>
    <xf numFmtId="169" fontId="168" fillId="0" borderId="0" xfId="97" applyNumberFormat="1" applyFont="1" applyAlignment="1">
      <alignment horizontal="right"/>
    </xf>
    <xf numFmtId="169" fontId="87" fillId="0" borderId="0" xfId="97" applyNumberFormat="1" applyFont="1" applyAlignment="1">
      <alignment horizontal="right"/>
    </xf>
    <xf numFmtId="176" fontId="83" fillId="37" borderId="0" xfId="58" applyFont="1" applyFill="1" applyBorder="1" applyAlignment="1">
      <alignment horizontal="left"/>
    </xf>
    <xf numFmtId="176" fontId="83" fillId="37" borderId="27" xfId="58" applyFont="1" applyFill="1" applyBorder="1" applyAlignment="1">
      <alignment horizontal="center"/>
    </xf>
    <xf numFmtId="176" fontId="83" fillId="37" borderId="0" xfId="58" applyFont="1" applyFill="1" applyBorder="1" applyAlignment="1">
      <alignment horizontal="center"/>
    </xf>
    <xf numFmtId="169" fontId="169" fillId="0" borderId="18" xfId="97" applyNumberFormat="1" applyFont="1" applyBorder="1" applyAlignment="1">
      <alignment horizontal="right"/>
    </xf>
    <xf numFmtId="0" fontId="83" fillId="0" borderId="0" xfId="49" applyFont="1"/>
    <xf numFmtId="182" fontId="87" fillId="0" borderId="31" xfId="49" applyNumberFormat="1" applyFont="1" applyBorder="1" applyAlignment="1">
      <alignment horizontal="left"/>
    </xf>
    <xf numFmtId="182" fontId="87" fillId="0" borderId="80" xfId="49" applyNumberFormat="1" applyFont="1" applyBorder="1" applyAlignment="1">
      <alignment horizontal="center"/>
    </xf>
    <xf numFmtId="166" fontId="87" fillId="0" borderId="31" xfId="49" applyNumberFormat="1" applyFont="1" applyBorder="1" applyAlignment="1">
      <alignment horizontal="right"/>
    </xf>
    <xf numFmtId="166" fontId="87" fillId="23" borderId="31" xfId="49" applyNumberFormat="1" applyFont="1" applyFill="1" applyBorder="1" applyAlignment="1">
      <alignment horizontal="right"/>
    </xf>
    <xf numFmtId="169" fontId="87" fillId="23" borderId="39" xfId="97" applyNumberFormat="1" applyFont="1" applyFill="1" applyBorder="1" applyAlignment="1">
      <alignment horizontal="right"/>
    </xf>
    <xf numFmtId="169" fontId="87" fillId="0" borderId="31" xfId="97" applyNumberFormat="1" applyFont="1" applyBorder="1" applyAlignment="1">
      <alignment horizontal="right"/>
    </xf>
    <xf numFmtId="169" fontId="144" fillId="0" borderId="31" xfId="49" applyNumberFormat="1" applyFont="1" applyBorder="1" applyAlignment="1">
      <alignment horizontal="right"/>
    </xf>
    <xf numFmtId="169" fontId="87" fillId="23" borderId="31" xfId="97" applyNumberFormat="1" applyFont="1" applyFill="1" applyBorder="1" applyAlignment="1">
      <alignment horizontal="right"/>
    </xf>
    <xf numFmtId="169" fontId="144" fillId="23" borderId="31" xfId="97" applyNumberFormat="1" applyFont="1" applyFill="1" applyBorder="1" applyAlignment="1">
      <alignment horizontal="right"/>
    </xf>
    <xf numFmtId="0" fontId="144" fillId="23" borderId="31" xfId="97" applyNumberFormat="1" applyFont="1" applyFill="1" applyBorder="1" applyAlignment="1">
      <alignment horizontal="right"/>
    </xf>
    <xf numFmtId="169" fontId="150" fillId="0" borderId="18" xfId="97" applyNumberFormat="1" applyFont="1" applyBorder="1" applyAlignment="1">
      <alignment horizontal="right"/>
    </xf>
    <xf numFmtId="0" fontId="87" fillId="0" borderId="0" xfId="97" applyNumberFormat="1" applyFont="1" applyAlignment="1">
      <alignment horizontal="right"/>
    </xf>
    <xf numFmtId="168" fontId="87" fillId="0" borderId="0" xfId="49" applyNumberFormat="1" applyFont="1" applyBorder="1"/>
    <xf numFmtId="182" fontId="87" fillId="0" borderId="27" xfId="49" applyNumberFormat="1" applyFont="1" applyBorder="1" applyAlignment="1">
      <alignment horizontal="center"/>
    </xf>
    <xf numFmtId="166" fontId="87" fillId="0" borderId="0" xfId="49" applyNumberFormat="1" applyFont="1" applyBorder="1" applyAlignment="1">
      <alignment horizontal="right"/>
    </xf>
    <xf numFmtId="166" fontId="87" fillId="23" borderId="0" xfId="49" applyNumberFormat="1" applyFont="1" applyFill="1" applyBorder="1" applyAlignment="1">
      <alignment horizontal="right"/>
    </xf>
    <xf numFmtId="169" fontId="87" fillId="23" borderId="40" xfId="97" applyNumberFormat="1" applyFont="1" applyFill="1" applyBorder="1" applyAlignment="1">
      <alignment horizontal="right"/>
    </xf>
    <xf numFmtId="169" fontId="87" fillId="0" borderId="0" xfId="97" applyNumberFormat="1" applyFont="1" applyBorder="1" applyAlignment="1">
      <alignment horizontal="right"/>
    </xf>
    <xf numFmtId="169" fontId="144" fillId="0" borderId="0" xfId="49" applyNumberFormat="1" applyFont="1" applyBorder="1" applyAlignment="1">
      <alignment horizontal="right"/>
    </xf>
    <xf numFmtId="169" fontId="87" fillId="23" borderId="0" xfId="97" applyNumberFormat="1" applyFont="1" applyFill="1" applyBorder="1" applyAlignment="1">
      <alignment horizontal="right"/>
    </xf>
    <xf numFmtId="169" fontId="144" fillId="23" borderId="0" xfId="97" applyNumberFormat="1" applyFont="1" applyFill="1" applyBorder="1" applyAlignment="1">
      <alignment horizontal="right"/>
    </xf>
    <xf numFmtId="166" fontId="150" fillId="0" borderId="0" xfId="48" applyFont="1" applyAlignment="1">
      <alignment horizontal="left"/>
    </xf>
    <xf numFmtId="166" fontId="92" fillId="0" borderId="0" xfId="48" quotePrefix="1" applyFont="1">
      <alignment horizontal="right"/>
    </xf>
    <xf numFmtId="166" fontId="92" fillId="0" borderId="0" xfId="48" applyFont="1">
      <alignment horizontal="right"/>
    </xf>
    <xf numFmtId="166" fontId="150" fillId="0" borderId="0" xfId="48" quotePrefix="1" applyFont="1" applyAlignment="1">
      <alignment horizontal="left"/>
    </xf>
    <xf numFmtId="166" fontId="92" fillId="0" borderId="31" xfId="48" applyFont="1" applyBorder="1">
      <alignment horizontal="right"/>
    </xf>
    <xf numFmtId="169" fontId="92" fillId="0" borderId="39" xfId="48" applyNumberFormat="1" applyFont="1" applyBorder="1">
      <alignment horizontal="right"/>
    </xf>
    <xf numFmtId="169" fontId="92" fillId="0" borderId="31" xfId="48" applyNumberFormat="1" applyFont="1" applyBorder="1">
      <alignment horizontal="right"/>
    </xf>
    <xf numFmtId="169" fontId="92" fillId="23" borderId="31" xfId="48" applyNumberFormat="1" applyFont="1" applyFill="1" applyBorder="1">
      <alignment horizontal="right"/>
    </xf>
    <xf numFmtId="166" fontId="92" fillId="0" borderId="0" xfId="48" applyFont="1" applyBorder="1">
      <alignment horizontal="right"/>
    </xf>
    <xf numFmtId="169" fontId="92" fillId="0" borderId="40" xfId="48" applyNumberFormat="1" applyFont="1" applyBorder="1">
      <alignment horizontal="right"/>
    </xf>
    <xf numFmtId="169" fontId="92" fillId="0" borderId="0" xfId="48" applyNumberFormat="1" applyFont="1" applyBorder="1">
      <alignment horizontal="right"/>
    </xf>
    <xf numFmtId="169" fontId="92" fillId="23" borderId="0" xfId="48" applyNumberFormat="1" applyFont="1" applyFill="1" applyBorder="1">
      <alignment horizontal="right"/>
    </xf>
    <xf numFmtId="166" fontId="170" fillId="0" borderId="0" xfId="48" applyFont="1">
      <alignment horizontal="right"/>
    </xf>
    <xf numFmtId="166" fontId="92" fillId="23" borderId="0" xfId="48" applyFont="1" applyFill="1" applyBorder="1">
      <alignment horizontal="right"/>
    </xf>
    <xf numFmtId="166" fontId="170" fillId="23" borderId="0" xfId="48" applyFont="1" applyFill="1" applyBorder="1">
      <alignment horizontal="right"/>
    </xf>
    <xf numFmtId="169" fontId="92" fillId="23" borderId="40" xfId="48" applyNumberFormat="1" applyFont="1" applyFill="1" applyBorder="1">
      <alignment horizontal="right"/>
    </xf>
    <xf numFmtId="166" fontId="170" fillId="0" borderId="0" xfId="48" quotePrefix="1" applyFont="1">
      <alignment horizontal="right"/>
    </xf>
    <xf numFmtId="166" fontId="170" fillId="0" borderId="0" xfId="48" applyFont="1" applyBorder="1">
      <alignment horizontal="right"/>
    </xf>
    <xf numFmtId="166" fontId="92" fillId="0" borderId="30" xfId="48" applyFont="1" applyBorder="1">
      <alignment horizontal="right"/>
    </xf>
    <xf numFmtId="169" fontId="92" fillId="0" borderId="41" xfId="48" applyNumberFormat="1" applyFont="1" applyBorder="1">
      <alignment horizontal="right"/>
    </xf>
    <xf numFmtId="169" fontId="92" fillId="0" borderId="30" xfId="48" applyNumberFormat="1" applyFont="1" applyBorder="1">
      <alignment horizontal="right"/>
    </xf>
    <xf numFmtId="169" fontId="92" fillId="23" borderId="30" xfId="48" applyNumberFormat="1" applyFont="1" applyFill="1" applyBorder="1">
      <alignment horizontal="right"/>
    </xf>
    <xf numFmtId="165" fontId="171" fillId="0" borderId="0" xfId="52" applyFont="1">
      <alignment horizontal="right"/>
    </xf>
    <xf numFmtId="168" fontId="87" fillId="0" borderId="31" xfId="49" applyNumberFormat="1" applyFont="1" applyBorder="1"/>
    <xf numFmtId="182" fontId="87" fillId="0" borderId="31" xfId="49" applyNumberFormat="1" applyFont="1" applyBorder="1" applyAlignment="1">
      <alignment horizontal="center"/>
    </xf>
    <xf numFmtId="169" fontId="87" fillId="0" borderId="31" xfId="49" applyNumberFormat="1" applyFont="1" applyBorder="1" applyAlignment="1">
      <alignment horizontal="right"/>
    </xf>
    <xf numFmtId="182" fontId="87" fillId="0" borderId="0" xfId="49" applyNumberFormat="1" applyFont="1" applyBorder="1" applyAlignment="1">
      <alignment horizontal="center"/>
    </xf>
    <xf numFmtId="169" fontId="87" fillId="0" borderId="0" xfId="49" applyNumberFormat="1" applyFont="1" applyBorder="1" applyAlignment="1">
      <alignment horizontal="right"/>
    </xf>
    <xf numFmtId="0" fontId="98" fillId="0" borderId="0" xfId="51" applyFont="1" applyBorder="1">
      <alignment vertical="center"/>
    </xf>
    <xf numFmtId="0" fontId="130" fillId="0" borderId="31" xfId="50" applyFont="1" applyBorder="1">
      <alignment vertical="center"/>
    </xf>
    <xf numFmtId="0" fontId="85" fillId="0" borderId="0" xfId="49" applyFont="1" applyBorder="1" applyAlignment="1">
      <alignment horizontal="center"/>
    </xf>
    <xf numFmtId="169" fontId="87" fillId="0" borderId="0" xfId="49" applyNumberFormat="1" applyFont="1" applyAlignment="1">
      <alignment horizontal="right"/>
    </xf>
    <xf numFmtId="169" fontId="172" fillId="0" borderId="0" xfId="97" applyNumberFormat="1" applyFont="1" applyAlignment="1">
      <alignment horizontal="right"/>
    </xf>
    <xf numFmtId="169" fontId="173" fillId="0" borderId="0" xfId="49" applyNumberFormat="1" applyFont="1" applyAlignment="1">
      <alignment horizontal="right"/>
    </xf>
    <xf numFmtId="169" fontId="173" fillId="0" borderId="0" xfId="97" applyNumberFormat="1" applyFont="1" applyAlignment="1">
      <alignment horizontal="right"/>
    </xf>
    <xf numFmtId="169" fontId="174" fillId="0" borderId="18" xfId="49" applyNumberFormat="1" applyFont="1" applyBorder="1" applyAlignment="1">
      <alignment horizontal="right"/>
    </xf>
    <xf numFmtId="169" fontId="174" fillId="0" borderId="18" xfId="97" applyNumberFormat="1" applyFont="1" applyBorder="1" applyAlignment="1">
      <alignment horizontal="right"/>
    </xf>
    <xf numFmtId="169" fontId="174" fillId="0" borderId="0" xfId="97" applyNumberFormat="1" applyFont="1" applyAlignment="1">
      <alignment horizontal="right"/>
    </xf>
    <xf numFmtId="0" fontId="87" fillId="0" borderId="31" xfId="49" applyFont="1" applyBorder="1" applyAlignment="1">
      <alignment horizontal="center"/>
    </xf>
    <xf numFmtId="169" fontId="172" fillId="0" borderId="18" xfId="49" applyNumberFormat="1" applyFont="1" applyBorder="1" applyAlignment="1">
      <alignment horizontal="right"/>
    </xf>
    <xf numFmtId="169" fontId="172" fillId="0" borderId="18" xfId="97" applyNumberFormat="1" applyFont="1" applyBorder="1" applyAlignment="1">
      <alignment horizontal="right"/>
    </xf>
    <xf numFmtId="0" fontId="172" fillId="0" borderId="0" xfId="97" applyNumberFormat="1" applyFont="1" applyAlignment="1">
      <alignment horizontal="right"/>
    </xf>
    <xf numFmtId="167" fontId="87" fillId="0" borderId="0" xfId="49" applyNumberFormat="1" applyFont="1" applyBorder="1" applyAlignment="1">
      <alignment horizontal="left"/>
    </xf>
    <xf numFmtId="182" fontId="87" fillId="0" borderId="0" xfId="49" applyNumberFormat="1" applyFont="1" applyAlignment="1">
      <alignment horizontal="center"/>
    </xf>
    <xf numFmtId="0" fontId="150" fillId="0" borderId="0" xfId="49" applyFont="1" applyAlignment="1">
      <alignment horizontal="left"/>
    </xf>
    <xf numFmtId="0" fontId="172" fillId="0" borderId="0" xfId="49" applyFont="1"/>
    <xf numFmtId="166" fontId="92" fillId="0" borderId="31" xfId="48" applyFont="1" applyFill="1" applyBorder="1">
      <alignment horizontal="right"/>
    </xf>
    <xf numFmtId="169" fontId="92" fillId="0" borderId="31" xfId="48" applyNumberFormat="1" applyFont="1" applyFill="1" applyBorder="1">
      <alignment horizontal="right"/>
    </xf>
    <xf numFmtId="166" fontId="92" fillId="0" borderId="0" xfId="48" applyFont="1" applyFill="1" applyBorder="1">
      <alignment horizontal="right"/>
    </xf>
    <xf numFmtId="169" fontId="92" fillId="0" borderId="0" xfId="48" applyNumberFormat="1" applyFont="1" applyFill="1" applyBorder="1">
      <alignment horizontal="right"/>
    </xf>
    <xf numFmtId="166" fontId="92" fillId="0" borderId="30" xfId="48" applyFont="1" applyFill="1" applyBorder="1">
      <alignment horizontal="right"/>
    </xf>
    <xf numFmtId="169" fontId="92" fillId="0" borderId="30" xfId="48" applyNumberFormat="1" applyFont="1" applyFill="1" applyBorder="1">
      <alignment horizontal="right"/>
    </xf>
    <xf numFmtId="166" fontId="175" fillId="0" borderId="0" xfId="48" applyFont="1">
      <alignment horizontal="right"/>
    </xf>
    <xf numFmtId="169" fontId="92" fillId="23" borderId="0" xfId="48" applyNumberFormat="1" applyFont="1" applyFill="1">
      <alignment horizontal="right"/>
    </xf>
    <xf numFmtId="169" fontId="87" fillId="23" borderId="31" xfId="49" applyNumberFormat="1" applyFont="1" applyFill="1" applyBorder="1" applyAlignment="1">
      <alignment horizontal="right"/>
    </xf>
    <xf numFmtId="169" fontId="87" fillId="23" borderId="0" xfId="49" applyNumberFormat="1" applyFont="1" applyFill="1" applyBorder="1" applyAlignment="1">
      <alignment horizontal="right"/>
    </xf>
    <xf numFmtId="0" fontId="99" fillId="0" borderId="0" xfId="51" applyFont="1" applyBorder="1">
      <alignment vertical="center"/>
    </xf>
    <xf numFmtId="169" fontId="130" fillId="0" borderId="0" xfId="49" applyNumberFormat="1" applyFont="1"/>
    <xf numFmtId="0" fontId="176" fillId="0" borderId="0" xfId="50" applyFont="1" applyBorder="1">
      <alignment vertical="center"/>
    </xf>
    <xf numFmtId="0" fontId="88" fillId="0" borderId="30" xfId="50" applyFont="1" applyBorder="1">
      <alignment vertical="center"/>
    </xf>
    <xf numFmtId="0" fontId="176" fillId="0" borderId="30" xfId="50" applyFont="1" applyBorder="1">
      <alignment vertical="center"/>
    </xf>
    <xf numFmtId="0" fontId="86" fillId="0" borderId="0" xfId="50" applyFont="1">
      <alignment vertical="center"/>
    </xf>
    <xf numFmtId="0" fontId="176" fillId="0" borderId="0" xfId="50" applyFont="1">
      <alignment vertical="center"/>
    </xf>
    <xf numFmtId="0" fontId="130" fillId="0" borderId="0" xfId="50" applyFont="1">
      <alignment vertical="center"/>
    </xf>
    <xf numFmtId="0" fontId="99" fillId="0" borderId="0" xfId="49" applyFont="1"/>
    <xf numFmtId="49" fontId="86" fillId="21" borderId="12" xfId="49" applyNumberFormat="1" applyFont="1" applyFill="1" applyBorder="1"/>
    <xf numFmtId="0" fontId="98" fillId="23" borderId="0" xfId="49" applyFont="1" applyFill="1" applyBorder="1" applyAlignment="1">
      <alignment vertical="top"/>
    </xf>
    <xf numFmtId="180" fontId="98" fillId="23" borderId="0" xfId="49" applyNumberFormat="1" applyFont="1" applyFill="1" applyBorder="1" applyAlignment="1">
      <alignment horizontal="center"/>
    </xf>
    <xf numFmtId="169" fontId="172" fillId="0" borderId="0" xfId="97" applyNumberFormat="1" applyFont="1" applyBorder="1" applyAlignment="1">
      <alignment horizontal="right"/>
    </xf>
    <xf numFmtId="169" fontId="173" fillId="0" borderId="0" xfId="49" applyNumberFormat="1" applyFont="1" applyBorder="1" applyAlignment="1">
      <alignment horizontal="right"/>
    </xf>
    <xf numFmtId="169" fontId="173" fillId="0" borderId="0" xfId="97" applyNumberFormat="1" applyFont="1" applyBorder="1" applyAlignment="1">
      <alignment horizontal="right"/>
    </xf>
    <xf numFmtId="176" fontId="98" fillId="23" borderId="0" xfId="58" applyFont="1" applyFill="1" applyBorder="1" applyAlignment="1">
      <alignment horizontal="left"/>
    </xf>
    <xf numFmtId="176" fontId="98" fillId="23" borderId="0" xfId="58" applyFont="1" applyFill="1" applyBorder="1" applyAlignment="1">
      <alignment horizontal="center"/>
    </xf>
    <xf numFmtId="0" fontId="98" fillId="23" borderId="0" xfId="49" applyFont="1" applyFill="1" applyBorder="1" applyAlignment="1">
      <alignment horizontal="center"/>
    </xf>
    <xf numFmtId="169" fontId="174" fillId="0" borderId="0" xfId="49" applyNumberFormat="1" applyFont="1" applyBorder="1" applyAlignment="1">
      <alignment horizontal="right"/>
    </xf>
    <xf numFmtId="167" fontId="87" fillId="0" borderId="31" xfId="49" applyNumberFormat="1" applyFont="1" applyBorder="1"/>
    <xf numFmtId="166" fontId="87" fillId="0" borderId="31" xfId="105" applyFont="1" applyBorder="1" applyAlignment="1">
      <alignment horizontal="right"/>
    </xf>
    <xf numFmtId="166" fontId="87" fillId="23" borderId="31" xfId="105" applyFont="1" applyFill="1" applyBorder="1" applyAlignment="1">
      <alignment horizontal="right"/>
    </xf>
    <xf numFmtId="169" fontId="172" fillId="0" borderId="0" xfId="49" applyNumberFormat="1" applyFont="1" applyBorder="1" applyAlignment="1">
      <alignment horizontal="right"/>
    </xf>
    <xf numFmtId="167" fontId="87" fillId="0" borderId="0" xfId="49" applyNumberFormat="1" applyFont="1" applyBorder="1"/>
    <xf numFmtId="166" fontId="87" fillId="0" borderId="0" xfId="105" applyFont="1" applyBorder="1" applyAlignment="1">
      <alignment horizontal="right"/>
    </xf>
    <xf numFmtId="166" fontId="87" fillId="23" borderId="0" xfId="105" applyFont="1" applyFill="1" applyBorder="1" applyAlignment="1">
      <alignment horizontal="right"/>
    </xf>
    <xf numFmtId="166" fontId="92" fillId="0" borderId="0" xfId="48" quotePrefix="1" applyFont="1" applyBorder="1">
      <alignment horizontal="right"/>
    </xf>
    <xf numFmtId="166" fontId="170" fillId="0" borderId="0" xfId="48" quotePrefix="1" applyFont="1" applyBorder="1">
      <alignment horizontal="right"/>
    </xf>
    <xf numFmtId="0" fontId="93" fillId="0" borderId="0" xfId="56" applyFont="1" applyBorder="1"/>
    <xf numFmtId="179" fontId="93" fillId="0" borderId="0" xfId="92" quotePrefix="1" applyFont="1" applyBorder="1"/>
    <xf numFmtId="166" fontId="86" fillId="0" borderId="0" xfId="48" quotePrefix="1" applyFont="1" applyAlignment="1">
      <alignment horizontal="left"/>
    </xf>
    <xf numFmtId="180" fontId="98" fillId="23" borderId="0" xfId="49" applyNumberFormat="1" applyFont="1" applyFill="1" applyBorder="1"/>
    <xf numFmtId="0" fontId="82" fillId="23" borderId="0" xfId="49" applyFont="1" applyFill="1" applyBorder="1"/>
    <xf numFmtId="176" fontId="98" fillId="23" borderId="27" xfId="58" applyFont="1" applyFill="1" applyBorder="1" applyAlignment="1">
      <alignment horizontal="center"/>
    </xf>
    <xf numFmtId="169" fontId="117" fillId="0" borderId="31" xfId="98" applyNumberFormat="1" applyFont="1" applyBorder="1" applyAlignment="1">
      <alignment horizontal="right"/>
    </xf>
    <xf numFmtId="169" fontId="117" fillId="23" borderId="31" xfId="98" applyNumberFormat="1" applyFont="1" applyFill="1" applyBorder="1" applyAlignment="1">
      <alignment horizontal="right"/>
    </xf>
    <xf numFmtId="169" fontId="117" fillId="0" borderId="0" xfId="98" applyNumberFormat="1" applyFont="1" applyBorder="1" applyAlignment="1">
      <alignment horizontal="right"/>
    </xf>
    <xf numFmtId="169" fontId="117" fillId="23" borderId="0" xfId="98" applyNumberFormat="1" applyFont="1" applyFill="1" applyBorder="1" applyAlignment="1">
      <alignment horizontal="right"/>
    </xf>
    <xf numFmtId="0" fontId="88" fillId="0" borderId="0" xfId="49" applyFont="1"/>
    <xf numFmtId="169" fontId="87" fillId="0" borderId="31" xfId="98" applyNumberFormat="1" applyFont="1" applyBorder="1"/>
    <xf numFmtId="169" fontId="87" fillId="0" borderId="31" xfId="98" applyNumberFormat="1" applyFont="1" applyBorder="1" applyAlignment="1">
      <alignment horizontal="right"/>
    </xf>
    <xf numFmtId="165" fontId="87" fillId="0" borderId="0" xfId="49" applyNumberFormat="1" applyFont="1" applyAlignment="1">
      <alignment horizontal="right"/>
    </xf>
    <xf numFmtId="0" fontId="177" fillId="0" borderId="0" xfId="49" applyFont="1" applyAlignment="1">
      <alignment horizontal="left"/>
    </xf>
    <xf numFmtId="0" fontId="146" fillId="0" borderId="0" xfId="49" applyFont="1" applyAlignment="1">
      <alignment horizontal="center"/>
    </xf>
    <xf numFmtId="169" fontId="87" fillId="0" borderId="0" xfId="98" applyNumberFormat="1" applyFont="1" applyBorder="1"/>
    <xf numFmtId="169" fontId="87" fillId="0" borderId="0" xfId="98" applyNumberFormat="1" applyFont="1" applyBorder="1" applyAlignment="1">
      <alignment horizontal="right"/>
    </xf>
    <xf numFmtId="0" fontId="149" fillId="0" borderId="0" xfId="49" applyFont="1" applyAlignment="1">
      <alignment horizontal="center"/>
    </xf>
    <xf numFmtId="0" fontId="149" fillId="0" borderId="0" xfId="49" applyFont="1" applyAlignment="1">
      <alignment horizontal="left"/>
    </xf>
    <xf numFmtId="0" fontId="98" fillId="0" borderId="0" xfId="49" applyFont="1" applyAlignment="1">
      <alignment horizontal="left"/>
    </xf>
    <xf numFmtId="182" fontId="178" fillId="0" borderId="0" xfId="49" applyNumberFormat="1" applyFont="1" applyBorder="1" applyAlignment="1">
      <alignment horizontal="center"/>
    </xf>
    <xf numFmtId="169" fontId="178" fillId="0" borderId="0" xfId="98" applyNumberFormat="1" applyFont="1" applyBorder="1" applyAlignment="1">
      <alignment horizontal="right"/>
    </xf>
    <xf numFmtId="165" fontId="178" fillId="0" borderId="0" xfId="49" applyNumberFormat="1" applyFont="1" applyAlignment="1">
      <alignment horizontal="right"/>
    </xf>
    <xf numFmtId="166" fontId="178" fillId="0" borderId="0" xfId="48" quotePrefix="1" applyFont="1">
      <alignment horizontal="right"/>
    </xf>
    <xf numFmtId="169" fontId="178" fillId="0" borderId="0" xfId="98" quotePrefix="1" applyNumberFormat="1" applyFont="1" applyAlignment="1">
      <alignment horizontal="right"/>
    </xf>
    <xf numFmtId="0" fontId="128" fillId="0" borderId="0" xfId="50" applyFont="1">
      <alignment vertical="center"/>
    </xf>
    <xf numFmtId="0" fontId="144" fillId="0" borderId="0" xfId="49" applyFont="1"/>
    <xf numFmtId="49" fontId="148" fillId="21" borderId="12" xfId="49" applyNumberFormat="1" applyFont="1" applyFill="1" applyBorder="1"/>
    <xf numFmtId="0" fontId="87" fillId="23" borderId="0" xfId="49" applyFont="1" applyFill="1" applyBorder="1" applyAlignment="1">
      <alignment wrapText="1"/>
    </xf>
    <xf numFmtId="186" fontId="102" fillId="21" borderId="34" xfId="49" applyNumberFormat="1" applyFont="1" applyFill="1" applyBorder="1" applyAlignment="1">
      <alignment horizontal="left" vertical="top" wrapText="1"/>
    </xf>
    <xf numFmtId="186" fontId="140" fillId="21" borderId="34" xfId="49" applyNumberFormat="1" applyFont="1" applyFill="1" applyBorder="1" applyAlignment="1">
      <alignment horizontal="left" vertical="top" wrapText="1"/>
    </xf>
    <xf numFmtId="186" fontId="140" fillId="21" borderId="34" xfId="49" applyNumberFormat="1" applyFont="1" applyFill="1" applyBorder="1" applyAlignment="1">
      <alignment vertical="top" wrapText="1"/>
    </xf>
    <xf numFmtId="0" fontId="179" fillId="0" borderId="0" xfId="57" applyFont="1"/>
    <xf numFmtId="179" fontId="93" fillId="0" borderId="0" xfId="92" applyFont="1" applyBorder="1"/>
    <xf numFmtId="0" fontId="87" fillId="23" borderId="0" xfId="49" applyFont="1" applyFill="1" applyBorder="1" applyAlignment="1">
      <alignment horizontal="center" wrapText="1"/>
    </xf>
    <xf numFmtId="0" fontId="98" fillId="23" borderId="0" xfId="49" applyFont="1" applyFill="1" applyBorder="1"/>
    <xf numFmtId="0" fontId="98" fillId="23" borderId="0" xfId="49" applyFont="1" applyFill="1" applyBorder="1" applyAlignment="1">
      <alignment horizontal="right" wrapText="1"/>
    </xf>
    <xf numFmtId="0" fontId="124" fillId="0" borderId="0" xfId="0" applyFont="1"/>
    <xf numFmtId="0" fontId="87" fillId="0" borderId="31" xfId="0" applyFont="1" applyBorder="1"/>
    <xf numFmtId="169" fontId="98" fillId="23" borderId="31" xfId="98" applyNumberFormat="1" applyFont="1" applyFill="1" applyBorder="1" applyAlignment="1">
      <alignment horizontal="right"/>
    </xf>
    <xf numFmtId="169" fontId="98" fillId="23" borderId="0" xfId="98" applyNumberFormat="1" applyFont="1" applyFill="1" applyBorder="1" applyAlignment="1">
      <alignment horizontal="right"/>
    </xf>
    <xf numFmtId="0" fontId="87" fillId="0" borderId="30" xfId="0" applyFont="1" applyBorder="1"/>
    <xf numFmtId="169" fontId="87" fillId="0" borderId="30" xfId="98" applyNumberFormat="1" applyFont="1" applyBorder="1"/>
    <xf numFmtId="169" fontId="98" fillId="23" borderId="30" xfId="98" applyNumberFormat="1" applyFont="1" applyFill="1" applyBorder="1" applyAlignment="1">
      <alignment horizontal="right"/>
    </xf>
    <xf numFmtId="0" fontId="99" fillId="21" borderId="12" xfId="49" applyFont="1" applyFill="1" applyBorder="1" applyAlignment="1">
      <alignment horizontal="left"/>
    </xf>
    <xf numFmtId="0" fontId="97" fillId="0" borderId="0" xfId="51" applyFont="1" applyBorder="1">
      <alignment vertical="center"/>
    </xf>
    <xf numFmtId="0" fontId="115" fillId="0" borderId="0" xfId="50" applyFont="1" applyBorder="1">
      <alignment vertical="center"/>
    </xf>
    <xf numFmtId="0" fontId="98" fillId="0" borderId="31" xfId="49" applyFont="1" applyFill="1" applyBorder="1" applyAlignment="1">
      <alignment horizontal="left"/>
    </xf>
    <xf numFmtId="176" fontId="87" fillId="0" borderId="31" xfId="58" applyFont="1" applyFill="1" applyBorder="1" applyAlignment="1">
      <alignment horizontal="center"/>
    </xf>
    <xf numFmtId="170" fontId="92" fillId="0" borderId="39" xfId="59" applyFont="1" applyFill="1" applyBorder="1">
      <alignment horizontal="right"/>
    </xf>
    <xf numFmtId="170" fontId="92" fillId="0" borderId="31" xfId="59" applyFont="1" applyFill="1" applyBorder="1">
      <alignment horizontal="right"/>
    </xf>
    <xf numFmtId="170" fontId="180" fillId="0" borderId="31" xfId="59" applyFont="1" applyFill="1" applyBorder="1">
      <alignment horizontal="right"/>
    </xf>
    <xf numFmtId="175" fontId="93" fillId="0" borderId="31" xfId="54" applyFont="1" applyFill="1" applyBorder="1">
      <alignment horizontal="right"/>
    </xf>
    <xf numFmtId="175" fontId="93" fillId="0" borderId="39" xfId="54" applyFont="1" applyFill="1" applyBorder="1">
      <alignment horizontal="right"/>
    </xf>
    <xf numFmtId="0" fontId="124" fillId="19" borderId="0" xfId="49" applyFont="1" applyFill="1"/>
    <xf numFmtId="0" fontId="87" fillId="0" borderId="0" xfId="49" applyFont="1" applyFill="1" applyBorder="1" applyAlignment="1">
      <alignment horizontal="left" wrapText="1"/>
    </xf>
    <xf numFmtId="0" fontId="87" fillId="0" borderId="0" xfId="49" applyFont="1" applyFill="1" applyBorder="1" applyAlignment="1">
      <alignment horizontal="center"/>
    </xf>
    <xf numFmtId="176" fontId="87" fillId="0" borderId="0" xfId="58" applyFont="1" applyFill="1" applyBorder="1" applyAlignment="1">
      <alignment horizontal="center"/>
    </xf>
    <xf numFmtId="170" fontId="92" fillId="0" borderId="40" xfId="59" applyFont="1" applyFill="1" applyBorder="1">
      <alignment horizontal="right"/>
    </xf>
    <xf numFmtId="170" fontId="92" fillId="0" borderId="0" xfId="59" applyFont="1" applyFill="1" applyBorder="1">
      <alignment horizontal="right"/>
    </xf>
    <xf numFmtId="170" fontId="80" fillId="0" borderId="0" xfId="59" applyFont="1" applyFill="1" applyBorder="1">
      <alignment horizontal="right"/>
    </xf>
    <xf numFmtId="170" fontId="180" fillId="0" borderId="0" xfId="59" applyFont="1" applyFill="1" applyBorder="1">
      <alignment horizontal="right"/>
    </xf>
    <xf numFmtId="175" fontId="93" fillId="0" borderId="0" xfId="54" applyFont="1" applyFill="1" applyBorder="1">
      <alignment horizontal="right"/>
    </xf>
    <xf numFmtId="170" fontId="123" fillId="0" borderId="0" xfId="59" applyFont="1" applyFill="1" applyBorder="1">
      <alignment horizontal="right"/>
    </xf>
    <xf numFmtId="175" fontId="123" fillId="0" borderId="40" xfId="54" applyFont="1" applyFill="1" applyBorder="1">
      <alignment horizontal="right"/>
    </xf>
    <xf numFmtId="175" fontId="123" fillId="0" borderId="0" xfId="54" applyFont="1" applyFill="1" applyBorder="1">
      <alignment horizontal="right"/>
    </xf>
    <xf numFmtId="175" fontId="93" fillId="0" borderId="40" xfId="54" applyFont="1" applyFill="1" applyBorder="1">
      <alignment horizontal="right"/>
    </xf>
    <xf numFmtId="0" fontId="83" fillId="19" borderId="0" xfId="49" applyFont="1" applyFill="1" applyBorder="1"/>
    <xf numFmtId="0" fontId="98" fillId="0" borderId="0" xfId="49" applyFont="1" applyFill="1" applyBorder="1" applyAlignment="1">
      <alignment horizontal="center"/>
    </xf>
    <xf numFmtId="170" fontId="92" fillId="0" borderId="0" xfId="59" applyFont="1" applyFill="1">
      <alignment horizontal="right"/>
    </xf>
    <xf numFmtId="170" fontId="180" fillId="0" borderId="0" xfId="59" applyFont="1" applyFill="1">
      <alignment horizontal="right"/>
    </xf>
    <xf numFmtId="175" fontId="93" fillId="0" borderId="0" xfId="54" applyFont="1" applyFill="1">
      <alignment horizontal="right"/>
    </xf>
    <xf numFmtId="185" fontId="92" fillId="0" borderId="31" xfId="105" applyNumberFormat="1" applyFont="1" applyFill="1" applyBorder="1" applyAlignment="1">
      <alignment horizontal="right"/>
    </xf>
    <xf numFmtId="185" fontId="92" fillId="0" borderId="0" xfId="105" applyNumberFormat="1" applyFont="1" applyFill="1" applyBorder="1" applyAlignment="1">
      <alignment horizontal="right"/>
    </xf>
    <xf numFmtId="185" fontId="92" fillId="23" borderId="0" xfId="105" applyNumberFormat="1" applyFont="1" applyFill="1" applyBorder="1" applyAlignment="1">
      <alignment horizontal="right"/>
    </xf>
    <xf numFmtId="0" fontId="93" fillId="0" borderId="0" xfId="49" applyFont="1" applyFill="1"/>
    <xf numFmtId="0" fontId="93" fillId="0" borderId="0" xfId="49" applyFont="1" applyFill="1" applyAlignment="1">
      <alignment wrapText="1"/>
    </xf>
    <xf numFmtId="185" fontId="92" fillId="0" borderId="30" xfId="105" applyNumberFormat="1" applyFont="1" applyFill="1" applyBorder="1" applyAlignment="1">
      <alignment horizontal="right"/>
    </xf>
    <xf numFmtId="0" fontId="87" fillId="0" borderId="0" xfId="49" applyFont="1" applyFill="1" applyBorder="1" applyAlignment="1">
      <alignment wrapText="1"/>
    </xf>
    <xf numFmtId="0" fontId="93" fillId="0" borderId="0" xfId="56" applyFont="1" applyFill="1" applyBorder="1"/>
    <xf numFmtId="0" fontId="93" fillId="0" borderId="0" xfId="56" applyFont="1" applyFill="1" applyBorder="1" applyAlignment="1">
      <alignment wrapText="1"/>
    </xf>
    <xf numFmtId="0" fontId="98" fillId="0" borderId="0" xfId="49" applyFont="1" applyAlignment="1">
      <alignment horizontal="right" indent="1"/>
    </xf>
    <xf numFmtId="0" fontId="93" fillId="0" borderId="0" xfId="56" applyFont="1" applyFill="1"/>
    <xf numFmtId="0" fontId="87" fillId="0" borderId="0" xfId="49" applyFont="1" applyFill="1" applyAlignment="1">
      <alignment wrapText="1"/>
    </xf>
    <xf numFmtId="0" fontId="128" fillId="0" borderId="97" xfId="50" applyFont="1" applyBorder="1">
      <alignment vertical="center"/>
    </xf>
    <xf numFmtId="0" fontId="148" fillId="0" borderId="97" xfId="50" applyFont="1" applyBorder="1">
      <alignment vertical="center"/>
    </xf>
    <xf numFmtId="0" fontId="87" fillId="0" borderId="97" xfId="49" applyFont="1" applyFill="1" applyBorder="1"/>
    <xf numFmtId="0" fontId="124" fillId="37" borderId="0" xfId="49" applyFont="1" applyFill="1" applyBorder="1"/>
    <xf numFmtId="0" fontId="83" fillId="37" borderId="30" xfId="49" applyFont="1" applyFill="1" applyBorder="1" applyAlignment="1">
      <alignment wrapText="1"/>
    </xf>
    <xf numFmtId="0" fontId="83" fillId="37" borderId="30" xfId="49" applyFont="1" applyFill="1" applyBorder="1" applyAlignment="1">
      <alignment horizontal="center" wrapText="1"/>
    </xf>
    <xf numFmtId="0" fontId="181" fillId="37" borderId="30" xfId="49" applyFont="1" applyFill="1" applyBorder="1" applyAlignment="1">
      <alignment horizontal="center" wrapText="1"/>
    </xf>
    <xf numFmtId="0" fontId="98" fillId="0" borderId="97" xfId="0" applyFont="1" applyBorder="1"/>
    <xf numFmtId="0" fontId="87" fillId="0" borderId="97" xfId="0" applyFont="1" applyBorder="1"/>
    <xf numFmtId="0" fontId="83" fillId="0" borderId="0" xfId="0" applyFont="1" applyAlignment="1">
      <alignment horizontal="left"/>
    </xf>
    <xf numFmtId="0" fontId="182" fillId="0" borderId="0" xfId="0" applyFont="1" applyAlignment="1">
      <alignment horizontal="left"/>
    </xf>
    <xf numFmtId="0" fontId="87" fillId="29" borderId="0" xfId="0" applyFont="1" applyFill="1"/>
    <xf numFmtId="0" fontId="90" fillId="0" borderId="0" xfId="0" applyFont="1" applyAlignment="1">
      <alignment horizontal="left"/>
    </xf>
    <xf numFmtId="0" fontId="83" fillId="40" borderId="0" xfId="0" applyFont="1" applyFill="1" applyAlignment="1">
      <alignment horizontal="left"/>
    </xf>
    <xf numFmtId="0" fontId="124" fillId="40" borderId="0" xfId="0" applyFont="1" applyFill="1"/>
    <xf numFmtId="0" fontId="83" fillId="40" borderId="0" xfId="49" applyFont="1" applyFill="1"/>
    <xf numFmtId="0" fontId="124" fillId="40" borderId="0" xfId="49" applyFont="1" applyFill="1"/>
    <xf numFmtId="166" fontId="87" fillId="31" borderId="0" xfId="49" applyNumberFormat="1" applyFont="1" applyFill="1"/>
    <xf numFmtId="166" fontId="98" fillId="31" borderId="0" xfId="49" applyNumberFormat="1" applyFont="1" applyFill="1"/>
    <xf numFmtId="0" fontId="98" fillId="36" borderId="51" xfId="0" applyFont="1" applyFill="1" applyBorder="1"/>
    <xf numFmtId="15" fontId="87" fillId="36" borderId="50" xfId="0" applyNumberFormat="1" applyFont="1" applyFill="1" applyBorder="1"/>
    <xf numFmtId="0" fontId="90" fillId="37" borderId="46" xfId="0" applyFont="1" applyFill="1" applyBorder="1"/>
    <xf numFmtId="0" fontId="90" fillId="37" borderId="50" xfId="0" applyFont="1" applyFill="1" applyBorder="1" applyAlignment="1">
      <alignment horizontal="center"/>
    </xf>
    <xf numFmtId="0" fontId="83" fillId="37" borderId="50" xfId="0" applyFont="1" applyFill="1" applyBorder="1" applyAlignment="1">
      <alignment horizontal="center"/>
    </xf>
    <xf numFmtId="0" fontId="87" fillId="33" borderId="48" xfId="0" applyFont="1" applyFill="1" applyBorder="1"/>
    <xf numFmtId="10" fontId="87" fillId="21" borderId="47" xfId="0" applyNumberFormat="1" applyFont="1" applyFill="1" applyBorder="1" applyAlignment="1">
      <alignment horizontal="center"/>
    </xf>
    <xf numFmtId="0" fontId="87" fillId="21" borderId="47" xfId="0" applyFont="1" applyFill="1" applyBorder="1" applyAlignment="1">
      <alignment horizontal="center"/>
    </xf>
    <xf numFmtId="0" fontId="87" fillId="21" borderId="48" xfId="0" applyFont="1" applyFill="1" applyBorder="1" applyAlignment="1">
      <alignment horizontal="left"/>
    </xf>
    <xf numFmtId="0" fontId="183" fillId="0" borderId="0" xfId="49" applyFont="1" applyFill="1"/>
    <xf numFmtId="0" fontId="183" fillId="0" borderId="0" xfId="49" applyFont="1" applyFill="1" applyBorder="1"/>
    <xf numFmtId="0" fontId="184" fillId="0" borderId="0" xfId="51" applyFont="1" applyBorder="1">
      <alignment vertical="center"/>
    </xf>
    <xf numFmtId="0" fontId="184" fillId="0" borderId="0" xfId="51" applyFont="1" applyBorder="1" applyAlignment="1">
      <alignment horizontal="right" vertical="center"/>
    </xf>
    <xf numFmtId="0" fontId="185" fillId="0" borderId="0" xfId="49" applyFont="1" applyFill="1"/>
    <xf numFmtId="0" fontId="186" fillId="0" borderId="0" xfId="50" applyFont="1">
      <alignment vertical="center"/>
    </xf>
    <xf numFmtId="0" fontId="187" fillId="0" borderId="0" xfId="49" applyFont="1" applyFill="1"/>
    <xf numFmtId="0" fontId="106" fillId="0" borderId="0" xfId="49" applyFont="1" applyFill="1"/>
    <xf numFmtId="0" fontId="106" fillId="0" borderId="0" xfId="49" applyFont="1" applyFill="1" applyBorder="1"/>
    <xf numFmtId="0" fontId="114" fillId="0" borderId="31" xfId="49" applyFont="1" applyFill="1" applyBorder="1"/>
    <xf numFmtId="0" fontId="106" fillId="0" borderId="31" xfId="49" applyFont="1" applyFill="1" applyBorder="1"/>
    <xf numFmtId="0" fontId="106" fillId="0" borderId="0" xfId="49" applyFont="1" applyFill="1" applyBorder="1" applyAlignment="1">
      <alignment horizontal="left"/>
    </xf>
    <xf numFmtId="183" fontId="106" fillId="0" borderId="0" xfId="52" applyNumberFormat="1" applyFont="1" applyFill="1" applyBorder="1">
      <alignment horizontal="right"/>
    </xf>
    <xf numFmtId="174" fontId="188" fillId="0" borderId="0" xfId="54" applyNumberFormat="1" applyFont="1" applyFill="1" applyBorder="1">
      <alignment horizontal="right"/>
    </xf>
    <xf numFmtId="175" fontId="188" fillId="0" borderId="0" xfId="54" applyFont="1" applyFill="1" applyBorder="1">
      <alignment horizontal="right"/>
    </xf>
    <xf numFmtId="165" fontId="106" fillId="0" borderId="0" xfId="52" applyFont="1" applyFill="1" applyBorder="1">
      <alignment horizontal="right"/>
    </xf>
    <xf numFmtId="184" fontId="106" fillId="0" borderId="0" xfId="52" applyNumberFormat="1" applyFont="1" applyFill="1" applyBorder="1">
      <alignment horizontal="right"/>
    </xf>
    <xf numFmtId="166" fontId="106" fillId="0" borderId="0" xfId="52" applyNumberFormat="1" applyFont="1" applyFill="1" applyBorder="1">
      <alignment horizontal="right"/>
    </xf>
    <xf numFmtId="0" fontId="114" fillId="0" borderId="0" xfId="49" applyFont="1" applyFill="1" applyBorder="1"/>
    <xf numFmtId="10" fontId="188" fillId="0" borderId="0" xfId="98" applyNumberFormat="1" applyFont="1" applyFill="1" applyBorder="1" applyAlignment="1">
      <alignment horizontal="right"/>
    </xf>
    <xf numFmtId="197" fontId="106" fillId="0" borderId="0" xfId="52" applyNumberFormat="1" applyFont="1" applyFill="1" applyBorder="1">
      <alignment horizontal="right"/>
    </xf>
    <xf numFmtId="0" fontId="114" fillId="0" borderId="0" xfId="49" applyFont="1" applyFill="1" applyBorder="1" applyAlignment="1">
      <alignment horizontal="left"/>
    </xf>
    <xf numFmtId="0" fontId="114" fillId="0" borderId="0" xfId="49" quotePrefix="1" applyFont="1" applyFill="1" applyBorder="1" applyAlignment="1">
      <alignment horizontal="left"/>
    </xf>
    <xf numFmtId="184" fontId="114" fillId="0" borderId="0" xfId="52" applyNumberFormat="1" applyFont="1" applyFill="1" applyBorder="1">
      <alignment horizontal="right"/>
    </xf>
    <xf numFmtId="10" fontId="189" fillId="0" borderId="0" xfId="98" applyNumberFormat="1" applyFont="1" applyFill="1" applyBorder="1" applyAlignment="1">
      <alignment horizontal="right"/>
    </xf>
    <xf numFmtId="175" fontId="189" fillId="0" borderId="0" xfId="54" applyFont="1" applyFill="1" applyBorder="1">
      <alignment horizontal="right"/>
    </xf>
    <xf numFmtId="166" fontId="114" fillId="0" borderId="0" xfId="52" applyNumberFormat="1" applyFont="1" applyFill="1" applyBorder="1">
      <alignment horizontal="right"/>
    </xf>
    <xf numFmtId="174" fontId="189" fillId="0" borderId="0" xfId="54" applyNumberFormat="1" applyFont="1" applyFill="1" applyBorder="1">
      <alignment horizontal="right"/>
    </xf>
    <xf numFmtId="197" fontId="114" fillId="0" borderId="0" xfId="52" applyNumberFormat="1" applyFont="1" applyFill="1" applyBorder="1">
      <alignment horizontal="right"/>
    </xf>
    <xf numFmtId="175" fontId="106" fillId="0" borderId="31" xfId="49" applyNumberFormat="1" applyFont="1" applyFill="1" applyBorder="1"/>
    <xf numFmtId="175" fontId="188" fillId="0" borderId="31" xfId="54" applyFont="1" applyFill="1" applyBorder="1">
      <alignment horizontal="right"/>
    </xf>
    <xf numFmtId="165" fontId="106" fillId="0" borderId="31" xfId="52" applyFont="1" applyFill="1" applyBorder="1">
      <alignment horizontal="right"/>
    </xf>
    <xf numFmtId="174" fontId="188" fillId="0" borderId="31" xfId="54" applyNumberFormat="1" applyFont="1" applyFill="1" applyBorder="1">
      <alignment horizontal="right"/>
    </xf>
    <xf numFmtId="175" fontId="106" fillId="0" borderId="0" xfId="49" applyNumberFormat="1" applyFont="1" applyFill="1" applyBorder="1"/>
    <xf numFmtId="0" fontId="114" fillId="0" borderId="34" xfId="49" applyFont="1" applyFill="1" applyBorder="1" applyAlignment="1">
      <alignment horizontal="left"/>
    </xf>
    <xf numFmtId="183" fontId="114" fillId="0" borderId="34" xfId="52" applyNumberFormat="1" applyFont="1" applyFill="1" applyBorder="1">
      <alignment horizontal="right"/>
    </xf>
    <xf numFmtId="174" fontId="189" fillId="0" borderId="34" xfId="54" applyNumberFormat="1" applyFont="1" applyFill="1" applyBorder="1">
      <alignment horizontal="right"/>
    </xf>
    <xf numFmtId="0" fontId="114" fillId="0" borderId="34" xfId="49" applyFont="1" applyFill="1" applyBorder="1"/>
    <xf numFmtId="175" fontId="189" fillId="0" borderId="34" xfId="54" applyFont="1" applyFill="1" applyBorder="1">
      <alignment horizontal="right"/>
    </xf>
    <xf numFmtId="165" fontId="114" fillId="0" borderId="34" xfId="52" applyFont="1" applyFill="1" applyBorder="1">
      <alignment horizontal="right"/>
    </xf>
    <xf numFmtId="0" fontId="188" fillId="0" borderId="0" xfId="49" applyFont="1" applyFill="1" applyBorder="1" applyAlignment="1">
      <alignment horizontal="left" indent="1"/>
    </xf>
    <xf numFmtId="0" fontId="188" fillId="0" borderId="0" xfId="49" applyFont="1" applyFill="1" applyBorder="1" applyAlignment="1">
      <alignment horizontal="left"/>
    </xf>
    <xf numFmtId="184" fontId="188" fillId="0" borderId="0" xfId="52" applyNumberFormat="1" applyFont="1" applyFill="1" applyBorder="1">
      <alignment horizontal="right"/>
    </xf>
    <xf numFmtId="0" fontId="188" fillId="0" borderId="0" xfId="49" applyFont="1" applyFill="1" applyBorder="1"/>
    <xf numFmtId="165" fontId="188" fillId="0" borderId="0" xfId="52" applyFont="1" applyFill="1" applyBorder="1">
      <alignment horizontal="right"/>
    </xf>
    <xf numFmtId="10" fontId="189" fillId="0" borderId="34" xfId="98" applyNumberFormat="1" applyFont="1" applyFill="1" applyBorder="1" applyAlignment="1">
      <alignment horizontal="right"/>
    </xf>
    <xf numFmtId="166" fontId="188" fillId="0" borderId="0" xfId="52" applyNumberFormat="1" applyFont="1" applyFill="1" applyBorder="1">
      <alignment horizontal="right"/>
    </xf>
    <xf numFmtId="174" fontId="106" fillId="0" borderId="0" xfId="49" applyNumberFormat="1" applyFont="1" applyFill="1"/>
    <xf numFmtId="49" fontId="114" fillId="0" borderId="44" xfId="52" applyNumberFormat="1" applyFont="1" applyFill="1" applyBorder="1" applyAlignment="1">
      <alignment horizontal="center"/>
    </xf>
    <xf numFmtId="165" fontId="114" fillId="0" borderId="44" xfId="52" applyFont="1" applyFill="1" applyBorder="1">
      <alignment horizontal="right"/>
    </xf>
    <xf numFmtId="0" fontId="114" fillId="0" borderId="44" xfId="49" quotePrefix="1" applyFont="1" applyFill="1" applyBorder="1" applyAlignment="1">
      <alignment horizontal="center"/>
    </xf>
    <xf numFmtId="0" fontId="114" fillId="0" borderId="30" xfId="49" applyFont="1" applyFill="1" applyBorder="1"/>
    <xf numFmtId="10" fontId="114" fillId="0" borderId="45" xfId="54" applyNumberFormat="1" applyFont="1" applyFill="1" applyBorder="1" applyAlignment="1">
      <alignment horizontal="center"/>
    </xf>
    <xf numFmtId="10" fontId="106" fillId="0" borderId="30" xfId="49" applyNumberFormat="1" applyFont="1" applyFill="1" applyBorder="1"/>
    <xf numFmtId="0" fontId="106" fillId="0" borderId="30" xfId="49" applyFont="1" applyFill="1" applyBorder="1"/>
    <xf numFmtId="10" fontId="106" fillId="0" borderId="0" xfId="49" applyNumberFormat="1" applyFont="1" applyFill="1"/>
    <xf numFmtId="0" fontId="190" fillId="0" borderId="0" xfId="96" applyFont="1"/>
    <xf numFmtId="0" fontId="91" fillId="0" borderId="0" xfId="96" applyFont="1"/>
    <xf numFmtId="179" fontId="191" fillId="0" borderId="0" xfId="92" quotePrefix="1" applyFont="1" applyFill="1" applyAlignment="1">
      <alignment vertical="center"/>
    </xf>
    <xf numFmtId="0" fontId="191" fillId="0" borderId="0" xfId="56" applyFont="1" applyFill="1" applyAlignment="1">
      <alignment wrapText="1"/>
    </xf>
    <xf numFmtId="0" fontId="191" fillId="0" borderId="0" xfId="56" applyFont="1" applyFill="1"/>
    <xf numFmtId="0" fontId="188" fillId="0" borderId="0" xfId="49" applyFont="1" applyFill="1"/>
    <xf numFmtId="0" fontId="112" fillId="37" borderId="0" xfId="49" applyFont="1" applyFill="1"/>
    <xf numFmtId="0" fontId="192" fillId="37" borderId="0" xfId="46" quotePrefix="1" applyFont="1" applyFill="1">
      <alignment horizontal="centerContinuous"/>
    </xf>
    <xf numFmtId="0" fontId="192" fillId="37" borderId="0" xfId="46" applyFont="1" applyFill="1">
      <alignment horizontal="centerContinuous"/>
    </xf>
    <xf numFmtId="0" fontId="112" fillId="37" borderId="0" xfId="49" applyFont="1" applyFill="1" applyBorder="1"/>
    <xf numFmtId="0" fontId="192" fillId="37" borderId="0" xfId="46" applyFont="1" applyFill="1" applyAlignment="1"/>
    <xf numFmtId="0" fontId="113" fillId="37" borderId="0" xfId="49" applyFont="1" applyFill="1" applyBorder="1" applyAlignment="1">
      <alignment horizontal="center"/>
    </xf>
    <xf numFmtId="0" fontId="113" fillId="37" borderId="0" xfId="49" applyFont="1" applyFill="1" applyAlignment="1">
      <alignment horizontal="center"/>
    </xf>
    <xf numFmtId="0" fontId="192" fillId="37" borderId="0" xfId="46" applyFont="1" applyFill="1" applyAlignment="1">
      <alignment horizontal="center"/>
    </xf>
    <xf numFmtId="0" fontId="87" fillId="0" borderId="0" xfId="49" applyFont="1" applyAlignment="1">
      <alignment wrapText="1"/>
    </xf>
    <xf numFmtId="0" fontId="87" fillId="0" borderId="54" xfId="49" applyFont="1" applyBorder="1" applyAlignment="1">
      <alignment horizontal="left"/>
    </xf>
    <xf numFmtId="14" fontId="87" fillId="0" borderId="31" xfId="49" applyNumberFormat="1" applyFont="1" applyFill="1" applyBorder="1"/>
    <xf numFmtId="166" fontId="87" fillId="0" borderId="31" xfId="105" applyFont="1" applyFill="1" applyBorder="1" applyAlignment="1">
      <alignment horizontal="right"/>
    </xf>
    <xf numFmtId="10" fontId="87" fillId="0" borderId="31" xfId="98" applyNumberFormat="1" applyFont="1" applyBorder="1"/>
    <xf numFmtId="14" fontId="87" fillId="0" borderId="0" xfId="49" applyNumberFormat="1" applyFont="1" applyFill="1" applyBorder="1"/>
    <xf numFmtId="0" fontId="83" fillId="37" borderId="0" xfId="49" applyFont="1" applyFill="1" applyBorder="1" applyAlignment="1">
      <alignment wrapText="1"/>
    </xf>
    <xf numFmtId="0" fontId="83" fillId="37" borderId="0" xfId="49" applyFont="1" applyFill="1" applyAlignment="1">
      <alignment horizontal="left" wrapText="1"/>
    </xf>
    <xf numFmtId="166" fontId="83" fillId="37" borderId="0" xfId="49" applyNumberFormat="1" applyFont="1" applyFill="1" applyAlignment="1">
      <alignment wrapText="1"/>
    </xf>
    <xf numFmtId="166" fontId="83" fillId="37" borderId="0" xfId="49" applyNumberFormat="1" applyFont="1" applyFill="1" applyAlignment="1">
      <alignment horizontal="right" wrapText="1"/>
    </xf>
    <xf numFmtId="0" fontId="162" fillId="0" borderId="0" xfId="113" applyFont="1"/>
    <xf numFmtId="0" fontId="196" fillId="0" borderId="0" xfId="0" applyFont="1"/>
    <xf numFmtId="0" fontId="197" fillId="0" borderId="0" xfId="0" applyFont="1"/>
    <xf numFmtId="0" fontId="198" fillId="0" borderId="0" xfId="0" applyFont="1"/>
    <xf numFmtId="0" fontId="199" fillId="0" borderId="0" xfId="0" applyFont="1"/>
    <xf numFmtId="0" fontId="200" fillId="19" borderId="0" xfId="51" applyFont="1" applyFill="1" applyBorder="1">
      <alignment vertical="center"/>
    </xf>
    <xf numFmtId="0" fontId="201" fillId="19" borderId="0" xfId="0" applyFont="1" applyFill="1"/>
    <xf numFmtId="0" fontId="202" fillId="19" borderId="0" xfId="0" applyFont="1" applyFill="1"/>
    <xf numFmtId="167" fontId="114" fillId="23" borderId="0" xfId="0" applyNumberFormat="1" applyFont="1" applyFill="1"/>
    <xf numFmtId="167" fontId="188" fillId="23" borderId="0" xfId="0" applyNumberFormat="1" applyFont="1" applyFill="1"/>
    <xf numFmtId="0" fontId="203" fillId="0" borderId="0" xfId="0" applyFont="1"/>
    <xf numFmtId="0" fontId="114" fillId="0" borderId="0" xfId="0" applyFont="1" applyAlignment="1">
      <alignment vertical="center"/>
    </xf>
    <xf numFmtId="0" fontId="197" fillId="31" borderId="0" xfId="0" applyFont="1" applyFill="1"/>
    <xf numFmtId="0" fontId="105" fillId="19" borderId="0" xfId="0" applyFont="1" applyFill="1"/>
    <xf numFmtId="0" fontId="191" fillId="19" borderId="0" xfId="0" applyFont="1" applyFill="1"/>
    <xf numFmtId="0" fontId="106" fillId="19" borderId="0" xfId="0" applyFont="1" applyFill="1"/>
    <xf numFmtId="0" fontId="204" fillId="0" borderId="0" xfId="0" applyFont="1"/>
    <xf numFmtId="0" fontId="105" fillId="0" borderId="0" xfId="0" applyFont="1"/>
    <xf numFmtId="0" fontId="105" fillId="0" borderId="0" xfId="0" applyFont="1" applyAlignment="1">
      <alignment wrapText="1"/>
    </xf>
    <xf numFmtId="0" fontId="197" fillId="0" borderId="0" xfId="0" applyFont="1" applyAlignment="1">
      <alignment wrapText="1"/>
    </xf>
    <xf numFmtId="0" fontId="105" fillId="0" borderId="55" xfId="0" applyFont="1" applyBorder="1" applyAlignment="1">
      <alignment horizontal="center" vertical="center"/>
    </xf>
    <xf numFmtId="0" fontId="105" fillId="31" borderId="0" xfId="0" applyFont="1" applyFill="1"/>
    <xf numFmtId="0" fontId="105" fillId="31" borderId="27" xfId="0" applyFont="1" applyFill="1" applyBorder="1"/>
    <xf numFmtId="0" fontId="105" fillId="0" borderId="49" xfId="0" applyFont="1" applyBorder="1" applyAlignment="1">
      <alignment horizontal="center" vertical="center"/>
    </xf>
    <xf numFmtId="0" fontId="105" fillId="31" borderId="57" xfId="0" applyFont="1" applyFill="1" applyBorder="1"/>
    <xf numFmtId="0" fontId="105" fillId="31" borderId="47" xfId="0" applyFont="1" applyFill="1" applyBorder="1"/>
    <xf numFmtId="0" fontId="109" fillId="27" borderId="55" xfId="0" applyFont="1" applyFill="1" applyBorder="1" applyAlignment="1">
      <alignment wrapText="1"/>
    </xf>
    <xf numFmtId="0" fontId="109" fillId="27" borderId="0" xfId="0" applyFont="1" applyFill="1" applyAlignment="1">
      <alignment vertical="center" wrapText="1"/>
    </xf>
    <xf numFmtId="0" fontId="109" fillId="27" borderId="0" xfId="0" applyFont="1" applyFill="1" applyAlignment="1">
      <alignment wrapText="1"/>
    </xf>
    <xf numFmtId="0" fontId="109" fillId="27" borderId="27" xfId="0" applyFont="1" applyFill="1" applyBorder="1" applyAlignment="1">
      <alignment horizontal="center"/>
    </xf>
    <xf numFmtId="0" fontId="109" fillId="27" borderId="27" xfId="0" applyFont="1" applyFill="1" applyBorder="1" applyAlignment="1">
      <alignment wrapText="1"/>
    </xf>
    <xf numFmtId="0" fontId="109" fillId="27" borderId="55" xfId="0" applyFont="1" applyFill="1" applyBorder="1" applyAlignment="1">
      <alignment vertical="center" wrapText="1"/>
    </xf>
    <xf numFmtId="0" fontId="105" fillId="31" borderId="55" xfId="0" applyFont="1" applyFill="1" applyBorder="1"/>
    <xf numFmtId="0" fontId="105" fillId="31" borderId="49" xfId="0" applyFont="1" applyFill="1" applyBorder="1"/>
    <xf numFmtId="0" fontId="109" fillId="27" borderId="55" xfId="0" applyFont="1" applyFill="1" applyBorder="1"/>
    <xf numFmtId="0" fontId="109" fillId="27" borderId="0" xfId="0" applyFont="1" applyFill="1"/>
    <xf numFmtId="0" fontId="109" fillId="27" borderId="0" xfId="0" applyFont="1" applyFill="1" applyAlignment="1">
      <alignment horizontal="center"/>
    </xf>
    <xf numFmtId="166" fontId="105" fillId="0" borderId="0" xfId="105" applyFont="1" applyFill="1" applyBorder="1" applyAlignment="1">
      <alignment horizontal="left"/>
    </xf>
    <xf numFmtId="166" fontId="105" fillId="0" borderId="57" xfId="105" applyFont="1" applyFill="1" applyBorder="1" applyAlignment="1">
      <alignment horizontal="left"/>
    </xf>
    <xf numFmtId="0" fontId="105" fillId="0" borderId="0" xfId="0" applyFont="1" applyAlignment="1">
      <alignment vertical="center"/>
    </xf>
    <xf numFmtId="0" fontId="109" fillId="27" borderId="0" xfId="0" applyFont="1" applyFill="1" applyAlignment="1">
      <alignment horizontal="center" wrapText="1"/>
    </xf>
    <xf numFmtId="0" fontId="109" fillId="27" borderId="27" xfId="0" applyFont="1" applyFill="1" applyBorder="1" applyAlignment="1">
      <alignment horizontal="center" wrapText="1"/>
    </xf>
    <xf numFmtId="166" fontId="105" fillId="31" borderId="0" xfId="105" applyFont="1" applyFill="1" applyBorder="1" applyAlignment="1">
      <alignment horizontal="left"/>
    </xf>
    <xf numFmtId="166" fontId="105" fillId="31" borderId="57" xfId="105" applyFont="1" applyFill="1" applyBorder="1" applyAlignment="1">
      <alignment horizontal="left"/>
    </xf>
    <xf numFmtId="0" fontId="197" fillId="0" borderId="97" xfId="0" applyFont="1" applyBorder="1"/>
    <xf numFmtId="0" fontId="201" fillId="19" borderId="97" xfId="0" applyFont="1" applyFill="1" applyBorder="1"/>
    <xf numFmtId="0" fontId="109" fillId="37" borderId="0" xfId="0" applyFont="1" applyFill="1"/>
    <xf numFmtId="0" fontId="109" fillId="40" borderId="53" xfId="0" applyFont="1" applyFill="1" applyBorder="1" applyAlignment="1">
      <alignment wrapText="1"/>
    </xf>
    <xf numFmtId="0" fontId="109" fillId="40" borderId="54" xfId="0" applyFont="1" applyFill="1" applyBorder="1" applyAlignment="1">
      <alignment vertical="center" wrapText="1"/>
    </xf>
    <xf numFmtId="0" fontId="109" fillId="40" borderId="54" xfId="0" applyFont="1" applyFill="1" applyBorder="1" applyAlignment="1">
      <alignment wrapText="1"/>
    </xf>
    <xf numFmtId="0" fontId="109" fillId="40" borderId="52" xfId="0" applyFont="1" applyFill="1" applyBorder="1" applyAlignment="1">
      <alignment wrapText="1"/>
    </xf>
    <xf numFmtId="0" fontId="109" fillId="40" borderId="53" xfId="0" applyFont="1" applyFill="1" applyBorder="1"/>
    <xf numFmtId="0" fontId="109" fillId="40" borderId="54" xfId="0" applyFont="1" applyFill="1" applyBorder="1" applyAlignment="1">
      <alignment vertical="center"/>
    </xf>
    <xf numFmtId="0" fontId="109" fillId="40" borderId="54" xfId="0" applyFont="1" applyFill="1" applyBorder="1"/>
    <xf numFmtId="0" fontId="109" fillId="40" borderId="52" xfId="0" applyFont="1" applyFill="1" applyBorder="1"/>
    <xf numFmtId="0" fontId="163" fillId="40" borderId="0" xfId="177" applyFont="1" applyFill="1" applyAlignment="1">
      <alignment vertical="top"/>
    </xf>
    <xf numFmtId="0" fontId="164" fillId="40" borderId="0" xfId="177" applyFont="1" applyFill="1" applyAlignment="1">
      <alignment vertical="top"/>
    </xf>
    <xf numFmtId="0" fontId="163" fillId="37" borderId="0" xfId="177" applyFont="1" applyFill="1" applyAlignment="1">
      <alignment vertical="top"/>
    </xf>
    <xf numFmtId="0" fontId="164" fillId="37" borderId="0" xfId="177" applyFont="1" applyFill="1" applyAlignment="1">
      <alignment vertical="top"/>
    </xf>
    <xf numFmtId="0" fontId="162" fillId="0" borderId="0" xfId="177" applyFont="1" applyAlignment="1">
      <alignment horizontal="center" vertical="top"/>
    </xf>
    <xf numFmtId="0" fontId="164" fillId="37" borderId="0" xfId="177" applyFont="1" applyFill="1" applyAlignment="1">
      <alignment horizontal="center" vertical="top"/>
    </xf>
    <xf numFmtId="0" fontId="164" fillId="40" borderId="0" xfId="177" applyFont="1" applyFill="1" applyAlignment="1">
      <alignment horizontal="center" vertical="top"/>
    </xf>
    <xf numFmtId="0" fontId="165" fillId="22" borderId="57" xfId="177" applyFont="1" applyFill="1" applyBorder="1" applyAlignment="1">
      <alignment vertical="top"/>
    </xf>
    <xf numFmtId="0" fontId="165" fillId="22" borderId="57" xfId="177" applyFont="1" applyFill="1" applyBorder="1" applyAlignment="1">
      <alignment horizontal="center" vertical="top"/>
    </xf>
    <xf numFmtId="0" fontId="98" fillId="35" borderId="53" xfId="49" applyFont="1" applyFill="1" applyBorder="1"/>
    <xf numFmtId="0" fontId="87" fillId="35" borderId="54" xfId="49" applyFont="1" applyFill="1" applyBorder="1"/>
    <xf numFmtId="0" fontId="87" fillId="35" borderId="52" xfId="49" applyFont="1" applyFill="1" applyBorder="1"/>
    <xf numFmtId="0" fontId="87" fillId="0" borderId="55" xfId="49" quotePrefix="1" applyFont="1" applyBorder="1"/>
    <xf numFmtId="169" fontId="87" fillId="0" borderId="27" xfId="98" applyNumberFormat="1" applyFont="1" applyBorder="1"/>
    <xf numFmtId="0" fontId="87" fillId="0" borderId="55" xfId="49" applyFont="1" applyBorder="1"/>
    <xf numFmtId="0" fontId="87" fillId="0" borderId="49" xfId="49" applyFont="1" applyBorder="1"/>
    <xf numFmtId="169" fontId="87" fillId="0" borderId="57" xfId="98" applyNumberFormat="1" applyFont="1" applyBorder="1"/>
    <xf numFmtId="169" fontId="87" fillId="0" borderId="47" xfId="98" applyNumberFormat="1" applyFont="1" applyBorder="1"/>
    <xf numFmtId="0" fontId="98" fillId="0" borderId="55" xfId="49" applyFont="1" applyBorder="1"/>
    <xf numFmtId="0" fontId="87" fillId="0" borderId="27" xfId="49" applyFont="1" applyBorder="1"/>
    <xf numFmtId="0" fontId="87" fillId="23" borderId="55" xfId="49" applyFont="1" applyFill="1" applyBorder="1"/>
    <xf numFmtId="166" fontId="87" fillId="23" borderId="27" xfId="49" applyNumberFormat="1" applyFont="1" applyFill="1" applyBorder="1"/>
    <xf numFmtId="0" fontId="87" fillId="23" borderId="49" xfId="49" applyFont="1" applyFill="1" applyBorder="1"/>
    <xf numFmtId="166" fontId="87" fillId="23" borderId="47" xfId="49" applyNumberFormat="1" applyFont="1" applyFill="1" applyBorder="1"/>
    <xf numFmtId="166" fontId="98" fillId="0" borderId="0" xfId="49" applyNumberFormat="1" applyFont="1" applyBorder="1"/>
    <xf numFmtId="166" fontId="98" fillId="0" borderId="27" xfId="49" applyNumberFormat="1" applyFont="1" applyBorder="1"/>
    <xf numFmtId="0" fontId="98" fillId="0" borderId="53" xfId="49" applyFont="1" applyFill="1" applyBorder="1"/>
    <xf numFmtId="166" fontId="98" fillId="0" borderId="52" xfId="49" applyNumberFormat="1" applyFont="1" applyFill="1" applyBorder="1"/>
    <xf numFmtId="0" fontId="98" fillId="0" borderId="53" xfId="49" applyFont="1" applyBorder="1"/>
    <xf numFmtId="166" fontId="98" fillId="0" borderId="52" xfId="105" applyFont="1" applyBorder="1"/>
    <xf numFmtId="166" fontId="98" fillId="0" borderId="52" xfId="49" applyNumberFormat="1" applyFont="1" applyBorder="1"/>
    <xf numFmtId="0" fontId="87" fillId="0" borderId="47" xfId="49" applyFont="1" applyBorder="1"/>
    <xf numFmtId="9" fontId="162" fillId="31" borderId="0" xfId="177" applyNumberFormat="1" applyFont="1" applyFill="1" applyAlignment="1">
      <alignment horizontal="center" vertical="top"/>
    </xf>
    <xf numFmtId="0" fontId="162" fillId="31" borderId="0" xfId="177" applyFont="1" applyFill="1" applyAlignment="1">
      <alignment horizontal="center" vertical="top"/>
    </xf>
    <xf numFmtId="0" fontId="162" fillId="42" borderId="0" xfId="177" applyFont="1" applyFill="1" applyAlignment="1">
      <alignment vertical="top"/>
    </xf>
    <xf numFmtId="0" fontId="18" fillId="0" borderId="0" xfId="0" applyFont="1"/>
    <xf numFmtId="0" fontId="98" fillId="35" borderId="0" xfId="0" applyFont="1" applyFill="1"/>
    <xf numFmtId="9" fontId="87" fillId="0" borderId="0" xfId="98" applyFont="1"/>
    <xf numFmtId="0" fontId="87" fillId="0" borderId="0" xfId="49" quotePrefix="1" applyFont="1" applyFill="1" applyProtection="1">
      <protection locked="0"/>
    </xf>
    <xf numFmtId="0" fontId="87" fillId="26" borderId="0" xfId="0" applyFont="1" applyFill="1"/>
    <xf numFmtId="0" fontId="83" fillId="48" borderId="0" xfId="0" applyFont="1" applyFill="1"/>
    <xf numFmtId="0" fontId="124" fillId="48" borderId="0" xfId="0" applyFont="1" applyFill="1"/>
    <xf numFmtId="166" fontId="87" fillId="47" borderId="0" xfId="105" applyFont="1" applyFill="1" applyBorder="1" applyAlignment="1">
      <alignment horizontal="right"/>
    </xf>
    <xf numFmtId="0" fontId="83" fillId="37" borderId="99" xfId="0" applyFont="1" applyFill="1" applyBorder="1"/>
    <xf numFmtId="0" fontId="83" fillId="37" borderId="100" xfId="0" applyFont="1" applyFill="1" applyBorder="1" applyAlignment="1">
      <alignment horizontal="right"/>
    </xf>
    <xf numFmtId="166" fontId="87" fillId="47" borderId="27" xfId="105" applyFont="1" applyFill="1" applyBorder="1" applyAlignment="1">
      <alignment horizontal="right"/>
    </xf>
    <xf numFmtId="186" fontId="102" fillId="0" borderId="51" xfId="112" applyNumberFormat="1" applyFont="1" applyBorder="1" applyAlignment="1">
      <alignment horizontal="left" vertical="center"/>
    </xf>
    <xf numFmtId="186" fontId="102" fillId="0" borderId="76" xfId="112" applyNumberFormat="1" applyFont="1" applyBorder="1" applyAlignment="1">
      <alignment horizontal="right" vertical="center"/>
    </xf>
    <xf numFmtId="186" fontId="102" fillId="0" borderId="50" xfId="112" applyNumberFormat="1" applyFont="1" applyBorder="1" applyAlignment="1">
      <alignment horizontal="right" vertical="center"/>
    </xf>
    <xf numFmtId="166" fontId="87" fillId="0" borderId="27" xfId="105" applyFont="1" applyFill="1" applyBorder="1" applyAlignment="1">
      <alignment horizontal="right"/>
    </xf>
    <xf numFmtId="0" fontId="87" fillId="0" borderId="53" xfId="0" applyFont="1" applyBorder="1"/>
    <xf numFmtId="0" fontId="98" fillId="0" borderId="51" xfId="0" applyFont="1" applyBorder="1"/>
    <xf numFmtId="166" fontId="98" fillId="0" borderId="76" xfId="105" applyFont="1" applyFill="1" applyBorder="1" applyAlignment="1">
      <alignment horizontal="right"/>
    </xf>
    <xf numFmtId="166" fontId="98" fillId="0" borderId="50" xfId="105" applyFont="1" applyFill="1" applyBorder="1" applyAlignment="1">
      <alignment horizontal="right"/>
    </xf>
    <xf numFmtId="0" fontId="98" fillId="0" borderId="76" xfId="105" applyNumberFormat="1" applyFont="1" applyFill="1" applyBorder="1" applyAlignment="1">
      <alignment horizontal="right"/>
    </xf>
    <xf numFmtId="171" fontId="118" fillId="35" borderId="0" xfId="53" applyFont="1" applyFill="1" applyBorder="1">
      <alignment horizontal="right"/>
    </xf>
    <xf numFmtId="0" fontId="205" fillId="0" borderId="46" xfId="176" applyFont="1" applyFill="1" applyBorder="1" applyAlignment="1">
      <alignment horizontal="left" vertical="center"/>
    </xf>
    <xf numFmtId="0" fontId="206" fillId="0" borderId="46" xfId="0" applyFont="1" applyBorder="1" applyAlignment="1">
      <alignment vertical="center"/>
    </xf>
    <xf numFmtId="0" fontId="207" fillId="49" borderId="0" xfId="0" applyFont="1" applyFill="1" applyAlignment="1">
      <alignment horizontal="left" vertical="center" wrapText="1"/>
    </xf>
    <xf numFmtId="0" fontId="207" fillId="49" borderId="0" xfId="0" applyFont="1" applyFill="1" applyAlignment="1">
      <alignment horizontal="right" vertical="center" wrapText="1"/>
    </xf>
    <xf numFmtId="0" fontId="162" fillId="32" borderId="0" xfId="113" applyFont="1" applyFill="1"/>
    <xf numFmtId="0" fontId="83" fillId="37" borderId="49" xfId="0" applyFont="1" applyFill="1" applyBorder="1"/>
    <xf numFmtId="0" fontId="83" fillId="37" borderId="57" xfId="0" applyFont="1" applyFill="1" applyBorder="1"/>
    <xf numFmtId="0" fontId="83" fillId="37" borderId="57" xfId="0" applyFont="1" applyFill="1" applyBorder="1" applyAlignment="1">
      <alignment horizontal="right"/>
    </xf>
    <xf numFmtId="0" fontId="83" fillId="37" borderId="47" xfId="0" applyFont="1" applyFill="1" applyBorder="1" applyAlignment="1">
      <alignment horizontal="right" wrapText="1"/>
    </xf>
    <xf numFmtId="0" fontId="87" fillId="50" borderId="0" xfId="49" applyFont="1" applyFill="1"/>
    <xf numFmtId="0" fontId="208" fillId="51" borderId="46" xfId="0" applyFont="1" applyFill="1" applyBorder="1"/>
    <xf numFmtId="0" fontId="208" fillId="51" borderId="46" xfId="0" applyFont="1" applyFill="1" applyBorder="1" applyAlignment="1">
      <alignment horizontal="center"/>
    </xf>
    <xf numFmtId="10" fontId="208" fillId="51" borderId="46" xfId="0" applyNumberFormat="1" applyFont="1" applyFill="1" applyBorder="1" applyAlignment="1">
      <alignment horizontal="center"/>
    </xf>
    <xf numFmtId="0" fontId="208" fillId="0" borderId="46" xfId="0" applyFont="1" applyBorder="1"/>
    <xf numFmtId="0" fontId="208" fillId="0" borderId="46" xfId="0" applyFont="1" applyBorder="1" applyAlignment="1">
      <alignment horizontal="center"/>
    </xf>
    <xf numFmtId="10" fontId="208" fillId="0" borderId="46" xfId="0" applyNumberFormat="1" applyFont="1" applyBorder="1" applyAlignment="1">
      <alignment horizontal="center"/>
    </xf>
    <xf numFmtId="0" fontId="0" fillId="0" borderId="0" xfId="0" applyAlignment="1">
      <alignment horizontal="left" wrapText="1"/>
    </xf>
    <xf numFmtId="0" fontId="209" fillId="49" borderId="46" xfId="0" applyFont="1" applyFill="1" applyBorder="1" applyAlignment="1">
      <alignment horizontal="left" wrapText="1"/>
    </xf>
    <xf numFmtId="9" fontId="87" fillId="26" borderId="0" xfId="49" applyNumberFormat="1" applyFont="1" applyFill="1" applyAlignment="1" applyProtection="1">
      <alignment horizontal="left"/>
      <protection locked="0"/>
    </xf>
    <xf numFmtId="193" fontId="80" fillId="0" borderId="0" xfId="119" applyNumberFormat="1" applyFont="1" applyFill="1" applyBorder="1" applyAlignment="1">
      <alignment horizontal="right"/>
    </xf>
    <xf numFmtId="193" fontId="80" fillId="0" borderId="27" xfId="119" applyNumberFormat="1" applyFont="1" applyFill="1" applyBorder="1" applyAlignment="1">
      <alignment horizontal="right"/>
    </xf>
    <xf numFmtId="193" fontId="82" fillId="19" borderId="63" xfId="119" applyNumberFormat="1" applyFont="1" applyFill="1" applyBorder="1" applyAlignment="1">
      <alignment horizontal="right"/>
    </xf>
    <xf numFmtId="193" fontId="82" fillId="19" borderId="64" xfId="119" applyNumberFormat="1" applyFont="1" applyFill="1" applyBorder="1" applyAlignment="1">
      <alignment horizontal="right"/>
    </xf>
    <xf numFmtId="0" fontId="117" fillId="19" borderId="0" xfId="0" applyFont="1" applyFill="1" applyAlignment="1">
      <alignment horizontal="left"/>
    </xf>
    <xf numFmtId="9" fontId="80" fillId="19" borderId="0" xfId="98" applyFont="1" applyFill="1" applyBorder="1" applyAlignment="1">
      <alignment horizontal="center"/>
    </xf>
    <xf numFmtId="9" fontId="80" fillId="19" borderId="0" xfId="98" applyFont="1" applyFill="1" applyBorder="1" applyAlignment="1">
      <alignment horizontal="left"/>
    </xf>
    <xf numFmtId="9" fontId="117" fillId="19" borderId="0" xfId="0" applyNumberFormat="1" applyFont="1" applyFill="1" applyAlignment="1">
      <alignment horizontal="left"/>
    </xf>
    <xf numFmtId="0" fontId="80" fillId="19" borderId="57" xfId="0" applyFont="1" applyFill="1" applyBorder="1" applyAlignment="1">
      <alignment horizontal="left"/>
    </xf>
    <xf numFmtId="193" fontId="80" fillId="0" borderId="57" xfId="119" applyNumberFormat="1" applyFont="1" applyFill="1" applyBorder="1" applyAlignment="1">
      <alignment horizontal="right"/>
    </xf>
    <xf numFmtId="193" fontId="80" fillId="0" borderId="47" xfId="119" applyNumberFormat="1" applyFont="1" applyFill="1" applyBorder="1" applyAlignment="1">
      <alignment horizontal="right"/>
    </xf>
    <xf numFmtId="169" fontId="80" fillId="32" borderId="0" xfId="0" applyNumberFormat="1" applyFont="1" applyFill="1" applyAlignment="1">
      <alignment horizontal="left"/>
    </xf>
    <xf numFmtId="166" fontId="87" fillId="0" borderId="27" xfId="105" applyFont="1" applyFill="1" applyBorder="1"/>
    <xf numFmtId="169" fontId="117" fillId="0" borderId="0" xfId="98" applyNumberFormat="1" applyFont="1" applyBorder="1"/>
    <xf numFmtId="0" fontId="87" fillId="47" borderId="0" xfId="49" applyFont="1" applyFill="1" applyBorder="1"/>
    <xf numFmtId="166" fontId="87" fillId="47" borderId="0" xfId="105" applyFont="1" applyFill="1" applyBorder="1"/>
    <xf numFmtId="0" fontId="96" fillId="26" borderId="0" xfId="0" applyFont="1" applyFill="1"/>
    <xf numFmtId="0" fontId="96" fillId="26" borderId="0" xfId="49" quotePrefix="1" applyFont="1" applyFill="1" applyProtection="1">
      <protection locked="0"/>
    </xf>
    <xf numFmtId="0" fontId="163" fillId="43" borderId="0" xfId="0" applyFont="1" applyFill="1" applyAlignment="1">
      <alignment vertical="top"/>
    </xf>
    <xf numFmtId="0" fontId="163" fillId="43" borderId="0" xfId="0" applyFont="1" applyFill="1"/>
    <xf numFmtId="0" fontId="163" fillId="43" borderId="0" xfId="0" applyFont="1" applyFill="1" applyAlignment="1">
      <alignment vertical="top" wrapText="1"/>
    </xf>
    <xf numFmtId="0" fontId="163" fillId="43" borderId="0" xfId="0" applyFont="1" applyFill="1" applyAlignment="1">
      <alignment wrapText="1"/>
    </xf>
    <xf numFmtId="0" fontId="197" fillId="0" borderId="0" xfId="0" applyFont="1" applyAlignment="1">
      <alignment vertical="top"/>
    </xf>
    <xf numFmtId="0" fontId="197" fillId="0" borderId="0" xfId="0" applyFont="1" applyAlignment="1">
      <alignment vertical="top" wrapText="1"/>
    </xf>
    <xf numFmtId="0" fontId="197" fillId="36" borderId="57" xfId="49" applyFont="1" applyFill="1" applyBorder="1"/>
    <xf numFmtId="0" fontId="197" fillId="0" borderId="57" xfId="96" applyFont="1" applyBorder="1" applyAlignment="1">
      <alignment horizontal="center"/>
    </xf>
    <xf numFmtId="0" fontId="197" fillId="0" borderId="0" xfId="49" applyFont="1" applyFill="1"/>
    <xf numFmtId="0" fontId="197" fillId="0" borderId="0" xfId="96" applyFont="1" applyAlignment="1">
      <alignment horizontal="center"/>
    </xf>
    <xf numFmtId="0" fontId="217" fillId="36" borderId="76" xfId="49" applyFont="1" applyFill="1" applyBorder="1" applyProtection="1">
      <protection locked="0"/>
    </xf>
    <xf numFmtId="0" fontId="96" fillId="26" borderId="0" xfId="49" applyFont="1" applyFill="1" applyProtection="1">
      <protection locked="0"/>
    </xf>
    <xf numFmtId="190" fontId="96" fillId="26" borderId="0" xfId="49" applyNumberFormat="1" applyFont="1" applyFill="1" applyProtection="1">
      <protection locked="0"/>
    </xf>
    <xf numFmtId="167" fontId="83" fillId="40" borderId="30" xfId="0" applyNumberFormat="1" applyFont="1" applyFill="1" applyBorder="1" applyAlignment="1">
      <alignment horizontal="left"/>
    </xf>
    <xf numFmtId="173" fontId="96" fillId="26" borderId="0" xfId="55" applyFont="1" applyFill="1" applyAlignment="1" applyProtection="1">
      <alignment horizontal="left"/>
      <protection locked="0"/>
    </xf>
    <xf numFmtId="170" fontId="92" fillId="0" borderId="0" xfId="48" applyNumberFormat="1" applyFont="1" applyFill="1" applyAlignment="1" applyProtection="1">
      <alignment horizontal="left"/>
      <protection locked="0"/>
    </xf>
    <xf numFmtId="190" fontId="96" fillId="26" borderId="0" xfId="49" applyNumberFormat="1" applyFont="1" applyFill="1" applyAlignment="1" applyProtection="1">
      <alignment horizontal="left"/>
      <protection locked="0"/>
    </xf>
    <xf numFmtId="0" fontId="87" fillId="0" borderId="0" xfId="49" applyFont="1" applyFill="1" applyAlignment="1" applyProtection="1">
      <alignment horizontal="left"/>
      <protection locked="0"/>
    </xf>
    <xf numFmtId="0" fontId="96" fillId="26" borderId="0" xfId="49" quotePrefix="1" applyFont="1" applyFill="1" applyAlignment="1" applyProtection="1">
      <alignment horizontal="left"/>
      <protection locked="0"/>
    </xf>
    <xf numFmtId="164" fontId="96" fillId="26" borderId="0" xfId="49" applyNumberFormat="1" applyFont="1" applyFill="1" applyProtection="1">
      <protection locked="0"/>
    </xf>
    <xf numFmtId="166" fontId="96" fillId="26" borderId="0" xfId="105" applyFont="1" applyFill="1" applyAlignment="1" applyProtection="1">
      <alignment horizontal="right"/>
      <protection locked="0"/>
    </xf>
    <xf numFmtId="166" fontId="211" fillId="36" borderId="57" xfId="105" applyFont="1" applyFill="1" applyBorder="1" applyAlignment="1">
      <alignment horizontal="left"/>
    </xf>
    <xf numFmtId="9" fontId="96" fillId="26" borderId="0" xfId="0" applyNumberFormat="1" applyFont="1" applyFill="1"/>
    <xf numFmtId="9" fontId="96" fillId="26" borderId="0" xfId="98" applyFont="1" applyFill="1" applyProtection="1">
      <protection locked="0"/>
    </xf>
    <xf numFmtId="9" fontId="96" fillId="26" borderId="0" xfId="98" applyFont="1" applyFill="1"/>
    <xf numFmtId="193" fontId="117" fillId="0" borderId="27" xfId="119" applyNumberFormat="1" applyFont="1" applyFill="1" applyBorder="1" applyAlignment="1">
      <alignment horizontal="right"/>
    </xf>
    <xf numFmtId="9" fontId="96" fillId="0" borderId="0" xfId="98" applyFont="1"/>
    <xf numFmtId="166" fontId="96" fillId="0" borderId="0" xfId="105" applyFont="1"/>
    <xf numFmtId="166" fontId="96" fillId="26" borderId="0" xfId="105" applyFont="1" applyFill="1"/>
    <xf numFmtId="9" fontId="96" fillId="0" borderId="0" xfId="0" applyNumberFormat="1" applyFont="1" applyAlignment="1">
      <alignment horizontal="center"/>
    </xf>
    <xf numFmtId="0" fontId="98" fillId="22" borderId="0" xfId="49" applyFont="1" applyFill="1" applyBorder="1" applyProtection="1">
      <protection locked="0"/>
    </xf>
    <xf numFmtId="9" fontId="87" fillId="22" borderId="0" xfId="0" applyNumberFormat="1" applyFont="1" applyFill="1" applyAlignment="1">
      <alignment horizontal="center"/>
    </xf>
    <xf numFmtId="166" fontId="87" fillId="22" borderId="0" xfId="105" applyFont="1" applyFill="1" applyBorder="1" applyAlignment="1">
      <alignment horizontal="center"/>
    </xf>
    <xf numFmtId="167" fontId="83" fillId="40" borderId="0" xfId="0" applyNumberFormat="1" applyFont="1" applyFill="1" applyAlignment="1">
      <alignment horizontal="right"/>
    </xf>
    <xf numFmtId="0" fontId="87" fillId="0" borderId="0" xfId="49" applyFont="1" applyFill="1" applyBorder="1" applyProtection="1">
      <protection locked="0"/>
    </xf>
    <xf numFmtId="166" fontId="87" fillId="0" borderId="0" xfId="105" applyFont="1" applyFill="1" applyBorder="1" applyAlignment="1">
      <alignment horizontal="center"/>
    </xf>
    <xf numFmtId="0" fontId="94" fillId="0" borderId="0" xfId="49" applyFont="1" applyFill="1" applyBorder="1" applyProtection="1">
      <protection locked="0"/>
    </xf>
    <xf numFmtId="9" fontId="95" fillId="0" borderId="0" xfId="0" applyNumberFormat="1" applyFont="1" applyAlignment="1">
      <alignment horizontal="center"/>
    </xf>
    <xf numFmtId="0" fontId="80" fillId="0" borderId="0" xfId="178" applyFont="1" applyAlignment="1">
      <alignment vertical="top" wrapText="1"/>
    </xf>
    <xf numFmtId="0" fontId="120" fillId="0" borderId="0" xfId="178" applyFont="1" applyAlignment="1">
      <alignment vertical="top" wrapText="1"/>
    </xf>
    <xf numFmtId="193" fontId="80" fillId="19" borderId="0" xfId="119" applyNumberFormat="1" applyFont="1" applyFill="1" applyBorder="1" applyAlignment="1">
      <alignment horizontal="left"/>
    </xf>
    <xf numFmtId="166" fontId="80" fillId="19" borderId="0" xfId="105" applyFont="1" applyFill="1" applyBorder="1" applyAlignment="1">
      <alignment horizontal="left"/>
    </xf>
    <xf numFmtId="193" fontId="82" fillId="47" borderId="57" xfId="119" applyNumberFormat="1" applyFont="1" applyFill="1" applyBorder="1" applyAlignment="1">
      <alignment horizontal="right"/>
    </xf>
    <xf numFmtId="193" fontId="82" fillId="47" borderId="47" xfId="119" applyNumberFormat="1" applyFont="1" applyFill="1" applyBorder="1" applyAlignment="1">
      <alignment horizontal="right"/>
    </xf>
    <xf numFmtId="193" fontId="82" fillId="0" borderId="0" xfId="119" applyNumberFormat="1" applyFont="1" applyFill="1" applyBorder="1" applyAlignment="1">
      <alignment horizontal="right"/>
    </xf>
    <xf numFmtId="169" fontId="117" fillId="0" borderId="0" xfId="49" applyNumberFormat="1" applyFont="1"/>
    <xf numFmtId="0" fontId="87" fillId="22" borderId="0" xfId="49" applyFont="1" applyFill="1" applyProtection="1">
      <protection locked="0"/>
    </xf>
    <xf numFmtId="9" fontId="87" fillId="22" borderId="0" xfId="98" applyFont="1" applyFill="1"/>
    <xf numFmtId="0" fontId="87" fillId="32" borderId="46" xfId="0" applyFont="1" applyFill="1" applyBorder="1" applyAlignment="1">
      <alignment horizontal="center"/>
    </xf>
    <xf numFmtId="0" fontId="120" fillId="19" borderId="0" xfId="0" applyFont="1" applyFill="1" applyAlignment="1">
      <alignment horizontal="left"/>
    </xf>
    <xf numFmtId="9" fontId="117" fillId="19" borderId="0" xfId="0" applyNumberFormat="1" applyFont="1" applyFill="1" applyAlignment="1">
      <alignment horizontal="center"/>
    </xf>
    <xf numFmtId="9" fontId="96" fillId="26" borderId="0" xfId="49" applyNumberFormat="1" applyFont="1" applyFill="1" applyProtection="1">
      <protection locked="0"/>
    </xf>
    <xf numFmtId="193" fontId="80" fillId="0" borderId="66" xfId="119" applyNumberFormat="1" applyFont="1" applyFill="1" applyBorder="1" applyAlignment="1">
      <alignment horizontal="right"/>
    </xf>
    <xf numFmtId="0" fontId="117" fillId="22" borderId="0" xfId="0" applyFont="1" applyFill="1" applyAlignment="1">
      <alignment horizontal="right"/>
    </xf>
    <xf numFmtId="0" fontId="218" fillId="0" borderId="0" xfId="0" applyFont="1" applyAlignment="1">
      <alignment horizontal="center"/>
    </xf>
    <xf numFmtId="0" fontId="93" fillId="0" borderId="0" xfId="0" applyFont="1" applyAlignment="1">
      <alignment horizontal="center"/>
    </xf>
    <xf numFmtId="0" fontId="93" fillId="0" borderId="96" xfId="0" applyFont="1" applyBorder="1" applyAlignment="1">
      <alignment horizontal="center"/>
    </xf>
    <xf numFmtId="169" fontId="117" fillId="19" borderId="0" xfId="98" applyNumberFormat="1" applyFont="1" applyFill="1"/>
    <xf numFmtId="169" fontId="117" fillId="0" borderId="0" xfId="98" applyNumberFormat="1" applyFont="1" applyFill="1" applyBorder="1"/>
    <xf numFmtId="169" fontId="117" fillId="19" borderId="27" xfId="98" applyNumberFormat="1" applyFont="1" applyFill="1" applyBorder="1"/>
    <xf numFmtId="169" fontId="117" fillId="19" borderId="0" xfId="98" applyNumberFormat="1" applyFont="1" applyFill="1" applyBorder="1"/>
    <xf numFmtId="169" fontId="117" fillId="19" borderId="57" xfId="98" applyNumberFormat="1" applyFont="1" applyFill="1" applyBorder="1"/>
    <xf numFmtId="169" fontId="117" fillId="19" borderId="47" xfId="98" applyNumberFormat="1" applyFont="1" applyFill="1" applyBorder="1"/>
    <xf numFmtId="9" fontId="87" fillId="0" borderId="27" xfId="98" applyFont="1" applyFill="1" applyBorder="1" applyAlignment="1">
      <alignment horizontal="right"/>
    </xf>
    <xf numFmtId="0" fontId="93" fillId="0" borderId="54" xfId="0" applyFont="1" applyBorder="1" applyAlignment="1">
      <alignment horizontal="center"/>
    </xf>
    <xf numFmtId="166" fontId="87" fillId="0" borderId="54" xfId="105" applyFont="1" applyBorder="1"/>
    <xf numFmtId="0" fontId="83" fillId="40" borderId="0" xfId="0" applyFont="1" applyFill="1"/>
    <xf numFmtId="0" fontId="219" fillId="40" borderId="0" xfId="0" applyFont="1" applyFill="1" applyAlignment="1">
      <alignment horizontal="center"/>
    </xf>
    <xf numFmtId="9" fontId="80" fillId="22" borderId="0" xfId="98" applyFont="1" applyFill="1" applyBorder="1" applyAlignment="1">
      <alignment horizontal="right"/>
    </xf>
    <xf numFmtId="169" fontId="80" fillId="22" borderId="0" xfId="98" applyNumberFormat="1" applyFont="1" applyFill="1"/>
    <xf numFmtId="169" fontId="80" fillId="22" borderId="57" xfId="98" applyNumberFormat="1" applyFont="1" applyFill="1" applyBorder="1"/>
    <xf numFmtId="166" fontId="117" fillId="31" borderId="0" xfId="105" applyFont="1" applyFill="1" applyAlignment="1">
      <alignment horizontal="right"/>
    </xf>
    <xf numFmtId="193" fontId="80" fillId="47" borderId="0" xfId="119" applyNumberFormat="1" applyFont="1" applyFill="1" applyBorder="1" applyAlignment="1">
      <alignment horizontal="right"/>
    </xf>
    <xf numFmtId="169" fontId="117" fillId="31" borderId="0" xfId="98" applyNumberFormat="1" applyFont="1" applyFill="1"/>
    <xf numFmtId="193" fontId="117" fillId="31" borderId="0" xfId="119" applyNumberFormat="1" applyFont="1" applyFill="1" applyBorder="1" applyAlignment="1">
      <alignment horizontal="right"/>
    </xf>
    <xf numFmtId="193" fontId="118" fillId="31" borderId="63" xfId="119" applyNumberFormat="1" applyFont="1" applyFill="1" applyBorder="1" applyAlignment="1">
      <alignment horizontal="right"/>
    </xf>
    <xf numFmtId="9" fontId="87" fillId="0" borderId="0" xfId="0" applyNumberFormat="1" applyFont="1"/>
    <xf numFmtId="169" fontId="87" fillId="26" borderId="0" xfId="49" applyNumberFormat="1" applyFont="1" applyFill="1" applyAlignment="1" applyProtection="1">
      <alignment horizontal="right"/>
      <protection locked="0"/>
    </xf>
    <xf numFmtId="0" fontId="106" fillId="0" borderId="57" xfId="0" applyFont="1" applyBorder="1"/>
    <xf numFmtId="0" fontId="114" fillId="0" borderId="57" xfId="0" applyFont="1" applyBorder="1" applyAlignment="1">
      <alignment horizontal="right"/>
    </xf>
    <xf numFmtId="0" fontId="114" fillId="36" borderId="57" xfId="0" applyFont="1" applyFill="1" applyBorder="1" applyAlignment="1">
      <alignment horizontal="right"/>
    </xf>
    <xf numFmtId="0" fontId="114" fillId="35" borderId="57" xfId="0" applyFont="1" applyFill="1" applyBorder="1" applyAlignment="1">
      <alignment horizontal="right"/>
    </xf>
    <xf numFmtId="0" fontId="106" fillId="0" borderId="53" xfId="0" applyFont="1" applyBorder="1"/>
    <xf numFmtId="0" fontId="106" fillId="0" borderId="55" xfId="0" applyFont="1" applyBorder="1"/>
    <xf numFmtId="0" fontId="114" fillId="0" borderId="0" xfId="0" applyFont="1" applyAlignment="1">
      <alignment horizontal="right"/>
    </xf>
    <xf numFmtId="0" fontId="114" fillId="36" borderId="0" xfId="0" applyFont="1" applyFill="1" applyAlignment="1">
      <alignment horizontal="right"/>
    </xf>
    <xf numFmtId="0" fontId="114" fillId="35" borderId="0" xfId="0" applyFont="1" applyFill="1" applyAlignment="1">
      <alignment horizontal="right"/>
    </xf>
    <xf numFmtId="0" fontId="114" fillId="35" borderId="27" xfId="0" applyFont="1" applyFill="1" applyBorder="1" applyAlignment="1">
      <alignment horizontal="right"/>
    </xf>
    <xf numFmtId="0" fontId="114" fillId="35" borderId="47" xfId="0" applyFont="1" applyFill="1" applyBorder="1" applyAlignment="1">
      <alignment horizontal="right"/>
    </xf>
    <xf numFmtId="0" fontId="106" fillId="36" borderId="0" xfId="0" applyFont="1" applyFill="1"/>
    <xf numFmtId="0" fontId="106" fillId="35" borderId="0" xfId="0" applyFont="1" applyFill="1"/>
    <xf numFmtId="0" fontId="106" fillId="35" borderId="27" xfId="0" applyFont="1" applyFill="1" applyBorder="1"/>
    <xf numFmtId="0" fontId="106" fillId="0" borderId="49" xfId="0" applyFont="1" applyBorder="1"/>
    <xf numFmtId="0" fontId="106" fillId="0" borderId="47" xfId="0" applyFont="1" applyBorder="1"/>
    <xf numFmtId="9" fontId="114" fillId="0" borderId="76" xfId="98" applyFont="1" applyBorder="1"/>
    <xf numFmtId="9" fontId="114" fillId="0" borderId="50" xfId="98" applyFont="1" applyBorder="1"/>
    <xf numFmtId="9" fontId="113" fillId="37" borderId="0" xfId="0" applyNumberFormat="1" applyFont="1" applyFill="1" applyAlignment="1">
      <alignment horizontal="right"/>
    </xf>
    <xf numFmtId="166" fontId="106" fillId="47" borderId="57" xfId="105" applyFont="1" applyFill="1" applyBorder="1"/>
    <xf numFmtId="166" fontId="106" fillId="47" borderId="47" xfId="105" applyFont="1" applyFill="1" applyBorder="1"/>
    <xf numFmtId="0" fontId="221" fillId="0" borderId="0" xfId="0" applyFont="1"/>
    <xf numFmtId="173" fontId="106" fillId="35" borderId="0" xfId="55" applyFont="1" applyFill="1" applyAlignment="1" applyProtection="1">
      <alignment horizontal="left"/>
      <protection locked="0"/>
    </xf>
    <xf numFmtId="173" fontId="220" fillId="35" borderId="0" xfId="55" applyFont="1" applyFill="1" applyAlignment="1" applyProtection="1">
      <alignment horizontal="left"/>
      <protection locked="0"/>
    </xf>
    <xf numFmtId="186" fontId="80" fillId="0" borderId="55" xfId="112" applyNumberFormat="1" applyFont="1" applyBorder="1" applyAlignment="1">
      <alignment horizontal="left" vertical="center"/>
    </xf>
    <xf numFmtId="186" fontId="82" fillId="0" borderId="51" xfId="112" applyNumberFormat="1" applyFont="1" applyBorder="1" applyAlignment="1">
      <alignment horizontal="left" vertical="center"/>
    </xf>
    <xf numFmtId="186" fontId="82" fillId="0" borderId="76" xfId="112" applyNumberFormat="1" applyFont="1" applyBorder="1" applyAlignment="1">
      <alignment horizontal="right" vertical="center"/>
    </xf>
    <xf numFmtId="186" fontId="82" fillId="0" borderId="50" xfId="112" applyNumberFormat="1" applyFont="1" applyBorder="1" applyAlignment="1">
      <alignment horizontal="right" vertical="center"/>
    </xf>
    <xf numFmtId="0" fontId="222" fillId="0" borderId="0" xfId="0" applyFont="1"/>
    <xf numFmtId="0" fontId="87" fillId="35" borderId="46" xfId="0" applyFont="1" applyFill="1" applyBorder="1"/>
    <xf numFmtId="0" fontId="106" fillId="35" borderId="0" xfId="0" applyFont="1" applyFill="1" applyAlignment="1">
      <alignment horizontal="left"/>
    </xf>
    <xf numFmtId="166" fontId="106" fillId="35" borderId="0" xfId="105" applyFont="1" applyFill="1" applyAlignment="1">
      <alignment horizontal="left"/>
    </xf>
    <xf numFmtId="49" fontId="96" fillId="26" borderId="0" xfId="49" quotePrefix="1" applyNumberFormat="1" applyFont="1" applyFill="1" applyProtection="1">
      <protection locked="0"/>
    </xf>
    <xf numFmtId="0" fontId="224" fillId="0" borderId="0" xfId="0" applyFont="1"/>
    <xf numFmtId="0" fontId="226" fillId="0" borderId="0" xfId="0" applyFont="1"/>
    <xf numFmtId="0" fontId="83" fillId="40" borderId="53" xfId="0" applyFont="1" applyFill="1" applyBorder="1"/>
    <xf numFmtId="0" fontId="83" fillId="40" borderId="54" xfId="0" applyFont="1" applyFill="1" applyBorder="1" applyAlignment="1">
      <alignment horizontal="right"/>
    </xf>
    <xf numFmtId="0" fontId="83" fillId="40" borderId="52" xfId="0" applyFont="1" applyFill="1" applyBorder="1" applyAlignment="1">
      <alignment horizontal="right"/>
    </xf>
    <xf numFmtId="0" fontId="80" fillId="32" borderId="76" xfId="0" applyFont="1" applyFill="1" applyBorder="1"/>
    <xf numFmtId="193" fontId="80" fillId="32" borderId="76" xfId="0" applyNumberFormat="1" applyFont="1" applyFill="1" applyBorder="1"/>
    <xf numFmtId="0" fontId="228" fillId="32" borderId="51" xfId="0" applyFont="1" applyFill="1" applyBorder="1" applyAlignment="1">
      <alignment horizontal="left"/>
    </xf>
    <xf numFmtId="0" fontId="228" fillId="32" borderId="76" xfId="0" applyFont="1" applyFill="1" applyBorder="1"/>
    <xf numFmtId="193" fontId="228" fillId="32" borderId="76" xfId="0" applyNumberFormat="1" applyFont="1" applyFill="1" applyBorder="1"/>
    <xf numFmtId="169" fontId="228" fillId="32" borderId="76" xfId="120" applyNumberFormat="1" applyFont="1" applyFill="1" applyBorder="1"/>
    <xf numFmtId="169" fontId="228" fillId="32" borderId="50" xfId="120" applyNumberFormat="1" applyFont="1" applyFill="1" applyBorder="1"/>
    <xf numFmtId="0" fontId="229" fillId="19" borderId="0" xfId="0" applyFont="1" applyFill="1"/>
    <xf numFmtId="0" fontId="228" fillId="32" borderId="51" xfId="0" applyFont="1" applyFill="1" applyBorder="1"/>
    <xf numFmtId="169" fontId="80" fillId="32" borderId="76" xfId="98" applyNumberFormat="1" applyFont="1" applyFill="1" applyBorder="1"/>
    <xf numFmtId="166" fontId="80" fillId="32" borderId="76" xfId="105" applyFont="1" applyFill="1" applyBorder="1"/>
    <xf numFmtId="166" fontId="80" fillId="32" borderId="50" xfId="105" applyFont="1" applyFill="1" applyBorder="1"/>
    <xf numFmtId="9" fontId="106" fillId="35" borderId="0" xfId="98" applyFont="1" applyFill="1" applyAlignment="1">
      <alignment horizontal="left"/>
    </xf>
    <xf numFmtId="166" fontId="87" fillId="47" borderId="0" xfId="105" applyFont="1" applyFill="1"/>
    <xf numFmtId="0" fontId="230" fillId="0" borderId="0" xfId="0" applyFont="1"/>
    <xf numFmtId="0" fontId="106" fillId="26" borderId="55" xfId="0" applyFont="1" applyFill="1" applyBorder="1"/>
    <xf numFmtId="9" fontId="106" fillId="26" borderId="27" xfId="0" applyNumberFormat="1" applyFont="1" applyFill="1" applyBorder="1"/>
    <xf numFmtId="0" fontId="106" fillId="26" borderId="49" xfId="0" applyFont="1" applyFill="1" applyBorder="1"/>
    <xf numFmtId="0" fontId="106" fillId="26" borderId="47" xfId="0" applyFont="1" applyFill="1" applyBorder="1"/>
    <xf numFmtId="0" fontId="231" fillId="26" borderId="53" xfId="0" applyFont="1" applyFill="1" applyBorder="1"/>
    <xf numFmtId="0" fontId="231" fillId="26" borderId="52" xfId="0" applyFont="1" applyFill="1" applyBorder="1"/>
    <xf numFmtId="0" fontId="232" fillId="26" borderId="53" xfId="0" applyFont="1" applyFill="1" applyBorder="1"/>
    <xf numFmtId="0" fontId="106" fillId="26" borderId="52" xfId="0" applyFont="1" applyFill="1" applyBorder="1"/>
    <xf numFmtId="0" fontId="232" fillId="26" borderId="55" xfId="0" applyFont="1" applyFill="1" applyBorder="1"/>
    <xf numFmtId="0" fontId="106" fillId="26" borderId="27" xfId="0" applyFont="1" applyFill="1" applyBorder="1"/>
    <xf numFmtId="0" fontId="232" fillId="26" borderId="49" xfId="0" applyFont="1" applyFill="1" applyBorder="1"/>
    <xf numFmtId="0" fontId="114" fillId="0" borderId="0" xfId="0" applyFont="1"/>
    <xf numFmtId="173" fontId="188" fillId="0" borderId="0" xfId="55" applyFont="1" applyFill="1" applyBorder="1" applyAlignment="1" applyProtection="1">
      <alignment horizontal="left"/>
      <protection locked="0"/>
    </xf>
    <xf numFmtId="0" fontId="223" fillId="0" borderId="0" xfId="0" applyFont="1"/>
    <xf numFmtId="0" fontId="224" fillId="0" borderId="101" xfId="0" applyFont="1" applyBorder="1"/>
    <xf numFmtId="0" fontId="106" fillId="0" borderId="102" xfId="0" applyFont="1" applyBorder="1"/>
    <xf numFmtId="0" fontId="106" fillId="0" borderId="104" xfId="0" applyFont="1" applyBorder="1"/>
    <xf numFmtId="0" fontId="106" fillId="0" borderId="106" xfId="0" applyFont="1" applyBorder="1"/>
    <xf numFmtId="0" fontId="106" fillId="0" borderId="107" xfId="0" applyFont="1" applyBorder="1"/>
    <xf numFmtId="0" fontId="224" fillId="0" borderId="104" xfId="0" applyFont="1" applyBorder="1"/>
    <xf numFmtId="0" fontId="223" fillId="0" borderId="0" xfId="0" applyFont="1" applyAlignment="1">
      <alignment horizontal="justify" vertical="center" readingOrder="1"/>
    </xf>
    <xf numFmtId="0" fontId="233" fillId="0" borderId="0" xfId="0" applyFont="1" applyAlignment="1">
      <alignment horizontal="center"/>
    </xf>
    <xf numFmtId="0" fontId="207" fillId="54" borderId="0" xfId="0" applyFont="1" applyFill="1" applyAlignment="1">
      <alignment horizontal="center"/>
    </xf>
    <xf numFmtId="0" fontId="225" fillId="0" borderId="0" xfId="0" applyFont="1" applyAlignment="1">
      <alignment horizontal="left" vertical="center" readingOrder="1"/>
    </xf>
    <xf numFmtId="0" fontId="207" fillId="55" borderId="0" xfId="0" applyFont="1" applyFill="1" applyAlignment="1">
      <alignment horizontal="center"/>
    </xf>
    <xf numFmtId="0" fontId="207" fillId="40" borderId="0" xfId="0" applyFont="1" applyFill="1" applyAlignment="1">
      <alignment horizontal="center"/>
    </xf>
    <xf numFmtId="0" fontId="83" fillId="56" borderId="0" xfId="0" applyFont="1" applyFill="1"/>
    <xf numFmtId="0" fontId="220" fillId="0" borderId="0" xfId="0" applyFont="1"/>
    <xf numFmtId="0" fontId="106" fillId="0" borderId="103" xfId="0" applyFont="1" applyBorder="1"/>
    <xf numFmtId="0" fontId="106" fillId="0" borderId="105" xfId="0" applyFont="1" applyBorder="1"/>
    <xf numFmtId="0" fontId="207" fillId="0" borderId="105" xfId="0" applyFont="1" applyBorder="1" applyAlignment="1">
      <alignment horizontal="center"/>
    </xf>
    <xf numFmtId="0" fontId="224" fillId="0" borderId="105" xfId="0" applyFont="1" applyBorder="1"/>
    <xf numFmtId="0" fontId="83" fillId="0" borderId="105" xfId="0" applyFont="1" applyBorder="1"/>
    <xf numFmtId="0" fontId="220" fillId="0" borderId="105" xfId="0" applyFont="1" applyBorder="1"/>
    <xf numFmtId="0" fontId="106" fillId="0" borderId="108" xfId="0" applyFont="1" applyBorder="1"/>
    <xf numFmtId="0" fontId="207" fillId="57" borderId="0" xfId="0" applyFont="1" applyFill="1" applyAlignment="1">
      <alignment horizontal="center"/>
    </xf>
    <xf numFmtId="0" fontId="227" fillId="0" borderId="0" xfId="0" applyFont="1" applyAlignment="1">
      <alignment horizontal="left" vertical="center" readingOrder="1"/>
    </xf>
    <xf numFmtId="0" fontId="227" fillId="0" borderId="105" xfId="0" applyFont="1" applyBorder="1" applyAlignment="1">
      <alignment horizontal="left" vertical="center" readingOrder="1"/>
    </xf>
    <xf numFmtId="0" fontId="233" fillId="0" borderId="0" xfId="0" applyFont="1"/>
    <xf numFmtId="0" fontId="223" fillId="0" borderId="105" xfId="0" applyFont="1" applyBorder="1"/>
    <xf numFmtId="0" fontId="223" fillId="0" borderId="105" xfId="0" applyFont="1" applyBorder="1" applyAlignment="1">
      <alignment horizontal="justify" vertical="center" readingOrder="1"/>
    </xf>
    <xf numFmtId="0" fontId="106" fillId="0" borderId="101" xfId="0" applyFont="1" applyBorder="1"/>
    <xf numFmtId="0" fontId="112" fillId="54" borderId="0" xfId="0" applyFont="1" applyFill="1"/>
    <xf numFmtId="0" fontId="234" fillId="54" borderId="0" xfId="0" applyFont="1" applyFill="1"/>
    <xf numFmtId="0" fontId="234" fillId="0" borderId="0" xfId="0" applyFont="1"/>
    <xf numFmtId="0" fontId="235" fillId="54" borderId="0" xfId="0" applyFont="1" applyFill="1" applyAlignment="1">
      <alignment horizontal="center"/>
    </xf>
    <xf numFmtId="0" fontId="235" fillId="37" borderId="0" xfId="0" applyFont="1" applyFill="1" applyAlignment="1">
      <alignment horizontal="center"/>
    </xf>
    <xf numFmtId="0" fontId="235" fillId="55" borderId="0" xfId="0" applyFont="1" applyFill="1" applyAlignment="1">
      <alignment horizontal="center"/>
    </xf>
    <xf numFmtId="0" fontId="235" fillId="40" borderId="0" xfId="0" applyFont="1" applyFill="1" applyAlignment="1">
      <alignment horizontal="center"/>
    </xf>
    <xf numFmtId="0" fontId="112" fillId="0" borderId="0" xfId="0" applyFont="1"/>
    <xf numFmtId="0" fontId="236" fillId="0" borderId="0" xfId="0" applyFont="1" applyAlignment="1">
      <alignment horizontal="center"/>
    </xf>
    <xf numFmtId="0" fontId="237" fillId="0" borderId="0" xfId="0" applyFont="1" applyAlignment="1">
      <alignment horizontal="center"/>
    </xf>
    <xf numFmtId="0" fontId="238" fillId="0" borderId="0" xfId="0" applyFont="1"/>
    <xf numFmtId="9" fontId="80" fillId="0" borderId="0" xfId="98" applyFont="1"/>
    <xf numFmtId="192" fontId="82" fillId="0" borderId="57" xfId="127" applyNumberFormat="1" applyFont="1" applyBorder="1"/>
    <xf numFmtId="192" fontId="82" fillId="0" borderId="47" xfId="127" applyNumberFormat="1" applyFont="1" applyBorder="1"/>
    <xf numFmtId="0" fontId="80" fillId="0" borderId="49" xfId="126" applyFont="1" applyBorder="1"/>
    <xf numFmtId="192" fontId="80" fillId="0" borderId="57" xfId="127" applyNumberFormat="1" applyFont="1" applyBorder="1"/>
    <xf numFmtId="192" fontId="87" fillId="0" borderId="57" xfId="127" applyNumberFormat="1" applyFont="1" applyBorder="1"/>
    <xf numFmtId="192" fontId="87" fillId="0" borderId="47" xfId="127" applyNumberFormat="1" applyFont="1" applyBorder="1"/>
    <xf numFmtId="193" fontId="80" fillId="35" borderId="52" xfId="127" applyNumberFormat="1" applyFont="1" applyFill="1" applyBorder="1"/>
    <xf numFmtId="0" fontId="82" fillId="35" borderId="49" xfId="126" applyFont="1" applyFill="1" applyBorder="1"/>
    <xf numFmtId="0" fontId="82" fillId="35" borderId="57" xfId="126" applyFont="1" applyFill="1" applyBorder="1"/>
    <xf numFmtId="192" fontId="82" fillId="35" borderId="57" xfId="127" applyNumberFormat="1" applyFont="1" applyFill="1" applyBorder="1"/>
    <xf numFmtId="193" fontId="80" fillId="35" borderId="47" xfId="127" applyNumberFormat="1" applyFont="1" applyFill="1" applyBorder="1"/>
    <xf numFmtId="166" fontId="87" fillId="0" borderId="54" xfId="105" applyFont="1" applyFill="1" applyBorder="1" applyAlignment="1">
      <alignment horizontal="right"/>
    </xf>
    <xf numFmtId="166" fontId="87" fillId="0" borderId="52" xfId="105" applyFont="1" applyFill="1" applyBorder="1" applyAlignment="1">
      <alignment horizontal="right"/>
    </xf>
    <xf numFmtId="169" fontId="87" fillId="0" borderId="27" xfId="98" applyNumberFormat="1" applyFont="1" applyFill="1" applyBorder="1" applyAlignment="1">
      <alignment horizontal="right"/>
    </xf>
    <xf numFmtId="171" fontId="101" fillId="0" borderId="0" xfId="53" applyFont="1" applyFill="1" applyBorder="1">
      <alignment horizontal="right"/>
    </xf>
    <xf numFmtId="0" fontId="233" fillId="0" borderId="0" xfId="0" applyFont="1" applyAlignment="1">
      <alignment horizontal="left"/>
    </xf>
    <xf numFmtId="0" fontId="232" fillId="0" borderId="0" xfId="0" applyFont="1"/>
    <xf numFmtId="14" fontId="106" fillId="0" borderId="0" xfId="0" applyNumberFormat="1" applyFont="1"/>
    <xf numFmtId="0" fontId="239" fillId="0" borderId="0" xfId="0" applyFont="1"/>
    <xf numFmtId="166" fontId="106" fillId="0" borderId="0" xfId="105" applyFont="1"/>
    <xf numFmtId="169" fontId="87" fillId="0" borderId="0" xfId="49" applyNumberFormat="1" applyFont="1" applyBorder="1"/>
    <xf numFmtId="0" fontId="87" fillId="58" borderId="0" xfId="56" applyFont="1" applyFill="1"/>
    <xf numFmtId="0" fontId="165" fillId="0" borderId="0" xfId="180" applyFont="1"/>
    <xf numFmtId="0" fontId="162" fillId="0" borderId="0" xfId="180" applyFont="1" applyAlignment="1">
      <alignment vertical="top"/>
    </xf>
    <xf numFmtId="0" fontId="162" fillId="0" borderId="0" xfId="180" applyFont="1"/>
    <xf numFmtId="0" fontId="162" fillId="0" borderId="0" xfId="180" applyFont="1" applyAlignment="1">
      <alignment vertical="top" wrapText="1"/>
    </xf>
    <xf numFmtId="0" fontId="204" fillId="0" borderId="0" xfId="180" applyFont="1" applyAlignment="1">
      <alignment vertical="top" wrapText="1"/>
    </xf>
    <xf numFmtId="0" fontId="162" fillId="0" borderId="0" xfId="180" applyFont="1" applyAlignment="1">
      <alignment horizontal="center"/>
    </xf>
    <xf numFmtId="201" fontId="91" fillId="0" borderId="0" xfId="181" applyNumberFormat="1" applyFont="1" applyAlignment="1">
      <alignment wrapText="1"/>
    </xf>
    <xf numFmtId="17" fontId="162" fillId="0" borderId="0" xfId="180" applyNumberFormat="1" applyFont="1"/>
    <xf numFmtId="0" fontId="162" fillId="0" borderId="0" xfId="180" applyFont="1" applyAlignment="1">
      <alignment wrapText="1"/>
    </xf>
    <xf numFmtId="0" fontId="193" fillId="0" borderId="0" xfId="180" applyFont="1" applyAlignment="1">
      <alignment horizontal="center" vertical="top" wrapText="1"/>
    </xf>
    <xf numFmtId="0" fontId="193" fillId="0" borderId="0" xfId="180" applyFont="1"/>
    <xf numFmtId="0" fontId="193" fillId="0" borderId="0" xfId="180" applyFont="1" applyAlignment="1">
      <alignment horizontal="center"/>
    </xf>
    <xf numFmtId="0" fontId="214" fillId="0" borderId="0" xfId="180" applyFont="1"/>
    <xf numFmtId="0" fontId="193" fillId="0" borderId="0" xfId="180" applyFont="1" applyAlignment="1">
      <alignment wrapText="1"/>
    </xf>
    <xf numFmtId="0" fontId="217" fillId="36" borderId="0" xfId="0" applyFont="1" applyFill="1"/>
    <xf numFmtId="0" fontId="163" fillId="43" borderId="0" xfId="180" applyFont="1" applyFill="1" applyAlignment="1">
      <alignment vertical="top"/>
    </xf>
    <xf numFmtId="0" fontId="163" fillId="43" borderId="0" xfId="180" applyFont="1" applyFill="1"/>
    <xf numFmtId="0" fontId="163" fillId="43" borderId="0" xfId="180" applyFont="1" applyFill="1" applyAlignment="1">
      <alignment vertical="top" wrapText="1"/>
    </xf>
    <xf numFmtId="0" fontId="163" fillId="43" borderId="0" xfId="180" applyFont="1" applyFill="1" applyAlignment="1">
      <alignment horizontal="center"/>
    </xf>
    <xf numFmtId="0" fontId="163" fillId="43" borderId="0" xfId="180" applyFont="1" applyFill="1" applyAlignment="1">
      <alignment wrapText="1"/>
    </xf>
    <xf numFmtId="190" fontId="165" fillId="44" borderId="0" xfId="180" applyNumberFormat="1" applyFont="1" applyFill="1"/>
    <xf numFmtId="0" fontId="165" fillId="44" borderId="0" xfId="180" applyFont="1" applyFill="1" applyAlignment="1">
      <alignment vertical="top"/>
    </xf>
    <xf numFmtId="0" fontId="162" fillId="44" borderId="0" xfId="180" applyFont="1" applyFill="1" applyAlignment="1">
      <alignment vertical="top" wrapText="1"/>
    </xf>
    <xf numFmtId="0" fontId="162" fillId="44" borderId="0" xfId="180" applyFont="1" applyFill="1"/>
    <xf numFmtId="0" fontId="162" fillId="44" borderId="0" xfId="180" applyFont="1" applyFill="1" applyAlignment="1">
      <alignment horizontal="center"/>
    </xf>
    <xf numFmtId="0" fontId="162" fillId="44" borderId="0" xfId="180" applyFont="1" applyFill="1" applyAlignment="1">
      <alignment wrapText="1"/>
    </xf>
    <xf numFmtId="190" fontId="165" fillId="0" borderId="0" xfId="180" applyNumberFormat="1" applyFont="1"/>
    <xf numFmtId="0" fontId="162" fillId="45" borderId="0" xfId="180" applyFont="1" applyFill="1" applyAlignment="1">
      <alignment vertical="top" wrapText="1"/>
    </xf>
    <xf numFmtId="0" fontId="162" fillId="45" borderId="0" xfId="180" applyFont="1" applyFill="1" applyAlignment="1">
      <alignment horizontal="left" vertical="top" wrapText="1"/>
    </xf>
    <xf numFmtId="0" fontId="165" fillId="0" borderId="0" xfId="180" applyFont="1" applyAlignment="1">
      <alignment vertical="top" wrapText="1"/>
    </xf>
    <xf numFmtId="0" fontId="197" fillId="0" borderId="57" xfId="180" applyFont="1" applyBorder="1" applyAlignment="1">
      <alignment vertical="top" wrapText="1"/>
    </xf>
    <xf numFmtId="0" fontId="197" fillId="0" borderId="57" xfId="180" applyFont="1" applyBorder="1"/>
    <xf numFmtId="0" fontId="211" fillId="36" borderId="57" xfId="180" applyFont="1" applyFill="1" applyBorder="1"/>
    <xf numFmtId="0" fontId="197" fillId="0" borderId="57" xfId="180" applyFont="1" applyBorder="1" applyAlignment="1">
      <alignment wrapText="1"/>
    </xf>
    <xf numFmtId="0" fontId="197" fillId="0" borderId="0" xfId="180" applyFont="1" applyAlignment="1">
      <alignment wrapText="1"/>
    </xf>
    <xf numFmtId="0" fontId="197" fillId="0" borderId="0" xfId="180" applyFont="1"/>
    <xf numFmtId="0" fontId="197" fillId="0" borderId="0" xfId="180" applyFont="1" applyAlignment="1">
      <alignment vertical="top" wrapText="1"/>
    </xf>
    <xf numFmtId="49" fontId="211" fillId="36" borderId="0" xfId="180" applyNumberFormat="1" applyFont="1" applyFill="1"/>
    <xf numFmtId="0" fontId="197" fillId="0" borderId="0" xfId="180" applyFont="1" applyAlignment="1">
      <alignment horizontal="center"/>
    </xf>
    <xf numFmtId="0" fontId="197" fillId="0" borderId="57" xfId="180" applyFont="1" applyBorder="1" applyAlignment="1">
      <alignment horizontal="center"/>
    </xf>
    <xf numFmtId="0" fontId="211" fillId="36" borderId="0" xfId="180" applyFont="1" applyFill="1"/>
    <xf numFmtId="164" fontId="211" fillId="36" borderId="57" xfId="181" applyFont="1" applyFill="1" applyBorder="1"/>
    <xf numFmtId="0" fontId="165" fillId="44" borderId="0" xfId="180" applyFont="1" applyFill="1" applyAlignment="1">
      <alignment vertical="top" wrapText="1"/>
    </xf>
    <xf numFmtId="0" fontId="162" fillId="0" borderId="57" xfId="180" applyFont="1" applyBorder="1" applyAlignment="1">
      <alignment vertical="top" wrapText="1"/>
    </xf>
    <xf numFmtId="0" fontId="162" fillId="0" borderId="57" xfId="180" applyFont="1" applyBorder="1"/>
    <xf numFmtId="0" fontId="213" fillId="0" borderId="57" xfId="180" applyFont="1" applyBorder="1" applyAlignment="1">
      <alignment wrapText="1"/>
    </xf>
    <xf numFmtId="0" fontId="213" fillId="0" borderId="0" xfId="180" applyFont="1" applyAlignment="1">
      <alignment wrapText="1"/>
    </xf>
    <xf numFmtId="0" fontId="162" fillId="0" borderId="57" xfId="180" applyFont="1" applyBorder="1" applyAlignment="1">
      <alignment horizontal="center"/>
    </xf>
    <xf numFmtId="49" fontId="211" fillId="36" borderId="57" xfId="180" applyNumberFormat="1" applyFont="1" applyFill="1" applyBorder="1"/>
    <xf numFmtId="0" fontId="195" fillId="0" borderId="76" xfId="180" applyFont="1" applyBorder="1"/>
    <xf numFmtId="16" fontId="211" fillId="36" borderId="57" xfId="180" applyNumberFormat="1" applyFont="1" applyFill="1" applyBorder="1"/>
    <xf numFmtId="0" fontId="162" fillId="0" borderId="57" xfId="180" applyFont="1" applyBorder="1" applyAlignment="1">
      <alignment wrapText="1"/>
    </xf>
    <xf numFmtId="0" fontId="162" fillId="49" borderId="0" xfId="180" applyFont="1" applyFill="1"/>
    <xf numFmtId="0" fontId="195" fillId="0" borderId="76" xfId="180" applyFont="1" applyBorder="1" applyAlignment="1">
      <alignment wrapText="1"/>
    </xf>
    <xf numFmtId="0" fontId="195" fillId="0" borderId="0" xfId="180" applyFont="1" applyAlignment="1">
      <alignment wrapText="1"/>
    </xf>
    <xf numFmtId="201" fontId="211" fillId="36" borderId="0" xfId="181" applyNumberFormat="1" applyFont="1" applyFill="1"/>
    <xf numFmtId="0" fontId="195" fillId="0" borderId="57" xfId="180" applyFont="1" applyBorder="1" applyAlignment="1">
      <alignment wrapText="1"/>
    </xf>
    <xf numFmtId="0" fontId="162" fillId="0" borderId="76" xfId="180" applyFont="1" applyBorder="1" applyAlignment="1">
      <alignment vertical="top" wrapText="1"/>
    </xf>
    <xf numFmtId="0" fontId="162" fillId="0" borderId="76" xfId="180" applyFont="1" applyBorder="1"/>
    <xf numFmtId="0" fontId="197" fillId="0" borderId="76" xfId="180" applyFont="1" applyBorder="1"/>
    <xf numFmtId="0" fontId="162" fillId="0" borderId="76" xfId="180" applyFont="1" applyBorder="1" applyAlignment="1">
      <alignment horizontal="center"/>
    </xf>
    <xf numFmtId="0" fontId="162" fillId="0" borderId="76" xfId="180" applyFont="1" applyBorder="1" applyAlignment="1">
      <alignment wrapText="1"/>
    </xf>
    <xf numFmtId="0" fontId="162" fillId="0" borderId="57" xfId="180" applyFont="1" applyBorder="1" applyAlignment="1">
      <alignment vertical="top"/>
    </xf>
    <xf numFmtId="0" fontId="195" fillId="0" borderId="57" xfId="180" applyFont="1" applyBorder="1" applyAlignment="1">
      <alignment vertical="top"/>
    </xf>
    <xf numFmtId="0" fontId="195" fillId="0" borderId="0" xfId="180" applyFont="1" applyAlignment="1">
      <alignment vertical="top" wrapText="1"/>
    </xf>
    <xf numFmtId="0" fontId="195" fillId="0" borderId="0" xfId="180" applyFont="1" applyAlignment="1">
      <alignment vertical="top"/>
    </xf>
    <xf numFmtId="0" fontId="195" fillId="0" borderId="57" xfId="180" applyFont="1" applyBorder="1" applyAlignment="1">
      <alignment vertical="center" wrapText="1"/>
    </xf>
    <xf numFmtId="0" fontId="195" fillId="0" borderId="76" xfId="180" applyFont="1" applyBorder="1" applyAlignment="1">
      <alignment vertical="center" wrapText="1"/>
    </xf>
    <xf numFmtId="0" fontId="162" fillId="47" borderId="77" xfId="180" applyFont="1" applyFill="1" applyBorder="1" applyAlignment="1">
      <alignment vertical="top" wrapText="1"/>
    </xf>
    <xf numFmtId="0" fontId="162" fillId="47" borderId="77" xfId="180" applyFont="1" applyFill="1" applyBorder="1"/>
    <xf numFmtId="0" fontId="162" fillId="0" borderId="77" xfId="180" applyFont="1" applyBorder="1" applyAlignment="1">
      <alignment horizontal="center" vertical="center"/>
    </xf>
    <xf numFmtId="0" fontId="162" fillId="0" borderId="77" xfId="180" applyFont="1" applyBorder="1"/>
    <xf numFmtId="0" fontId="195" fillId="0" borderId="77" xfId="180" applyFont="1" applyBorder="1" applyAlignment="1">
      <alignment vertical="center" wrapText="1"/>
    </xf>
    <xf numFmtId="0" fontId="162" fillId="0" borderId="57" xfId="180" applyFont="1" applyBorder="1" applyAlignment="1">
      <alignment horizontal="center" vertical="center"/>
    </xf>
    <xf numFmtId="9" fontId="217" fillId="36" borderId="0" xfId="182" applyFont="1" applyFill="1" applyBorder="1" applyAlignment="1">
      <alignment horizontal="center"/>
    </xf>
    <xf numFmtId="0" fontId="162" fillId="0" borderId="0" xfId="180" applyFont="1" applyAlignment="1">
      <alignment horizontal="center" vertical="center"/>
    </xf>
    <xf numFmtId="0" fontId="195" fillId="0" borderId="0" xfId="180" applyFont="1" applyAlignment="1">
      <alignment vertical="center" wrapText="1"/>
    </xf>
    <xf numFmtId="0" fontId="195" fillId="44" borderId="0" xfId="180" applyFont="1" applyFill="1" applyAlignment="1">
      <alignment wrapText="1"/>
    </xf>
    <xf numFmtId="0" fontId="204" fillId="43" borderId="0" xfId="180" applyFont="1" applyFill="1" applyAlignment="1">
      <alignment wrapText="1"/>
    </xf>
    <xf numFmtId="0" fontId="195" fillId="45" borderId="0" xfId="180" applyFont="1" applyFill="1" applyAlignment="1">
      <alignment horizontal="left" vertical="top" wrapText="1"/>
    </xf>
    <xf numFmtId="0" fontId="162" fillId="0" borderId="0" xfId="180" quotePrefix="1" applyFont="1" applyAlignment="1">
      <alignment vertical="top" wrapText="1"/>
    </xf>
    <xf numFmtId="0" fontId="162" fillId="0" borderId="0" xfId="180" applyFont="1" applyAlignment="1">
      <alignment horizontal="left" vertical="top"/>
    </xf>
    <xf numFmtId="0" fontId="162" fillId="0" borderId="0" xfId="180" applyFont="1" applyAlignment="1">
      <alignment horizontal="left" vertical="top" wrapText="1"/>
    </xf>
    <xf numFmtId="0" fontId="162" fillId="0" borderId="0" xfId="180" applyFont="1" applyAlignment="1">
      <alignment horizontal="center" vertical="top" wrapText="1"/>
    </xf>
    <xf numFmtId="0" fontId="195" fillId="0" borderId="0" xfId="180" applyFont="1" applyAlignment="1">
      <alignment horizontal="left" vertical="top" wrapText="1"/>
    </xf>
    <xf numFmtId="0" fontId="165" fillId="0" borderId="0" xfId="180" applyFont="1" applyAlignment="1">
      <alignment vertical="top"/>
    </xf>
    <xf numFmtId="0" fontId="162" fillId="0" borderId="0" xfId="180" quotePrefix="1" applyFont="1" applyAlignment="1">
      <alignment horizontal="left" vertical="top" wrapText="1"/>
    </xf>
    <xf numFmtId="0" fontId="162" fillId="36" borderId="0" xfId="180" applyFont="1" applyFill="1"/>
    <xf numFmtId="9" fontId="211" fillId="36" borderId="0" xfId="180" applyNumberFormat="1" applyFont="1" applyFill="1"/>
    <xf numFmtId="9" fontId="211" fillId="36" borderId="57" xfId="180" applyNumberFormat="1" applyFont="1" applyFill="1" applyBorder="1"/>
    <xf numFmtId="0" fontId="211" fillId="55" borderId="0" xfId="180" applyFont="1" applyFill="1"/>
    <xf numFmtId="0" fontId="165" fillId="44" borderId="0" xfId="180" applyFont="1" applyFill="1"/>
    <xf numFmtId="0" fontId="165" fillId="44" borderId="0" xfId="180" applyFont="1" applyFill="1" applyAlignment="1">
      <alignment horizontal="center"/>
    </xf>
    <xf numFmtId="0" fontId="165" fillId="0" borderId="0" xfId="180" applyFont="1" applyAlignment="1">
      <alignment horizontal="center"/>
    </xf>
    <xf numFmtId="0" fontId="215" fillId="36" borderId="0" xfId="180" applyFont="1" applyFill="1"/>
    <xf numFmtId="0" fontId="216" fillId="0" borderId="0" xfId="180" applyFont="1"/>
    <xf numFmtId="0" fontId="214" fillId="0" borderId="0" xfId="180" applyFont="1" applyAlignment="1">
      <alignment vertical="top"/>
    </xf>
    <xf numFmtId="0" fontId="211" fillId="36" borderId="0" xfId="180" applyFont="1" applyFill="1" applyAlignment="1">
      <alignment horizontal="center"/>
    </xf>
    <xf numFmtId="0" fontId="211" fillId="36" borderId="57" xfId="180" applyFont="1" applyFill="1" applyBorder="1" applyAlignment="1">
      <alignment horizontal="center"/>
    </xf>
    <xf numFmtId="0" fontId="162" fillId="0" borderId="54" xfId="180" applyFont="1" applyBorder="1" applyAlignment="1">
      <alignment vertical="top" wrapText="1"/>
    </xf>
    <xf numFmtId="0" fontId="162" fillId="0" borderId="54" xfId="180" applyFont="1" applyBorder="1"/>
    <xf numFmtId="0" fontId="162" fillId="0" borderId="54" xfId="180" applyFont="1" applyBorder="1" applyAlignment="1">
      <alignment horizontal="center"/>
    </xf>
    <xf numFmtId="0" fontId="162" fillId="0" borderId="54" xfId="180" applyFont="1" applyBorder="1" applyAlignment="1">
      <alignment wrapText="1"/>
    </xf>
    <xf numFmtId="0" fontId="162" fillId="0" borderId="98" xfId="180" applyFont="1" applyBorder="1" applyAlignment="1">
      <alignment vertical="top"/>
    </xf>
    <xf numFmtId="0" fontId="162" fillId="0" borderId="98" xfId="180" applyFont="1" applyBorder="1" applyAlignment="1">
      <alignment vertical="top" wrapText="1"/>
    </xf>
    <xf numFmtId="0" fontId="162" fillId="0" borderId="98" xfId="180" applyFont="1" applyBorder="1"/>
    <xf numFmtId="0" fontId="211" fillId="36" borderId="98" xfId="180" applyFont="1" applyFill="1" applyBorder="1"/>
    <xf numFmtId="0" fontId="211" fillId="36" borderId="98" xfId="180" applyFont="1" applyFill="1" applyBorder="1" applyAlignment="1">
      <alignment horizontal="center"/>
    </xf>
    <xf numFmtId="0" fontId="165" fillId="0" borderId="0" xfId="180" applyFont="1" applyAlignment="1">
      <alignment wrapText="1"/>
    </xf>
    <xf numFmtId="0" fontId="164" fillId="0" borderId="0" xfId="180" applyFont="1"/>
    <xf numFmtId="0" fontId="162" fillId="44" borderId="0" xfId="180" applyFont="1" applyFill="1" applyAlignment="1">
      <alignment vertical="top"/>
    </xf>
    <xf numFmtId="0" fontId="242" fillId="35" borderId="0" xfId="180" applyFont="1" applyFill="1" applyAlignment="1">
      <alignment vertical="top"/>
    </xf>
    <xf numFmtId="0" fontId="194" fillId="0" borderId="0" xfId="180" applyFont="1" applyAlignment="1">
      <alignment vertical="top"/>
    </xf>
    <xf numFmtId="0" fontId="211" fillId="0" borderId="0" xfId="180" applyFont="1"/>
    <xf numFmtId="0" fontId="211" fillId="0" borderId="0" xfId="180" applyFont="1" applyAlignment="1">
      <alignment horizontal="center"/>
    </xf>
    <xf numFmtId="0" fontId="165" fillId="43" borderId="0" xfId="180" applyFont="1" applyFill="1" applyAlignment="1">
      <alignment vertical="top"/>
    </xf>
    <xf numFmtId="0" fontId="163" fillId="0" borderId="0" xfId="180" applyFont="1"/>
    <xf numFmtId="0" fontId="163" fillId="0" borderId="0" xfId="180" applyFont="1" applyAlignment="1">
      <alignment horizontal="center"/>
    </xf>
    <xf numFmtId="0" fontId="163" fillId="0" borderId="0" xfId="180" applyFont="1" applyAlignment="1">
      <alignment wrapText="1"/>
    </xf>
    <xf numFmtId="0" fontId="214" fillId="0" borderId="0" xfId="180" applyFont="1" applyAlignment="1">
      <alignment horizontal="center"/>
    </xf>
    <xf numFmtId="0" fontId="162" fillId="0" borderId="0" xfId="180" applyFont="1" applyAlignment="1">
      <alignment horizontal="right" vertical="top" wrapText="1"/>
    </xf>
    <xf numFmtId="0" fontId="162" fillId="46" borderId="0" xfId="180" applyFont="1" applyFill="1" applyAlignment="1">
      <alignment horizontal="center"/>
    </xf>
    <xf numFmtId="0" fontId="162" fillId="45" borderId="0" xfId="180" applyFont="1" applyFill="1" applyAlignment="1">
      <alignment horizontal="center"/>
    </xf>
    <xf numFmtId="0" fontId="214" fillId="0" borderId="0" xfId="180" applyFont="1" applyAlignment="1">
      <alignment horizontal="right" vertical="top" wrapText="1"/>
    </xf>
    <xf numFmtId="0" fontId="211" fillId="36" borderId="0" xfId="180" applyFont="1" applyFill="1" applyAlignment="1">
      <alignment horizontal="right"/>
    </xf>
    <xf numFmtId="0" fontId="165" fillId="43" borderId="0" xfId="180" applyFont="1" applyFill="1" applyAlignment="1">
      <alignment vertical="top" wrapText="1"/>
    </xf>
    <xf numFmtId="0" fontId="162" fillId="36" borderId="0" xfId="180" applyFont="1" applyFill="1" applyAlignment="1">
      <alignment horizontal="center"/>
    </xf>
    <xf numFmtId="0" fontId="162" fillId="36" borderId="0" xfId="180" applyFont="1" applyFill="1" applyAlignment="1">
      <alignment wrapText="1"/>
    </xf>
    <xf numFmtId="0" fontId="162" fillId="45" borderId="0" xfId="180" applyFont="1" applyFill="1"/>
    <xf numFmtId="0" fontId="162" fillId="45" borderId="0" xfId="180" applyFont="1" applyFill="1" applyAlignment="1">
      <alignment wrapText="1"/>
    </xf>
    <xf numFmtId="0" fontId="214" fillId="0" borderId="0" xfId="180" applyFont="1" applyAlignment="1">
      <alignment wrapText="1"/>
    </xf>
    <xf numFmtId="0" fontId="164" fillId="0" borderId="0" xfId="180" applyFont="1" applyAlignment="1">
      <alignment vertical="top"/>
    </xf>
    <xf numFmtId="0" fontId="197" fillId="19" borderId="0" xfId="49" applyFont="1" applyFill="1" applyAlignment="1" applyProtection="1">
      <alignment wrapText="1"/>
      <protection locked="0"/>
    </xf>
    <xf numFmtId="0" fontId="217" fillId="36" borderId="0" xfId="180" applyFont="1" applyFill="1" applyAlignment="1">
      <alignment horizontal="left"/>
    </xf>
    <xf numFmtId="0" fontId="197" fillId="19" borderId="0" xfId="49" applyFont="1" applyFill="1" applyProtection="1">
      <protection locked="0"/>
    </xf>
    <xf numFmtId="0" fontId="96" fillId="26" borderId="0" xfId="49" applyFont="1" applyFill="1" applyAlignment="1" applyProtection="1">
      <alignment horizontal="left"/>
      <protection locked="0"/>
    </xf>
    <xf numFmtId="0" fontId="95" fillId="19" borderId="0" xfId="49" applyFont="1" applyFill="1"/>
    <xf numFmtId="0" fontId="87" fillId="0" borderId="0" xfId="96" applyFont="1"/>
    <xf numFmtId="0" fontId="96" fillId="26" borderId="0" xfId="96" applyFont="1" applyFill="1"/>
    <xf numFmtId="0" fontId="98" fillId="35" borderId="0" xfId="96" applyFont="1" applyFill="1"/>
    <xf numFmtId="0" fontId="98" fillId="0" borderId="0" xfId="96" applyFont="1"/>
    <xf numFmtId="0" fontId="222" fillId="0" borderId="0" xfId="96" applyFont="1"/>
    <xf numFmtId="0" fontId="217" fillId="36" borderId="0" xfId="180" applyFont="1" applyFill="1" applyAlignment="1">
      <alignment horizontal="center"/>
    </xf>
    <xf numFmtId="0" fontId="95" fillId="0" borderId="0" xfId="0" applyFont="1" applyAlignment="1">
      <alignment horizontal="center"/>
    </xf>
    <xf numFmtId="0" fontId="96" fillId="26" borderId="0" xfId="0" applyFont="1" applyFill="1" applyAlignment="1">
      <alignment horizontal="center"/>
    </xf>
    <xf numFmtId="0" fontId="165" fillId="0" borderId="76" xfId="180" applyFont="1" applyBorder="1"/>
    <xf numFmtId="0" fontId="165" fillId="0" borderId="76" xfId="180" applyFont="1" applyBorder="1" applyAlignment="1">
      <alignment vertical="top" wrapText="1"/>
    </xf>
    <xf numFmtId="0" fontId="243" fillId="36" borderId="76" xfId="180" applyFont="1" applyFill="1" applyBorder="1"/>
    <xf numFmtId="9" fontId="243" fillId="36" borderId="76" xfId="180" applyNumberFormat="1" applyFont="1" applyFill="1" applyBorder="1"/>
    <xf numFmtId="9" fontId="243" fillId="36" borderId="76" xfId="98" applyFont="1" applyFill="1" applyBorder="1"/>
    <xf numFmtId="0" fontId="244" fillId="0" borderId="0" xfId="0" applyFont="1" applyAlignment="1">
      <alignment horizontal="center"/>
    </xf>
    <xf numFmtId="169" fontId="210" fillId="47" borderId="0" xfId="49" quotePrefix="1" applyNumberFormat="1" applyFont="1" applyFill="1" applyProtection="1">
      <protection locked="0"/>
    </xf>
    <xf numFmtId="169" fontId="96" fillId="26" borderId="0" xfId="49" quotePrefix="1" applyNumberFormat="1" applyFont="1" applyFill="1" applyAlignment="1" applyProtection="1">
      <alignment horizontal="right"/>
      <protection locked="0"/>
    </xf>
    <xf numFmtId="0" fontId="114" fillId="37" borderId="46" xfId="0" applyFont="1" applyFill="1" applyBorder="1"/>
    <xf numFmtId="0" fontId="114" fillId="37" borderId="46" xfId="0" applyFont="1" applyFill="1" applyBorder="1" applyAlignment="1">
      <alignment horizontal="center"/>
    </xf>
    <xf numFmtId="0" fontId="245" fillId="0" borderId="46" xfId="180" applyFont="1" applyBorder="1" applyAlignment="1">
      <alignment horizontal="left"/>
    </xf>
    <xf numFmtId="0" fontId="106" fillId="0" borderId="46" xfId="0" applyFont="1" applyBorder="1"/>
    <xf numFmtId="169" fontId="106" fillId="0" borderId="46" xfId="182" applyNumberFormat="1" applyFont="1" applyBorder="1" applyAlignment="1">
      <alignment horizontal="center"/>
    </xf>
    <xf numFmtId="169" fontId="106" fillId="0" borderId="46" xfId="0" applyNumberFormat="1" applyFont="1" applyBorder="1"/>
    <xf numFmtId="201" fontId="106" fillId="0" borderId="46" xfId="181" applyNumberFormat="1" applyFont="1" applyBorder="1" applyAlignment="1">
      <alignment horizontal="left" wrapText="1"/>
    </xf>
    <xf numFmtId="0" fontId="245" fillId="0" borderId="46" xfId="180" applyFont="1" applyBorder="1" applyAlignment="1">
      <alignment horizontal="left" wrapText="1"/>
    </xf>
    <xf numFmtId="0" fontId="106" fillId="57" borderId="46" xfId="0" applyFont="1" applyFill="1" applyBorder="1"/>
    <xf numFmtId="0" fontId="114" fillId="0" borderId="46" xfId="0" applyFont="1" applyBorder="1"/>
    <xf numFmtId="9" fontId="114" fillId="0" borderId="46" xfId="182" applyFont="1" applyBorder="1"/>
    <xf numFmtId="0" fontId="131" fillId="24" borderId="57" xfId="114" applyFont="1" applyFill="1" applyBorder="1" applyAlignment="1">
      <alignment horizontal="left" vertical="center"/>
    </xf>
    <xf numFmtId="0" fontId="83" fillId="37" borderId="109" xfId="112" applyFont="1" applyFill="1" applyBorder="1" applyAlignment="1">
      <alignment horizontal="left" vertical="center"/>
    </xf>
    <xf numFmtId="0" fontId="83" fillId="37" borderId="110" xfId="112" applyFont="1" applyFill="1" applyBorder="1" applyAlignment="1">
      <alignment horizontal="right" vertical="center" wrapText="1"/>
    </xf>
    <xf numFmtId="194" fontId="83" fillId="37" borderId="111" xfId="127" applyNumberFormat="1" applyFont="1" applyFill="1" applyBorder="1" applyAlignment="1">
      <alignment horizontal="right" vertical="center" wrapText="1"/>
    </xf>
    <xf numFmtId="195" fontId="99" fillId="19" borderId="55" xfId="112" applyNumberFormat="1" applyFont="1" applyFill="1" applyBorder="1" applyAlignment="1">
      <alignment horizontal="left"/>
    </xf>
    <xf numFmtId="194" fontId="133" fillId="19" borderId="27" xfId="127" applyNumberFormat="1" applyFont="1" applyFill="1" applyBorder="1" applyAlignment="1">
      <alignment horizontal="right"/>
    </xf>
    <xf numFmtId="195" fontId="133" fillId="19" borderId="55" xfId="112" applyNumberFormat="1" applyFont="1" applyFill="1" applyBorder="1" applyAlignment="1">
      <alignment horizontal="left"/>
    </xf>
    <xf numFmtId="169" fontId="80" fillId="19" borderId="27" xfId="98" applyNumberFormat="1" applyFont="1" applyFill="1" applyBorder="1" applyAlignment="1">
      <alignment horizontal="right"/>
    </xf>
    <xf numFmtId="195" fontId="134" fillId="19" borderId="112" xfId="112" applyNumberFormat="1" applyFont="1" applyFill="1" applyBorder="1" applyAlignment="1">
      <alignment horizontal="left"/>
    </xf>
    <xf numFmtId="169" fontId="134" fillId="19" borderId="113" xfId="98" applyNumberFormat="1" applyFont="1" applyFill="1" applyBorder="1" applyAlignment="1">
      <alignment horizontal="right"/>
    </xf>
    <xf numFmtId="195" fontId="134" fillId="19" borderId="114" xfId="112" applyNumberFormat="1" applyFont="1" applyFill="1" applyBorder="1" applyAlignment="1">
      <alignment horizontal="left"/>
    </xf>
    <xf numFmtId="169" fontId="98" fillId="19" borderId="115" xfId="98" applyNumberFormat="1" applyFont="1" applyFill="1" applyBorder="1" applyAlignment="1">
      <alignment horizontal="right"/>
    </xf>
    <xf numFmtId="169" fontId="135" fillId="19" borderId="0" xfId="112" applyNumberFormat="1" applyFont="1" applyFill="1" applyAlignment="1">
      <alignment horizontal="right"/>
    </xf>
    <xf numFmtId="169" fontId="135" fillId="19" borderId="27" xfId="112" applyNumberFormat="1" applyFont="1" applyFill="1" applyBorder="1" applyAlignment="1">
      <alignment horizontal="right"/>
    </xf>
    <xf numFmtId="169" fontId="133" fillId="19" borderId="27" xfId="97" applyNumberFormat="1" applyFont="1" applyFill="1" applyBorder="1" applyAlignment="1">
      <alignment horizontal="right"/>
    </xf>
    <xf numFmtId="169" fontId="134" fillId="19" borderId="113" xfId="97" applyNumberFormat="1" applyFont="1" applyFill="1" applyBorder="1" applyAlignment="1">
      <alignment horizontal="right"/>
    </xf>
    <xf numFmtId="10" fontId="133" fillId="19" borderId="27" xfId="97" applyNumberFormat="1" applyFont="1" applyFill="1" applyBorder="1" applyAlignment="1">
      <alignment horizontal="right"/>
    </xf>
    <xf numFmtId="192" fontId="133" fillId="19" borderId="27" xfId="119" applyNumberFormat="1" applyFont="1" applyFill="1" applyBorder="1" applyAlignment="1">
      <alignment horizontal="right"/>
    </xf>
    <xf numFmtId="169" fontId="87" fillId="19" borderId="27" xfId="98" applyNumberFormat="1" applyFont="1" applyFill="1" applyBorder="1" applyAlignment="1">
      <alignment horizontal="right"/>
    </xf>
    <xf numFmtId="10" fontId="133" fillId="0" borderId="0" xfId="97" applyNumberFormat="1" applyFont="1" applyBorder="1" applyAlignment="1">
      <alignment horizontal="right"/>
    </xf>
    <xf numFmtId="169" fontId="133" fillId="19" borderId="27" xfId="98" applyNumberFormat="1" applyFont="1" applyFill="1" applyBorder="1" applyAlignment="1">
      <alignment horizontal="right"/>
    </xf>
    <xf numFmtId="195" fontId="133" fillId="19" borderId="114" xfId="112" applyNumberFormat="1" applyFont="1" applyFill="1" applyBorder="1" applyAlignment="1">
      <alignment horizontal="left"/>
    </xf>
    <xf numFmtId="169" fontId="133" fillId="31" borderId="115" xfId="98" applyNumberFormat="1" applyFont="1" applyFill="1" applyBorder="1" applyAlignment="1">
      <alignment horizontal="right"/>
    </xf>
    <xf numFmtId="169" fontId="134" fillId="19" borderId="115" xfId="98" applyNumberFormat="1" applyFont="1" applyFill="1" applyBorder="1" applyAlignment="1">
      <alignment horizontal="right"/>
    </xf>
    <xf numFmtId="195" fontId="134" fillId="19" borderId="49" xfId="112" applyNumberFormat="1" applyFont="1" applyFill="1" applyBorder="1" applyAlignment="1">
      <alignment horizontal="left"/>
    </xf>
    <xf numFmtId="169" fontId="134" fillId="19" borderId="57" xfId="98" applyNumberFormat="1" applyFont="1" applyFill="1" applyBorder="1" applyAlignment="1">
      <alignment horizontal="right"/>
    </xf>
    <xf numFmtId="169" fontId="134" fillId="19" borderId="47" xfId="98" applyNumberFormat="1" applyFont="1" applyFill="1" applyBorder="1" applyAlignment="1">
      <alignment horizontal="right"/>
    </xf>
    <xf numFmtId="0" fontId="98" fillId="26" borderId="0" xfId="0" applyFont="1" applyFill="1"/>
    <xf numFmtId="0" fontId="87" fillId="0" borderId="0" xfId="0" applyFont="1" applyAlignment="1">
      <alignment vertical="center"/>
    </xf>
    <xf numFmtId="0" fontId="86" fillId="0" borderId="0" xfId="0" applyFont="1" applyAlignment="1">
      <alignment vertical="center"/>
    </xf>
    <xf numFmtId="49" fontId="87" fillId="0" borderId="0" xfId="0" applyNumberFormat="1" applyFont="1"/>
    <xf numFmtId="49" fontId="87" fillId="0" borderId="96" xfId="0" applyNumberFormat="1" applyFont="1" applyBorder="1"/>
    <xf numFmtId="49" fontId="87" fillId="37" borderId="0" xfId="0" applyNumberFormat="1" applyFont="1" applyFill="1"/>
    <xf numFmtId="49" fontId="98" fillId="26" borderId="0" xfId="0" applyNumberFormat="1" applyFont="1" applyFill="1"/>
    <xf numFmtId="49" fontId="87" fillId="0" borderId="0" xfId="0" applyNumberFormat="1" applyFont="1" applyAlignment="1">
      <alignment vertical="center"/>
    </xf>
    <xf numFmtId="9" fontId="87" fillId="0" borderId="0" xfId="98" applyFont="1" applyAlignment="1">
      <alignment vertical="center"/>
    </xf>
    <xf numFmtId="0" fontId="143" fillId="0" borderId="0" xfId="0" applyFont="1"/>
    <xf numFmtId="166" fontId="98" fillId="0" borderId="0" xfId="105" applyFont="1" applyFill="1"/>
    <xf numFmtId="193" fontId="172" fillId="0" borderId="0" xfId="105" applyNumberFormat="1" applyFont="1" applyAlignment="1">
      <alignment horizontal="left"/>
    </xf>
    <xf numFmtId="0" fontId="87" fillId="0" borderId="0" xfId="0" applyFont="1" applyAlignment="1">
      <alignment horizontal="left"/>
    </xf>
    <xf numFmtId="0" fontId="98" fillId="0" borderId="0" xfId="0" applyFont="1" applyAlignment="1">
      <alignment horizontal="left"/>
    </xf>
    <xf numFmtId="0" fontId="172" fillId="0" borderId="0" xfId="0" applyFont="1" applyAlignment="1">
      <alignment horizontal="right"/>
    </xf>
    <xf numFmtId="193" fontId="172" fillId="26" borderId="0" xfId="105" applyNumberFormat="1" applyFont="1" applyFill="1" applyAlignment="1">
      <alignment horizontal="left"/>
    </xf>
    <xf numFmtId="0" fontId="124" fillId="40" borderId="0" xfId="0" applyFont="1" applyFill="1" applyAlignment="1">
      <alignment vertical="center"/>
    </xf>
    <xf numFmtId="49" fontId="124" fillId="40" borderId="0" xfId="0" applyNumberFormat="1" applyFont="1" applyFill="1" applyAlignment="1">
      <alignment vertical="center"/>
    </xf>
    <xf numFmtId="0" fontId="94" fillId="26" borderId="0" xfId="0" applyFont="1" applyFill="1"/>
    <xf numFmtId="0" fontId="83" fillId="40" borderId="0" xfId="0" applyFont="1" applyFill="1" applyAlignment="1">
      <alignment vertical="center"/>
    </xf>
    <xf numFmtId="49" fontId="103" fillId="37" borderId="0" xfId="0" applyNumberFormat="1" applyFont="1" applyFill="1" applyAlignment="1">
      <alignment horizontal="center"/>
    </xf>
    <xf numFmtId="0" fontId="162" fillId="36" borderId="98" xfId="180" applyFont="1" applyFill="1" applyBorder="1"/>
    <xf numFmtId="0" fontId="162" fillId="36" borderId="57" xfId="180" applyFont="1" applyFill="1" applyBorder="1"/>
    <xf numFmtId="0" fontId="246" fillId="36" borderId="0" xfId="180" applyFont="1" applyFill="1"/>
    <xf numFmtId="0" fontId="98" fillId="0" borderId="0" xfId="49" quotePrefix="1" applyFont="1" applyFill="1" applyProtection="1">
      <protection locked="0"/>
    </xf>
    <xf numFmtId="169" fontId="123" fillId="22" borderId="0" xfId="120" applyNumberFormat="1" applyFont="1" applyFill="1" applyBorder="1" applyAlignment="1">
      <alignment horizontal="right"/>
    </xf>
    <xf numFmtId="9" fontId="87" fillId="26" borderId="0" xfId="0" applyNumberFormat="1" applyFont="1" applyFill="1"/>
    <xf numFmtId="193" fontId="80" fillId="22" borderId="27" xfId="119" applyNumberFormat="1" applyFont="1" applyFill="1" applyBorder="1" applyAlignment="1">
      <alignment horizontal="right"/>
    </xf>
    <xf numFmtId="0" fontId="87" fillId="35" borderId="0" xfId="49" applyFont="1" applyFill="1"/>
    <xf numFmtId="0" fontId="88" fillId="24" borderId="0" xfId="125" applyFont="1" applyFill="1" applyAlignment="1">
      <alignment horizontal="left" vertical="center"/>
    </xf>
    <xf numFmtId="193" fontId="87" fillId="0" borderId="0" xfId="119" applyNumberFormat="1" applyFont="1" applyFill="1" applyBorder="1" applyAlignment="1">
      <alignment horizontal="right"/>
    </xf>
    <xf numFmtId="192" fontId="80" fillId="35" borderId="0" xfId="127" applyNumberFormat="1" applyFont="1" applyFill="1" applyBorder="1"/>
    <xf numFmtId="192" fontId="87" fillId="35" borderId="57" xfId="127" applyNumberFormat="1" applyFont="1" applyFill="1" applyBorder="1"/>
    <xf numFmtId="0" fontId="123" fillId="0" borderId="0" xfId="126" applyFont="1" applyBorder="1"/>
    <xf numFmtId="0" fontId="80" fillId="0" borderId="50" xfId="126" applyFont="1" applyBorder="1"/>
    <xf numFmtId="0" fontId="80" fillId="0" borderId="47" xfId="126" applyFont="1" applyBorder="1"/>
    <xf numFmtId="0" fontId="80" fillId="0" borderId="51" xfId="126" applyFont="1" applyBorder="1"/>
    <xf numFmtId="0" fontId="83" fillId="37" borderId="53" xfId="49" applyFont="1" applyFill="1" applyBorder="1"/>
    <xf numFmtId="0" fontId="83" fillId="37" borderId="54" xfId="49" applyFont="1" applyFill="1" applyBorder="1"/>
    <xf numFmtId="0" fontId="83" fillId="37" borderId="52" xfId="126" applyFont="1" applyFill="1" applyBorder="1"/>
    <xf numFmtId="0" fontId="98" fillId="0" borderId="57" xfId="49" applyFont="1" applyBorder="1"/>
    <xf numFmtId="0" fontId="98" fillId="0" borderId="49" xfId="49" applyFont="1" applyBorder="1"/>
    <xf numFmtId="185" fontId="98" fillId="0" borderId="57" xfId="105" applyNumberFormat="1" applyFont="1" applyBorder="1"/>
    <xf numFmtId="185" fontId="98" fillId="0" borderId="47" xfId="105" applyNumberFormat="1" applyFont="1" applyBorder="1"/>
    <xf numFmtId="185" fontId="98" fillId="0" borderId="54" xfId="105" applyNumberFormat="1" applyFont="1" applyBorder="1"/>
    <xf numFmtId="185" fontId="98" fillId="0" borderId="52" xfId="105" applyNumberFormat="1" applyFont="1" applyBorder="1"/>
    <xf numFmtId="0" fontId="82" fillId="22" borderId="53" xfId="126" applyFont="1" applyFill="1" applyBorder="1" applyAlignment="1">
      <alignment horizontal="left"/>
    </xf>
    <xf numFmtId="0" fontId="82" fillId="22" borderId="54" xfId="126" applyFont="1" applyFill="1" applyBorder="1" applyAlignment="1">
      <alignment horizontal="right"/>
    </xf>
    <xf numFmtId="0" fontId="82" fillId="22" borderId="52" xfId="126" applyFont="1" applyFill="1" applyBorder="1" applyAlignment="1">
      <alignment horizontal="right"/>
    </xf>
    <xf numFmtId="0" fontId="80" fillId="0" borderId="55" xfId="49" applyFont="1" applyFill="1" applyBorder="1"/>
    <xf numFmtId="0" fontId="80" fillId="0" borderId="0" xfId="49" applyFont="1" applyFill="1" applyBorder="1"/>
    <xf numFmtId="9" fontId="80" fillId="47" borderId="0" xfId="49" applyNumberFormat="1" applyFont="1" applyFill="1" applyBorder="1"/>
    <xf numFmtId="0" fontId="80" fillId="0" borderId="49" xfId="49" applyFont="1" applyFill="1" applyBorder="1"/>
    <xf numFmtId="0" fontId="80" fillId="0" borderId="57" xfId="49" applyFont="1" applyFill="1" applyBorder="1"/>
    <xf numFmtId="9" fontId="80" fillId="47" borderId="57" xfId="49" applyNumberFormat="1" applyFont="1" applyFill="1" applyBorder="1"/>
    <xf numFmtId="185" fontId="80" fillId="32" borderId="0" xfId="105" applyNumberFormat="1" applyFont="1" applyFill="1" applyBorder="1" applyAlignment="1">
      <alignment horizontal="right"/>
    </xf>
    <xf numFmtId="185" fontId="80" fillId="32" borderId="27" xfId="105" applyNumberFormat="1" applyFont="1" applyFill="1" applyBorder="1" applyAlignment="1">
      <alignment horizontal="right"/>
    </xf>
    <xf numFmtId="185" fontId="80" fillId="32" borderId="57" xfId="105" applyNumberFormat="1" applyFont="1" applyFill="1" applyBorder="1" applyAlignment="1">
      <alignment horizontal="right"/>
    </xf>
    <xf numFmtId="185" fontId="80" fillId="32" borderId="47" xfId="105" applyNumberFormat="1" applyFont="1" applyFill="1" applyBorder="1" applyAlignment="1">
      <alignment horizontal="right"/>
    </xf>
    <xf numFmtId="0" fontId="80" fillId="0" borderId="55" xfId="49" applyFont="1" applyBorder="1"/>
    <xf numFmtId="9" fontId="80" fillId="0" borderId="0" xfId="98" applyFont="1" applyBorder="1"/>
    <xf numFmtId="0" fontId="80" fillId="0" borderId="49" xfId="49" applyFont="1" applyBorder="1"/>
    <xf numFmtId="9" fontId="80" fillId="0" borderId="57" xfId="98" applyFont="1" applyBorder="1"/>
    <xf numFmtId="0" fontId="103" fillId="40" borderId="51" xfId="49" applyFont="1" applyFill="1" applyBorder="1"/>
    <xf numFmtId="0" fontId="83" fillId="40" borderId="76" xfId="49" applyFont="1" applyFill="1" applyBorder="1"/>
    <xf numFmtId="0" fontId="83" fillId="40" borderId="50" xfId="126" applyFont="1" applyFill="1" applyBorder="1"/>
    <xf numFmtId="0" fontId="98" fillId="0" borderId="49" xfId="0" applyFont="1" applyBorder="1"/>
    <xf numFmtId="0" fontId="103" fillId="40" borderId="53" xfId="0" applyFont="1" applyFill="1" applyBorder="1"/>
    <xf numFmtId="0" fontId="111" fillId="40" borderId="54" xfId="0" applyFont="1" applyFill="1" applyBorder="1"/>
    <xf numFmtId="0" fontId="111" fillId="40" borderId="52" xfId="0" applyFont="1" applyFill="1" applyBorder="1"/>
    <xf numFmtId="0" fontId="103" fillId="40" borderId="55" xfId="0" applyFont="1" applyFill="1" applyBorder="1"/>
    <xf numFmtId="0" fontId="124" fillId="40" borderId="0" xfId="126" applyFont="1" applyFill="1" applyBorder="1"/>
    <xf numFmtId="0" fontId="124" fillId="40" borderId="27" xfId="126" applyFont="1" applyFill="1" applyBorder="1"/>
    <xf numFmtId="185" fontId="99" fillId="0" borderId="0" xfId="105" applyNumberFormat="1" applyFont="1" applyFill="1" applyBorder="1" applyAlignment="1">
      <alignment horizontal="right"/>
    </xf>
    <xf numFmtId="185" fontId="99" fillId="0" borderId="27" xfId="105" applyNumberFormat="1" applyFont="1" applyFill="1" applyBorder="1" applyAlignment="1">
      <alignment horizontal="right"/>
    </xf>
    <xf numFmtId="185" fontId="118" fillId="0" borderId="0" xfId="105" applyNumberFormat="1" applyFont="1" applyFill="1" applyBorder="1" applyAlignment="1">
      <alignment horizontal="right"/>
    </xf>
    <xf numFmtId="185" fontId="118" fillId="0" borderId="89" xfId="105" applyNumberFormat="1" applyFont="1" applyFill="1" applyBorder="1" applyAlignment="1">
      <alignment horizontal="right"/>
    </xf>
    <xf numFmtId="187" fontId="80" fillId="0" borderId="30" xfId="112" applyNumberFormat="1" applyFont="1" applyBorder="1" applyAlignment="1">
      <alignment horizontal="right" vertical="center"/>
    </xf>
    <xf numFmtId="187" fontId="80" fillId="0" borderId="91" xfId="112" applyNumberFormat="1" applyFont="1" applyBorder="1" applyAlignment="1">
      <alignment horizontal="right" vertical="center"/>
    </xf>
    <xf numFmtId="171" fontId="80" fillId="47" borderId="0" xfId="53" applyFont="1" applyFill="1" applyBorder="1">
      <alignment horizontal="right"/>
    </xf>
    <xf numFmtId="0" fontId="124" fillId="48" borderId="0" xfId="0" applyFont="1" applyFill="1" applyAlignment="1">
      <alignment horizontal="center"/>
    </xf>
    <xf numFmtId="0" fontId="83" fillId="37" borderId="86" xfId="0" applyFont="1" applyFill="1" applyBorder="1" applyAlignment="1">
      <alignment horizontal="center"/>
    </xf>
    <xf numFmtId="186" fontId="97" fillId="0" borderId="0" xfId="112" applyNumberFormat="1" applyFont="1" applyAlignment="1">
      <alignment horizontal="center" vertical="center"/>
    </xf>
    <xf numFmtId="186" fontId="82" fillId="0" borderId="76" xfId="112" applyNumberFormat="1" applyFont="1" applyBorder="1" applyAlignment="1">
      <alignment horizontal="center" vertical="center"/>
    </xf>
    <xf numFmtId="186" fontId="80" fillId="0" borderId="0" xfId="112" applyNumberFormat="1" applyFont="1" applyAlignment="1">
      <alignment horizontal="center" vertical="center"/>
    </xf>
    <xf numFmtId="186" fontId="82" fillId="0" borderId="30" xfId="112" applyNumberFormat="1" applyFont="1" applyBorder="1" applyAlignment="1">
      <alignment horizontal="center" vertical="center"/>
    </xf>
    <xf numFmtId="0" fontId="141" fillId="0" borderId="76" xfId="0" applyFont="1" applyBorder="1" applyAlignment="1">
      <alignment horizontal="center"/>
    </xf>
    <xf numFmtId="186" fontId="247" fillId="0" borderId="76" xfId="112" applyNumberFormat="1" applyFont="1" applyBorder="1" applyAlignment="1">
      <alignment horizontal="center" vertical="center"/>
    </xf>
    <xf numFmtId="0" fontId="93" fillId="0" borderId="93" xfId="0" applyFont="1" applyBorder="1" applyAlignment="1">
      <alignment horizontal="center"/>
    </xf>
    <xf numFmtId="186" fontId="247" fillId="0" borderId="93" xfId="112" applyNumberFormat="1" applyFont="1" applyBorder="1" applyAlignment="1">
      <alignment horizontal="center" vertical="center"/>
    </xf>
    <xf numFmtId="186" fontId="80" fillId="0" borderId="30" xfId="112" applyNumberFormat="1" applyFont="1" applyBorder="1" applyAlignment="1">
      <alignment horizontal="center" vertical="center"/>
    </xf>
    <xf numFmtId="0" fontId="124" fillId="40" borderId="54" xfId="0" applyFont="1" applyFill="1" applyBorder="1" applyAlignment="1">
      <alignment horizontal="center"/>
    </xf>
    <xf numFmtId="0" fontId="98" fillId="22" borderId="0" xfId="0" applyFont="1" applyFill="1" applyAlignment="1">
      <alignment horizontal="center"/>
    </xf>
    <xf numFmtId="9" fontId="80" fillId="47" borderId="0" xfId="98" applyFont="1" applyFill="1" applyAlignment="1">
      <alignment horizontal="center" vertical="center"/>
    </xf>
    <xf numFmtId="0" fontId="116" fillId="0" borderId="0" xfId="0" applyFont="1"/>
    <xf numFmtId="0" fontId="144" fillId="0" borderId="0" xfId="0" applyFont="1"/>
    <xf numFmtId="0" fontId="85" fillId="26" borderId="0" xfId="49" applyFont="1" applyFill="1" applyProtection="1">
      <protection locked="0"/>
    </xf>
    <xf numFmtId="9" fontId="85" fillId="26" borderId="0" xfId="182" applyFont="1" applyFill="1" applyAlignment="1" applyProtection="1">
      <alignment horizontal="center"/>
      <protection locked="0"/>
    </xf>
    <xf numFmtId="0" fontId="80" fillId="0" borderId="0" xfId="180" applyFont="1"/>
    <xf numFmtId="0" fontId="80" fillId="0" borderId="0" xfId="180" applyFont="1" applyAlignment="1">
      <alignment vertical="top"/>
    </xf>
    <xf numFmtId="0" fontId="193" fillId="0" borderId="0" xfId="180" applyFont="1" applyAlignment="1">
      <alignment horizontal="center" vertical="top"/>
    </xf>
    <xf numFmtId="0" fontId="241" fillId="0" borderId="0" xfId="0" applyFont="1"/>
    <xf numFmtId="0" fontId="162" fillId="45" borderId="0" xfId="180" applyFont="1" applyFill="1" applyAlignment="1">
      <alignment vertical="top"/>
    </xf>
    <xf numFmtId="0" fontId="197" fillId="0" borderId="57" xfId="180" applyFont="1" applyBorder="1" applyAlignment="1">
      <alignment vertical="top"/>
    </xf>
    <xf numFmtId="0" fontId="197" fillId="0" borderId="0" xfId="180" applyFont="1" applyAlignment="1">
      <alignment vertical="top"/>
    </xf>
    <xf numFmtId="0" fontId="162" fillId="0" borderId="76" xfId="180" applyFont="1" applyBorder="1" applyAlignment="1">
      <alignment vertical="top"/>
    </xf>
    <xf numFmtId="0" fontId="162" fillId="47" borderId="77" xfId="180" applyFont="1" applyFill="1" applyBorder="1" applyAlignment="1">
      <alignment vertical="top"/>
    </xf>
    <xf numFmtId="0" fontId="162" fillId="0" borderId="54" xfId="180" applyFont="1" applyBorder="1" applyAlignment="1">
      <alignment vertical="top"/>
    </xf>
    <xf numFmtId="0" fontId="163" fillId="0" borderId="0" xfId="180" applyFont="1" applyAlignment="1">
      <alignment vertical="top"/>
    </xf>
    <xf numFmtId="0" fontId="165" fillId="0" borderId="76" xfId="180" applyFont="1" applyBorder="1" applyAlignment="1">
      <alignment vertical="top"/>
    </xf>
    <xf numFmtId="0" fontId="162" fillId="36" borderId="0" xfId="180" applyFont="1" applyFill="1" applyAlignment="1">
      <alignment vertical="top"/>
    </xf>
    <xf numFmtId="0" fontId="248" fillId="40" borderId="53" xfId="49" applyFont="1" applyFill="1" applyBorder="1"/>
    <xf numFmtId="0" fontId="248" fillId="40" borderId="54" xfId="49" applyFont="1" applyFill="1" applyBorder="1"/>
    <xf numFmtId="0" fontId="248" fillId="40" borderId="52" xfId="49" applyFont="1" applyFill="1" applyBorder="1"/>
    <xf numFmtId="169" fontId="87" fillId="0" borderId="27" xfId="49" applyNumberFormat="1" applyFont="1" applyBorder="1"/>
    <xf numFmtId="0" fontId="240" fillId="35" borderId="116" xfId="49" applyFont="1" applyFill="1" applyBorder="1"/>
    <xf numFmtId="0" fontId="240" fillId="35" borderId="117" xfId="49" applyFont="1" applyFill="1" applyBorder="1"/>
    <xf numFmtId="169" fontId="240" fillId="35" borderId="118" xfId="49" applyNumberFormat="1" applyFont="1" applyFill="1" applyBorder="1"/>
    <xf numFmtId="0" fontId="240" fillId="37" borderId="53" xfId="49" applyFont="1" applyFill="1" applyBorder="1"/>
    <xf numFmtId="0" fontId="240" fillId="37" borderId="54" xfId="49" applyFont="1" applyFill="1" applyBorder="1"/>
    <xf numFmtId="0" fontId="240" fillId="37" borderId="52" xfId="49" applyFont="1" applyFill="1" applyBorder="1"/>
    <xf numFmtId="169" fontId="240" fillId="35" borderId="119" xfId="49" applyNumberFormat="1" applyFont="1" applyFill="1" applyBorder="1"/>
    <xf numFmtId="164" fontId="117" fillId="0" borderId="0" xfId="49" applyNumberFormat="1" applyFont="1" applyBorder="1" applyAlignment="1">
      <alignment horizontal="center"/>
    </xf>
    <xf numFmtId="0" fontId="117" fillId="0" borderId="0" xfId="49" applyFont="1" applyBorder="1" applyAlignment="1">
      <alignment horizontal="center"/>
    </xf>
    <xf numFmtId="0" fontId="83" fillId="40" borderId="54" xfId="49" applyFont="1" applyFill="1" applyBorder="1" applyAlignment="1">
      <alignment horizontal="center" vertical="center"/>
    </xf>
    <xf numFmtId="9" fontId="87" fillId="0" borderId="0" xfId="49" applyNumberFormat="1" applyFont="1" applyBorder="1" applyAlignment="1">
      <alignment horizontal="center"/>
    </xf>
    <xf numFmtId="9" fontId="117" fillId="0" borderId="0" xfId="49" applyNumberFormat="1" applyFont="1" applyBorder="1" applyAlignment="1">
      <alignment horizontal="center"/>
    </xf>
    <xf numFmtId="10" fontId="87" fillId="0" borderId="27" xfId="98" applyNumberFormat="1" applyFont="1" applyBorder="1" applyAlignment="1">
      <alignment horizontal="center"/>
    </xf>
    <xf numFmtId="9" fontId="240" fillId="35" borderId="117" xfId="49" applyNumberFormat="1" applyFont="1" applyFill="1" applyBorder="1" applyAlignment="1">
      <alignment horizontal="center"/>
    </xf>
    <xf numFmtId="10" fontId="240" fillId="35" borderId="118" xfId="98" applyNumberFormat="1" applyFont="1" applyFill="1" applyBorder="1" applyAlignment="1">
      <alignment horizontal="center"/>
    </xf>
    <xf numFmtId="10" fontId="87" fillId="0" borderId="0" xfId="49" applyNumberFormat="1" applyFont="1" applyBorder="1" applyAlignment="1">
      <alignment horizontal="center"/>
    </xf>
    <xf numFmtId="0" fontId="83" fillId="37" borderId="0" xfId="118" applyFont="1" applyFill="1" applyAlignment="1">
      <alignment horizontal="center"/>
    </xf>
    <xf numFmtId="0" fontId="80" fillId="0" borderId="0" xfId="117" applyFont="1" applyAlignment="1">
      <alignment horizontal="left" vertical="top" wrapText="1"/>
    </xf>
    <xf numFmtId="0" fontId="162" fillId="45" borderId="0" xfId="180" applyFont="1" applyFill="1" applyAlignment="1">
      <alignment horizontal="left" vertical="top" wrapText="1"/>
    </xf>
    <xf numFmtId="0" fontId="162" fillId="45" borderId="0" xfId="180" applyFont="1" applyFill="1" applyAlignment="1">
      <alignment horizontal="center"/>
    </xf>
    <xf numFmtId="0" fontId="106" fillId="0" borderId="0" xfId="0" applyFont="1" applyAlignment="1">
      <alignment horizontal="left"/>
    </xf>
    <xf numFmtId="0" fontId="60" fillId="0" borderId="0" xfId="49" applyFont="1" applyAlignment="1">
      <alignment horizontal="center"/>
    </xf>
    <xf numFmtId="0" fontId="113" fillId="53" borderId="76" xfId="0" applyFont="1" applyFill="1" applyBorder="1" applyAlignment="1">
      <alignment horizontal="center"/>
    </xf>
    <xf numFmtId="0" fontId="113" fillId="52" borderId="76" xfId="0" applyFont="1" applyFill="1" applyBorder="1" applyAlignment="1">
      <alignment horizontal="center"/>
    </xf>
    <xf numFmtId="0" fontId="113" fillId="37" borderId="76" xfId="0" applyFont="1" applyFill="1" applyBorder="1" applyAlignment="1">
      <alignment horizontal="center"/>
    </xf>
    <xf numFmtId="0" fontId="113" fillId="37" borderId="50" xfId="0" applyFont="1" applyFill="1" applyBorder="1" applyAlignment="1">
      <alignment horizontal="center"/>
    </xf>
    <xf numFmtId="0" fontId="165" fillId="0" borderId="57" xfId="177" applyFont="1" applyBorder="1" applyAlignment="1">
      <alignment horizontal="center" vertical="top"/>
    </xf>
    <xf numFmtId="186" fontId="82" fillId="23" borderId="0" xfId="49" applyNumberFormat="1" applyFont="1" applyFill="1" applyAlignment="1">
      <alignment horizontal="center" vertical="center"/>
    </xf>
    <xf numFmtId="0" fontId="82" fillId="23" borderId="0" xfId="49" applyFont="1" applyFill="1" applyAlignment="1">
      <alignment horizontal="center" vertical="center" textRotation="90"/>
    </xf>
    <xf numFmtId="0" fontId="98" fillId="0" borderId="0" xfId="49" applyFont="1" applyAlignment="1">
      <alignment horizontal="center"/>
    </xf>
    <xf numFmtId="167" fontId="98" fillId="23" borderId="0" xfId="49" applyNumberFormat="1" applyFont="1" applyFill="1" applyBorder="1" applyAlignment="1">
      <alignment horizontal="center"/>
    </xf>
    <xf numFmtId="167" fontId="83" fillId="37" borderId="0" xfId="49" applyNumberFormat="1" applyFont="1" applyFill="1" applyBorder="1" applyAlignment="1">
      <alignment horizontal="center"/>
    </xf>
    <xf numFmtId="0" fontId="98" fillId="23" borderId="0" xfId="49" applyFont="1" applyFill="1" applyAlignment="1">
      <alignment horizontal="center"/>
    </xf>
    <xf numFmtId="0" fontId="80" fillId="0" borderId="19" xfId="49" applyFont="1" applyBorder="1" applyAlignment="1">
      <alignment horizontal="center" vertical="center" wrapText="1"/>
    </xf>
    <xf numFmtId="0" fontId="80" fillId="0" borderId="25" xfId="49" applyFont="1" applyBorder="1" applyAlignment="1">
      <alignment horizontal="center" vertical="center" wrapText="1"/>
    </xf>
    <xf numFmtId="0" fontId="80" fillId="0" borderId="20" xfId="49" applyFont="1" applyBorder="1" applyAlignment="1">
      <alignment horizontal="center" vertical="center" wrapText="1"/>
    </xf>
    <xf numFmtId="0" fontId="80" fillId="0" borderId="21" xfId="49" applyFont="1" applyBorder="1" applyAlignment="1">
      <alignment horizontal="center" vertical="center" wrapText="1"/>
    </xf>
    <xf numFmtId="0" fontId="80" fillId="0" borderId="0" xfId="49" applyFont="1" applyAlignment="1">
      <alignment horizontal="center" vertical="center" wrapText="1"/>
    </xf>
    <xf numFmtId="0" fontId="80" fillId="0" borderId="22" xfId="49" applyFont="1" applyBorder="1" applyAlignment="1">
      <alignment horizontal="center" vertical="center" wrapText="1"/>
    </xf>
    <xf numFmtId="0" fontId="80" fillId="0" borderId="23" xfId="49" applyFont="1" applyBorder="1" applyAlignment="1">
      <alignment horizontal="center" vertical="center" wrapText="1"/>
    </xf>
    <xf numFmtId="0" fontId="80" fillId="0" borderId="26" xfId="49" applyFont="1" applyBorder="1" applyAlignment="1">
      <alignment horizontal="center" vertical="center" wrapText="1"/>
    </xf>
    <xf numFmtId="0" fontId="80" fillId="0" borderId="24" xfId="49" applyFont="1" applyBorder="1" applyAlignment="1">
      <alignment horizontal="center" vertical="center" wrapText="1"/>
    </xf>
    <xf numFmtId="180" fontId="83" fillId="37" borderId="0" xfId="49" applyNumberFormat="1" applyFont="1" applyFill="1" applyBorder="1" applyAlignment="1">
      <alignment horizontal="center"/>
    </xf>
    <xf numFmtId="0" fontId="83" fillId="37" borderId="0" xfId="49" applyFont="1" applyFill="1" applyBorder="1" applyAlignment="1">
      <alignment horizontal="center"/>
    </xf>
    <xf numFmtId="0" fontId="83" fillId="37" borderId="0" xfId="49" applyFont="1" applyFill="1" applyBorder="1" applyAlignment="1">
      <alignment horizontal="center" wrapText="1"/>
    </xf>
    <xf numFmtId="180" fontId="98" fillId="23" borderId="0" xfId="49" applyNumberFormat="1" applyFont="1" applyFill="1" applyBorder="1" applyAlignment="1">
      <alignment horizontal="center"/>
    </xf>
    <xf numFmtId="0" fontId="98" fillId="0" borderId="0" xfId="49" applyFont="1" applyBorder="1" applyAlignment="1">
      <alignment horizontal="center" vertical="center"/>
    </xf>
    <xf numFmtId="0" fontId="82" fillId="23" borderId="0" xfId="49" applyFont="1" applyFill="1" applyBorder="1" applyAlignment="1">
      <alignment horizontal="center"/>
    </xf>
    <xf numFmtId="0" fontId="86" fillId="0" borderId="0" xfId="0" applyFont="1" applyAlignment="1">
      <alignment horizontal="center"/>
    </xf>
    <xf numFmtId="49" fontId="192" fillId="37" borderId="0" xfId="46" quotePrefix="1" applyNumberFormat="1" applyFont="1" applyFill="1" applyAlignment="1">
      <alignment horizontal="center"/>
    </xf>
    <xf numFmtId="0" fontId="109" fillId="40" borderId="53" xfId="0" applyFont="1" applyFill="1" applyBorder="1" applyAlignment="1">
      <alignment horizontal="center" vertical="center" wrapText="1"/>
    </xf>
    <xf numFmtId="0" fontId="109" fillId="40" borderId="54" xfId="0" applyFont="1" applyFill="1" applyBorder="1" applyAlignment="1">
      <alignment horizontal="center" vertical="center" wrapText="1"/>
    </xf>
    <xf numFmtId="0" fontId="109" fillId="40" borderId="52" xfId="0" applyFont="1" applyFill="1" applyBorder="1" applyAlignment="1">
      <alignment horizontal="center" vertical="center" wrapText="1"/>
    </xf>
    <xf numFmtId="0" fontId="109" fillId="40" borderId="54" xfId="0" applyFont="1" applyFill="1" applyBorder="1" applyAlignment="1">
      <alignment horizontal="center" wrapText="1"/>
    </xf>
    <xf numFmtId="0" fontId="109" fillId="40" borderId="52" xfId="0" applyFont="1" applyFill="1" applyBorder="1" applyAlignment="1">
      <alignment horizontal="center" wrapText="1"/>
    </xf>
    <xf numFmtId="0" fontId="109" fillId="40" borderId="53" xfId="0" applyFont="1" applyFill="1" applyBorder="1" applyAlignment="1">
      <alignment horizontal="center" wrapText="1"/>
    </xf>
    <xf numFmtId="167" fontId="83" fillId="40" borderId="0" xfId="49" applyNumberFormat="1" applyFont="1" applyFill="1" applyBorder="1" applyAlignment="1">
      <alignment horizontal="center"/>
    </xf>
    <xf numFmtId="0" fontId="109" fillId="40" borderId="53" xfId="0" applyFont="1" applyFill="1" applyBorder="1" applyAlignment="1">
      <alignment horizontal="center"/>
    </xf>
    <xf numFmtId="0" fontId="109" fillId="40" borderId="54" xfId="0" applyFont="1" applyFill="1" applyBorder="1" applyAlignment="1">
      <alignment horizontal="center"/>
    </xf>
    <xf numFmtId="0" fontId="109" fillId="40" borderId="52" xfId="0" applyFont="1" applyFill="1" applyBorder="1" applyAlignment="1">
      <alignment horizontal="center"/>
    </xf>
  </cellXfs>
  <cellStyles count="183">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62" builtinId="3" hidden="1"/>
    <cellStyle name="Comma" xfId="28" builtinId="3" hidden="1"/>
    <cellStyle name="Comma" xfId="105" builtinId="3"/>
    <cellStyle name="Comma [0]" xfId="60" builtinId="6" hidden="1"/>
    <cellStyle name="Comma 11" xfId="147" xr:uid="{8592F5D0-E699-435B-BCBB-A07767115994}"/>
    <cellStyle name="Comma 11 2" xfId="155" xr:uid="{7FBC87F5-BE3B-4BF9-BA05-768C9172A273}"/>
    <cellStyle name="Comma 11 2 2" xfId="170" xr:uid="{DB7EBA48-D748-40C5-B220-B73DE7D4F32D}"/>
    <cellStyle name="Comma 11 3" xfId="162" xr:uid="{F9C2889D-A819-416D-986C-A257F0765763}"/>
    <cellStyle name="Comma 15" xfId="148" xr:uid="{C2A96003-D4CC-49D1-84F8-3EFF880DE4EB}"/>
    <cellStyle name="Comma 15 2" xfId="156" xr:uid="{EC806061-1F38-43BB-8732-528EB08E901A}"/>
    <cellStyle name="Comma 15 2 2" xfId="171" xr:uid="{2A42DF83-B348-416C-AA7B-80B7400F9DE6}"/>
    <cellStyle name="Comma 15 3" xfId="163" xr:uid="{92A71BCC-DF9A-4E39-83F4-E527D567127C}"/>
    <cellStyle name="Comma 2" xfId="119" xr:uid="{8D20B453-9CF1-43A1-9E14-8091DA85EDA4}"/>
    <cellStyle name="Comma 2 2" xfId="150" xr:uid="{2468A28F-30E1-495C-A75A-1CEACD82F9DC}"/>
    <cellStyle name="Comma 2 2 2" xfId="142" xr:uid="{6CB9BC20-89CE-4C98-B0E5-547712A98C94}"/>
    <cellStyle name="Comma 2 2 2 2" xfId="153" xr:uid="{10865CD3-6D06-4821-BD05-219E05BCF32A}"/>
    <cellStyle name="Comma 2 2 2 2 2" xfId="159" xr:uid="{480E4574-D325-400F-9EFA-AE64BA596C3C}"/>
    <cellStyle name="Comma 2 2 2 2 2 2" xfId="173" xr:uid="{4DE3DF25-6F08-478B-8139-D5CBFBAE5531}"/>
    <cellStyle name="Comma 2 2 2 2 3" xfId="168" xr:uid="{E0711EDA-8212-471D-A4CF-4D7AFEF252B9}"/>
    <cellStyle name="Comma 2 2 3" xfId="165" xr:uid="{34030D9F-2C66-40FA-97DF-D193E3BC1411}"/>
    <cellStyle name="Comma 2 3" xfId="136" xr:uid="{44CF451F-CB45-4A1F-8EF8-27129AFF7F56}"/>
    <cellStyle name="Comma 3" xfId="123" xr:uid="{1242DC0D-3763-455E-A3F5-715D92CADC12}"/>
    <cellStyle name="Comma 3 2" xfId="140" xr:uid="{79E0C681-C884-4AB9-9EB3-88B43258D57F}"/>
    <cellStyle name="Comma 3 2 2" xfId="145" xr:uid="{09CE49E4-1282-493B-A514-588055863363}"/>
    <cellStyle name="Comma 3 2 2 2" xfId="154" xr:uid="{505923C6-EA49-4F4A-97C9-6D81005E97DB}"/>
    <cellStyle name="Comma 3 2 2 2 2" xfId="169" xr:uid="{27747AE7-636E-46A5-814D-E6A3FE86FED5}"/>
    <cellStyle name="Comma 3 2 2 3" xfId="161" xr:uid="{DAEEC549-7203-4374-9FFD-4EA0AEAB8845}"/>
    <cellStyle name="Comma 3 3" xfId="152" xr:uid="{65704FE2-286A-401A-B4CB-318D238A03AC}"/>
    <cellStyle name="Comma 3 3 2" xfId="167" xr:uid="{30F20CFB-ABAF-40CB-BD7E-517553AB2F3A}"/>
    <cellStyle name="Comma 3 4" xfId="160" xr:uid="{16178FEA-7571-47FE-9A5E-9D89379FFCA1}"/>
    <cellStyle name="Comma 3 5" xfId="138" xr:uid="{EA8987C7-75AB-4AA3-BD0D-9B5656847E0F}"/>
    <cellStyle name="Comma 4" xfId="127" xr:uid="{DD94F040-5732-45F5-B1F2-5ED94F68B5A2}"/>
    <cellStyle name="Comma 4 2" xfId="164" xr:uid="{71298D89-F21D-49BA-91BB-A7CE7FCE95E7}"/>
    <cellStyle name="Comma 4 3" xfId="149" xr:uid="{53B3A4F4-0845-4C55-8520-81C3C99A8776}"/>
    <cellStyle name="Comma 5" xfId="137" xr:uid="{A3D34380-D009-4A34-9267-EAF911FEC68F}"/>
    <cellStyle name="Comma 5 2" xfId="151" xr:uid="{55F5E54D-5BE9-482B-8919-783BA2B69ADC}"/>
    <cellStyle name="Comma 5 2 2" xfId="166" xr:uid="{54530214-077E-4560-8039-9C8805C3BA72}"/>
    <cellStyle name="Comma 6" xfId="157" xr:uid="{2DF056B2-F8C9-407A-BA66-EF189978E70C}"/>
    <cellStyle name="Comma 6 2" xfId="172" xr:uid="{C2ED534C-F094-4BEC-8935-68511D5EC73C}"/>
    <cellStyle name="Comma 7" xfId="130" xr:uid="{9ED55DB2-7B31-455F-B7EF-1D10EAD274CA}"/>
    <cellStyle name="Comma 8" xfId="179" xr:uid="{95B21C95-B20E-4A7A-9E7E-302A1A5C6186}"/>
    <cellStyle name="Comma 8 2" xfId="181" xr:uid="{2A5F0F1A-7A11-4AA3-820A-7E14E5A31F06}"/>
    <cellStyle name="Currency" xfId="29" builtinId="4" hidden="1"/>
    <cellStyle name="Currency [0]" xfId="30" builtinId="7" hidden="1"/>
    <cellStyle name="Currency 2" xfId="110" xr:uid="{00000000-0005-0000-0000-000021000000}"/>
    <cellStyle name="Date" xfId="135" xr:uid="{093225D9-94A3-4CB4-964F-94BCAEAED4A5}"/>
    <cellStyle name="DateShort" xfId="134" xr:uid="{DE81A27A-0D6C-4F80-84EB-856FAFD75DA2}"/>
    <cellStyle name="Explanatory Text" xfId="31" builtinId="53" hidden="1" customBuiltin="1"/>
    <cellStyle name="Followed Hyperlink" xfId="89" builtinId="9" hidden="1"/>
    <cellStyle name="Followed Hyperlink" xfId="87"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6" builtinId="9" hidden="1"/>
    <cellStyle name="Followed Hyperlink" xfId="80" builtinId="9" hidden="1"/>
    <cellStyle name="Followed Hyperlink" xfId="81" builtinId="9" hidden="1"/>
    <cellStyle name="Followed Hyperlink" xfId="84" builtinId="9" hidden="1"/>
    <cellStyle name="Followed Hyperlink" xfId="85" builtinId="9" hidden="1"/>
    <cellStyle name="Followed Hyperlink" xfId="66" builtinId="9" hidden="1"/>
    <cellStyle name="Followed Hyperlink" xfId="64" builtinId="9" hidden="1"/>
    <cellStyle name="Good" xfId="32" builtinId="26" hidden="1" customBuiltin="1"/>
    <cellStyle name="Heading 1" xfId="33" builtinId="16" hidden="1" customBuiltin="1"/>
    <cellStyle name="Heading 2" xfId="34" builtinId="17" hidden="1" customBuiltin="1"/>
    <cellStyle name="Heading 3" xfId="35" builtinId="18" hidden="1" customBuiltin="1"/>
    <cellStyle name="Heading 4" xfId="36" builtinId="19" hidden="1" customBuiltin="1"/>
    <cellStyle name="Hyperlink" xfId="70" builtinId="8" hidden="1"/>
    <cellStyle name="Hyperlink" xfId="95" builtinId="8" hidden="1"/>
    <cellStyle name="Hyperlink" xfId="88" builtinId="8" hidden="1"/>
    <cellStyle name="Hyperlink" xfId="90" builtinId="8" hidden="1"/>
    <cellStyle name="Hyperlink" xfId="91" builtinId="8" hidden="1"/>
    <cellStyle name="Hyperlink" xfId="93" builtinId="8" hidden="1"/>
    <cellStyle name="Hyperlink" xfId="83" builtinId="8" hidden="1"/>
    <cellStyle name="Hyperlink" xfId="86" builtinId="8" hidden="1"/>
    <cellStyle name="Hyperlink" xfId="79" builtinId="8" hidden="1"/>
    <cellStyle name="Hyperlink" xfId="63" builtinId="8" hidden="1"/>
    <cellStyle name="Hyperlink" xfId="74" builtinId="8" hidden="1"/>
    <cellStyle name="Hyperlink" xfId="75" builtinId="8" hidden="1"/>
    <cellStyle name="Hyperlink" xfId="77" builtinId="8" hidden="1"/>
    <cellStyle name="Hyperlink" xfId="68" builtinId="8" hidden="1"/>
    <cellStyle name="Hyperlink" xfId="82" builtinId="8" hidden="1"/>
    <cellStyle name="Hyperlink" xfId="72" builtinId="8" hidden="1"/>
    <cellStyle name="Hyperlink" xfId="94" builtinId="8" hidden="1"/>
    <cellStyle name="Hyperlink" xfId="176" builtinId="8"/>
    <cellStyle name="Input" xfId="37" builtinId="20" hidden="1" customBuiltin="1"/>
    <cellStyle name="Linked Cell" xfId="38" builtinId="24" hidden="1" customBuiltin="1"/>
    <cellStyle name="Neutral" xfId="39" builtinId="28" hidden="1" customBuiltin="1"/>
    <cellStyle name="Normal" xfId="0" builtinId="0"/>
    <cellStyle name="Normal 10" xfId="178" xr:uid="{963BABB2-FA0A-492E-A5B4-15E2E4ECE342}"/>
    <cellStyle name="Normal 10 2" xfId="180" xr:uid="{165344E0-33EE-4711-80FA-0CF021E7E1FC}"/>
    <cellStyle name="Normal 104 2" xfId="114" xr:uid="{ACCDADFD-5018-4424-8827-0395531F5D82}"/>
    <cellStyle name="Normal 104 2 2" xfId="122" xr:uid="{BB7D8399-24B6-4CA6-897A-70D58B4A98DE}"/>
    <cellStyle name="Normal 104 2 3" xfId="125" xr:uid="{5E0EA9D5-3631-42F7-8DB3-A45C6973D103}"/>
    <cellStyle name="Normal 104 2 4" xfId="144" xr:uid="{00CDF6A6-4FBB-47A5-BC0A-64DD8A487EF1}"/>
    <cellStyle name="Normal 104 2 5" xfId="174" xr:uid="{7FDC8E19-85E8-4816-93A3-2548323325F6}"/>
    <cellStyle name="Normal 105 3" xfId="104" xr:uid="{00000000-0005-0000-0000-00004B000000}"/>
    <cellStyle name="Normal 2" xfId="96" xr:uid="{00000000-0005-0000-0000-00004C000000}"/>
    <cellStyle name="Normal 2 2" xfId="112" xr:uid="{00000000-0005-0000-0000-00004D000000}"/>
    <cellStyle name="Normal 2 2 14" xfId="141" xr:uid="{1ED34C5E-FE18-45A9-8B9F-87A0DFB1B426}"/>
    <cellStyle name="Normal 2 2 19" xfId="102" xr:uid="{00000000-0005-0000-0000-00004E000000}"/>
    <cellStyle name="Normal 28" xfId="118" xr:uid="{56794B0F-5F99-477D-B370-A6749B329FEF}"/>
    <cellStyle name="Normal 3" xfId="113" xr:uid="{00000000-0005-0000-0000-00004F000000}"/>
    <cellStyle name="Normal 3 2" xfId="103" xr:uid="{00000000-0005-0000-0000-000050000000}"/>
    <cellStyle name="Normal 3 2 2" xfId="100" xr:uid="{00000000-0005-0000-0000-000051000000}"/>
    <cellStyle name="Normal 3 2 3" xfId="109" xr:uid="{00000000-0005-0000-0000-000052000000}"/>
    <cellStyle name="Normal 3 3" xfId="132" xr:uid="{89B3A0EF-5BF8-49C4-A8B5-CFA82AEA8448}"/>
    <cellStyle name="Normal 3 4" xfId="133" xr:uid="{33BBADA9-52D5-4DD9-991B-4F99BCF80E8E}"/>
    <cellStyle name="Normal 4" xfId="115" xr:uid="{026A53E3-BAC1-4959-AC2C-A170635AD657}"/>
    <cellStyle name="Normal 44" xfId="158" xr:uid="{81005F50-FCC9-4FCF-962B-4150899FB426}"/>
    <cellStyle name="Normal 5" xfId="117" xr:uid="{7033D37F-EC38-458A-8416-B28B1940B9C8}"/>
    <cellStyle name="Normal 5 2" xfId="139" xr:uid="{FECD38C9-E8AB-44A7-8CD9-940DE8ECBD6A}"/>
    <cellStyle name="Normal 6" xfId="121" xr:uid="{668D2ED0-8505-468C-873C-2BF46AADF856}"/>
    <cellStyle name="Normal 7" xfId="126" xr:uid="{09EC581F-9799-4F33-8918-3DF4E02F4E43}"/>
    <cellStyle name="Normal 8" xfId="129" xr:uid="{ABD9690C-281F-4A07-9158-E3A3C24D572A}"/>
    <cellStyle name="Normal 9" xfId="177" xr:uid="{80E2E87C-97EC-4AEB-A1BC-513EA602EBCB}"/>
    <cellStyle name="Note" xfId="40" builtinId="10" hidden="1" customBuiltin="1"/>
    <cellStyle name="Output" xfId="41" builtinId="21" hidden="1" customBuiltin="1"/>
    <cellStyle name="Percent" xfId="42" builtinId="5" hidden="1"/>
    <cellStyle name="Percent" xfId="98" builtinId="5"/>
    <cellStyle name="Percent 10" xfId="182" xr:uid="{CBAC133B-47DA-40A5-8ECF-E6A83C025608}"/>
    <cellStyle name="Percent 15" xfId="106" xr:uid="{00000000-0005-0000-0000-000059000000}"/>
    <cellStyle name="Percent 15 2" xfId="111" xr:uid="{00000000-0005-0000-0000-00005A000000}"/>
    <cellStyle name="Percent 16" xfId="101" xr:uid="{00000000-0005-0000-0000-00005B000000}"/>
    <cellStyle name="Percent 2" xfId="97" xr:uid="{00000000-0005-0000-0000-00005C000000}"/>
    <cellStyle name="Percent 2 2" xfId="99" xr:uid="{00000000-0005-0000-0000-00005D000000}"/>
    <cellStyle name="Percent 2 2 2" xfId="143" xr:uid="{638A478C-94B8-47F6-81C7-1141BCE3AD8C}"/>
    <cellStyle name="Percent 21" xfId="146" xr:uid="{140D19D1-03F7-4DD7-90ED-7830039526D4}"/>
    <cellStyle name="Percent 3" xfId="108" xr:uid="{00000000-0005-0000-0000-00005E000000}"/>
    <cellStyle name="Percent 4" xfId="116" xr:uid="{A7F17CCC-BF10-41C1-9C17-9EB7D4D0E1F7}"/>
    <cellStyle name="Percent 5" xfId="120" xr:uid="{A0AAF0B7-3A9C-4F39-A836-7DBEF2AA0643}"/>
    <cellStyle name="Percent 6" xfId="124" xr:uid="{011CE777-0C2B-4509-9F78-97A783EDFD43}"/>
    <cellStyle name="Percent 7" xfId="128" xr:uid="{4CD6858D-4843-40A3-B1A1-C2361F3DF64B}"/>
    <cellStyle name="Percent 8" xfId="131" xr:uid="{D8ED5D1A-12B5-41E5-A595-702755165167}"/>
    <cellStyle name="Percent 9" xfId="175" xr:uid="{1316774D-A120-4D06-824F-594167C3B90B}"/>
    <cellStyle name="TextNormal" xfId="107" xr:uid="{00000000-0005-0000-0000-00005F000000}"/>
    <cellStyle name="Title" xfId="43" builtinId="15" hidden="1" customBuiltin="1"/>
    <cellStyle name="Total" xfId="44" builtinId="25" hidden="1" customBuiltin="1"/>
    <cellStyle name="VSG $" xfId="52" xr:uid="{00000000-0005-0000-0000-000062000000}"/>
    <cellStyle name="VSG Column Header" xfId="46" xr:uid="{00000000-0005-0000-0000-000063000000}"/>
    <cellStyle name="VSG Currency" xfId="78" xr:uid="{00000000-0005-0000-0000-000064000000}"/>
    <cellStyle name="VSG Date Long" xfId="55" xr:uid="{00000000-0005-0000-0000-000065000000}"/>
    <cellStyle name="VSG Date Short" xfId="58" xr:uid="{00000000-0005-0000-0000-000066000000}"/>
    <cellStyle name="VSG Decimal" xfId="59" xr:uid="{00000000-0005-0000-0000-000067000000}"/>
    <cellStyle name="VSG Footnote" xfId="56" xr:uid="{00000000-0005-0000-0000-000068000000}"/>
    <cellStyle name="VSG Footnote Header" xfId="57" xr:uid="{00000000-0005-0000-0000-000069000000}"/>
    <cellStyle name="VSG Footnote Number" xfId="92" xr:uid="{00000000-0005-0000-0000-00006A000000}"/>
    <cellStyle name="VSG Hyperlink" xfId="65" xr:uid="{00000000-0005-0000-0000-00006B000000}"/>
    <cellStyle name="VSG Input" xfId="47" xr:uid="{00000000-0005-0000-0000-00006C000000}"/>
    <cellStyle name="VSG Multiple" xfId="53" xr:uid="{00000000-0005-0000-0000-00006D000000}"/>
    <cellStyle name="VSG Normal" xfId="49" xr:uid="{00000000-0005-0000-0000-00006E000000}"/>
    <cellStyle name="VSG Number" xfId="48" xr:uid="{00000000-0005-0000-0000-00006F000000}"/>
    <cellStyle name="VSG Percentage" xfId="54" xr:uid="{00000000-0005-0000-0000-000070000000}"/>
    <cellStyle name="VSG Schedule Header L1" xfId="51" xr:uid="{00000000-0005-0000-0000-000071000000}"/>
    <cellStyle name="VSG Schedule Header L2" xfId="50" xr:uid="{00000000-0005-0000-0000-000072000000}"/>
    <cellStyle name="VSG Years" xfId="61" xr:uid="{00000000-0005-0000-0000-000073000000}"/>
    <cellStyle name="Warning Text" xfId="45" builtinId="11" hidden="1" customBuiltin="1"/>
  </cellStyles>
  <dxfs count="38">
    <dxf>
      <font>
        <color rgb="FFFF0000"/>
      </font>
    </dxf>
    <dxf>
      <font>
        <b/>
        <i val="0"/>
        <color rgb="FFC00000"/>
      </font>
      <fill>
        <patternFill>
          <bgColor theme="5" tint="0.39994506668294322"/>
        </patternFill>
      </fill>
    </dxf>
    <dxf>
      <font>
        <color rgb="FFFF0000"/>
      </font>
    </dxf>
    <dxf>
      <font>
        <color rgb="FFFF0000"/>
      </font>
    </dxf>
    <dxf>
      <font>
        <b/>
        <i val="0"/>
        <color rgb="FFC00000"/>
      </font>
      <fill>
        <patternFill>
          <bgColor theme="9" tint="0.39994506668294322"/>
        </patternFill>
      </fill>
    </dxf>
    <dxf>
      <font>
        <color rgb="FFFF0000"/>
      </font>
    </dxf>
    <dxf>
      <font>
        <b/>
        <i val="0"/>
        <color rgb="FF00684F"/>
      </font>
    </dxf>
    <dxf>
      <font>
        <b/>
        <i val="0"/>
        <color rgb="FFC00000"/>
      </font>
      <fill>
        <patternFill>
          <bgColor theme="5" tint="0.39994506668294322"/>
        </patternFill>
      </fill>
    </dxf>
    <dxf>
      <font>
        <b/>
        <i val="0"/>
        <color rgb="FFC00000"/>
      </font>
    </dxf>
    <dxf>
      <font>
        <b/>
        <i val="0"/>
        <color rgb="FFC00000"/>
      </font>
    </dxf>
    <dxf>
      <font>
        <b/>
        <i val="0"/>
        <color rgb="FFC00000"/>
      </font>
    </dxf>
    <dxf>
      <font>
        <color rgb="FFFF0000"/>
      </font>
    </dxf>
    <dxf>
      <font>
        <color rgb="FFFF0000"/>
      </font>
    </dxf>
    <dxf>
      <font>
        <color rgb="FFFF0000"/>
      </font>
    </dxf>
    <dxf>
      <font>
        <color rgb="FFFF0000"/>
      </font>
    </dxf>
    <dxf>
      <font>
        <color rgb="FFFF0000"/>
      </font>
    </dxf>
    <dxf>
      <font>
        <color rgb="FFFF0000"/>
      </font>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rgb="FFFF0000"/>
        </patternFill>
      </fill>
    </dxf>
    <dxf>
      <fill>
        <patternFill>
          <bgColor rgb="FFFF0000"/>
        </patternFill>
      </fill>
    </dxf>
    <dxf>
      <fill>
        <patternFill>
          <bgColor rgb="FFFFC000"/>
        </patternFill>
      </fill>
    </dxf>
    <dxf>
      <fill>
        <patternFill>
          <bgColor rgb="FFFFC000"/>
        </patternFill>
      </fill>
    </dxf>
    <dxf>
      <font>
        <color auto="1"/>
      </font>
      <fill>
        <patternFill>
          <bgColor rgb="FF00B050"/>
        </patternFill>
      </fill>
    </dxf>
    <dxf>
      <font>
        <color auto="1"/>
      </font>
      <fill>
        <patternFill>
          <bgColor rgb="FFFF0000"/>
        </patternFill>
      </fill>
    </dxf>
    <dxf>
      <fill>
        <patternFill>
          <bgColor rgb="FF00B050"/>
        </patternFill>
      </fill>
    </dxf>
    <dxf>
      <fill>
        <patternFill>
          <bgColor rgb="FF00B050"/>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xr9:uid="{00000000-0011-0000-FFFF-FFFF00000000}">
      <tableStyleElement type="firstRowStripe" dxfId="37"/>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mruColors>
      <color rgb="FF0000FF"/>
      <color rgb="FF003399"/>
      <color rgb="FF92A4FC"/>
      <color rgb="FFFFCCCC"/>
      <color rgb="FF00CCE2"/>
      <color rgb="FFD7EEF1"/>
      <color rgb="FF138CD7"/>
      <color rgb="FF4F2D7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sharedStrings" Target="sharedString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577533577533576E-2"/>
          <c:y val="9.0759075907590761E-2"/>
          <c:w val="0.93284493284493286"/>
          <c:h val="0.61573763675580151"/>
        </c:manualLayout>
      </c:layout>
      <c:barChart>
        <c:barDir val="col"/>
        <c:grouping val="stacked"/>
        <c:varyColors val="0"/>
        <c:ser>
          <c:idx val="0"/>
          <c:order val="0"/>
          <c:tx>
            <c:strRef>
              <c:f>ReportData!$O$31</c:f>
              <c:strCache>
                <c:ptCount val="1"/>
                <c:pt idx="0">
                  <c:v> Existing Business Revenues </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ReportData!$Q$31:$Z$31</c:f>
              <c:numCache>
                <c:formatCode>0%</c:formatCode>
                <c:ptCount val="10"/>
                <c:pt idx="0">
                  <c:v>0</c:v>
                </c:pt>
                <c:pt idx="1">
                  <c:v>0</c:v>
                </c:pt>
                <c:pt idx="2">
                  <c:v>0</c:v>
                </c:pt>
                <c:pt idx="3">
                  <c:v>0.54761904761904767</c:v>
                </c:pt>
                <c:pt idx="4">
                  <c:v>0.54761904761904767</c:v>
                </c:pt>
                <c:pt idx="5">
                  <c:v>0.54761904761904767</c:v>
                </c:pt>
                <c:pt idx="6">
                  <c:v>0.4073743890220789</c:v>
                </c:pt>
                <c:pt idx="7">
                  <c:v>0.24234183206450213</c:v>
                </c:pt>
                <c:pt idx="8">
                  <c:v>0.18109190474293105</c:v>
                </c:pt>
                <c:pt idx="9">
                  <c:v>0.13322912034697612</c:v>
                </c:pt>
              </c:numCache>
            </c:numRef>
          </c:val>
          <c:extLst>
            <c:ext xmlns:c16="http://schemas.microsoft.com/office/drawing/2014/chart" uri="{C3380CC4-5D6E-409C-BE32-E72D297353CC}">
              <c16:uniqueId val="{00000000-4B07-453E-870E-BA4EAB2FA86B}"/>
            </c:ext>
          </c:extLst>
        </c:ser>
        <c:ser>
          <c:idx val="1"/>
          <c:order val="1"/>
          <c:tx>
            <c:strRef>
              <c:f>ReportData!$O$32</c:f>
              <c:strCache>
                <c:ptCount val="1"/>
                <c:pt idx="0">
                  <c:v> Pipeline Business Revenues </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ReportData!$Q$32:$Z$32</c:f>
              <c:numCache>
                <c:formatCode>0%</c:formatCode>
                <c:ptCount val="10"/>
                <c:pt idx="0">
                  <c:v>0</c:v>
                </c:pt>
                <c:pt idx="1">
                  <c:v>0</c:v>
                </c:pt>
                <c:pt idx="2">
                  <c:v>0</c:v>
                </c:pt>
                <c:pt idx="3">
                  <c:v>0.35714285714285715</c:v>
                </c:pt>
                <c:pt idx="4">
                  <c:v>0.35714285714285715</c:v>
                </c:pt>
                <c:pt idx="5">
                  <c:v>0.35714285714285715</c:v>
                </c:pt>
                <c:pt idx="6">
                  <c:v>0.35714285714285715</c:v>
                </c:pt>
                <c:pt idx="7">
                  <c:v>0.35714285714285715</c:v>
                </c:pt>
                <c:pt idx="8">
                  <c:v>0.35714285714285715</c:v>
                </c:pt>
                <c:pt idx="9">
                  <c:v>0.35714285714285715</c:v>
                </c:pt>
              </c:numCache>
            </c:numRef>
          </c:val>
          <c:extLst>
            <c:ext xmlns:c16="http://schemas.microsoft.com/office/drawing/2014/chart" uri="{C3380CC4-5D6E-409C-BE32-E72D297353CC}">
              <c16:uniqueId val="{00000001-4B07-453E-870E-BA4EAB2FA86B}"/>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ReportData!$Q$33:$Z$33</c:f>
              <c:numCache>
                <c:formatCode>0%</c:formatCode>
                <c:ptCount val="10"/>
                <c:pt idx="0">
                  <c:v>0</c:v>
                </c:pt>
                <c:pt idx="1">
                  <c:v>0</c:v>
                </c:pt>
                <c:pt idx="2">
                  <c:v>0</c:v>
                </c:pt>
                <c:pt idx="3">
                  <c:v>9.5238095238095233E-2</c:v>
                </c:pt>
                <c:pt idx="4">
                  <c:v>9.5238095238095233E-2</c:v>
                </c:pt>
                <c:pt idx="5">
                  <c:v>9.5238095238095233E-2</c:v>
                </c:pt>
                <c:pt idx="6">
                  <c:v>9.5238095238095233E-2</c:v>
                </c:pt>
                <c:pt idx="7">
                  <c:v>9.5238095238095233E-2</c:v>
                </c:pt>
                <c:pt idx="8">
                  <c:v>9.5238095238095233E-2</c:v>
                </c:pt>
                <c:pt idx="9">
                  <c:v>9.5238095238095233E-2</c:v>
                </c:pt>
              </c:numCache>
            </c:numRef>
          </c:val>
          <c:extLst>
            <c:ext xmlns:c16="http://schemas.microsoft.com/office/drawing/2014/chart" uri="{C3380CC4-5D6E-409C-BE32-E72D297353CC}">
              <c16:uniqueId val="{00000002-4B07-453E-870E-BA4EAB2FA86B}"/>
            </c:ext>
          </c:extLst>
        </c:ser>
        <c:ser>
          <c:idx val="3"/>
          <c:order val="3"/>
          <c:tx>
            <c:strRef>
              <c:f>ReportData!#REF!</c:f>
              <c:strCache>
                <c:ptCount val="1"/>
                <c:pt idx="0">
                  <c:v>#REF!</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ReportData!#REF!</c:f>
              <c:numCache>
                <c:formatCode>General</c:formatCode>
                <c:ptCount val="1"/>
                <c:pt idx="0">
                  <c:v>1</c:v>
                </c:pt>
              </c:numCache>
            </c:numRef>
          </c:val>
          <c:extLst>
            <c:ext xmlns:c16="http://schemas.microsoft.com/office/drawing/2014/chart" uri="{C3380CC4-5D6E-409C-BE32-E72D297353CC}">
              <c16:uniqueId val="{00000003-4B07-453E-870E-BA4EAB2FA86B}"/>
            </c:ext>
          </c:extLst>
        </c:ser>
        <c:dLbls>
          <c:dLblPos val="ctr"/>
          <c:showLegendKey val="0"/>
          <c:showVal val="1"/>
          <c:showCatName val="0"/>
          <c:showSerName val="0"/>
          <c:showPercent val="0"/>
          <c:showBubbleSize val="0"/>
        </c:dLbls>
        <c:gapWidth val="50"/>
        <c:overlap val="100"/>
        <c:axId val="1102505360"/>
        <c:axId val="1423775296"/>
      </c:barChart>
      <c:catAx>
        <c:axId val="110250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1423775296"/>
        <c:crosses val="autoZero"/>
        <c:auto val="1"/>
        <c:lblAlgn val="ctr"/>
        <c:lblOffset val="100"/>
        <c:noMultiLvlLbl val="0"/>
      </c:catAx>
      <c:valAx>
        <c:axId val="1423775296"/>
        <c:scaling>
          <c:orientation val="minMax"/>
          <c:max val="650"/>
          <c:min val="0"/>
        </c:scaling>
        <c:delete val="1"/>
        <c:axPos val="l"/>
        <c:numFmt formatCode="0%" sourceLinked="1"/>
        <c:majorTickMark val="none"/>
        <c:minorTickMark val="none"/>
        <c:tickLblPos val="nextTo"/>
        <c:crossAx val="1102505360"/>
        <c:crosses val="autoZero"/>
        <c:crossBetween val="between"/>
      </c:valAx>
      <c:spPr>
        <a:noFill/>
        <a:ln>
          <a:noFill/>
        </a:ln>
        <a:effectLst/>
      </c:spPr>
    </c:plotArea>
    <c:legend>
      <c:legendPos val="b"/>
      <c:legendEntry>
        <c:idx val="3"/>
        <c:delete val="1"/>
      </c:legendEntry>
      <c:layout>
        <c:manualLayout>
          <c:xMode val="edge"/>
          <c:yMode val="edge"/>
          <c:x val="1.7943278951908163E-3"/>
          <c:y val="0.82009693095293779"/>
          <c:w val="0.99820575312701298"/>
          <c:h val="0.1799030690470621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35659362227816E-2"/>
          <c:y val="7.3662774911756712E-2"/>
          <c:w val="0.94623655913978499"/>
          <c:h val="0.61697761917691318"/>
        </c:manualLayout>
      </c:layout>
      <c:lineChart>
        <c:grouping val="standard"/>
        <c:varyColors val="0"/>
        <c:ser>
          <c:idx val="0"/>
          <c:order val="0"/>
          <c:tx>
            <c:strRef>
              <c:f>ReportData!$O$66</c:f>
              <c:strCache>
                <c:ptCount val="1"/>
                <c:pt idx="0">
                  <c:v>Gross Margin</c:v>
                </c:pt>
              </c:strCache>
            </c:strRef>
          </c:tx>
          <c:spPr>
            <a:ln w="28575" cap="rnd">
              <a:solidFill>
                <a:srgbClr val="00CCE2"/>
              </a:solidFill>
              <a:round/>
            </a:ln>
            <a:effectLst/>
          </c:spPr>
          <c:marker>
            <c:symbol val="circle"/>
            <c:size val="5"/>
            <c:spPr>
              <a:solidFill>
                <a:srgbClr val="00CCE2"/>
              </a:solidFill>
              <a:ln w="9525">
                <a:solidFill>
                  <a:srgbClr val="00CCE2"/>
                </a:solidFill>
              </a:ln>
              <a:effectLst/>
            </c:spPr>
          </c:marker>
          <c:dLbls>
            <c:spPr>
              <a:solidFill>
                <a:srgbClr val="00CCE2"/>
              </a:solid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ReportData!$Q$66:$Z$66</c:f>
              <c:numCache>
                <c:formatCode>0%</c:formatCode>
                <c:ptCount val="10"/>
                <c:pt idx="0">
                  <c:v>0</c:v>
                </c:pt>
                <c:pt idx="1">
                  <c:v>0</c:v>
                </c:pt>
                <c:pt idx="2">
                  <c:v>0</c:v>
                </c:pt>
                <c:pt idx="3">
                  <c:v>0.7</c:v>
                </c:pt>
                <c:pt idx="4">
                  <c:v>0.7</c:v>
                </c:pt>
                <c:pt idx="5">
                  <c:v>0.7</c:v>
                </c:pt>
                <c:pt idx="6">
                  <c:v>0.7</c:v>
                </c:pt>
                <c:pt idx="7">
                  <c:v>0.7</c:v>
                </c:pt>
                <c:pt idx="8">
                  <c:v>0.7</c:v>
                </c:pt>
                <c:pt idx="9">
                  <c:v>0.7</c:v>
                </c:pt>
              </c:numCache>
            </c:numRef>
          </c:val>
          <c:smooth val="0"/>
          <c:extLst>
            <c:ext xmlns:c16="http://schemas.microsoft.com/office/drawing/2014/chart" uri="{C3380CC4-5D6E-409C-BE32-E72D297353CC}">
              <c16:uniqueId val="{00000000-B65C-4107-BB90-86A7103EB842}"/>
            </c:ext>
          </c:extLst>
        </c:ser>
        <c:ser>
          <c:idx val="1"/>
          <c:order val="1"/>
          <c:tx>
            <c:strRef>
              <c:f>ReportData!$O$67</c:f>
              <c:strCache>
                <c:ptCount val="1"/>
                <c:pt idx="0">
                  <c:v>EBITDA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ReportData!$Q$67:$Z$67</c:f>
              <c:numCache>
                <c:formatCode>0%</c:formatCode>
                <c:ptCount val="10"/>
                <c:pt idx="0">
                  <c:v>0</c:v>
                </c:pt>
                <c:pt idx="1">
                  <c:v>0</c:v>
                </c:pt>
                <c:pt idx="2">
                  <c:v>0</c:v>
                </c:pt>
                <c:pt idx="3">
                  <c:v>0.43214285714285716</c:v>
                </c:pt>
                <c:pt idx="4">
                  <c:v>0.43214285714285716</c:v>
                </c:pt>
                <c:pt idx="5">
                  <c:v>0.43214285714285716</c:v>
                </c:pt>
                <c:pt idx="6">
                  <c:v>0.43214285714285716</c:v>
                </c:pt>
                <c:pt idx="7">
                  <c:v>0.43214285714285716</c:v>
                </c:pt>
                <c:pt idx="8">
                  <c:v>0.43214285714285716</c:v>
                </c:pt>
                <c:pt idx="9">
                  <c:v>0.43214285714285716</c:v>
                </c:pt>
              </c:numCache>
            </c:numRef>
          </c:val>
          <c:smooth val="0"/>
          <c:extLst>
            <c:ext xmlns:c16="http://schemas.microsoft.com/office/drawing/2014/chart" uri="{C3380CC4-5D6E-409C-BE32-E72D297353CC}">
              <c16:uniqueId val="{00000001-B65C-4107-BB90-86A7103EB842}"/>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ReportData!$Q$68:$Z$68</c:f>
              <c:numCache>
                <c:formatCode>0%</c:formatCode>
                <c:ptCount val="10"/>
                <c:pt idx="0">
                  <c:v>0</c:v>
                </c:pt>
                <c:pt idx="1">
                  <c:v>0</c:v>
                </c:pt>
                <c:pt idx="2">
                  <c:v>0</c:v>
                </c:pt>
                <c:pt idx="3">
                  <c:v>0.20531335317460322</c:v>
                </c:pt>
                <c:pt idx="4">
                  <c:v>0.20221525793650796</c:v>
                </c:pt>
                <c:pt idx="5">
                  <c:v>0.19782628968253968</c:v>
                </c:pt>
                <c:pt idx="6">
                  <c:v>0.19343732142857142</c:v>
                </c:pt>
                <c:pt idx="7">
                  <c:v>0.1890483531746032</c:v>
                </c:pt>
                <c:pt idx="8">
                  <c:v>0.18465938492063494</c:v>
                </c:pt>
                <c:pt idx="9">
                  <c:v>0.18027041666666666</c:v>
                </c:pt>
              </c:numCache>
            </c:numRef>
          </c:val>
          <c:smooth val="0"/>
          <c:extLst>
            <c:ext xmlns:c16="http://schemas.microsoft.com/office/drawing/2014/chart" uri="{C3380CC4-5D6E-409C-BE32-E72D297353CC}">
              <c16:uniqueId val="{00000002-B65C-4107-BB90-86A7103EB842}"/>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1833874944"/>
        <c:crosses val="autoZero"/>
        <c:auto val="1"/>
        <c:lblAlgn val="ctr"/>
        <c:lblOffset val="100"/>
        <c:noMultiLvlLbl val="0"/>
      </c:catAx>
      <c:valAx>
        <c:axId val="1833874944"/>
        <c:scaling>
          <c:orientation val="minMax"/>
          <c:max val="1"/>
          <c:min val="-1"/>
        </c:scaling>
        <c:delete val="1"/>
        <c:axPos val="l"/>
        <c:numFmt formatCode="0%" sourceLinked="1"/>
        <c:majorTickMark val="out"/>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ReportData!$U$8</c:f>
          <c:strCache>
            <c:ptCount val="1"/>
            <c:pt idx="0">
              <c:v>Amounts in INR 'Units</c:v>
            </c:pt>
          </c:strCache>
        </c:strRef>
      </c:tx>
      <c:layout>
        <c:manualLayout>
          <c:xMode val="edge"/>
          <c:yMode val="edge"/>
          <c:x val="1.1387486985447953E-3"/>
          <c:y val="2.6982821291216524E-2"/>
        </c:manualLayout>
      </c:layout>
      <c:overlay val="0"/>
      <c:spPr>
        <a:noFill/>
        <a:ln>
          <a:noFill/>
        </a:ln>
        <a:effectLst/>
      </c:spPr>
      <c: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ReportData!$O$31</c:f>
              <c:strCache>
                <c:ptCount val="1"/>
                <c:pt idx="0">
                  <c:v> Existing Business Revenues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ReportData!$Q$31:$Z$31</c15:sqref>
                  </c15:fullRef>
                </c:ext>
              </c:extLst>
              <c:f>(ReportData!$Q$31:$R$31,ReportData!$U$31:$Z$31)</c:f>
              <c:numCache>
                <c:formatCode>0%</c:formatCode>
                <c:ptCount val="8"/>
                <c:pt idx="0">
                  <c:v>0</c:v>
                </c:pt>
                <c:pt idx="1">
                  <c:v>0</c:v>
                </c:pt>
                <c:pt idx="2">
                  <c:v>0.54761904761904767</c:v>
                </c:pt>
                <c:pt idx="3">
                  <c:v>0.54761904761904767</c:v>
                </c:pt>
                <c:pt idx="4">
                  <c:v>0.4073743890220789</c:v>
                </c:pt>
                <c:pt idx="5">
                  <c:v>0.24234183206450213</c:v>
                </c:pt>
                <c:pt idx="6">
                  <c:v>0.18109190474293105</c:v>
                </c:pt>
                <c:pt idx="7">
                  <c:v>0.13322912034697612</c:v>
                </c:pt>
              </c:numCache>
            </c:numRef>
          </c:val>
          <c:extLst>
            <c:ext xmlns:c16="http://schemas.microsoft.com/office/drawing/2014/chart" uri="{C3380CC4-5D6E-409C-BE32-E72D297353CC}">
              <c16:uniqueId val="{00000000-3507-4C61-A93E-BE653F52C561}"/>
            </c:ext>
          </c:extLst>
        </c:ser>
        <c:ser>
          <c:idx val="1"/>
          <c:order val="1"/>
          <c:tx>
            <c:strRef>
              <c:f>ReportData!$O$32</c:f>
              <c:strCache>
                <c:ptCount val="1"/>
                <c:pt idx="0">
                  <c:v> Pipeline Business Revenues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ReportData!$Q$32:$Z$32</c15:sqref>
                  </c15:fullRef>
                </c:ext>
              </c:extLst>
              <c:f>(ReportData!$Q$32:$R$32,ReportData!$U$32:$Z$32)</c:f>
              <c:numCache>
                <c:formatCode>0%</c:formatCode>
                <c:ptCount val="8"/>
                <c:pt idx="0">
                  <c:v>0</c:v>
                </c:pt>
                <c:pt idx="1">
                  <c:v>0</c:v>
                </c:pt>
                <c:pt idx="2">
                  <c:v>0.35714285714285715</c:v>
                </c:pt>
                <c:pt idx="3">
                  <c:v>0.35714285714285715</c:v>
                </c:pt>
                <c:pt idx="4">
                  <c:v>0.35714285714285715</c:v>
                </c:pt>
                <c:pt idx="5">
                  <c:v>0.35714285714285715</c:v>
                </c:pt>
                <c:pt idx="6">
                  <c:v>0.35714285714285715</c:v>
                </c:pt>
                <c:pt idx="7">
                  <c:v>0.35714285714285715</c:v>
                </c:pt>
              </c:numCache>
            </c:numRef>
          </c:val>
          <c:extLst>
            <c:ext xmlns:c16="http://schemas.microsoft.com/office/drawing/2014/chart" uri="{C3380CC4-5D6E-409C-BE32-E72D297353CC}">
              <c16:uniqueId val="{00000001-3507-4C61-A93E-BE653F52C561}"/>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ReportData!$Q$33:$Z$33</c15:sqref>
                  </c15:fullRef>
                </c:ext>
              </c:extLst>
              <c:f>(ReportData!$Q$33:$R$33,ReportData!$U$33:$Z$33)</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2-3507-4C61-A93E-BE653F52C561}"/>
            </c:ext>
          </c:extLst>
        </c:ser>
        <c:dLbls>
          <c:dLblPos val="ctr"/>
          <c:showLegendKey val="0"/>
          <c:showVal val="1"/>
          <c:showCatName val="0"/>
          <c:showSerName val="0"/>
          <c:showPercent val="0"/>
          <c:showBubbleSize val="0"/>
        </c:dLbls>
        <c:gapWidth val="15"/>
        <c:overlap val="100"/>
        <c:axId val="1102505360"/>
        <c:axId val="1423775296"/>
      </c:barChart>
      <c:catAx>
        <c:axId val="110250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23775296"/>
        <c:crosses val="autoZero"/>
        <c:auto val="1"/>
        <c:lblAlgn val="ctr"/>
        <c:lblOffset val="100"/>
        <c:noMultiLvlLbl val="0"/>
      </c:catAx>
      <c:valAx>
        <c:axId val="1423775296"/>
        <c:scaling>
          <c:orientation val="minMax"/>
        </c:scaling>
        <c:delete val="1"/>
        <c:axPos val="l"/>
        <c:numFmt formatCode="0%" sourceLinked="1"/>
        <c:majorTickMark val="out"/>
        <c:minorTickMark val="none"/>
        <c:tickLblPos val="nextTo"/>
        <c:crossAx val="1102505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8.2931598924179048E-2"/>
          <c:y val="0.11662102839959645"/>
          <c:w val="0.90036457173346418"/>
          <c:h val="0.57882648806541304"/>
        </c:manualLayout>
      </c:layout>
      <c:barChart>
        <c:barDir val="bar"/>
        <c:grouping val="percentStacked"/>
        <c:varyColors val="0"/>
        <c:ser>
          <c:idx val="0"/>
          <c:order val="0"/>
          <c:tx>
            <c:strRef>
              <c:f>ReportData!$O$36</c:f>
              <c:strCache>
                <c:ptCount val="1"/>
                <c:pt idx="0">
                  <c:v> Residential lighting Revenue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ReportData!$Q$36:$Z$36</c15:sqref>
                  </c15:fullRef>
                </c:ext>
              </c:extLst>
              <c:f>(ReportData!$Q$36:$R$36,ReportData!$U$36:$Z$36)</c:f>
              <c:numCache>
                <c:formatCode>0%</c:formatCode>
                <c:ptCount val="8"/>
                <c:pt idx="0">
                  <c:v>0</c:v>
                </c:pt>
                <c:pt idx="1">
                  <c:v>0</c:v>
                </c:pt>
                <c:pt idx="2">
                  <c:v>0.11904761904761904</c:v>
                </c:pt>
                <c:pt idx="3">
                  <c:v>0.11904761904761904</c:v>
                </c:pt>
                <c:pt idx="4">
                  <c:v>0.11904761904761904</c:v>
                </c:pt>
                <c:pt idx="5">
                  <c:v>0.11904761904761904</c:v>
                </c:pt>
                <c:pt idx="6">
                  <c:v>0.11904761904761904</c:v>
                </c:pt>
                <c:pt idx="7">
                  <c:v>0.11904761904761904</c:v>
                </c:pt>
              </c:numCache>
            </c:numRef>
          </c:val>
          <c:extLst>
            <c:ext xmlns:c16="http://schemas.microsoft.com/office/drawing/2014/chart" uri="{C3380CC4-5D6E-409C-BE32-E72D297353CC}">
              <c16:uniqueId val="{00000000-9593-41B7-BEB4-428D9166A567}"/>
            </c:ext>
          </c:extLst>
        </c:ser>
        <c:ser>
          <c:idx val="1"/>
          <c:order val="1"/>
          <c:tx>
            <c:strRef>
              <c:f>ReportData!$O$37</c:f>
              <c:strCache>
                <c:ptCount val="1"/>
                <c:pt idx="0">
                  <c:v> Hotels &amp; Hospitals Revenue </c:v>
                </c:pt>
              </c:strCache>
            </c:strRef>
          </c:tx>
          <c:spPr>
            <a:solidFill>
              <a:srgbClr val="00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ReportData!$Q$37:$Z$37</c15:sqref>
                  </c15:fullRef>
                </c:ext>
              </c:extLst>
              <c:f>(ReportData!$Q$37:$R$37,ReportData!$U$37:$Z$37)</c:f>
              <c:numCache>
                <c:formatCode>0%</c:formatCode>
                <c:ptCount val="8"/>
                <c:pt idx="0">
                  <c:v>0</c:v>
                </c:pt>
                <c:pt idx="1">
                  <c:v>0</c:v>
                </c:pt>
                <c:pt idx="2">
                  <c:v>0.29761904761904762</c:v>
                </c:pt>
                <c:pt idx="3">
                  <c:v>0.29761904761904762</c:v>
                </c:pt>
                <c:pt idx="4">
                  <c:v>0.29761904761904762</c:v>
                </c:pt>
                <c:pt idx="5">
                  <c:v>0.29761904761904762</c:v>
                </c:pt>
                <c:pt idx="6">
                  <c:v>0.29761904761904762</c:v>
                </c:pt>
                <c:pt idx="7">
                  <c:v>0.29761904761904762</c:v>
                </c:pt>
              </c:numCache>
            </c:numRef>
          </c:val>
          <c:extLst>
            <c:ext xmlns:c16="http://schemas.microsoft.com/office/drawing/2014/chart" uri="{C3380CC4-5D6E-409C-BE32-E72D297353CC}">
              <c16:uniqueId val="{00000001-9593-41B7-BEB4-428D9166A567}"/>
            </c:ext>
          </c:extLst>
        </c:ser>
        <c:ser>
          <c:idx val="2"/>
          <c:order val="2"/>
          <c:tx>
            <c:strRef>
              <c:f>ReportData!$O$38</c:f>
              <c:strCache>
                <c:ptCount val="1"/>
                <c:pt idx="0">
                  <c:v> Government &amp; Infrastructure Revenue </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ReportData!$Q$38:$Z$38</c15:sqref>
                  </c15:fullRef>
                </c:ext>
              </c:extLst>
              <c:f>(ReportData!$Q$38:$R$38,ReportData!$U$38:$Z$38)</c:f>
              <c:numCache>
                <c:formatCode>0%</c:formatCode>
                <c:ptCount val="8"/>
                <c:pt idx="0">
                  <c:v>0</c:v>
                </c:pt>
                <c:pt idx="1">
                  <c:v>0</c:v>
                </c:pt>
                <c:pt idx="2">
                  <c:v>5.9523809523809521E-2</c:v>
                </c:pt>
                <c:pt idx="3">
                  <c:v>5.9523809523809521E-2</c:v>
                </c:pt>
                <c:pt idx="4">
                  <c:v>5.9523809523809521E-2</c:v>
                </c:pt>
                <c:pt idx="5">
                  <c:v>5.9523809523809521E-2</c:v>
                </c:pt>
                <c:pt idx="6">
                  <c:v>5.9523809523809521E-2</c:v>
                </c:pt>
                <c:pt idx="7">
                  <c:v>5.9523809523809521E-2</c:v>
                </c:pt>
              </c:numCache>
            </c:numRef>
          </c:val>
          <c:extLst>
            <c:ext xmlns:c16="http://schemas.microsoft.com/office/drawing/2014/chart" uri="{C3380CC4-5D6E-409C-BE32-E72D297353CC}">
              <c16:uniqueId val="{00000002-9593-41B7-BEB4-428D9166A567}"/>
            </c:ext>
          </c:extLst>
        </c:ser>
        <c:ser>
          <c:idx val="3"/>
          <c:order val="3"/>
          <c:tx>
            <c:strRef>
              <c:f>ReportData!$O$39</c:f>
              <c:strCache>
                <c:ptCount val="1"/>
                <c:pt idx="0">
                  <c:v> Distributorship Revenue </c:v>
                </c:pt>
              </c:strCache>
            </c:strRef>
          </c:tx>
          <c:spPr>
            <a:solidFill>
              <a:srgbClr val="D7EEF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ReportData!$Q$39:$Z$39</c15:sqref>
                  </c15:fullRef>
                </c:ext>
              </c:extLst>
              <c:f>(ReportData!$Q$39:$R$39,ReportData!$U$39:$Z$39)</c:f>
              <c:numCache>
                <c:formatCode>0%</c:formatCode>
                <c:ptCount val="8"/>
                <c:pt idx="0">
                  <c:v>0</c:v>
                </c:pt>
                <c:pt idx="1">
                  <c:v>0</c:v>
                </c:pt>
                <c:pt idx="2">
                  <c:v>7.1428571428571425E-2</c:v>
                </c:pt>
                <c:pt idx="3">
                  <c:v>7.1428571428571425E-2</c:v>
                </c:pt>
                <c:pt idx="4">
                  <c:v>7.1428571428571425E-2</c:v>
                </c:pt>
                <c:pt idx="5">
                  <c:v>7.1428571428571425E-2</c:v>
                </c:pt>
                <c:pt idx="6">
                  <c:v>7.1428571428571425E-2</c:v>
                </c:pt>
                <c:pt idx="7">
                  <c:v>7.1428571428571425E-2</c:v>
                </c:pt>
              </c:numCache>
            </c:numRef>
          </c:val>
          <c:extLst>
            <c:ext xmlns:c16="http://schemas.microsoft.com/office/drawing/2014/chart" uri="{C3380CC4-5D6E-409C-BE32-E72D297353CC}">
              <c16:uniqueId val="{00000003-9593-41B7-BEB4-428D9166A567}"/>
            </c:ext>
          </c:extLst>
        </c:ser>
        <c:ser>
          <c:idx val="4"/>
          <c:order val="4"/>
          <c:tx>
            <c:strRef>
              <c:f>ReportData!$O$40</c:f>
              <c:strCache>
                <c:ptCount val="1"/>
                <c:pt idx="0">
                  <c:v> UAE &amp; Oman projects Pipeline Revenue </c:v>
                </c:pt>
              </c:strCache>
            </c:strRef>
          </c:tx>
          <c:spPr>
            <a:solidFill>
              <a:schemeClr val="accent6">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ReportData!$Q$40:$Z$40</c15:sqref>
                  </c15:fullRef>
                </c:ext>
              </c:extLst>
              <c:f>(ReportData!$Q$40:$R$40,ReportData!$U$40:$Z$40)</c:f>
              <c:numCache>
                <c:formatCode>0%</c:formatCode>
                <c:ptCount val="8"/>
                <c:pt idx="0">
                  <c:v>0</c:v>
                </c:pt>
                <c:pt idx="1">
                  <c:v>0</c:v>
                </c:pt>
                <c:pt idx="2">
                  <c:v>0.54761904761904767</c:v>
                </c:pt>
                <c:pt idx="3">
                  <c:v>0.54761904761904767</c:v>
                </c:pt>
                <c:pt idx="4">
                  <c:v>0.54761904761904767</c:v>
                </c:pt>
                <c:pt idx="5">
                  <c:v>0.54761904761904767</c:v>
                </c:pt>
                <c:pt idx="6">
                  <c:v>0.54761904761904767</c:v>
                </c:pt>
                <c:pt idx="7">
                  <c:v>0.54761904761904767</c:v>
                </c:pt>
              </c:numCache>
            </c:numRef>
          </c:val>
          <c:extLst>
            <c:ext xmlns:c16="http://schemas.microsoft.com/office/drawing/2014/chart" uri="{C3380CC4-5D6E-409C-BE32-E72D297353CC}">
              <c16:uniqueId val="{00000004-9593-41B7-BEB4-428D9166A567}"/>
            </c:ext>
          </c:extLst>
        </c:ser>
        <c:ser>
          <c:idx val="5"/>
          <c:order val="5"/>
          <c:tx>
            <c:strRef>
              <c:f>ReportData!$O$41</c:f>
              <c:strCache>
                <c:ptCount val="1"/>
                <c:pt idx="0">
                  <c:v> NA Pipeline Revenue </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ReportData!$Q$41:$Z$41</c15:sqref>
                  </c15:fullRef>
                </c:ext>
              </c:extLst>
              <c:f>(ReportData!$Q$41:$R$41,ReportData!$U$41:$Z$41)</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9593-41B7-BEB4-428D9166A567}"/>
            </c:ext>
          </c:extLst>
        </c:ser>
        <c:ser>
          <c:idx val="6"/>
          <c:order val="6"/>
          <c:tx>
            <c:strRef>
              <c:f>ReportData!$O$42</c:f>
              <c:strCache>
                <c:ptCount val="1"/>
                <c:pt idx="0">
                  <c:v> NA Pipeline Revenue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ReportData!$Q$42:$Z$42</c15:sqref>
                  </c15:fullRef>
                </c:ext>
              </c:extLst>
              <c:f>(ReportData!$Q$42:$R$42,ReportData!$U$42:$Z$42)</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9593-41B7-BEB4-428D9166A567}"/>
            </c:ext>
          </c:extLst>
        </c:ser>
        <c:ser>
          <c:idx val="7"/>
          <c:order val="7"/>
          <c:tx>
            <c:strRef>
              <c:f>ReportData!$O$43</c:f>
              <c:strCache>
                <c:ptCount val="1"/>
                <c:pt idx="0">
                  <c:v> NA Pipeline Revenue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ReportData!$Q$43:$Z$43</c15:sqref>
                  </c15:fullRef>
                </c:ext>
              </c:extLst>
              <c:f>(ReportData!$Q$43:$R$43,ReportData!$U$43:$Z$43)</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9593-41B7-BEB4-428D9166A567}"/>
            </c:ext>
          </c:extLst>
        </c:ser>
        <c:ser>
          <c:idx val="8"/>
          <c:order val="8"/>
          <c:tx>
            <c:strRef>
              <c:f>ReportData!$O$44</c:f>
              <c:strCache>
                <c:ptCount val="1"/>
                <c:pt idx="0">
                  <c:v> Product contracts by specifiers Potential Revenue </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ReportData!$Q$44:$Z$44</c15:sqref>
                  </c15:fullRef>
                </c:ext>
              </c:extLst>
              <c:f>(ReportData!$Q$44:$R$44,ReportData!$U$44:$Z$44)</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8-9593-41B7-BEB4-428D9166A567}"/>
            </c:ext>
          </c:extLst>
        </c:ser>
        <c:ser>
          <c:idx val="9"/>
          <c:order val="9"/>
          <c:tx>
            <c:strRef>
              <c:f>ReportData!$O$45</c:f>
              <c:strCache>
                <c:ptCount val="1"/>
                <c:pt idx="0">
                  <c:v> NA Potential Revenue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ReportData!$Q$45:$Z$45</c15:sqref>
                  </c15:fullRef>
                </c:ext>
              </c:extLst>
              <c:f>(ReportData!$Q$45:$R$45,ReportData!$U$45:$Z$45)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9-9593-41B7-BEB4-428D9166A567}"/>
            </c:ext>
          </c:extLst>
        </c:ser>
        <c:ser>
          <c:idx val="10"/>
          <c:order val="10"/>
          <c:tx>
            <c:strRef>
              <c:f>ReportData!$O$46</c:f>
              <c:strCache>
                <c:ptCount val="1"/>
                <c:pt idx="0">
                  <c:v> NA Potential Revenue </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ReportData!$Q$46:$Z$46</c15:sqref>
                  </c15:fullRef>
                </c:ext>
              </c:extLst>
              <c:f>(ReportData!$Q$46:$R$46,ReportData!$U$46:$Z$46)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9593-41B7-BEB4-428D9166A567}"/>
            </c:ext>
          </c:extLst>
        </c:ser>
        <c:ser>
          <c:idx val="11"/>
          <c:order val="11"/>
          <c:tx>
            <c:strRef>
              <c:f>ReportData!$O$47</c:f>
              <c:strCache>
                <c:ptCount val="1"/>
                <c:pt idx="0">
                  <c:v> NA Potential Revenue </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ReportData!$Q$47:$Z$47</c15:sqref>
                  </c15:fullRef>
                </c:ext>
              </c:extLst>
              <c:f>(ReportData!$Q$47:$R$47,ReportData!$U$47:$Z$47)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B-9593-41B7-BEB4-428D9166A567}"/>
            </c:ext>
          </c:extLst>
        </c:ser>
        <c:dLbls>
          <c:dLblPos val="ctr"/>
          <c:showLegendKey val="0"/>
          <c:showVal val="1"/>
          <c:showCatName val="0"/>
          <c:showSerName val="0"/>
          <c:showPercent val="0"/>
          <c:showBubbleSize val="0"/>
        </c:dLbls>
        <c:gapWidth val="15"/>
        <c:overlap val="100"/>
        <c:axId val="1138575472"/>
        <c:axId val="1317409152"/>
      </c:barChart>
      <c:catAx>
        <c:axId val="1138575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317409152"/>
        <c:crosses val="autoZero"/>
        <c:auto val="1"/>
        <c:lblAlgn val="ctr"/>
        <c:lblOffset val="100"/>
        <c:noMultiLvlLbl val="0"/>
      </c:catAx>
      <c:valAx>
        <c:axId val="1317409152"/>
        <c:scaling>
          <c:orientation val="minMax"/>
          <c:max val="1"/>
        </c:scaling>
        <c:delete val="1"/>
        <c:axPos val="b"/>
        <c:numFmt formatCode="0%" sourceLinked="1"/>
        <c:majorTickMark val="out"/>
        <c:minorTickMark val="none"/>
        <c:tickLblPos val="nextTo"/>
        <c:crossAx val="1138575472"/>
        <c:crosses val="autoZero"/>
        <c:crossBetween val="between"/>
      </c:valAx>
      <c:spPr>
        <a:noFill/>
        <a:ln>
          <a:noFill/>
        </a:ln>
        <a:effectLst/>
      </c:spPr>
    </c:plotArea>
    <c:legend>
      <c:legendPos val="b"/>
      <c:layout>
        <c:manualLayout>
          <c:xMode val="edge"/>
          <c:yMode val="edge"/>
          <c:x val="0"/>
          <c:y val="0.72310778278273902"/>
          <c:w val="1"/>
          <c:h val="0.27689221721726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ReportData!$U$10</c:f>
          <c:strCache>
            <c:ptCount val="1"/>
            <c:pt idx="0">
              <c:v>Direct Costs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ReportData!$O$55</c:f>
              <c:strCache>
                <c:ptCount val="1"/>
                <c:pt idx="0">
                  <c:v>Direct Costs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ReportData!$Q$55:$Z$55</c15:sqref>
                  </c15:fullRef>
                </c:ext>
              </c:extLst>
              <c:f>(ReportData!$Q$55:$R$55,ReportData!$U$55:$Z$55)</c:f>
              <c:numCache>
                <c:formatCode>_(* #,##0_);_(* \(#,##0\);_(* "-"_);_(@_)</c:formatCode>
                <c:ptCount val="8"/>
                <c:pt idx="0">
                  <c:v>0</c:v>
                </c:pt>
                <c:pt idx="1">
                  <c:v>0</c:v>
                </c:pt>
                <c:pt idx="2">
                  <c:v>50400.000000000007</c:v>
                </c:pt>
                <c:pt idx="3">
                  <c:v>50400.000000000007</c:v>
                </c:pt>
                <c:pt idx="4">
                  <c:v>50400.000000000007</c:v>
                </c:pt>
                <c:pt idx="5">
                  <c:v>50400.000000000007</c:v>
                </c:pt>
                <c:pt idx="6">
                  <c:v>50400.000000000007</c:v>
                </c:pt>
                <c:pt idx="7">
                  <c:v>50400.000000000007</c:v>
                </c:pt>
              </c:numCache>
            </c:numRef>
          </c:val>
          <c:extLst>
            <c:ext xmlns:c16="http://schemas.microsoft.com/office/drawing/2014/chart" uri="{C3380CC4-5D6E-409C-BE32-E72D297353CC}">
              <c16:uniqueId val="{00000000-92F5-47AA-AA82-EB1B79B0C01B}"/>
            </c:ext>
          </c:extLst>
        </c:ser>
        <c:ser>
          <c:idx val="1"/>
          <c:order val="1"/>
          <c:tx>
            <c:strRef>
              <c:f>ReportData!$O$56</c:f>
              <c:strCache>
                <c:ptCount val="1"/>
                <c:pt idx="0">
                  <c:v>Staff cost</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ReportData!$Q$56:$Z$56</c15:sqref>
                  </c15:fullRef>
                </c:ext>
              </c:extLst>
              <c:f>(ReportData!$Q$56:$R$56,ReportData!$U$56:$Z$56)</c:f>
              <c:numCache>
                <c:formatCode>_(* #,##0_);_(* \(#,##0\);_(* "-"_);_(@_)</c:formatCode>
                <c:ptCount val="8"/>
                <c:pt idx="0">
                  <c:v>0</c:v>
                </c:pt>
                <c:pt idx="1">
                  <c:v>0</c:v>
                </c:pt>
                <c:pt idx="2">
                  <c:v>5000</c:v>
                </c:pt>
                <c:pt idx="3">
                  <c:v>5000</c:v>
                </c:pt>
                <c:pt idx="4">
                  <c:v>5000</c:v>
                </c:pt>
                <c:pt idx="5">
                  <c:v>5000</c:v>
                </c:pt>
                <c:pt idx="6">
                  <c:v>5000</c:v>
                </c:pt>
                <c:pt idx="7">
                  <c:v>5000</c:v>
                </c:pt>
              </c:numCache>
            </c:numRef>
          </c:val>
          <c:extLst>
            <c:ext xmlns:c16="http://schemas.microsoft.com/office/drawing/2014/chart" uri="{C3380CC4-5D6E-409C-BE32-E72D297353CC}">
              <c16:uniqueId val="{00000001-92F5-47AA-AA82-EB1B79B0C01B}"/>
            </c:ext>
          </c:extLst>
        </c:ser>
        <c:ser>
          <c:idx val="2"/>
          <c:order val="2"/>
          <c:tx>
            <c:strRef>
              <c:f>ReportData!$O$57</c:f>
              <c:strCache>
                <c:ptCount val="1"/>
                <c:pt idx="0">
                  <c:v>Sales Commission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ReportData!$Q$57:$Z$57</c15:sqref>
                  </c15:fullRef>
                </c:ext>
              </c:extLst>
              <c:f>(ReportData!$Q$57:$R$57,ReportData!$U$57:$Z$57)</c:f>
              <c:numCache>
                <c:formatCode>_(* #,##0_);_(* \(#,##0\);_(* "-"_);_(@_)</c:formatCode>
                <c:ptCount val="8"/>
                <c:pt idx="0">
                  <c:v>0</c:v>
                </c:pt>
                <c:pt idx="1">
                  <c:v>0</c:v>
                </c:pt>
                <c:pt idx="2">
                  <c:v>5000</c:v>
                </c:pt>
                <c:pt idx="3">
                  <c:v>5000</c:v>
                </c:pt>
                <c:pt idx="4">
                  <c:v>5000</c:v>
                </c:pt>
                <c:pt idx="5">
                  <c:v>5000</c:v>
                </c:pt>
                <c:pt idx="6">
                  <c:v>5000</c:v>
                </c:pt>
                <c:pt idx="7">
                  <c:v>5000</c:v>
                </c:pt>
              </c:numCache>
            </c:numRef>
          </c:val>
          <c:extLst>
            <c:ext xmlns:c16="http://schemas.microsoft.com/office/drawing/2014/chart" uri="{C3380CC4-5D6E-409C-BE32-E72D297353CC}">
              <c16:uniqueId val="{00000002-92F5-47AA-AA82-EB1B79B0C01B}"/>
            </c:ext>
          </c:extLst>
        </c:ser>
        <c:dLbls>
          <c:dLblPos val="ctr"/>
          <c:showLegendKey val="0"/>
          <c:showVal val="1"/>
          <c:showCatName val="0"/>
          <c:showSerName val="0"/>
          <c:showPercent val="0"/>
          <c:showBubbleSize val="0"/>
        </c:dLbls>
        <c:gapWidth val="15"/>
        <c:overlap val="100"/>
        <c:axId val="754669984"/>
        <c:axId val="24497872"/>
      </c:barChart>
      <c:catAx>
        <c:axId val="75466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4497872"/>
        <c:crosses val="autoZero"/>
        <c:auto val="1"/>
        <c:lblAlgn val="ctr"/>
        <c:lblOffset val="100"/>
        <c:noMultiLvlLbl val="0"/>
      </c:catAx>
      <c:valAx>
        <c:axId val="24497872"/>
        <c:scaling>
          <c:orientation val="minMax"/>
        </c:scaling>
        <c:delete val="1"/>
        <c:axPos val="l"/>
        <c:numFmt formatCode="_(* #,##0_);_(* \(#,##0\);_(* &quot;-&quot;_);_(@_)" sourceLinked="1"/>
        <c:majorTickMark val="out"/>
        <c:minorTickMark val="none"/>
        <c:tickLblPos val="nextTo"/>
        <c:crossAx val="754669984"/>
        <c:crosses val="autoZero"/>
        <c:crossBetween val="between"/>
      </c:valAx>
      <c:spPr>
        <a:noFill/>
        <a:ln>
          <a:noFill/>
        </a:ln>
        <a:effectLst/>
      </c:spPr>
    </c:plotArea>
    <c:legend>
      <c:legendPos val="b"/>
      <c:layout>
        <c:manualLayout>
          <c:xMode val="edge"/>
          <c:yMode val="edge"/>
          <c:x val="0"/>
          <c:y val="0.8338099046315256"/>
          <c:w val="0.98424936971786681"/>
          <c:h val="0.13982093192499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lineChart>
        <c:grouping val="standard"/>
        <c:varyColors val="0"/>
        <c:ser>
          <c:idx val="0"/>
          <c:order val="0"/>
          <c:tx>
            <c:strRef>
              <c:f>ReportData!$O$66</c:f>
              <c:strCache>
                <c:ptCount val="1"/>
                <c:pt idx="0">
                  <c:v>Gross Margin</c:v>
                </c:pt>
              </c:strCache>
            </c:strRef>
          </c:tx>
          <c:spPr>
            <a:ln w="28575" cap="rnd">
              <a:solidFill>
                <a:srgbClr val="003399"/>
              </a:solidFill>
              <a:round/>
            </a:ln>
            <a:effectLst/>
          </c:spPr>
          <c:marker>
            <c:symbol val="circle"/>
            <c:size val="5"/>
            <c:spPr>
              <a:solidFill>
                <a:srgbClr val="003399"/>
              </a:solidFill>
              <a:ln w="9525">
                <a:solidFill>
                  <a:srgbClr val="003399"/>
                </a:solidFill>
              </a:ln>
              <a:effectLst/>
            </c:spPr>
          </c:marker>
          <c:dLbls>
            <c:spPr>
              <a:solidFill>
                <a:srgbClr val="003399"/>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ReportData!$Q$66:$Z$66</c15:sqref>
                  </c15:fullRef>
                </c:ext>
              </c:extLst>
              <c:f>(ReportData!$Q$66:$R$66,ReportData!$U$66:$Z$66)</c:f>
              <c:numCache>
                <c:formatCode>0%</c:formatCode>
                <c:ptCount val="8"/>
                <c:pt idx="0">
                  <c:v>0</c:v>
                </c:pt>
                <c:pt idx="1">
                  <c:v>0</c:v>
                </c:pt>
                <c:pt idx="2">
                  <c:v>0.7</c:v>
                </c:pt>
                <c:pt idx="3">
                  <c:v>0.7</c:v>
                </c:pt>
                <c:pt idx="4">
                  <c:v>0.7</c:v>
                </c:pt>
                <c:pt idx="5">
                  <c:v>0.7</c:v>
                </c:pt>
                <c:pt idx="6">
                  <c:v>0.7</c:v>
                </c:pt>
                <c:pt idx="7">
                  <c:v>0.7</c:v>
                </c:pt>
              </c:numCache>
            </c:numRef>
          </c:val>
          <c:smooth val="0"/>
          <c:extLst>
            <c:ext xmlns:c16="http://schemas.microsoft.com/office/drawing/2014/chart" uri="{C3380CC4-5D6E-409C-BE32-E72D297353CC}">
              <c16:uniqueId val="{00000000-7B4D-4561-AE8B-EA7CB9408951}"/>
            </c:ext>
          </c:extLst>
        </c:ser>
        <c:ser>
          <c:idx val="1"/>
          <c:order val="1"/>
          <c:tx>
            <c:strRef>
              <c:f>ReportData!$O$67</c:f>
              <c:strCache>
                <c:ptCount val="1"/>
                <c:pt idx="0">
                  <c:v>EBITDA Margin</c:v>
                </c:pt>
              </c:strCache>
            </c:strRef>
          </c:tx>
          <c:spPr>
            <a:ln w="28575" cap="rnd">
              <a:solidFill>
                <a:schemeClr val="tx1">
                  <a:lumMod val="95000"/>
                  <a:lumOff val="5000"/>
                </a:schemeClr>
              </a:solidFill>
              <a:round/>
            </a:ln>
            <a:effectLst/>
          </c:spPr>
          <c:marker>
            <c:symbol val="circle"/>
            <c:size val="5"/>
            <c:spPr>
              <a:solidFill>
                <a:schemeClr val="accent2"/>
              </a:solidFill>
              <a:ln w="9525">
                <a:solidFill>
                  <a:schemeClr val="tx1">
                    <a:lumMod val="95000"/>
                    <a:lumOff val="5000"/>
                  </a:schemeClr>
                </a:solidFill>
              </a:ln>
              <a:effectLst/>
            </c:spPr>
          </c:marker>
          <c:dLbls>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ReportData!$Q$67:$Z$67</c15:sqref>
                  </c15:fullRef>
                </c:ext>
              </c:extLst>
              <c:f>(ReportData!$Q$67:$R$67,ReportData!$U$67:$Z$67)</c:f>
              <c:numCache>
                <c:formatCode>0%</c:formatCode>
                <c:ptCount val="8"/>
                <c:pt idx="0">
                  <c:v>0</c:v>
                </c:pt>
                <c:pt idx="1">
                  <c:v>0</c:v>
                </c:pt>
                <c:pt idx="2">
                  <c:v>0.43214285714285716</c:v>
                </c:pt>
                <c:pt idx="3">
                  <c:v>0.43214285714285716</c:v>
                </c:pt>
                <c:pt idx="4">
                  <c:v>0.43214285714285716</c:v>
                </c:pt>
                <c:pt idx="5">
                  <c:v>0.43214285714285716</c:v>
                </c:pt>
                <c:pt idx="6">
                  <c:v>0.43214285714285716</c:v>
                </c:pt>
                <c:pt idx="7">
                  <c:v>0.43214285714285716</c:v>
                </c:pt>
              </c:numCache>
            </c:numRef>
          </c:val>
          <c:smooth val="0"/>
          <c:extLst>
            <c:ext xmlns:c16="http://schemas.microsoft.com/office/drawing/2014/chart" uri="{C3380CC4-5D6E-409C-BE32-E72D297353CC}">
              <c16:uniqueId val="{00000001-7B4D-4561-AE8B-EA7CB9408951}"/>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ReportData!$Q$68:$Z$68</c15:sqref>
                  </c15:fullRef>
                </c:ext>
              </c:extLst>
              <c:f>(ReportData!$Q$68:$R$68,ReportData!$U$68:$Z$68)</c:f>
              <c:numCache>
                <c:formatCode>0%</c:formatCode>
                <c:ptCount val="8"/>
                <c:pt idx="0">
                  <c:v>0</c:v>
                </c:pt>
                <c:pt idx="1">
                  <c:v>0</c:v>
                </c:pt>
                <c:pt idx="2">
                  <c:v>0.20221525793650796</c:v>
                </c:pt>
                <c:pt idx="3">
                  <c:v>0.19782628968253968</c:v>
                </c:pt>
                <c:pt idx="4">
                  <c:v>0.19343732142857142</c:v>
                </c:pt>
                <c:pt idx="5">
                  <c:v>0.1890483531746032</c:v>
                </c:pt>
                <c:pt idx="6">
                  <c:v>0.18465938492063494</c:v>
                </c:pt>
                <c:pt idx="7">
                  <c:v>0.18027041666666666</c:v>
                </c:pt>
              </c:numCache>
            </c:numRef>
          </c:val>
          <c:smooth val="0"/>
          <c:extLst>
            <c:ext xmlns:c16="http://schemas.microsoft.com/office/drawing/2014/chart" uri="{C3380CC4-5D6E-409C-BE32-E72D297353CC}">
              <c16:uniqueId val="{00000002-7B4D-4561-AE8B-EA7CB9408951}"/>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33874944"/>
        <c:crosses val="autoZero"/>
        <c:auto val="1"/>
        <c:lblAlgn val="ctr"/>
        <c:lblOffset val="100"/>
        <c:noMultiLvlLbl val="0"/>
      </c:catAx>
      <c:valAx>
        <c:axId val="1833874944"/>
        <c:scaling>
          <c:orientation val="minMax"/>
        </c:scaling>
        <c:delete val="1"/>
        <c:axPos val="l"/>
        <c:numFmt formatCode="0%" sourceLinked="1"/>
        <c:majorTickMark val="none"/>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5.0227607724954619E-3"/>
          <c:y val="6.2123761026745238E-2"/>
          <c:w val="0.99200892550899855"/>
          <c:h val="0.5793638829262826"/>
        </c:manualLayout>
      </c:layout>
      <c:barChart>
        <c:barDir val="col"/>
        <c:grouping val="clustered"/>
        <c:varyColors val="0"/>
        <c:ser>
          <c:idx val="0"/>
          <c:order val="0"/>
          <c:tx>
            <c:strRef>
              <c:f>ReportData!$O$73</c:f>
              <c:strCache>
                <c:ptCount val="1"/>
                <c:pt idx="0">
                  <c:v>Trade Receivables Days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ReportData!$Q$73:$Z$73</c15:sqref>
                  </c15:fullRef>
                </c:ext>
              </c:extLst>
              <c:f>(ReportData!$Q$73:$R$73,ReportData!$U$73:$Z$73)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C22-4990-846C-565A532DB4DC}"/>
            </c:ext>
          </c:extLst>
        </c:ser>
        <c:ser>
          <c:idx val="1"/>
          <c:order val="1"/>
          <c:tx>
            <c:strRef>
              <c:f>ReportData!$O$74</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ReportData!$Q$74:$Z$74</c15:sqref>
                  </c15:fullRef>
                </c:ext>
              </c:extLst>
              <c:f>(ReportData!$Q$74:$R$74,ReportData!$U$74:$Z$74)</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1-CC22-4990-846C-565A532DB4DC}"/>
            </c:ext>
          </c:extLst>
        </c:ser>
        <c:ser>
          <c:idx val="2"/>
          <c:order val="2"/>
          <c:tx>
            <c:strRef>
              <c:f>ReportData!$O$75</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ReportData!$Q$75:$Z$75</c15:sqref>
                  </c15:fullRef>
                </c:ext>
              </c:extLst>
              <c:f>(ReportData!$Q$75:$R$75,ReportData!$U$75:$Z$75)</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2-CC22-4990-846C-565A532DB4DC}"/>
            </c:ext>
          </c:extLst>
        </c:ser>
        <c:ser>
          <c:idx val="3"/>
          <c:order val="3"/>
          <c:tx>
            <c:strRef>
              <c:f>ReportData!$O$76</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ReportData!$Q$76:$Z$76</c15:sqref>
                  </c15:fullRef>
                </c:ext>
              </c:extLst>
              <c:f>(ReportData!$Q$76:$R$76,ReportData!$U$76:$Z$76)</c:f>
              <c:numCache>
                <c:formatCode>_(* #,##0_);_(* \(#,##0\);_(* "-"_);_(@_)</c:formatCode>
                <c:ptCount val="8"/>
                <c:pt idx="0">
                  <c:v>0</c:v>
                </c:pt>
                <c:pt idx="1">
                  <c:v>0</c:v>
                </c:pt>
                <c:pt idx="2">
                  <c:v>27</c:v>
                </c:pt>
                <c:pt idx="3">
                  <c:v>27</c:v>
                </c:pt>
                <c:pt idx="4">
                  <c:v>27</c:v>
                </c:pt>
                <c:pt idx="5">
                  <c:v>27</c:v>
                </c:pt>
                <c:pt idx="6">
                  <c:v>27</c:v>
                </c:pt>
                <c:pt idx="7">
                  <c:v>27</c:v>
                </c:pt>
              </c:numCache>
            </c:numRef>
          </c:val>
          <c:extLst>
            <c:ext xmlns:c16="http://schemas.microsoft.com/office/drawing/2014/chart" uri="{C3380CC4-5D6E-409C-BE32-E72D297353CC}">
              <c16:uniqueId val="{00000003-CC22-4990-846C-565A532DB4DC}"/>
            </c:ext>
          </c:extLst>
        </c:ser>
        <c:ser>
          <c:idx val="4"/>
          <c:order val="4"/>
          <c:tx>
            <c:strRef>
              <c:f>ReportData!$O$77</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ReportData!$Q$77:$Z$77</c15:sqref>
                  </c15:fullRef>
                </c:ext>
              </c:extLst>
              <c:f>(ReportData!$Q$77:$R$77,ReportData!$U$77:$Z$77)</c:f>
              <c:numCache>
                <c:formatCode>_(* #,##0_);_(* \(#,##0\);_(* "-"_);_(@_)</c:formatCode>
                <c:ptCount val="8"/>
                <c:pt idx="0">
                  <c:v>0</c:v>
                </c:pt>
                <c:pt idx="1">
                  <c:v>0</c:v>
                </c:pt>
                <c:pt idx="2">
                  <c:v>30</c:v>
                </c:pt>
                <c:pt idx="3">
                  <c:v>30</c:v>
                </c:pt>
                <c:pt idx="4">
                  <c:v>30</c:v>
                </c:pt>
                <c:pt idx="5">
                  <c:v>30</c:v>
                </c:pt>
                <c:pt idx="6">
                  <c:v>30</c:v>
                </c:pt>
                <c:pt idx="7">
                  <c:v>30</c:v>
                </c:pt>
              </c:numCache>
            </c:numRef>
          </c:val>
          <c:extLst>
            <c:ext xmlns:c16="http://schemas.microsoft.com/office/drawing/2014/chart" uri="{C3380CC4-5D6E-409C-BE32-E72D297353CC}">
              <c16:uniqueId val="{00000004-CC22-4990-846C-565A532DB4DC}"/>
            </c:ext>
          </c:extLst>
        </c:ser>
        <c:ser>
          <c:idx val="6"/>
          <c:order val="6"/>
          <c:tx>
            <c:strRef>
              <c:f>ReportData!$O$79</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ReportData!$Q$79:$Z$79</c15:sqref>
                  </c15:fullRef>
                </c:ext>
              </c:extLst>
              <c:f>(ReportData!$Q$79:$R$79,ReportData!$U$79:$Z$79)</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CC22-4990-846C-565A532DB4DC}"/>
            </c:ext>
          </c:extLst>
        </c:ser>
        <c:ser>
          <c:idx val="7"/>
          <c:order val="7"/>
          <c:tx>
            <c:strRef>
              <c:f>ReportData!$O$80</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ReportData!$Q$80:$Z$80</c15:sqref>
                  </c15:fullRef>
                </c:ext>
              </c:extLst>
              <c:f>(ReportData!$Q$80:$R$80,ReportData!$U$80:$Z$80)</c:f>
              <c:numCache>
                <c:formatCode>_(* #,##0_);_(* \(#,##0\);_(* "-"_);_(@_)</c:formatCode>
                <c:ptCount val="8"/>
                <c:pt idx="0">
                  <c:v>0</c:v>
                </c:pt>
                <c:pt idx="1">
                  <c:v>0</c:v>
                </c:pt>
                <c:pt idx="2">
                  <c:v>20</c:v>
                </c:pt>
                <c:pt idx="3">
                  <c:v>20</c:v>
                </c:pt>
                <c:pt idx="4">
                  <c:v>20</c:v>
                </c:pt>
                <c:pt idx="5">
                  <c:v>20</c:v>
                </c:pt>
                <c:pt idx="6">
                  <c:v>20</c:v>
                </c:pt>
                <c:pt idx="7">
                  <c:v>20</c:v>
                </c:pt>
              </c:numCache>
            </c:numRef>
          </c:val>
          <c:extLst>
            <c:ext xmlns:c16="http://schemas.microsoft.com/office/drawing/2014/chart" uri="{C3380CC4-5D6E-409C-BE32-E72D297353CC}">
              <c16:uniqueId val="{00000007-CC22-4990-846C-565A532DB4DC}"/>
            </c:ext>
          </c:extLst>
        </c:ser>
        <c:ser>
          <c:idx val="8"/>
          <c:order val="8"/>
          <c:tx>
            <c:strRef>
              <c:f>ReportData!$O$81</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ReportData!$Q$81:$Z$81</c15:sqref>
                  </c15:fullRef>
                </c:ext>
              </c:extLst>
              <c:f>(ReportData!$Q$81:$R$81,ReportData!$U$81:$Z$81)</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8-CC22-4990-846C-565A532DB4DC}"/>
            </c:ext>
          </c:extLst>
        </c:ser>
        <c:ser>
          <c:idx val="9"/>
          <c:order val="9"/>
          <c:tx>
            <c:strRef>
              <c:f>ReportData!$O$82</c:f>
              <c:strCache>
                <c:ptCount val="1"/>
                <c:pt idx="0">
                  <c:v>Accrued Expenses Days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ReportData!$Q$82:$Z$82</c15:sqref>
                  </c15:fullRef>
                </c:ext>
              </c:extLst>
              <c:f>(ReportData!$Q$82:$R$82,ReportData!$U$82:$Z$82)</c:f>
              <c:numCache>
                <c:formatCode>_(* #,##0_);_(* \(#,##0\);_(* "-"_);_(@_)</c:formatCode>
                <c:ptCount val="8"/>
                <c:pt idx="0">
                  <c:v>0</c:v>
                </c:pt>
                <c:pt idx="1">
                  <c:v>0</c:v>
                </c:pt>
                <c:pt idx="2">
                  <c:v>27</c:v>
                </c:pt>
                <c:pt idx="3">
                  <c:v>27</c:v>
                </c:pt>
                <c:pt idx="4">
                  <c:v>27</c:v>
                </c:pt>
                <c:pt idx="5">
                  <c:v>27</c:v>
                </c:pt>
                <c:pt idx="6">
                  <c:v>27</c:v>
                </c:pt>
                <c:pt idx="7">
                  <c:v>27</c:v>
                </c:pt>
              </c:numCache>
            </c:numRef>
          </c:val>
          <c:extLst>
            <c:ext xmlns:c16="http://schemas.microsoft.com/office/drawing/2014/chart" uri="{C3380CC4-5D6E-409C-BE32-E72D297353CC}">
              <c16:uniqueId val="{00000009-CC22-4990-846C-565A532DB4DC}"/>
            </c:ext>
          </c:extLst>
        </c:ser>
        <c:ser>
          <c:idx val="10"/>
          <c:order val="10"/>
          <c:tx>
            <c:strRef>
              <c:f>ReportData!$O$83</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ReportData!$Q$83:$Z$83</c15:sqref>
                  </c15:fullRef>
                </c:ext>
              </c:extLst>
              <c:f>(ReportData!$Q$83:$R$83,ReportData!$U$83:$Z$83)</c:f>
              <c:numCache>
                <c:formatCode>_(* #,##0_);_(* \(#,##0\);_(* "-"_);_(@_)</c:formatCode>
                <c:ptCount val="8"/>
                <c:pt idx="0">
                  <c:v>0</c:v>
                </c:pt>
                <c:pt idx="1">
                  <c:v>0</c:v>
                </c:pt>
                <c:pt idx="2">
                  <c:v>30</c:v>
                </c:pt>
                <c:pt idx="3">
                  <c:v>30</c:v>
                </c:pt>
                <c:pt idx="4">
                  <c:v>30</c:v>
                </c:pt>
                <c:pt idx="5">
                  <c:v>30</c:v>
                </c:pt>
                <c:pt idx="6">
                  <c:v>30</c:v>
                </c:pt>
                <c:pt idx="7">
                  <c:v>30</c:v>
                </c:pt>
              </c:numCache>
            </c:numRef>
          </c:val>
          <c:extLst>
            <c:ext xmlns:c16="http://schemas.microsoft.com/office/drawing/2014/chart" uri="{C3380CC4-5D6E-409C-BE32-E72D297353CC}">
              <c16:uniqueId val="{0000000A-CC22-4990-846C-565A532DB4DC}"/>
            </c:ext>
          </c:extLst>
        </c:ser>
        <c:ser>
          <c:idx val="11"/>
          <c:order val="11"/>
          <c:tx>
            <c:strRef>
              <c:f>ReportData!$O$84</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ReportData!$Q$84:$Z$84</c15:sqref>
                  </c15:fullRef>
                </c:ext>
              </c:extLst>
              <c:f>(ReportData!$Q$84:$R$84,ReportData!$U$84:$Z$84)</c:f>
              <c:numCache>
                <c:formatCode>_(* #,##0_);_(* \(#,##0\);_(* "-"_);_(@_)</c:formatCode>
                <c:ptCount val="8"/>
                <c:pt idx="0">
                  <c:v>0</c:v>
                </c:pt>
                <c:pt idx="1">
                  <c:v>0</c:v>
                </c:pt>
                <c:pt idx="2">
                  <c:v>10</c:v>
                </c:pt>
                <c:pt idx="3">
                  <c:v>0</c:v>
                </c:pt>
                <c:pt idx="4">
                  <c:v>0</c:v>
                </c:pt>
                <c:pt idx="5">
                  <c:v>0</c:v>
                </c:pt>
                <c:pt idx="6">
                  <c:v>0</c:v>
                </c:pt>
                <c:pt idx="7">
                  <c:v>0</c:v>
                </c:pt>
              </c:numCache>
            </c:numRef>
          </c:val>
          <c:extLst>
            <c:ext xmlns:c16="http://schemas.microsoft.com/office/drawing/2014/chart" uri="{C3380CC4-5D6E-409C-BE32-E72D297353CC}">
              <c16:uniqueId val="{0000000B-CC22-4990-846C-565A532DB4DC}"/>
            </c:ext>
          </c:extLst>
        </c:ser>
        <c:dLbls>
          <c:dLblPos val="outEnd"/>
          <c:showLegendKey val="0"/>
          <c:showVal val="1"/>
          <c:showCatName val="0"/>
          <c:showSerName val="0"/>
          <c:showPercent val="0"/>
          <c:showBubbleSize val="0"/>
        </c:dLbls>
        <c:gapWidth val="0"/>
        <c:axId val="1493104720"/>
        <c:axId val="141848303"/>
        <c:extLst>
          <c:ext xmlns:c15="http://schemas.microsoft.com/office/drawing/2012/chart" uri="{02D57815-91ED-43cb-92C2-25804820EDAC}">
            <c15:filteredBarSeries>
              <c15:ser>
                <c:idx val="5"/>
                <c:order val="5"/>
                <c:tx>
                  <c:strRef>
                    <c:extLst>
                      <c:ext uri="{02D57815-91ED-43cb-92C2-25804820EDAC}">
                        <c15:formulaRef>
                          <c15:sqref>ReportData!$O$78</c15:sqref>
                        </c15:formulaRef>
                      </c:ext>
                    </c:extLst>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ReportData!$Q$72:$Z$72</c15:sqref>
                        </c15:fullRef>
                        <c15:formulaRef>
                          <c15:sqref>(ReportData!$Q$72:$R$72,ReportData!$U$72:$Z$72)</c15:sqref>
                        </c15:formulaRef>
                      </c:ext>
                    </c:extLst>
                    <c:strCache>
                      <c:ptCount val="8"/>
                      <c:pt idx="0">
                        <c:v>FY22</c:v>
                      </c:pt>
                      <c:pt idx="1">
                        <c:v>FY23</c:v>
                      </c:pt>
                      <c:pt idx="2">
                        <c:v>FY24</c:v>
                      </c:pt>
                      <c:pt idx="3">
                        <c:v>FY25</c:v>
                      </c:pt>
                      <c:pt idx="4">
                        <c:v>FY26</c:v>
                      </c:pt>
                      <c:pt idx="5">
                        <c:v>FY27</c:v>
                      </c:pt>
                      <c:pt idx="6">
                        <c:v>FY28</c:v>
                      </c:pt>
                      <c:pt idx="7">
                        <c:v>FY29</c:v>
                      </c:pt>
                    </c:strCache>
                  </c:strRef>
                </c:cat>
                <c:val>
                  <c:numRef>
                    <c:extLst>
                      <c:ext uri="{02D57815-91ED-43cb-92C2-25804820EDAC}">
                        <c15:fullRef>
                          <c15:sqref>ReportData!$Q$78:$Z$78</c15:sqref>
                        </c15:fullRef>
                        <c15:formulaRef>
                          <c15:sqref>(ReportData!$Q$78:$R$78,ReportData!$U$78:$Z$78)</c15:sqref>
                        </c15:formulaRef>
                      </c:ext>
                    </c:extLst>
                    <c:numCache>
                      <c:formatCode>_(* #,##0_);_(* \(#,##0\);_(* "-"_);_(@_)</c:formatCode>
                      <c:ptCount val="8"/>
                    </c:numCache>
                  </c:numRef>
                </c:val>
                <c:extLst>
                  <c:ext xmlns:c16="http://schemas.microsoft.com/office/drawing/2014/chart" uri="{C3380CC4-5D6E-409C-BE32-E72D297353CC}">
                    <c16:uniqueId val="{00000005-CC22-4990-846C-565A532DB4DC}"/>
                  </c:ext>
                </c:extLst>
              </c15:ser>
            </c15:filteredBarSeries>
          </c:ext>
        </c:extLst>
      </c:bar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1"/>
        <c:axPos val="l"/>
        <c:numFmt formatCode="_(* #,##0_);_(* \(#,##0\);_(* &quot;-&quot;_);_(@_)" sourceLinked="1"/>
        <c:majorTickMark val="none"/>
        <c:minorTickMark val="none"/>
        <c:tickLblPos val="nextTo"/>
        <c:crossAx val="1493104720"/>
        <c:crosses val="autoZero"/>
        <c:crossBetween val="between"/>
      </c:valAx>
      <c:spPr>
        <a:noFill/>
        <a:ln>
          <a:noFill/>
        </a:ln>
        <a:effectLst/>
      </c:spPr>
    </c:plotArea>
    <c:legend>
      <c:legendPos val="b"/>
      <c:layout>
        <c:manualLayout>
          <c:xMode val="edge"/>
          <c:yMode val="edge"/>
          <c:x val="8.0928579476680588E-3"/>
          <c:y val="0.77374544021822023"/>
          <c:w val="0.9919071380582577"/>
          <c:h val="0.226254559781779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ReportData!$U$12</c:f>
          <c:strCache>
            <c:ptCount val="1"/>
            <c:pt idx="0">
              <c:v>Capital Expenditure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ReportData!$O$105</c:f>
              <c:strCache>
                <c:ptCount val="1"/>
                <c:pt idx="0">
                  <c:v>Expansion Capex</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ReportData!$Q$105:$Z$105</c15:sqref>
                  </c15:fullRef>
                </c:ext>
              </c:extLst>
              <c:f>(ReportData!$Q$105:$R$105,ReportData!$U$105:$Z$105)</c:f>
              <c:numCache>
                <c:formatCode>General</c:formatCode>
                <c:ptCount val="8"/>
                <c:pt idx="3">
                  <c:v>0</c:v>
                </c:pt>
                <c:pt idx="4">
                  <c:v>0</c:v>
                </c:pt>
                <c:pt idx="5">
                  <c:v>0</c:v>
                </c:pt>
                <c:pt idx="6">
                  <c:v>0</c:v>
                </c:pt>
                <c:pt idx="7">
                  <c:v>0</c:v>
                </c:pt>
              </c:numCache>
            </c:numRef>
          </c:val>
          <c:extLst>
            <c:ext xmlns:c16="http://schemas.microsoft.com/office/drawing/2014/chart" uri="{C3380CC4-5D6E-409C-BE32-E72D297353CC}">
              <c16:uniqueId val="{00000000-A20E-4541-A65F-508CABDEA960}"/>
            </c:ext>
          </c:extLst>
        </c:ser>
        <c:ser>
          <c:idx val="1"/>
          <c:order val="1"/>
          <c:tx>
            <c:strRef>
              <c:f>ReportData!$O$106</c:f>
              <c:strCache>
                <c:ptCount val="1"/>
                <c:pt idx="0">
                  <c:v>Maintenance Capex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ReportData!$Q$106:$Z$106</c15:sqref>
                  </c15:fullRef>
                </c:ext>
              </c:extLst>
              <c:f>(ReportData!$Q$106:$R$106,ReportData!$U$106:$Z$106)</c:f>
              <c:numCache>
                <c:formatCode>0.0</c:formatCode>
                <c:ptCount val="8"/>
              </c:numCache>
            </c:numRef>
          </c:val>
          <c:extLst>
            <c:ext xmlns:c16="http://schemas.microsoft.com/office/drawing/2014/chart" uri="{C3380CC4-5D6E-409C-BE32-E72D297353CC}">
              <c16:uniqueId val="{00000001-A20E-4541-A65F-508CABDEA960}"/>
            </c:ext>
          </c:extLst>
        </c:ser>
        <c:ser>
          <c:idx val="2"/>
          <c:order val="2"/>
          <c:tx>
            <c:strRef>
              <c:f>ReportData!$O$107</c:f>
              <c:strCache>
                <c:ptCount val="1"/>
                <c:pt idx="0">
                  <c:v> Total Capex </c:v>
                </c:pt>
              </c:strCache>
            </c:strRef>
          </c:tx>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ReportData!$Q$107:$Z$107</c15:sqref>
                  </c15:fullRef>
                </c:ext>
              </c:extLst>
              <c:f>(ReportData!$Q$107:$R$107,ReportData!$U$107:$Z$107)</c:f>
              <c:numCache>
                <c:formatCode>_(* #,##0.0_);_(* \(#,##0.0\);_(*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A20E-4541-A65F-508CABDEA960}"/>
            </c:ext>
          </c:extLst>
        </c:ser>
        <c:dLbls>
          <c:dLblPos val="ctr"/>
          <c:showLegendKey val="0"/>
          <c:showVal val="1"/>
          <c:showCatName val="0"/>
          <c:showSerName val="0"/>
          <c:showPercent val="0"/>
          <c:showBubbleSize val="0"/>
        </c:dLbls>
        <c:gapWidth val="150"/>
        <c:overlap val="100"/>
        <c:axId val="141055279"/>
        <c:axId val="141846815"/>
      </c:barChart>
      <c:catAx>
        <c:axId val="141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6815"/>
        <c:crosses val="autoZero"/>
        <c:auto val="1"/>
        <c:lblAlgn val="ctr"/>
        <c:lblOffset val="100"/>
        <c:noMultiLvlLbl val="0"/>
      </c:catAx>
      <c:valAx>
        <c:axId val="141846815"/>
        <c:scaling>
          <c:orientation val="minMax"/>
        </c:scaling>
        <c:delete val="1"/>
        <c:axPos val="l"/>
        <c:numFmt formatCode="General" sourceLinked="1"/>
        <c:majorTickMark val="none"/>
        <c:minorTickMark val="none"/>
        <c:tickLblPos val="nextTo"/>
        <c:crossAx val="141055279"/>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ReportData!$U$11</c:f>
          <c:strCache>
            <c:ptCount val="1"/>
            <c:pt idx="0">
              <c:v>Working Capital Balance in INR 'Units &amp; as a % of Revenue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7.0070895492731627E-2"/>
          <c:y val="5.2731481481481483E-2"/>
          <c:w val="0.85611765827942377"/>
          <c:h val="0.55768226888305639"/>
        </c:manualLayout>
      </c:layout>
      <c:barChart>
        <c:barDir val="col"/>
        <c:grouping val="stacked"/>
        <c:varyColors val="0"/>
        <c:ser>
          <c:idx val="0"/>
          <c:order val="0"/>
          <c:tx>
            <c:strRef>
              <c:f>ReportData!$O$89</c:f>
              <c:strCache>
                <c:ptCount val="1"/>
                <c:pt idx="0">
                  <c:v>Trade Receivables Days</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ReportData!$Q$89:$Z$89</c15:sqref>
                  </c15:fullRef>
                </c:ext>
              </c:extLst>
              <c:f>(ReportData!$Q$89:$R$89,ReportData!$U$89:$Z$89)</c:f>
              <c:numCache>
                <c:formatCode>_(* #,##0_);_(* \(#,##0\);_(*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EA64-4349-B42E-DDF99A09186A}"/>
            </c:ext>
          </c:extLst>
        </c:ser>
        <c:ser>
          <c:idx val="1"/>
          <c:order val="1"/>
          <c:tx>
            <c:strRef>
              <c:f>ReportData!$O$90</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ReportData!$Q$90:$Z$90</c15:sqref>
                  </c15:fullRef>
                </c:ext>
              </c:extLst>
              <c:f>(ReportData!$Q$90:$R$90,ReportData!$U$90:$Z$90)</c:f>
              <c:numCache>
                <c:formatCode>_(* #,##0_);_(* \(#,##0\);_(* "-"_);_(@_)</c:formatCode>
                <c:ptCount val="8"/>
                <c:pt idx="0">
                  <c:v>0</c:v>
                </c:pt>
                <c:pt idx="1">
                  <c:v>0</c:v>
                </c:pt>
                <c:pt idx="2">
                  <c:v>5523.2876712328771</c:v>
                </c:pt>
                <c:pt idx="3">
                  <c:v>5523.2876712328771</c:v>
                </c:pt>
                <c:pt idx="4">
                  <c:v>5523.2876712328771</c:v>
                </c:pt>
                <c:pt idx="5">
                  <c:v>5523.2876712328771</c:v>
                </c:pt>
                <c:pt idx="6">
                  <c:v>5523.2876712328771</c:v>
                </c:pt>
                <c:pt idx="7">
                  <c:v>5523.2876712328771</c:v>
                </c:pt>
              </c:numCache>
            </c:numRef>
          </c:val>
          <c:extLst>
            <c:ext xmlns:c16="http://schemas.microsoft.com/office/drawing/2014/chart" uri="{C3380CC4-5D6E-409C-BE32-E72D297353CC}">
              <c16:uniqueId val="{00000001-EA64-4349-B42E-DDF99A09186A}"/>
            </c:ext>
          </c:extLst>
        </c:ser>
        <c:ser>
          <c:idx val="2"/>
          <c:order val="2"/>
          <c:tx>
            <c:strRef>
              <c:f>ReportData!$O$91</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ReportData!$Q$91:$Z$91</c15:sqref>
                  </c15:fullRef>
                </c:ext>
              </c:extLst>
              <c:f>(ReportData!$Q$91:$R$91,ReportData!$U$91:$Z$91)</c:f>
              <c:numCache>
                <c:formatCode>_(* #,##0_);_(* \(#,##0\);_(* "-"_);_(@_)</c:formatCode>
                <c:ptCount val="8"/>
                <c:pt idx="0">
                  <c:v>0</c:v>
                </c:pt>
                <c:pt idx="1">
                  <c:v>0</c:v>
                </c:pt>
                <c:pt idx="2">
                  <c:v>18410.95890410959</c:v>
                </c:pt>
                <c:pt idx="3">
                  <c:v>18410.95890410959</c:v>
                </c:pt>
                <c:pt idx="4">
                  <c:v>18410.95890410959</c:v>
                </c:pt>
                <c:pt idx="5">
                  <c:v>18410.95890410959</c:v>
                </c:pt>
                <c:pt idx="6">
                  <c:v>18410.95890410959</c:v>
                </c:pt>
                <c:pt idx="7">
                  <c:v>18410.95890410959</c:v>
                </c:pt>
              </c:numCache>
            </c:numRef>
          </c:val>
          <c:extLst>
            <c:ext xmlns:c16="http://schemas.microsoft.com/office/drawing/2014/chart" uri="{C3380CC4-5D6E-409C-BE32-E72D297353CC}">
              <c16:uniqueId val="{00000002-EA64-4349-B42E-DDF99A09186A}"/>
            </c:ext>
          </c:extLst>
        </c:ser>
        <c:ser>
          <c:idx val="3"/>
          <c:order val="3"/>
          <c:tx>
            <c:strRef>
              <c:f>ReportData!$O$92</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ReportData!$Q$92:$Z$92</c15:sqref>
                  </c15:fullRef>
                </c:ext>
              </c:extLst>
              <c:f>(ReportData!$Q$92:$R$92,ReportData!$U$92:$Z$92)</c:f>
              <c:numCache>
                <c:formatCode>_(* #,##0_);_(* \(#,##0\);_(* "-"_);_(@_)</c:formatCode>
                <c:ptCount val="8"/>
                <c:pt idx="0">
                  <c:v>0</c:v>
                </c:pt>
                <c:pt idx="1">
                  <c:v>0</c:v>
                </c:pt>
                <c:pt idx="2">
                  <c:v>3728.2191780821922</c:v>
                </c:pt>
                <c:pt idx="3">
                  <c:v>3728.2191780821922</c:v>
                </c:pt>
                <c:pt idx="4">
                  <c:v>3728.2191780821922</c:v>
                </c:pt>
                <c:pt idx="5">
                  <c:v>3728.2191780821922</c:v>
                </c:pt>
                <c:pt idx="6">
                  <c:v>3728.2191780821922</c:v>
                </c:pt>
                <c:pt idx="7">
                  <c:v>3728.2191780821922</c:v>
                </c:pt>
              </c:numCache>
            </c:numRef>
          </c:val>
          <c:extLst>
            <c:ext xmlns:c16="http://schemas.microsoft.com/office/drawing/2014/chart" uri="{C3380CC4-5D6E-409C-BE32-E72D297353CC}">
              <c16:uniqueId val="{00000003-EA64-4349-B42E-DDF99A09186A}"/>
            </c:ext>
          </c:extLst>
        </c:ser>
        <c:ser>
          <c:idx val="4"/>
          <c:order val="4"/>
          <c:tx>
            <c:strRef>
              <c:f>ReportData!$O$93</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ReportData!$Q$93:$Z$93</c15:sqref>
                  </c15:fullRef>
                </c:ext>
              </c:extLst>
              <c:f>(ReportData!$Q$93:$R$93,ReportData!$U$93:$Z$93)</c:f>
              <c:numCache>
                <c:formatCode>_(* #,##0_);_(* \(#,##0\);_(* "-"_);_(@_)</c:formatCode>
                <c:ptCount val="8"/>
                <c:pt idx="0">
                  <c:v>0</c:v>
                </c:pt>
                <c:pt idx="1">
                  <c:v>0</c:v>
                </c:pt>
                <c:pt idx="2">
                  <c:v>3698.6301369863013</c:v>
                </c:pt>
                <c:pt idx="3">
                  <c:v>3698.6301369863013</c:v>
                </c:pt>
                <c:pt idx="4">
                  <c:v>3698.6301369863013</c:v>
                </c:pt>
                <c:pt idx="5">
                  <c:v>3698.6301369863013</c:v>
                </c:pt>
                <c:pt idx="6">
                  <c:v>3698.6301369863013</c:v>
                </c:pt>
                <c:pt idx="7">
                  <c:v>3698.6301369863013</c:v>
                </c:pt>
              </c:numCache>
            </c:numRef>
          </c:val>
          <c:extLst>
            <c:ext xmlns:c16="http://schemas.microsoft.com/office/drawing/2014/chart" uri="{C3380CC4-5D6E-409C-BE32-E72D297353CC}">
              <c16:uniqueId val="{00000004-EA64-4349-B42E-DDF99A09186A}"/>
            </c:ext>
          </c:extLst>
        </c:ser>
        <c:ser>
          <c:idx val="5"/>
          <c:order val="5"/>
          <c:tx>
            <c:strRef>
              <c:f>ReportData!$O$94</c:f>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ReportData!$Q$94:$Z$94</c15:sqref>
                  </c15:fullRef>
                </c:ext>
              </c:extLst>
              <c:f>(ReportData!$Q$94:$R$94,ReportData!$U$94:$Z$94)</c:f>
              <c:numCache>
                <c:formatCode>_(* #,##0_);_(* \(#,##0\);_(* "-"_);_(@_)</c:formatCode>
                <c:ptCount val="8"/>
              </c:numCache>
            </c:numRef>
          </c:val>
          <c:extLst>
            <c:ext xmlns:c16="http://schemas.microsoft.com/office/drawing/2014/chart" uri="{C3380CC4-5D6E-409C-BE32-E72D297353CC}">
              <c16:uniqueId val="{00000005-EA64-4349-B42E-DDF99A09186A}"/>
            </c:ext>
          </c:extLst>
        </c:ser>
        <c:ser>
          <c:idx val="6"/>
          <c:order val="6"/>
          <c:tx>
            <c:strRef>
              <c:f>ReportData!$O$95</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ReportData!$Q$95:$Z$95</c15:sqref>
                  </c15:fullRef>
                </c:ext>
              </c:extLst>
              <c:f>(ReportData!$Q$95:$R$95,ReportData!$U$95:$Z$95)</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EA64-4349-B42E-DDF99A09186A}"/>
            </c:ext>
          </c:extLst>
        </c:ser>
        <c:ser>
          <c:idx val="7"/>
          <c:order val="7"/>
          <c:tx>
            <c:strRef>
              <c:f>ReportData!$O$96</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ReportData!$Q$96:$Z$96</c15:sqref>
                  </c15:fullRef>
                </c:ext>
              </c:extLst>
              <c:f>(ReportData!$Q$96:$R$96,ReportData!$U$96:$Z$96)</c:f>
              <c:numCache>
                <c:formatCode>_(* #,##0_);_(* \(#,##0\);_(* "-"_);_(@_)</c:formatCode>
                <c:ptCount val="8"/>
                <c:pt idx="0">
                  <c:v>0</c:v>
                </c:pt>
                <c:pt idx="1">
                  <c:v>0</c:v>
                </c:pt>
                <c:pt idx="2">
                  <c:v>9205.4794520547948</c:v>
                </c:pt>
                <c:pt idx="3">
                  <c:v>9205.4794520547948</c:v>
                </c:pt>
                <c:pt idx="4">
                  <c:v>9205.4794520547948</c:v>
                </c:pt>
                <c:pt idx="5">
                  <c:v>9205.4794520547948</c:v>
                </c:pt>
                <c:pt idx="6">
                  <c:v>9205.4794520547948</c:v>
                </c:pt>
                <c:pt idx="7">
                  <c:v>9205.4794520547948</c:v>
                </c:pt>
              </c:numCache>
            </c:numRef>
          </c:val>
          <c:extLst>
            <c:ext xmlns:c16="http://schemas.microsoft.com/office/drawing/2014/chart" uri="{C3380CC4-5D6E-409C-BE32-E72D297353CC}">
              <c16:uniqueId val="{00000007-EA64-4349-B42E-DDF99A09186A}"/>
            </c:ext>
          </c:extLst>
        </c:ser>
        <c:ser>
          <c:idx val="8"/>
          <c:order val="8"/>
          <c:tx>
            <c:strRef>
              <c:f>ReportData!$O$97</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ReportData!$Q$97:$Z$97</c15:sqref>
                  </c15:fullRef>
                </c:ext>
              </c:extLst>
              <c:f>(ReportData!$Q$97:$R$97,ReportData!$U$97:$Z$97)</c:f>
              <c:numCache>
                <c:formatCode>_(* #,##0_);_(* \(#,##0\);_(* "-"_);_(@_)</c:formatCode>
                <c:ptCount val="8"/>
                <c:pt idx="0">
                  <c:v>0</c:v>
                </c:pt>
                <c:pt idx="1">
                  <c:v>0</c:v>
                </c:pt>
                <c:pt idx="2">
                  <c:v>547.94520547945206</c:v>
                </c:pt>
                <c:pt idx="3">
                  <c:v>547.94520547945206</c:v>
                </c:pt>
                <c:pt idx="4">
                  <c:v>547.94520547945206</c:v>
                </c:pt>
                <c:pt idx="5">
                  <c:v>547.94520547945206</c:v>
                </c:pt>
                <c:pt idx="6">
                  <c:v>547.94520547945206</c:v>
                </c:pt>
                <c:pt idx="7">
                  <c:v>547.94520547945206</c:v>
                </c:pt>
              </c:numCache>
            </c:numRef>
          </c:val>
          <c:extLst>
            <c:ext xmlns:c16="http://schemas.microsoft.com/office/drawing/2014/chart" uri="{C3380CC4-5D6E-409C-BE32-E72D297353CC}">
              <c16:uniqueId val="{00000008-EA64-4349-B42E-DDF99A09186A}"/>
            </c:ext>
          </c:extLst>
        </c:ser>
        <c:ser>
          <c:idx val="9"/>
          <c:order val="9"/>
          <c:tx>
            <c:strRef>
              <c:f>ReportData!$O$98</c:f>
              <c:strCache>
                <c:ptCount val="1"/>
                <c:pt idx="0">
                  <c:v>Accrued Expenses Days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ReportData!$Q$98:$Z$98</c15:sqref>
                  </c15:fullRef>
                </c:ext>
              </c:extLst>
              <c:f>(ReportData!$Q$98:$R$98,ReportData!$U$98:$Z$98)</c:f>
              <c:numCache>
                <c:formatCode>_(* #,##0_);_(* \(#,##0\);_(* "-"_);_(@_)</c:formatCode>
                <c:ptCount val="8"/>
                <c:pt idx="0">
                  <c:v>0</c:v>
                </c:pt>
                <c:pt idx="1">
                  <c:v>0</c:v>
                </c:pt>
                <c:pt idx="2">
                  <c:v>3328.7671232876714</c:v>
                </c:pt>
                <c:pt idx="3">
                  <c:v>3328.7671232876714</c:v>
                </c:pt>
                <c:pt idx="4">
                  <c:v>3328.7671232876714</c:v>
                </c:pt>
                <c:pt idx="5">
                  <c:v>3328.7671232876714</c:v>
                </c:pt>
                <c:pt idx="6">
                  <c:v>3328.7671232876714</c:v>
                </c:pt>
                <c:pt idx="7">
                  <c:v>3328.7671232876714</c:v>
                </c:pt>
              </c:numCache>
            </c:numRef>
          </c:val>
          <c:extLst>
            <c:ext xmlns:c16="http://schemas.microsoft.com/office/drawing/2014/chart" uri="{C3380CC4-5D6E-409C-BE32-E72D297353CC}">
              <c16:uniqueId val="{00000009-EA64-4349-B42E-DDF99A09186A}"/>
            </c:ext>
          </c:extLst>
        </c:ser>
        <c:ser>
          <c:idx val="10"/>
          <c:order val="10"/>
          <c:tx>
            <c:strRef>
              <c:f>ReportData!$O$99</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ReportData!$Q$99:$Z$99</c15:sqref>
                  </c15:fullRef>
                </c:ext>
              </c:extLst>
              <c:f>(ReportData!$Q$99:$R$99,ReportData!$U$99:$Z$99)</c:f>
              <c:numCache>
                <c:formatCode>_(* #,##0_);_(* \(#,##0\);_(* "-"_);_(@_)</c:formatCode>
                <c:ptCount val="8"/>
                <c:pt idx="0">
                  <c:v>0</c:v>
                </c:pt>
                <c:pt idx="1">
                  <c:v>0</c:v>
                </c:pt>
                <c:pt idx="2">
                  <c:v>1499.548219178082</c:v>
                </c:pt>
                <c:pt idx="3">
                  <c:v>1467.0013698630137</c:v>
                </c:pt>
                <c:pt idx="4">
                  <c:v>1434.4545205479451</c:v>
                </c:pt>
                <c:pt idx="5">
                  <c:v>1401.9076712328767</c:v>
                </c:pt>
                <c:pt idx="6">
                  <c:v>1369.3608219178082</c:v>
                </c:pt>
                <c:pt idx="7">
                  <c:v>1336.8139726027396</c:v>
                </c:pt>
              </c:numCache>
            </c:numRef>
          </c:val>
          <c:extLst>
            <c:ext xmlns:c16="http://schemas.microsoft.com/office/drawing/2014/chart" uri="{C3380CC4-5D6E-409C-BE32-E72D297353CC}">
              <c16:uniqueId val="{0000000A-EA64-4349-B42E-DDF99A09186A}"/>
            </c:ext>
          </c:extLst>
        </c:ser>
        <c:ser>
          <c:idx val="11"/>
          <c:order val="11"/>
          <c:tx>
            <c:strRef>
              <c:f>ReportData!$O$100</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ReportData!$Q$100:$Z$100</c15:sqref>
                  </c15:fullRef>
                </c:ext>
              </c:extLst>
              <c:f>(ReportData!$Q$100:$R$100,ReportData!$U$100:$Z$100)</c:f>
              <c:numCache>
                <c:formatCode>_(* #,##0_);_(* \(#,##0\);_(* "-"_);_(@_)</c:formatCode>
                <c:ptCount val="8"/>
                <c:pt idx="0">
                  <c:v>0</c:v>
                </c:pt>
                <c:pt idx="1">
                  <c:v>0</c:v>
                </c:pt>
                <c:pt idx="2">
                  <c:v>1232.8767123287671</c:v>
                </c:pt>
                <c:pt idx="3">
                  <c:v>0</c:v>
                </c:pt>
                <c:pt idx="4">
                  <c:v>0</c:v>
                </c:pt>
                <c:pt idx="5">
                  <c:v>0</c:v>
                </c:pt>
                <c:pt idx="6">
                  <c:v>0</c:v>
                </c:pt>
                <c:pt idx="7">
                  <c:v>0</c:v>
                </c:pt>
              </c:numCache>
            </c:numRef>
          </c:val>
          <c:extLst>
            <c:ext xmlns:c16="http://schemas.microsoft.com/office/drawing/2014/chart" uri="{C3380CC4-5D6E-409C-BE32-E72D297353CC}">
              <c16:uniqueId val="{0000000B-EA64-4349-B42E-DDF99A09186A}"/>
            </c:ext>
          </c:extLst>
        </c:ser>
        <c:dLbls>
          <c:showLegendKey val="0"/>
          <c:showVal val="0"/>
          <c:showCatName val="0"/>
          <c:showSerName val="0"/>
          <c:showPercent val="0"/>
          <c:showBubbleSize val="0"/>
        </c:dLbls>
        <c:gapWidth val="50"/>
        <c:overlap val="100"/>
        <c:axId val="1493104720"/>
        <c:axId val="141848303"/>
      </c:barChart>
      <c:lineChart>
        <c:grouping val="standard"/>
        <c:varyColors val="0"/>
        <c:ser>
          <c:idx val="12"/>
          <c:order val="12"/>
          <c:tx>
            <c:strRef>
              <c:f>ReportData!$O$102</c:f>
              <c:strCache>
                <c:ptCount val="1"/>
                <c:pt idx="0">
                  <c:v>NWC as a % of sales</c:v>
                </c:pt>
              </c:strCache>
            </c:strRef>
          </c:tx>
          <c:spPr>
            <a:ln w="28575" cap="rnd">
              <a:solidFill>
                <a:schemeClr val="accent3"/>
              </a:solidFill>
              <a:round/>
            </a:ln>
            <a:effectLst/>
          </c:spPr>
          <c:marker>
            <c:symbol val="none"/>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ReportData!$Q$102:$Z$102</c15:sqref>
                  </c15:fullRef>
                </c:ext>
              </c:extLst>
              <c:f>(ReportData!$Q$102:$R$102,ReportData!$U$102:$Z$102)</c:f>
              <c:numCache>
                <c:formatCode>0%</c:formatCode>
                <c:ptCount val="8"/>
                <c:pt idx="0">
                  <c:v>0</c:v>
                </c:pt>
                <c:pt idx="1">
                  <c:v>0</c:v>
                </c:pt>
                <c:pt idx="2">
                  <c:v>15546.479178082189</c:v>
                </c:pt>
                <c:pt idx="3">
                  <c:v>16811.902739726025</c:v>
                </c:pt>
                <c:pt idx="4">
                  <c:v>19592.142994485737</c:v>
                </c:pt>
                <c:pt idx="5">
                  <c:v>24293.137948293734</c:v>
                </c:pt>
                <c:pt idx="6">
                  <c:v>26693.398300354263</c:v>
                </c:pt>
                <c:pt idx="7">
                  <c:v>28930.667223781697</c:v>
                </c:pt>
              </c:numCache>
            </c:numRef>
          </c:val>
          <c:smooth val="0"/>
          <c:extLst>
            <c:ext xmlns:c16="http://schemas.microsoft.com/office/drawing/2014/chart" uri="{C3380CC4-5D6E-409C-BE32-E72D297353CC}">
              <c16:uniqueId val="{00000000-020A-4EBF-B181-69BFA5325115}"/>
            </c:ext>
          </c:extLst>
        </c:ser>
        <c:dLbls>
          <c:showLegendKey val="0"/>
          <c:showVal val="0"/>
          <c:showCatName val="0"/>
          <c:showSerName val="0"/>
          <c:showPercent val="0"/>
          <c:showBubbleSize val="0"/>
        </c:dLbls>
        <c:marker val="1"/>
        <c:smooth val="0"/>
        <c:axId val="207062399"/>
        <c:axId val="234557935"/>
      </c:line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93104720"/>
        <c:crosses val="autoZero"/>
        <c:crossBetween val="between"/>
      </c:valAx>
      <c:valAx>
        <c:axId val="234557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07062399"/>
        <c:crosses val="max"/>
        <c:crossBetween val="between"/>
      </c:valAx>
      <c:catAx>
        <c:axId val="207062399"/>
        <c:scaling>
          <c:orientation val="minMax"/>
        </c:scaling>
        <c:delete val="1"/>
        <c:axPos val="b"/>
        <c:numFmt formatCode="General" sourceLinked="1"/>
        <c:majorTickMark val="out"/>
        <c:minorTickMark val="none"/>
        <c:tickLblPos val="nextTo"/>
        <c:crossAx val="234557935"/>
        <c:crosses val="autoZero"/>
        <c:auto val="1"/>
        <c:lblAlgn val="ctr"/>
        <c:lblOffset val="100"/>
        <c:noMultiLvlLbl val="0"/>
      </c:catAx>
      <c:spPr>
        <a:noFill/>
        <a:ln>
          <a:noFill/>
        </a:ln>
        <a:effectLst/>
      </c:spPr>
    </c:plotArea>
    <c:legend>
      <c:legendPos val="b"/>
      <c:layout>
        <c:manualLayout>
          <c:xMode val="edge"/>
          <c:yMode val="edge"/>
          <c:x val="8.0928579476680588E-3"/>
          <c:y val="0.75752490464270228"/>
          <c:w val="0.98922366536803807"/>
          <c:h val="0.24247509535729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0.33473833581042439"/>
          <c:y val="0.28972643723135394"/>
          <c:w val="0.55713694397780811"/>
          <c:h val="0.51969832700080887"/>
        </c:manualLayout>
      </c:layout>
      <c:barChart>
        <c:barDir val="bar"/>
        <c:grouping val="stacked"/>
        <c:varyColors val="0"/>
        <c:ser>
          <c:idx val="0"/>
          <c:order val="0"/>
          <c:tx>
            <c:strRef>
              <c:f>ReportData!$P$8</c:f>
              <c:strCache>
                <c:ptCount val="1"/>
                <c:pt idx="0">
                  <c:v>Low</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ReportData!$P$9:$P$11</c:f>
              <c:numCache>
                <c:formatCode>_(* #,##0.0_);_(* \(#,##0.0\);_(* "-"_);_(@_)</c:formatCode>
                <c:ptCount val="3"/>
                <c:pt idx="0">
                  <c:v>-6541.7024933180655</c:v>
                </c:pt>
                <c:pt idx="1">
                  <c:v>205185.75</c:v>
                </c:pt>
                <c:pt idx="2">
                  <c:v>379335</c:v>
                </c:pt>
              </c:numCache>
            </c:numRef>
          </c:val>
          <c:extLst>
            <c:ext xmlns:c16="http://schemas.microsoft.com/office/drawing/2014/chart" uri="{C3380CC4-5D6E-409C-BE32-E72D297353CC}">
              <c16:uniqueId val="{00000000-CD2E-4E0A-A600-5D3810FBBB52}"/>
            </c:ext>
          </c:extLst>
        </c:ser>
        <c:ser>
          <c:idx val="1"/>
          <c:order val="1"/>
          <c:tx>
            <c:strRef>
              <c:f>ReportData!$Q$8</c:f>
              <c:strCache>
                <c:ptCount val="1"/>
                <c:pt idx="0">
                  <c:v>Difference</c:v>
                </c:pt>
              </c:strCache>
            </c:strRef>
          </c:tx>
          <c:spPr>
            <a:solidFill>
              <a:schemeClr val="tx1">
                <a:lumMod val="95000"/>
                <a:lumOff val="5000"/>
              </a:schemeClr>
            </a:solidFill>
            <a:ln>
              <a:noFill/>
            </a:ln>
            <a:effectLst/>
          </c:spPr>
          <c:invertIfNegative val="0"/>
          <c:dLbls>
            <c:delete val="1"/>
          </c:dLbls>
          <c:cat>
            <c:strRef>
              <c:f>ReportData!$O$9:$O$11</c:f>
              <c:strCache>
                <c:ptCount val="3"/>
                <c:pt idx="0">
                  <c:v> DCF Approach </c:v>
                </c:pt>
                <c:pt idx="1">
                  <c:v> Multiples Approach (EV/EBITDA) </c:v>
                </c:pt>
                <c:pt idx="2">
                  <c:v> Transactions Approach </c:v>
                </c:pt>
              </c:strCache>
            </c:strRef>
          </c:cat>
          <c:val>
            <c:numRef>
              <c:f>ReportData!$Q$9:$Q$11</c:f>
              <c:numCache>
                <c:formatCode>_(* #,##0.0_);_(* \(#,##0.0\);_(* "-"_);_(@_)</c:formatCode>
                <c:ptCount val="3"/>
                <c:pt idx="0">
                  <c:v>8128.7398504043294</c:v>
                </c:pt>
                <c:pt idx="1">
                  <c:v>72418.499999999942</c:v>
                </c:pt>
                <c:pt idx="2">
                  <c:v>0</c:v>
                </c:pt>
              </c:numCache>
            </c:numRef>
          </c:val>
          <c:extLst>
            <c:ext xmlns:c16="http://schemas.microsoft.com/office/drawing/2014/chart" uri="{C3380CC4-5D6E-409C-BE32-E72D297353CC}">
              <c16:uniqueId val="{00000001-CD2E-4E0A-A600-5D3810FBBB52}"/>
            </c:ext>
          </c:extLst>
        </c:ser>
        <c:ser>
          <c:idx val="2"/>
          <c:order val="2"/>
          <c:tx>
            <c:strRef>
              <c:f>ReportData!$R$8</c:f>
              <c:strCache>
                <c:ptCount val="1"/>
                <c:pt idx="0">
                  <c:v>High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ReportData!$R$9:$R$11</c:f>
              <c:numCache>
                <c:formatCode>_(* #,##0.0_);_(* \(#,##0.0\);_(* "-"_);_(@_)</c:formatCode>
                <c:ptCount val="3"/>
                <c:pt idx="0">
                  <c:v>1587.0373570862639</c:v>
                </c:pt>
                <c:pt idx="1">
                  <c:v>277604.24999999994</c:v>
                </c:pt>
                <c:pt idx="2">
                  <c:v>379335</c:v>
                </c:pt>
              </c:numCache>
            </c:numRef>
          </c:val>
          <c:extLst>
            <c:ext xmlns:c16="http://schemas.microsoft.com/office/drawing/2014/chart" uri="{C3380CC4-5D6E-409C-BE32-E72D297353CC}">
              <c16:uniqueId val="{00000002-CD2E-4E0A-A600-5D3810FBBB52}"/>
            </c:ext>
          </c:extLst>
        </c:ser>
        <c:dLbls>
          <c:dLblPos val="ctr"/>
          <c:showLegendKey val="0"/>
          <c:showVal val="1"/>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ReportData!$P$13</c:f>
              <c:strCache>
                <c:ptCount val="1"/>
                <c:pt idx="0">
                  <c:v>Low</c:v>
                </c:pt>
              </c:strCache>
            </c:strRef>
          </c:tx>
          <c:spPr>
            <a:solidFill>
              <a:schemeClr val="accent1"/>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ReportData!$P$14:$P$16</c:f>
              <c:numCache>
                <c:formatCode>_(* #,##0.0_);_(* \(#,##0.0\);_(* "-"_);_(@_)</c:formatCode>
                <c:ptCount val="3"/>
              </c:numCache>
            </c:numRef>
          </c:val>
          <c:extLst>
            <c:ext xmlns:c16="http://schemas.microsoft.com/office/drawing/2014/chart" uri="{C3380CC4-5D6E-409C-BE32-E72D297353CC}">
              <c16:uniqueId val="{00000000-5462-46EB-9A75-3AE733D4591C}"/>
            </c:ext>
          </c:extLst>
        </c:ser>
        <c:ser>
          <c:idx val="1"/>
          <c:order val="1"/>
          <c:tx>
            <c:strRef>
              <c:f>ReportData!$Q$13</c:f>
              <c:strCache>
                <c:ptCount val="1"/>
                <c:pt idx="0">
                  <c:v>Difference</c:v>
                </c:pt>
              </c:strCache>
            </c:strRef>
          </c:tx>
          <c:spPr>
            <a:solidFill>
              <a:schemeClr val="accent2"/>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ReportData!$Q$14:$Q$16</c:f>
              <c:numCache>
                <c:formatCode>_(* #,##0.0_);_(* \(#,##0.0\);_(* "-"_);_(@_)</c:formatCode>
                <c:ptCount val="3"/>
                <c:pt idx="0">
                  <c:v>0</c:v>
                </c:pt>
                <c:pt idx="1">
                  <c:v>0</c:v>
                </c:pt>
                <c:pt idx="2">
                  <c:v>0</c:v>
                </c:pt>
              </c:numCache>
            </c:numRef>
          </c:val>
          <c:extLst>
            <c:ext xmlns:c16="http://schemas.microsoft.com/office/drawing/2014/chart" uri="{C3380CC4-5D6E-409C-BE32-E72D297353CC}">
              <c16:uniqueId val="{00000001-5462-46EB-9A75-3AE733D4591C}"/>
            </c:ext>
          </c:extLst>
        </c:ser>
        <c:ser>
          <c:idx val="2"/>
          <c:order val="2"/>
          <c:tx>
            <c:strRef>
              <c:f>ReportData!$R$13</c:f>
              <c:strCache>
                <c:ptCount val="1"/>
                <c:pt idx="0">
                  <c:v>High</c:v>
                </c:pt>
              </c:strCache>
            </c:strRef>
          </c:tx>
          <c:spPr>
            <a:solidFill>
              <a:schemeClr val="accent3"/>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ReportData!$R$14:$R$16</c:f>
              <c:numCache>
                <c:formatCode>_(* #,##0.0_);_(* \(#,##0.0\);_(* "-"_);_(@_)</c:formatCode>
                <c:ptCount val="3"/>
              </c:numCache>
            </c:numRef>
          </c:val>
          <c:extLst>
            <c:ext xmlns:c16="http://schemas.microsoft.com/office/drawing/2014/chart" uri="{C3380CC4-5D6E-409C-BE32-E72D297353CC}">
              <c16:uniqueId val="{00000002-5462-46EB-9A75-3AE733D4591C}"/>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ReportData!$P$19</c:f>
              <c:strCache>
                <c:ptCount val="1"/>
                <c:pt idx="0">
                  <c:v>Low</c:v>
                </c:pt>
              </c:strCache>
            </c:strRef>
          </c:tx>
          <c:spPr>
            <a:solidFill>
              <a:schemeClr val="accent1"/>
            </a:solidFill>
            <a:ln>
              <a:noFill/>
            </a:ln>
            <a:effectLst/>
          </c:spPr>
          <c:invertIfNegative val="0"/>
          <c:cat>
            <c:strRef>
              <c:f>ReportData!$O$20:$O$21</c:f>
              <c:strCache>
                <c:ptCount val="2"/>
                <c:pt idx="0">
                  <c:v> Management Case </c:v>
                </c:pt>
                <c:pt idx="1">
                  <c:v> Valify Case </c:v>
                </c:pt>
              </c:strCache>
            </c:strRef>
          </c:cat>
          <c:val>
            <c:numRef>
              <c:f>ReportData!$P$20:$P$21</c:f>
              <c:numCache>
                <c:formatCode>_(* #,##0.0_);_(* \(#,##0.0\);_(* "-"_);_(@_)</c:formatCode>
                <c:ptCount val="2"/>
                <c:pt idx="0">
                  <c:v>0</c:v>
                </c:pt>
              </c:numCache>
            </c:numRef>
          </c:val>
          <c:extLst>
            <c:ext xmlns:c16="http://schemas.microsoft.com/office/drawing/2014/chart" uri="{C3380CC4-5D6E-409C-BE32-E72D297353CC}">
              <c16:uniqueId val="{00000000-FCC0-47D2-AD44-C11182B057E9}"/>
            </c:ext>
          </c:extLst>
        </c:ser>
        <c:ser>
          <c:idx val="1"/>
          <c:order val="1"/>
          <c:tx>
            <c:strRef>
              <c:f>ReportData!$Q$19</c:f>
              <c:strCache>
                <c:ptCount val="1"/>
                <c:pt idx="0">
                  <c:v>Difference</c:v>
                </c:pt>
              </c:strCache>
            </c:strRef>
          </c:tx>
          <c:spPr>
            <a:solidFill>
              <a:schemeClr val="accent2"/>
            </a:solidFill>
            <a:ln>
              <a:noFill/>
            </a:ln>
            <a:effectLst/>
          </c:spPr>
          <c:invertIfNegative val="0"/>
          <c:cat>
            <c:strRef>
              <c:f>ReportData!$O$20:$O$21</c:f>
              <c:strCache>
                <c:ptCount val="2"/>
                <c:pt idx="0">
                  <c:v> Management Case </c:v>
                </c:pt>
                <c:pt idx="1">
                  <c:v> Valify Case </c:v>
                </c:pt>
              </c:strCache>
            </c:strRef>
          </c:cat>
          <c:val>
            <c:numRef>
              <c:f>ReportData!$Q$20:$Q$21</c:f>
              <c:numCache>
                <c:formatCode>_(* #,##0.0_);_(* \(#,##0.0\);_(* "-"_);_(@_)</c:formatCode>
                <c:ptCount val="2"/>
                <c:pt idx="0">
                  <c:v>0</c:v>
                </c:pt>
                <c:pt idx="1">
                  <c:v>0</c:v>
                </c:pt>
              </c:numCache>
            </c:numRef>
          </c:val>
          <c:extLst>
            <c:ext xmlns:c16="http://schemas.microsoft.com/office/drawing/2014/chart" uri="{C3380CC4-5D6E-409C-BE32-E72D297353CC}">
              <c16:uniqueId val="{00000001-FCC0-47D2-AD44-C11182B057E9}"/>
            </c:ext>
          </c:extLst>
        </c:ser>
        <c:ser>
          <c:idx val="2"/>
          <c:order val="2"/>
          <c:tx>
            <c:strRef>
              <c:f>ReportData!$R$19</c:f>
              <c:strCache>
                <c:ptCount val="1"/>
                <c:pt idx="0">
                  <c:v>High</c:v>
                </c:pt>
              </c:strCache>
            </c:strRef>
          </c:tx>
          <c:spPr>
            <a:solidFill>
              <a:schemeClr val="accent3"/>
            </a:solidFill>
            <a:ln>
              <a:noFill/>
            </a:ln>
            <a:effectLst/>
          </c:spPr>
          <c:invertIfNegative val="0"/>
          <c:cat>
            <c:strRef>
              <c:f>ReportData!$O$20:$O$21</c:f>
              <c:strCache>
                <c:ptCount val="2"/>
                <c:pt idx="0">
                  <c:v> Management Case </c:v>
                </c:pt>
                <c:pt idx="1">
                  <c:v> Valify Case </c:v>
                </c:pt>
              </c:strCache>
            </c:strRef>
          </c:cat>
          <c:val>
            <c:numRef>
              <c:f>ReportData!$R$20:$R$21</c:f>
              <c:numCache>
                <c:formatCode>_(* #,##0.0_);_(* \(#,##0.0\);_(* "-"_);_(@_)</c:formatCode>
                <c:ptCount val="2"/>
                <c:pt idx="0">
                  <c:v>0</c:v>
                </c:pt>
              </c:numCache>
            </c:numRef>
          </c:val>
          <c:extLst>
            <c:ext xmlns:c16="http://schemas.microsoft.com/office/drawing/2014/chart" uri="{C3380CC4-5D6E-409C-BE32-E72D297353CC}">
              <c16:uniqueId val="{00000002-FCC0-47D2-AD44-C11182B057E9}"/>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ReportData!$P$23</c:f>
              <c:strCache>
                <c:ptCount val="1"/>
                <c:pt idx="0">
                  <c:v>Low</c:v>
                </c:pt>
              </c:strCache>
            </c:strRef>
          </c:tx>
          <c:spPr>
            <a:solidFill>
              <a:schemeClr val="accent1"/>
            </a:solidFill>
            <a:ln>
              <a:noFill/>
            </a:ln>
            <a:effectLst/>
          </c:spPr>
          <c:invertIfNegative val="0"/>
          <c:cat>
            <c:strRef>
              <c:f>ReportData!$O$24:$O$25</c:f>
              <c:strCache>
                <c:ptCount val="2"/>
                <c:pt idx="0">
                  <c:v> DCF Approach </c:v>
                </c:pt>
                <c:pt idx="1">
                  <c:v> Valify Case </c:v>
                </c:pt>
              </c:strCache>
            </c:strRef>
          </c:cat>
          <c:val>
            <c:numRef>
              <c:f>ReportData!$P$24:$P$25</c:f>
              <c:numCache>
                <c:formatCode>_(* #,##0.0_);_(* \(#,##0.0\);_(* "-"_);_(@_)</c:formatCode>
                <c:ptCount val="2"/>
              </c:numCache>
            </c:numRef>
          </c:val>
          <c:extLst>
            <c:ext xmlns:c16="http://schemas.microsoft.com/office/drawing/2014/chart" uri="{C3380CC4-5D6E-409C-BE32-E72D297353CC}">
              <c16:uniqueId val="{00000000-DB7E-40D6-8AB9-860B209B9D68}"/>
            </c:ext>
          </c:extLst>
        </c:ser>
        <c:ser>
          <c:idx val="1"/>
          <c:order val="1"/>
          <c:tx>
            <c:strRef>
              <c:f>ReportData!$Q$23</c:f>
              <c:strCache>
                <c:ptCount val="1"/>
                <c:pt idx="0">
                  <c:v>Difference</c:v>
                </c:pt>
              </c:strCache>
            </c:strRef>
          </c:tx>
          <c:spPr>
            <a:solidFill>
              <a:schemeClr val="accent2"/>
            </a:solidFill>
            <a:ln>
              <a:noFill/>
            </a:ln>
            <a:effectLst/>
          </c:spPr>
          <c:invertIfNegative val="0"/>
          <c:cat>
            <c:strRef>
              <c:f>ReportData!$O$24:$O$25</c:f>
              <c:strCache>
                <c:ptCount val="2"/>
                <c:pt idx="0">
                  <c:v> DCF Approach </c:v>
                </c:pt>
                <c:pt idx="1">
                  <c:v> Valify Case </c:v>
                </c:pt>
              </c:strCache>
            </c:strRef>
          </c:cat>
          <c:val>
            <c:numRef>
              <c:f>ReportData!$Q$24:$Q$25</c:f>
              <c:numCache>
                <c:formatCode>_(* #,##0.0_);_(* \(#,##0.0\);_(* "-"_);_(@_)</c:formatCode>
                <c:ptCount val="2"/>
                <c:pt idx="0">
                  <c:v>0</c:v>
                </c:pt>
                <c:pt idx="1">
                  <c:v>0</c:v>
                </c:pt>
              </c:numCache>
            </c:numRef>
          </c:val>
          <c:extLst>
            <c:ext xmlns:c16="http://schemas.microsoft.com/office/drawing/2014/chart" uri="{C3380CC4-5D6E-409C-BE32-E72D297353CC}">
              <c16:uniqueId val="{00000001-DB7E-40D6-8AB9-860B209B9D68}"/>
            </c:ext>
          </c:extLst>
        </c:ser>
        <c:ser>
          <c:idx val="2"/>
          <c:order val="2"/>
          <c:tx>
            <c:strRef>
              <c:f>ReportData!$R$23</c:f>
              <c:strCache>
                <c:ptCount val="1"/>
                <c:pt idx="0">
                  <c:v>High</c:v>
                </c:pt>
              </c:strCache>
            </c:strRef>
          </c:tx>
          <c:spPr>
            <a:solidFill>
              <a:schemeClr val="accent3"/>
            </a:solidFill>
            <a:ln>
              <a:noFill/>
            </a:ln>
            <a:effectLst/>
          </c:spPr>
          <c:invertIfNegative val="0"/>
          <c:cat>
            <c:strRef>
              <c:f>ReportData!$O$24:$O$25</c:f>
              <c:strCache>
                <c:ptCount val="2"/>
                <c:pt idx="0">
                  <c:v> DCF Approach </c:v>
                </c:pt>
                <c:pt idx="1">
                  <c:v> Valify Case </c:v>
                </c:pt>
              </c:strCache>
            </c:strRef>
          </c:cat>
          <c:val>
            <c:numRef>
              <c:f>ReportData!$R$24:$R$25</c:f>
              <c:numCache>
                <c:formatCode>_(* #,##0.0_);_(* \(#,##0.0\);_(* "-"_);_(@_)</c:formatCode>
                <c:ptCount val="2"/>
              </c:numCache>
            </c:numRef>
          </c:val>
          <c:extLst>
            <c:ext xmlns:c16="http://schemas.microsoft.com/office/drawing/2014/chart" uri="{C3380CC4-5D6E-409C-BE32-E72D297353CC}">
              <c16:uniqueId val="{00000002-DB7E-40D6-8AB9-860B209B9D68}"/>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ReportData!$U$9</c:f>
          <c:strCache>
            <c:ptCount val="1"/>
            <c:pt idx="0">
              <c:v>Revenues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clustered"/>
        <c:varyColors val="0"/>
        <c:ser>
          <c:idx val="0"/>
          <c:order val="0"/>
          <c:tx>
            <c:strRef>
              <c:f>ReportData!$O$51</c:f>
              <c:strCache>
                <c:ptCount val="1"/>
                <c:pt idx="0">
                  <c:v>Revenue - Management</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ReportData!$Q$51:$Z$51</c15:sqref>
                  </c15:fullRef>
                </c:ext>
              </c:extLst>
              <c:f>(ReportData!$Q$51:$R$51,ReportData!$U$51:$Z$51)</c:f>
              <c:numCache>
                <c:formatCode>_(* #,##0_);_(* \(#,##0\);_(* "-"_);_(@_)</c:formatCode>
                <c:ptCount val="8"/>
                <c:pt idx="0">
                  <c:v>0</c:v>
                </c:pt>
                <c:pt idx="1">
                  <c:v>0</c:v>
                </c:pt>
                <c:pt idx="2">
                  <c:v>168000</c:v>
                </c:pt>
                <c:pt idx="3">
                  <c:v>168000</c:v>
                </c:pt>
                <c:pt idx="4">
                  <c:v>168000</c:v>
                </c:pt>
                <c:pt idx="5">
                  <c:v>168000</c:v>
                </c:pt>
                <c:pt idx="6">
                  <c:v>168000</c:v>
                </c:pt>
                <c:pt idx="7">
                  <c:v>168000</c:v>
                </c:pt>
              </c:numCache>
            </c:numRef>
          </c:val>
          <c:extLst>
            <c:ext xmlns:c16="http://schemas.microsoft.com/office/drawing/2014/chart" uri="{C3380CC4-5D6E-409C-BE32-E72D297353CC}">
              <c16:uniqueId val="{00000000-921D-4092-9317-7A00293421C8}"/>
            </c:ext>
          </c:extLst>
        </c:ser>
        <c:ser>
          <c:idx val="1"/>
          <c:order val="1"/>
          <c:tx>
            <c:strRef>
              <c:f>ReportData!$O$52</c:f>
              <c:strCache>
                <c:ptCount val="1"/>
                <c:pt idx="0">
                  <c:v>Revenue - Valify</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ReportData!$Q$52:$Z$52</c15:sqref>
                  </c15:fullRef>
                </c:ext>
              </c:extLst>
              <c:f>(ReportData!$Q$52:$R$52,ReportData!$U$52:$Z$52)</c:f>
              <c:numCache>
                <c:formatCode>_(* #,##0_);_(* \(#,##0\);_(* "-"_);_(@_)</c:formatCode>
                <c:ptCount val="8"/>
                <c:pt idx="0">
                  <c:v>50000</c:v>
                </c:pt>
                <c:pt idx="1">
                  <c:v>50000</c:v>
                </c:pt>
                <c:pt idx="2">
                  <c:v>50000</c:v>
                </c:pt>
                <c:pt idx="3">
                  <c:v>50000</c:v>
                </c:pt>
                <c:pt idx="4">
                  <c:v>50000</c:v>
                </c:pt>
                <c:pt idx="5">
                  <c:v>50000</c:v>
                </c:pt>
                <c:pt idx="6">
                  <c:v>50000</c:v>
                </c:pt>
                <c:pt idx="7">
                  <c:v>50000</c:v>
                </c:pt>
              </c:numCache>
            </c:numRef>
          </c:val>
          <c:extLst>
            <c:ext xmlns:c16="http://schemas.microsoft.com/office/drawing/2014/chart" uri="{C3380CC4-5D6E-409C-BE32-E72D297353CC}">
              <c16:uniqueId val="{00000001-921D-4092-9317-7A00293421C8}"/>
            </c:ext>
          </c:extLst>
        </c:ser>
        <c:dLbls>
          <c:dLblPos val="outEnd"/>
          <c:showLegendKey val="0"/>
          <c:showVal val="1"/>
          <c:showCatName val="0"/>
          <c:showSerName val="0"/>
          <c:showPercent val="0"/>
          <c:showBubbleSize val="0"/>
        </c:dLbls>
        <c:gapWidth val="50"/>
        <c:overlap val="-27"/>
        <c:axId val="217049536"/>
        <c:axId val="217046656"/>
      </c:barChart>
      <c:catAx>
        <c:axId val="21704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46656"/>
        <c:crosses val="autoZero"/>
        <c:auto val="1"/>
        <c:lblAlgn val="ctr"/>
        <c:lblOffset val="100"/>
        <c:noMultiLvlLbl val="0"/>
      </c:catAx>
      <c:valAx>
        <c:axId val="217046656"/>
        <c:scaling>
          <c:orientation val="minMax"/>
        </c:scaling>
        <c:delete val="1"/>
        <c:axPos val="l"/>
        <c:numFmt formatCode="_(* #,##0_);_(* \(#,##0\);_(* &quot;-&quot;_);_(@_)" sourceLinked="1"/>
        <c:majorTickMark val="none"/>
        <c:minorTickMark val="none"/>
        <c:tickLblPos val="nextTo"/>
        <c:crossAx val="21704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85773957613536E-2"/>
          <c:y val="8.473388888518224E-2"/>
          <c:w val="0.90495902845237086"/>
          <c:h val="0.51217481019790856"/>
        </c:manualLayout>
      </c:layout>
      <c:barChart>
        <c:barDir val="col"/>
        <c:grouping val="stacked"/>
        <c:varyColors val="0"/>
        <c:ser>
          <c:idx val="0"/>
          <c:order val="0"/>
          <c:tx>
            <c:strRef>
              <c:f>ReportData!$O$55</c:f>
              <c:strCache>
                <c:ptCount val="1"/>
                <c:pt idx="0">
                  <c:v>Direct Costs</c:v>
                </c:pt>
              </c:strCache>
            </c:strRef>
          </c:tx>
          <c:spPr>
            <a:solidFill>
              <a:schemeClr val="accent1"/>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ReportData!$P$55:$Z$55</c15:sqref>
                  </c15:fullRef>
                </c:ext>
              </c:extLst>
              <c:f>(ReportData!$P$55:$R$55,ReportData!$U$55:$Z$55)</c:f>
              <c:numCache>
                <c:formatCode>_(* #,##0_);_(* \(#,##0\);_(* "-"_);_(@_)</c:formatCode>
                <c:ptCount val="9"/>
                <c:pt idx="0">
                  <c:v>0</c:v>
                </c:pt>
                <c:pt idx="1">
                  <c:v>0</c:v>
                </c:pt>
                <c:pt idx="2">
                  <c:v>0</c:v>
                </c:pt>
                <c:pt idx="3">
                  <c:v>50400.000000000007</c:v>
                </c:pt>
                <c:pt idx="4">
                  <c:v>50400.000000000007</c:v>
                </c:pt>
                <c:pt idx="5">
                  <c:v>50400.000000000007</c:v>
                </c:pt>
                <c:pt idx="6">
                  <c:v>50400.000000000007</c:v>
                </c:pt>
                <c:pt idx="7">
                  <c:v>50400.000000000007</c:v>
                </c:pt>
                <c:pt idx="8">
                  <c:v>50400.000000000007</c:v>
                </c:pt>
              </c:numCache>
            </c:numRef>
          </c:val>
          <c:extLst>
            <c:ext xmlns:c16="http://schemas.microsoft.com/office/drawing/2014/chart" uri="{C3380CC4-5D6E-409C-BE32-E72D297353CC}">
              <c16:uniqueId val="{00000000-B47A-416B-8626-28F7CD9CB59E}"/>
            </c:ext>
          </c:extLst>
        </c:ser>
        <c:ser>
          <c:idx val="1"/>
          <c:order val="1"/>
          <c:tx>
            <c:strRef>
              <c:f>ReportData!$O$56</c:f>
              <c:strCache>
                <c:ptCount val="1"/>
                <c:pt idx="0">
                  <c:v>Staff cost</c:v>
                </c:pt>
              </c:strCache>
            </c:strRef>
          </c:tx>
          <c:spPr>
            <a:solidFill>
              <a:schemeClr val="accent2"/>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ReportData!$P$56:$Z$56</c15:sqref>
                  </c15:fullRef>
                </c:ext>
              </c:extLst>
              <c:f>(ReportData!$P$56:$R$56,ReportData!$U$56:$Z$56)</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1-B47A-416B-8626-28F7CD9CB59E}"/>
            </c:ext>
          </c:extLst>
        </c:ser>
        <c:ser>
          <c:idx val="2"/>
          <c:order val="2"/>
          <c:tx>
            <c:strRef>
              <c:f>ReportData!$O$57</c:f>
              <c:strCache>
                <c:ptCount val="1"/>
                <c:pt idx="0">
                  <c:v>Sales Commission</c:v>
                </c:pt>
              </c:strCache>
            </c:strRef>
          </c:tx>
          <c:spPr>
            <a:solidFill>
              <a:schemeClr val="accent3"/>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ReportData!$P$57:$Z$57</c15:sqref>
                  </c15:fullRef>
                </c:ext>
              </c:extLst>
              <c:f>(ReportData!$P$57:$R$57,ReportData!$U$57:$Z$57)</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2-B47A-416B-8626-28F7CD9CB59E}"/>
            </c:ext>
          </c:extLst>
        </c:ser>
        <c:ser>
          <c:idx val="3"/>
          <c:order val="3"/>
          <c:tx>
            <c:strRef>
              <c:f>ReportData!$O$58</c:f>
              <c:strCache>
                <c:ptCount val="1"/>
                <c:pt idx="0">
                  <c:v>Rent</c:v>
                </c:pt>
              </c:strCache>
            </c:strRef>
          </c:tx>
          <c:spPr>
            <a:solidFill>
              <a:schemeClr val="accent4"/>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ReportData!$P$58:$Z$58</c15:sqref>
                  </c15:fullRef>
                </c:ext>
              </c:extLst>
              <c:f>(ReportData!$P$58:$R$58,ReportData!$U$58:$Z$58)</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3-B47A-416B-8626-28F7CD9CB59E}"/>
            </c:ext>
          </c:extLst>
        </c:ser>
        <c:ser>
          <c:idx val="4"/>
          <c:order val="4"/>
          <c:tx>
            <c:strRef>
              <c:f>ReportData!$O$59</c:f>
              <c:strCache>
                <c:ptCount val="1"/>
                <c:pt idx="0">
                  <c:v>Legal and professional fee</c:v>
                </c:pt>
              </c:strCache>
            </c:strRef>
          </c:tx>
          <c:spPr>
            <a:solidFill>
              <a:schemeClr val="accent5"/>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ReportData!$P$59:$Z$59</c15:sqref>
                  </c15:fullRef>
                </c:ext>
              </c:extLst>
              <c:f>(ReportData!$P$59:$R$59,ReportData!$U$59:$Z$59)</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4-B47A-416B-8626-28F7CD9CB59E}"/>
            </c:ext>
          </c:extLst>
        </c:ser>
        <c:ser>
          <c:idx val="5"/>
          <c:order val="5"/>
          <c:tx>
            <c:strRef>
              <c:f>ReportData!$O$60</c:f>
              <c:strCache>
                <c:ptCount val="1"/>
                <c:pt idx="0">
                  <c:v>Travelling &amp; communication</c:v>
                </c:pt>
              </c:strCache>
            </c:strRef>
          </c:tx>
          <c:spPr>
            <a:solidFill>
              <a:schemeClr val="accent6"/>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ReportData!$P$60:$Z$60</c15:sqref>
                  </c15:fullRef>
                </c:ext>
              </c:extLst>
              <c:f>(ReportData!$P$60:$R$60,ReportData!$U$60:$Z$60)</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5-B47A-416B-8626-28F7CD9CB59E}"/>
            </c:ext>
          </c:extLst>
        </c:ser>
        <c:ser>
          <c:idx val="6"/>
          <c:order val="6"/>
          <c:tx>
            <c:strRef>
              <c:f>ReportData!$O$61</c:f>
              <c:strCache>
                <c:ptCount val="1"/>
                <c:pt idx="0">
                  <c:v>Printing &amp; Stationery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ReportData!$P$61:$Z$61</c15:sqref>
                  </c15:fullRef>
                </c:ext>
              </c:extLst>
              <c:f>(ReportData!$P$61:$R$61,ReportData!$U$61:$Z$61)</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6-B47A-416B-8626-28F7CD9CB59E}"/>
            </c:ext>
          </c:extLst>
        </c:ser>
        <c:ser>
          <c:idx val="7"/>
          <c:order val="7"/>
          <c:tx>
            <c:strRef>
              <c:f>ReportData!$O$62</c:f>
              <c:strCache>
                <c:ptCount val="1"/>
                <c:pt idx="0">
                  <c:v>Utilities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ReportData!$P$62:$Z$62</c15:sqref>
                  </c15:fullRef>
                </c:ext>
              </c:extLst>
              <c:f>(ReportData!$P$62:$R$62,ReportData!$U$62:$Z$62)</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7-B47A-416B-8626-28F7CD9CB59E}"/>
            </c:ext>
          </c:extLst>
        </c:ser>
        <c:ser>
          <c:idx val="8"/>
          <c:order val="8"/>
          <c:tx>
            <c:strRef>
              <c:f>ReportData!$O$63</c:f>
              <c:strCache>
                <c:ptCount val="1"/>
                <c:pt idx="0">
                  <c:v> Total Costs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ReportData!$P$63:$Z$63</c15:sqref>
                  </c15:fullRef>
                </c:ext>
              </c:extLst>
              <c:f>(ReportData!$P$63:$R$63,ReportData!$U$63:$Z$63)</c:f>
              <c:numCache>
                <c:formatCode>_(* #,##0.0_);_(* \(#,##0.0\);_(* "-"_);_(@_)</c:formatCode>
                <c:ptCount val="9"/>
                <c:pt idx="0">
                  <c:v>0</c:v>
                </c:pt>
                <c:pt idx="1">
                  <c:v>0</c:v>
                </c:pt>
                <c:pt idx="2">
                  <c:v>0</c:v>
                </c:pt>
                <c:pt idx="3">
                  <c:v>85400</c:v>
                </c:pt>
                <c:pt idx="4">
                  <c:v>85400</c:v>
                </c:pt>
                <c:pt idx="5">
                  <c:v>85400</c:v>
                </c:pt>
                <c:pt idx="6">
                  <c:v>85400</c:v>
                </c:pt>
                <c:pt idx="7">
                  <c:v>85400</c:v>
                </c:pt>
                <c:pt idx="8">
                  <c:v>85400</c:v>
                </c:pt>
              </c:numCache>
            </c:numRef>
          </c:val>
          <c:extLst>
            <c:ext xmlns:c16="http://schemas.microsoft.com/office/drawing/2014/chart" uri="{C3380CC4-5D6E-409C-BE32-E72D297353CC}">
              <c16:uniqueId val="{00000008-B47A-416B-8626-28F7CD9CB59E}"/>
            </c:ext>
          </c:extLst>
        </c:ser>
        <c:dLbls>
          <c:showLegendKey val="0"/>
          <c:showVal val="0"/>
          <c:showCatName val="0"/>
          <c:showSerName val="0"/>
          <c:showPercent val="0"/>
          <c:showBubbleSize val="0"/>
        </c:dLbls>
        <c:gapWidth val="150"/>
        <c:overlap val="100"/>
        <c:axId val="1054035791"/>
        <c:axId val="1054045871"/>
      </c:barChart>
      <c:catAx>
        <c:axId val="105403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5871"/>
        <c:crosses val="autoZero"/>
        <c:auto val="1"/>
        <c:lblAlgn val="ctr"/>
        <c:lblOffset val="100"/>
        <c:noMultiLvlLbl val="0"/>
      </c:catAx>
      <c:valAx>
        <c:axId val="10540458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35791"/>
        <c:crosses val="autoZero"/>
        <c:crossBetween val="between"/>
      </c:valAx>
      <c:spPr>
        <a:noFill/>
        <a:ln>
          <a:noFill/>
        </a:ln>
        <a:effectLst/>
      </c:spPr>
    </c:plotArea>
    <c:legend>
      <c:legendPos val="b"/>
      <c:layout>
        <c:manualLayout>
          <c:xMode val="edge"/>
          <c:yMode val="edge"/>
          <c:x val="7.3416397107598846E-3"/>
          <c:y val="0.71230084958309348"/>
          <c:w val="0.99265836028924015"/>
          <c:h val="0.24148066557044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ReportData!$P$19</c:f>
              <c:strCache>
                <c:ptCount val="1"/>
                <c:pt idx="0">
                  <c:v>Low</c:v>
                </c:pt>
              </c:strCache>
            </c:strRef>
          </c:tx>
          <c:spPr>
            <a:solidFill>
              <a:schemeClr val="accent1"/>
            </a:solidFill>
            <a:ln>
              <a:noFill/>
            </a:ln>
            <a:effectLst/>
          </c:spPr>
          <c:invertIfNegative val="0"/>
          <c:cat>
            <c:strRef>
              <c:f>ReportData!$O$20:$O$21</c:f>
              <c:strCache>
                <c:ptCount val="2"/>
                <c:pt idx="0">
                  <c:v> Management Case </c:v>
                </c:pt>
                <c:pt idx="1">
                  <c:v> Valify Case </c:v>
                </c:pt>
              </c:strCache>
            </c:strRef>
          </c:cat>
          <c:val>
            <c:numRef>
              <c:f>ReportData!$P$20:$P$21</c:f>
              <c:numCache>
                <c:formatCode>_(* #,##0.0_);_(* \(#,##0.0\);_(* "-"_);_(@_)</c:formatCode>
                <c:ptCount val="2"/>
                <c:pt idx="0">
                  <c:v>0</c:v>
                </c:pt>
              </c:numCache>
            </c:numRef>
          </c:val>
          <c:extLst>
            <c:ext xmlns:c16="http://schemas.microsoft.com/office/drawing/2014/chart" uri="{C3380CC4-5D6E-409C-BE32-E72D297353CC}">
              <c16:uniqueId val="{00000000-DDA2-434A-B7FC-D343DF0D749B}"/>
            </c:ext>
          </c:extLst>
        </c:ser>
        <c:ser>
          <c:idx val="1"/>
          <c:order val="1"/>
          <c:tx>
            <c:strRef>
              <c:f>ReportData!$Q$19</c:f>
              <c:strCache>
                <c:ptCount val="1"/>
                <c:pt idx="0">
                  <c:v>Difference</c:v>
                </c:pt>
              </c:strCache>
            </c:strRef>
          </c:tx>
          <c:spPr>
            <a:solidFill>
              <a:srgbClr val="D7EEF1"/>
            </a:solidFill>
            <a:ln>
              <a:noFill/>
            </a:ln>
            <a:effectLst/>
          </c:spPr>
          <c:invertIfNegative val="0"/>
          <c:cat>
            <c:strRef>
              <c:f>ReportData!$O$20:$O$21</c:f>
              <c:strCache>
                <c:ptCount val="2"/>
                <c:pt idx="0">
                  <c:v> Management Case </c:v>
                </c:pt>
                <c:pt idx="1">
                  <c:v> Valify Case </c:v>
                </c:pt>
              </c:strCache>
            </c:strRef>
          </c:cat>
          <c:val>
            <c:numRef>
              <c:f>ReportData!$Q$20:$Q$21</c:f>
              <c:numCache>
                <c:formatCode>_(* #,##0.0_);_(* \(#,##0.0\);_(* "-"_);_(@_)</c:formatCode>
                <c:ptCount val="2"/>
                <c:pt idx="0">
                  <c:v>0</c:v>
                </c:pt>
                <c:pt idx="1">
                  <c:v>0</c:v>
                </c:pt>
              </c:numCache>
            </c:numRef>
          </c:val>
          <c:extLst>
            <c:ext xmlns:c16="http://schemas.microsoft.com/office/drawing/2014/chart" uri="{C3380CC4-5D6E-409C-BE32-E72D297353CC}">
              <c16:uniqueId val="{00000001-DDA2-434A-B7FC-D343DF0D749B}"/>
            </c:ext>
          </c:extLst>
        </c:ser>
        <c:ser>
          <c:idx val="2"/>
          <c:order val="2"/>
          <c:tx>
            <c:strRef>
              <c:f>ReportData!$R$19</c:f>
              <c:strCache>
                <c:ptCount val="1"/>
                <c:pt idx="0">
                  <c:v>High</c:v>
                </c:pt>
              </c:strCache>
            </c:strRef>
          </c:tx>
          <c:spPr>
            <a:solidFill>
              <a:schemeClr val="bg1">
                <a:lumMod val="75000"/>
              </a:schemeClr>
            </a:solidFill>
            <a:ln>
              <a:noFill/>
            </a:ln>
            <a:effectLst/>
          </c:spPr>
          <c:invertIfNegative val="0"/>
          <c:cat>
            <c:strRef>
              <c:f>ReportData!$O$20:$O$21</c:f>
              <c:strCache>
                <c:ptCount val="2"/>
                <c:pt idx="0">
                  <c:v> Management Case </c:v>
                </c:pt>
                <c:pt idx="1">
                  <c:v> Valify Case </c:v>
                </c:pt>
              </c:strCache>
            </c:strRef>
          </c:cat>
          <c:val>
            <c:numRef>
              <c:f>ReportData!$R$20:$R$21</c:f>
              <c:numCache>
                <c:formatCode>_(* #,##0.0_);_(* \(#,##0.0\);_(* "-"_);_(@_)</c:formatCode>
                <c:ptCount val="2"/>
                <c:pt idx="0">
                  <c:v>0</c:v>
                </c:pt>
              </c:numCache>
            </c:numRef>
          </c:val>
          <c:extLst>
            <c:ext xmlns:c16="http://schemas.microsoft.com/office/drawing/2014/chart" uri="{C3380CC4-5D6E-409C-BE32-E72D297353CC}">
              <c16:uniqueId val="{00000002-DDA2-434A-B7FC-D343DF0D749B}"/>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1"/>
        <c:axPos val="b"/>
        <c:numFmt formatCode="_(* #,##0.0_);_(* \(#,##0.0\);_(* &quot;-&quot;_);_(@_)" sourceLinked="1"/>
        <c:majorTickMark val="none"/>
        <c:minorTickMark val="none"/>
        <c:tickLblPos val="nextTo"/>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ReportData!$U$9</c:f>
          <c:strCache>
            <c:ptCount val="1"/>
            <c:pt idx="0">
              <c:v>Revenues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clustered"/>
        <c:varyColors val="0"/>
        <c:ser>
          <c:idx val="0"/>
          <c:order val="0"/>
          <c:tx>
            <c:strRef>
              <c:f>ReportData!$O$51</c:f>
              <c:strCache>
                <c:ptCount val="1"/>
                <c:pt idx="0">
                  <c:v>Revenue - Management</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ReportData!$Q$51:$Z$51</c15:sqref>
                  </c15:fullRef>
                </c:ext>
              </c:extLst>
              <c:f>(ReportData!$Q$51:$R$51,ReportData!$U$51:$Z$51)</c:f>
              <c:numCache>
                <c:formatCode>_(* #,##0_);_(* \(#,##0\);_(* "-"_);_(@_)</c:formatCode>
                <c:ptCount val="8"/>
                <c:pt idx="0">
                  <c:v>0</c:v>
                </c:pt>
                <c:pt idx="1">
                  <c:v>0</c:v>
                </c:pt>
                <c:pt idx="2">
                  <c:v>168000</c:v>
                </c:pt>
                <c:pt idx="3">
                  <c:v>168000</c:v>
                </c:pt>
                <c:pt idx="4">
                  <c:v>168000</c:v>
                </c:pt>
                <c:pt idx="5">
                  <c:v>168000</c:v>
                </c:pt>
                <c:pt idx="6">
                  <c:v>168000</c:v>
                </c:pt>
                <c:pt idx="7">
                  <c:v>168000</c:v>
                </c:pt>
              </c:numCache>
            </c:numRef>
          </c:val>
          <c:extLst>
            <c:ext xmlns:c16="http://schemas.microsoft.com/office/drawing/2014/chart" uri="{C3380CC4-5D6E-409C-BE32-E72D297353CC}">
              <c16:uniqueId val="{00000000-70F3-4CA1-A398-52FC1350E977}"/>
            </c:ext>
          </c:extLst>
        </c:ser>
        <c:ser>
          <c:idx val="1"/>
          <c:order val="1"/>
          <c:tx>
            <c:strRef>
              <c:f>ReportData!$O$52</c:f>
              <c:strCache>
                <c:ptCount val="1"/>
                <c:pt idx="0">
                  <c:v>Revenue - Valify</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ReportData!$Q$52:$Z$52</c15:sqref>
                  </c15:fullRef>
                </c:ext>
              </c:extLst>
              <c:f>(ReportData!$Q$52:$R$52,ReportData!$U$52:$Z$52)</c:f>
              <c:numCache>
                <c:formatCode>_(* #,##0_);_(* \(#,##0\);_(* "-"_);_(@_)</c:formatCode>
                <c:ptCount val="8"/>
                <c:pt idx="0">
                  <c:v>50000</c:v>
                </c:pt>
                <c:pt idx="1">
                  <c:v>50000</c:v>
                </c:pt>
                <c:pt idx="2">
                  <c:v>50000</c:v>
                </c:pt>
                <c:pt idx="3">
                  <c:v>50000</c:v>
                </c:pt>
                <c:pt idx="4">
                  <c:v>50000</c:v>
                </c:pt>
                <c:pt idx="5">
                  <c:v>50000</c:v>
                </c:pt>
                <c:pt idx="6">
                  <c:v>50000</c:v>
                </c:pt>
                <c:pt idx="7">
                  <c:v>50000</c:v>
                </c:pt>
              </c:numCache>
            </c:numRef>
          </c:val>
          <c:extLst>
            <c:ext xmlns:c16="http://schemas.microsoft.com/office/drawing/2014/chart" uri="{C3380CC4-5D6E-409C-BE32-E72D297353CC}">
              <c16:uniqueId val="{00000001-70F3-4CA1-A398-52FC1350E977}"/>
            </c:ext>
          </c:extLst>
        </c:ser>
        <c:dLbls>
          <c:dLblPos val="outEnd"/>
          <c:showLegendKey val="0"/>
          <c:showVal val="1"/>
          <c:showCatName val="0"/>
          <c:showSerName val="0"/>
          <c:showPercent val="0"/>
          <c:showBubbleSize val="0"/>
        </c:dLbls>
        <c:gapWidth val="50"/>
        <c:overlap val="-27"/>
        <c:axId val="217049536"/>
        <c:axId val="217046656"/>
      </c:barChart>
      <c:catAx>
        <c:axId val="21704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46656"/>
        <c:crosses val="autoZero"/>
        <c:auto val="1"/>
        <c:lblAlgn val="ctr"/>
        <c:lblOffset val="100"/>
        <c:noMultiLvlLbl val="0"/>
      </c:catAx>
      <c:valAx>
        <c:axId val="217046656"/>
        <c:scaling>
          <c:orientation val="minMax"/>
        </c:scaling>
        <c:delete val="1"/>
        <c:axPos val="l"/>
        <c:numFmt formatCode="_(* #,##0_);_(* \(#,##0\);_(* &quot;-&quot;_);_(@_)" sourceLinked="1"/>
        <c:majorTickMark val="none"/>
        <c:minorTickMark val="none"/>
        <c:tickLblPos val="nextTo"/>
        <c:crossAx val="21704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931598924179048E-2"/>
          <c:y val="1.6158073763235904E-2"/>
          <c:w val="0.90036457173346418"/>
          <c:h val="0.67928926323402561"/>
        </c:manualLayout>
      </c:layout>
      <c:barChart>
        <c:barDir val="bar"/>
        <c:grouping val="percentStacked"/>
        <c:varyColors val="0"/>
        <c:ser>
          <c:idx val="0"/>
          <c:order val="0"/>
          <c:tx>
            <c:strRef>
              <c:f>ReportData!$O$36</c:f>
              <c:strCache>
                <c:ptCount val="1"/>
                <c:pt idx="0">
                  <c:v> Residential lighting Revenue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ReportData!$Q$36:$Z$36</c15:sqref>
                  </c15:fullRef>
                </c:ext>
              </c:extLst>
              <c:f>(ReportData!$Q$36:$R$36,ReportData!$U$36:$Z$36)</c:f>
              <c:numCache>
                <c:formatCode>0%</c:formatCode>
                <c:ptCount val="8"/>
                <c:pt idx="0">
                  <c:v>0</c:v>
                </c:pt>
                <c:pt idx="1">
                  <c:v>0</c:v>
                </c:pt>
                <c:pt idx="2">
                  <c:v>0.11904761904761904</c:v>
                </c:pt>
                <c:pt idx="3">
                  <c:v>0.11904761904761904</c:v>
                </c:pt>
                <c:pt idx="4">
                  <c:v>0.11904761904761904</c:v>
                </c:pt>
                <c:pt idx="5">
                  <c:v>0.11904761904761904</c:v>
                </c:pt>
                <c:pt idx="6">
                  <c:v>0.11904761904761904</c:v>
                </c:pt>
                <c:pt idx="7">
                  <c:v>0.11904761904761904</c:v>
                </c:pt>
              </c:numCache>
            </c:numRef>
          </c:val>
          <c:extLst>
            <c:ext xmlns:c16="http://schemas.microsoft.com/office/drawing/2014/chart" uri="{C3380CC4-5D6E-409C-BE32-E72D297353CC}">
              <c16:uniqueId val="{00000000-E889-454B-AECB-3642A3D020BB}"/>
            </c:ext>
          </c:extLst>
        </c:ser>
        <c:ser>
          <c:idx val="1"/>
          <c:order val="1"/>
          <c:tx>
            <c:strRef>
              <c:f>ReportData!$O$37</c:f>
              <c:strCache>
                <c:ptCount val="1"/>
                <c:pt idx="0">
                  <c:v> Hotels &amp; Hospitals Revenue </c:v>
                </c:pt>
              </c:strCache>
            </c:strRef>
          </c:tx>
          <c:spPr>
            <a:solidFill>
              <a:srgbClr val="00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ReportData!$Q$37:$Z$37</c15:sqref>
                  </c15:fullRef>
                </c:ext>
              </c:extLst>
              <c:f>(ReportData!$Q$37:$R$37,ReportData!$U$37:$Z$37)</c:f>
              <c:numCache>
                <c:formatCode>0%</c:formatCode>
                <c:ptCount val="8"/>
                <c:pt idx="0">
                  <c:v>0</c:v>
                </c:pt>
                <c:pt idx="1">
                  <c:v>0</c:v>
                </c:pt>
                <c:pt idx="2">
                  <c:v>0.29761904761904762</c:v>
                </c:pt>
                <c:pt idx="3">
                  <c:v>0.29761904761904762</c:v>
                </c:pt>
                <c:pt idx="4">
                  <c:v>0.29761904761904762</c:v>
                </c:pt>
                <c:pt idx="5">
                  <c:v>0.29761904761904762</c:v>
                </c:pt>
                <c:pt idx="6">
                  <c:v>0.29761904761904762</c:v>
                </c:pt>
                <c:pt idx="7">
                  <c:v>0.29761904761904762</c:v>
                </c:pt>
              </c:numCache>
            </c:numRef>
          </c:val>
          <c:extLst>
            <c:ext xmlns:c16="http://schemas.microsoft.com/office/drawing/2014/chart" uri="{C3380CC4-5D6E-409C-BE32-E72D297353CC}">
              <c16:uniqueId val="{00000001-E889-454B-AECB-3642A3D020BB}"/>
            </c:ext>
          </c:extLst>
        </c:ser>
        <c:ser>
          <c:idx val="2"/>
          <c:order val="2"/>
          <c:tx>
            <c:strRef>
              <c:f>ReportData!$O$38</c:f>
              <c:strCache>
                <c:ptCount val="1"/>
                <c:pt idx="0">
                  <c:v> Government &amp; Infrastructure Revenue </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ReportData!$Q$38:$Z$38</c15:sqref>
                  </c15:fullRef>
                </c:ext>
              </c:extLst>
              <c:f>(ReportData!$Q$38:$R$38,ReportData!$U$38:$Z$38)</c:f>
              <c:numCache>
                <c:formatCode>0%</c:formatCode>
                <c:ptCount val="8"/>
                <c:pt idx="0">
                  <c:v>0</c:v>
                </c:pt>
                <c:pt idx="1">
                  <c:v>0</c:v>
                </c:pt>
                <c:pt idx="2">
                  <c:v>5.9523809523809521E-2</c:v>
                </c:pt>
                <c:pt idx="3">
                  <c:v>5.9523809523809521E-2</c:v>
                </c:pt>
                <c:pt idx="4">
                  <c:v>5.9523809523809521E-2</c:v>
                </c:pt>
                <c:pt idx="5">
                  <c:v>5.9523809523809521E-2</c:v>
                </c:pt>
                <c:pt idx="6">
                  <c:v>5.9523809523809521E-2</c:v>
                </c:pt>
                <c:pt idx="7">
                  <c:v>5.9523809523809521E-2</c:v>
                </c:pt>
              </c:numCache>
            </c:numRef>
          </c:val>
          <c:extLst>
            <c:ext xmlns:c16="http://schemas.microsoft.com/office/drawing/2014/chart" uri="{C3380CC4-5D6E-409C-BE32-E72D297353CC}">
              <c16:uniqueId val="{00000002-E889-454B-AECB-3642A3D020BB}"/>
            </c:ext>
          </c:extLst>
        </c:ser>
        <c:ser>
          <c:idx val="3"/>
          <c:order val="3"/>
          <c:tx>
            <c:strRef>
              <c:f>ReportData!$O$39</c:f>
              <c:strCache>
                <c:ptCount val="1"/>
                <c:pt idx="0">
                  <c:v> Distributorship Revenue </c:v>
                </c:pt>
              </c:strCache>
            </c:strRef>
          </c:tx>
          <c:spPr>
            <a:solidFill>
              <a:srgbClr val="D7EEF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ReportData!$Q$39:$Z$39</c15:sqref>
                  </c15:fullRef>
                </c:ext>
              </c:extLst>
              <c:f>(ReportData!$Q$39:$R$39,ReportData!$U$39:$Z$39)</c:f>
              <c:numCache>
                <c:formatCode>0%</c:formatCode>
                <c:ptCount val="8"/>
                <c:pt idx="0">
                  <c:v>0</c:v>
                </c:pt>
                <c:pt idx="1">
                  <c:v>0</c:v>
                </c:pt>
                <c:pt idx="2">
                  <c:v>7.1428571428571425E-2</c:v>
                </c:pt>
                <c:pt idx="3">
                  <c:v>7.1428571428571425E-2</c:v>
                </c:pt>
                <c:pt idx="4">
                  <c:v>7.1428571428571425E-2</c:v>
                </c:pt>
                <c:pt idx="5">
                  <c:v>7.1428571428571425E-2</c:v>
                </c:pt>
                <c:pt idx="6">
                  <c:v>7.1428571428571425E-2</c:v>
                </c:pt>
                <c:pt idx="7">
                  <c:v>7.1428571428571425E-2</c:v>
                </c:pt>
              </c:numCache>
            </c:numRef>
          </c:val>
          <c:extLst>
            <c:ext xmlns:c16="http://schemas.microsoft.com/office/drawing/2014/chart" uri="{C3380CC4-5D6E-409C-BE32-E72D297353CC}">
              <c16:uniqueId val="{00000003-E889-454B-AECB-3642A3D020BB}"/>
            </c:ext>
          </c:extLst>
        </c:ser>
        <c:ser>
          <c:idx val="4"/>
          <c:order val="4"/>
          <c:tx>
            <c:strRef>
              <c:f>ReportData!$O$40</c:f>
              <c:strCache>
                <c:ptCount val="1"/>
                <c:pt idx="0">
                  <c:v> UAE &amp; Oman projects Pipeline Revenue </c:v>
                </c:pt>
              </c:strCache>
            </c:strRef>
          </c:tx>
          <c:spPr>
            <a:solidFill>
              <a:schemeClr val="accent6">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ReportData!$Q$40:$Z$40</c15:sqref>
                  </c15:fullRef>
                </c:ext>
              </c:extLst>
              <c:f>(ReportData!$Q$40:$R$40,ReportData!$U$40:$Z$40)</c:f>
              <c:numCache>
                <c:formatCode>0%</c:formatCode>
                <c:ptCount val="8"/>
                <c:pt idx="0">
                  <c:v>0</c:v>
                </c:pt>
                <c:pt idx="1">
                  <c:v>0</c:v>
                </c:pt>
                <c:pt idx="2">
                  <c:v>0.54761904761904767</c:v>
                </c:pt>
                <c:pt idx="3">
                  <c:v>0.54761904761904767</c:v>
                </c:pt>
                <c:pt idx="4">
                  <c:v>0.54761904761904767</c:v>
                </c:pt>
                <c:pt idx="5">
                  <c:v>0.54761904761904767</c:v>
                </c:pt>
                <c:pt idx="6">
                  <c:v>0.54761904761904767</c:v>
                </c:pt>
                <c:pt idx="7">
                  <c:v>0.54761904761904767</c:v>
                </c:pt>
              </c:numCache>
            </c:numRef>
          </c:val>
          <c:extLst>
            <c:ext xmlns:c16="http://schemas.microsoft.com/office/drawing/2014/chart" uri="{C3380CC4-5D6E-409C-BE32-E72D297353CC}">
              <c16:uniqueId val="{00000004-E889-454B-AECB-3642A3D020BB}"/>
            </c:ext>
          </c:extLst>
        </c:ser>
        <c:ser>
          <c:idx val="5"/>
          <c:order val="5"/>
          <c:tx>
            <c:strRef>
              <c:f>ReportData!$O$41</c:f>
              <c:strCache>
                <c:ptCount val="1"/>
                <c:pt idx="0">
                  <c:v> NA Pipeline Revenue </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ReportData!$Q$41:$Z$41</c15:sqref>
                  </c15:fullRef>
                </c:ext>
              </c:extLst>
              <c:f>(ReportData!$Q$41:$R$41,ReportData!$U$41:$Z$41)</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E889-454B-AECB-3642A3D020BB}"/>
            </c:ext>
          </c:extLst>
        </c:ser>
        <c:ser>
          <c:idx val="6"/>
          <c:order val="6"/>
          <c:tx>
            <c:strRef>
              <c:f>ReportData!$O$42</c:f>
              <c:strCache>
                <c:ptCount val="1"/>
                <c:pt idx="0">
                  <c:v> NA Pipeline Revenue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ReportData!$Q$42:$Z$42</c15:sqref>
                  </c15:fullRef>
                </c:ext>
              </c:extLst>
              <c:f>(ReportData!$Q$42:$R$42,ReportData!$U$42:$Z$42)</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E889-454B-AECB-3642A3D020BB}"/>
            </c:ext>
          </c:extLst>
        </c:ser>
        <c:ser>
          <c:idx val="7"/>
          <c:order val="7"/>
          <c:tx>
            <c:strRef>
              <c:f>ReportData!$O$43</c:f>
              <c:strCache>
                <c:ptCount val="1"/>
                <c:pt idx="0">
                  <c:v> NA Pipeline Revenue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ReportData!$Q$43:$Z$43</c15:sqref>
                  </c15:fullRef>
                </c:ext>
              </c:extLst>
              <c:f>(ReportData!$Q$43:$R$43,ReportData!$U$43:$Z$43)</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E889-454B-AECB-3642A3D020BB}"/>
            </c:ext>
          </c:extLst>
        </c:ser>
        <c:ser>
          <c:idx val="8"/>
          <c:order val="8"/>
          <c:tx>
            <c:strRef>
              <c:f>ReportData!$O$44</c:f>
              <c:strCache>
                <c:ptCount val="1"/>
                <c:pt idx="0">
                  <c:v> Product contracts by specifiers Potential Revenue </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ReportData!$Q$44:$Z$44</c15:sqref>
                  </c15:fullRef>
                </c:ext>
              </c:extLst>
              <c:f>(ReportData!$Q$44:$R$44,ReportData!$U$44:$Z$44)</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8-E889-454B-AECB-3642A3D020BB}"/>
            </c:ext>
          </c:extLst>
        </c:ser>
        <c:ser>
          <c:idx val="9"/>
          <c:order val="9"/>
          <c:tx>
            <c:strRef>
              <c:f>ReportData!$O$45</c:f>
              <c:strCache>
                <c:ptCount val="1"/>
                <c:pt idx="0">
                  <c:v> NA Potential Revenue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ReportData!$Q$45:$Z$45</c15:sqref>
                  </c15:fullRef>
                </c:ext>
              </c:extLst>
              <c:f>(ReportData!$Q$45:$R$45,ReportData!$U$45:$Z$45)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9-E889-454B-AECB-3642A3D020BB}"/>
            </c:ext>
          </c:extLst>
        </c:ser>
        <c:ser>
          <c:idx val="10"/>
          <c:order val="10"/>
          <c:tx>
            <c:strRef>
              <c:f>ReportData!$O$46</c:f>
              <c:strCache>
                <c:ptCount val="1"/>
                <c:pt idx="0">
                  <c:v> NA Potential Revenue </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ReportData!$Q$46:$Z$46</c15:sqref>
                  </c15:fullRef>
                </c:ext>
              </c:extLst>
              <c:f>(ReportData!$Q$46:$R$46,ReportData!$U$46:$Z$46)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E889-454B-AECB-3642A3D020BB}"/>
            </c:ext>
          </c:extLst>
        </c:ser>
        <c:ser>
          <c:idx val="11"/>
          <c:order val="11"/>
          <c:tx>
            <c:strRef>
              <c:f>ReportData!$O$47</c:f>
              <c:strCache>
                <c:ptCount val="1"/>
                <c:pt idx="0">
                  <c:v> NA Potential Revenue </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ReportData!$Q$47:$Z$47</c15:sqref>
                  </c15:fullRef>
                </c:ext>
              </c:extLst>
              <c:f>(ReportData!$Q$47:$R$47,ReportData!$U$47:$Z$47)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B-E889-454B-AECB-3642A3D020BB}"/>
            </c:ext>
          </c:extLst>
        </c:ser>
        <c:dLbls>
          <c:dLblPos val="ctr"/>
          <c:showLegendKey val="0"/>
          <c:showVal val="1"/>
          <c:showCatName val="0"/>
          <c:showSerName val="0"/>
          <c:showPercent val="0"/>
          <c:showBubbleSize val="0"/>
        </c:dLbls>
        <c:gapWidth val="15"/>
        <c:overlap val="100"/>
        <c:axId val="1138575472"/>
        <c:axId val="1317409152"/>
      </c:barChart>
      <c:catAx>
        <c:axId val="1138575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317409152"/>
        <c:crosses val="autoZero"/>
        <c:auto val="1"/>
        <c:lblAlgn val="ctr"/>
        <c:lblOffset val="100"/>
        <c:noMultiLvlLbl val="0"/>
      </c:catAx>
      <c:valAx>
        <c:axId val="1317409152"/>
        <c:scaling>
          <c:orientation val="minMax"/>
          <c:max val="1"/>
        </c:scaling>
        <c:delete val="1"/>
        <c:axPos val="b"/>
        <c:numFmt formatCode="0%" sourceLinked="1"/>
        <c:majorTickMark val="out"/>
        <c:minorTickMark val="none"/>
        <c:tickLblPos val="nextTo"/>
        <c:crossAx val="1138575472"/>
        <c:crosses val="autoZero"/>
        <c:crossBetween val="between"/>
      </c:valAx>
      <c:spPr>
        <a:noFill/>
        <a:ln>
          <a:noFill/>
        </a:ln>
        <a:effectLst/>
      </c:spPr>
    </c:plotArea>
    <c:legend>
      <c:legendPos val="b"/>
      <c:layout>
        <c:manualLayout>
          <c:xMode val="edge"/>
          <c:yMode val="edge"/>
          <c:x val="0"/>
          <c:y val="0.72310778278273902"/>
          <c:w val="1"/>
          <c:h val="0.27689221721726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ReportData!$U$8</c:f>
          <c:strCache>
            <c:ptCount val="1"/>
            <c:pt idx="0">
              <c:v>Amounts in INR 'Units</c:v>
            </c:pt>
          </c:strCache>
        </c:strRef>
      </c:tx>
      <c:layout>
        <c:manualLayout>
          <c:xMode val="edge"/>
          <c:yMode val="edge"/>
          <c:x val="1.1387486985447953E-3"/>
          <c:y val="2.6982821291216524E-2"/>
        </c:manualLayout>
      </c:layout>
      <c:overlay val="0"/>
      <c:spPr>
        <a:noFill/>
        <a:ln>
          <a:noFill/>
        </a:ln>
        <a:effectLst/>
      </c:spPr>
      <c: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3.6646669704379159E-2"/>
          <c:y val="0"/>
          <c:w val="0.92670666059124163"/>
          <c:h val="0.6206904140870565"/>
        </c:manualLayout>
      </c:layout>
      <c:barChart>
        <c:barDir val="col"/>
        <c:grouping val="stacked"/>
        <c:varyColors val="0"/>
        <c:ser>
          <c:idx val="0"/>
          <c:order val="0"/>
          <c:tx>
            <c:strRef>
              <c:f>ReportData!$O$31</c:f>
              <c:strCache>
                <c:ptCount val="1"/>
                <c:pt idx="0">
                  <c:v> Existing Business Revenues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ReportData!$Q$31:$Z$31</c15:sqref>
                  </c15:fullRef>
                </c:ext>
              </c:extLst>
              <c:f>(ReportData!$Q$31:$R$31,ReportData!$U$31:$Z$31)</c:f>
              <c:numCache>
                <c:formatCode>0%</c:formatCode>
                <c:ptCount val="8"/>
                <c:pt idx="0">
                  <c:v>0</c:v>
                </c:pt>
                <c:pt idx="1">
                  <c:v>0</c:v>
                </c:pt>
                <c:pt idx="2">
                  <c:v>0.54761904761904767</c:v>
                </c:pt>
                <c:pt idx="3">
                  <c:v>0.54761904761904767</c:v>
                </c:pt>
                <c:pt idx="4">
                  <c:v>0.4073743890220789</c:v>
                </c:pt>
                <c:pt idx="5">
                  <c:v>0.24234183206450213</c:v>
                </c:pt>
                <c:pt idx="6">
                  <c:v>0.18109190474293105</c:v>
                </c:pt>
                <c:pt idx="7">
                  <c:v>0.13322912034697612</c:v>
                </c:pt>
              </c:numCache>
            </c:numRef>
          </c:val>
          <c:extLst>
            <c:ext xmlns:c16="http://schemas.microsoft.com/office/drawing/2014/chart" uri="{C3380CC4-5D6E-409C-BE32-E72D297353CC}">
              <c16:uniqueId val="{00000000-7C22-4B74-8268-77E4E103C9C7}"/>
            </c:ext>
          </c:extLst>
        </c:ser>
        <c:ser>
          <c:idx val="1"/>
          <c:order val="1"/>
          <c:tx>
            <c:strRef>
              <c:f>ReportData!$O$32</c:f>
              <c:strCache>
                <c:ptCount val="1"/>
                <c:pt idx="0">
                  <c:v> Pipeline Business Revenues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ReportData!$Q$32:$Z$32</c15:sqref>
                  </c15:fullRef>
                </c:ext>
              </c:extLst>
              <c:f>(ReportData!$Q$32:$R$32,ReportData!$U$32:$Z$32)</c:f>
              <c:numCache>
                <c:formatCode>0%</c:formatCode>
                <c:ptCount val="8"/>
                <c:pt idx="0">
                  <c:v>0</c:v>
                </c:pt>
                <c:pt idx="1">
                  <c:v>0</c:v>
                </c:pt>
                <c:pt idx="2">
                  <c:v>0.35714285714285715</c:v>
                </c:pt>
                <c:pt idx="3">
                  <c:v>0.35714285714285715</c:v>
                </c:pt>
                <c:pt idx="4">
                  <c:v>0.35714285714285715</c:v>
                </c:pt>
                <c:pt idx="5">
                  <c:v>0.35714285714285715</c:v>
                </c:pt>
                <c:pt idx="6">
                  <c:v>0.35714285714285715</c:v>
                </c:pt>
                <c:pt idx="7">
                  <c:v>0.35714285714285715</c:v>
                </c:pt>
              </c:numCache>
            </c:numRef>
          </c:val>
          <c:extLst>
            <c:ext xmlns:c16="http://schemas.microsoft.com/office/drawing/2014/chart" uri="{C3380CC4-5D6E-409C-BE32-E72D297353CC}">
              <c16:uniqueId val="{00000001-7C22-4B74-8268-77E4E103C9C7}"/>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ReportData!$Q$33:$Z$33</c15:sqref>
                  </c15:fullRef>
                </c:ext>
              </c:extLst>
              <c:f>(ReportData!$Q$33:$R$33,ReportData!$U$33:$Z$33)</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2-7C22-4B74-8268-77E4E103C9C7}"/>
            </c:ext>
          </c:extLst>
        </c:ser>
        <c:dLbls>
          <c:dLblPos val="ctr"/>
          <c:showLegendKey val="0"/>
          <c:showVal val="1"/>
          <c:showCatName val="0"/>
          <c:showSerName val="0"/>
          <c:showPercent val="0"/>
          <c:showBubbleSize val="0"/>
        </c:dLbls>
        <c:gapWidth val="15"/>
        <c:overlap val="100"/>
        <c:axId val="1102505360"/>
        <c:axId val="1423775296"/>
      </c:barChart>
      <c:catAx>
        <c:axId val="110250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23775296"/>
        <c:crosses val="autoZero"/>
        <c:auto val="1"/>
        <c:lblAlgn val="ctr"/>
        <c:lblOffset val="100"/>
        <c:noMultiLvlLbl val="0"/>
      </c:catAx>
      <c:valAx>
        <c:axId val="1423775296"/>
        <c:scaling>
          <c:orientation val="minMax"/>
        </c:scaling>
        <c:delete val="1"/>
        <c:axPos val="l"/>
        <c:numFmt formatCode="0%" sourceLinked="1"/>
        <c:majorTickMark val="out"/>
        <c:minorTickMark val="none"/>
        <c:tickLblPos val="nextTo"/>
        <c:crossAx val="1102505360"/>
        <c:crosses val="autoZero"/>
        <c:crossBetween val="between"/>
      </c:valAx>
      <c:spPr>
        <a:noFill/>
        <a:ln>
          <a:noFill/>
        </a:ln>
        <a:effectLst/>
      </c:spPr>
    </c:plotArea>
    <c:legend>
      <c:legendPos val="b"/>
      <c:layout>
        <c:manualLayout>
          <c:xMode val="edge"/>
          <c:yMode val="edge"/>
          <c:x val="0"/>
          <c:y val="0.78135131007410219"/>
          <c:w val="1"/>
          <c:h val="0.167829005768234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lineChart>
        <c:grouping val="standard"/>
        <c:varyColors val="0"/>
        <c:ser>
          <c:idx val="0"/>
          <c:order val="0"/>
          <c:tx>
            <c:strRef>
              <c:f>ReportData!$O$66</c:f>
              <c:strCache>
                <c:ptCount val="1"/>
                <c:pt idx="0">
                  <c:v>Gross Margin</c:v>
                </c:pt>
              </c:strCache>
            </c:strRef>
          </c:tx>
          <c:spPr>
            <a:ln w="28575" cap="rnd">
              <a:solidFill>
                <a:srgbClr val="003399"/>
              </a:solidFill>
              <a:round/>
            </a:ln>
            <a:effectLst/>
          </c:spPr>
          <c:marker>
            <c:symbol val="circle"/>
            <c:size val="5"/>
            <c:spPr>
              <a:solidFill>
                <a:srgbClr val="003399"/>
              </a:solidFill>
              <a:ln w="9525">
                <a:solidFill>
                  <a:srgbClr val="003399"/>
                </a:solidFill>
              </a:ln>
              <a:effectLst/>
            </c:spPr>
          </c:marker>
          <c:dLbls>
            <c:spPr>
              <a:solidFill>
                <a:srgbClr val="003399"/>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ReportData!$Q$66:$Z$66</c15:sqref>
                  </c15:fullRef>
                </c:ext>
              </c:extLst>
              <c:f>(ReportData!$Q$66:$R$66,ReportData!$U$66:$Z$66)</c:f>
              <c:numCache>
                <c:formatCode>0%</c:formatCode>
                <c:ptCount val="8"/>
                <c:pt idx="0">
                  <c:v>0</c:v>
                </c:pt>
                <c:pt idx="1">
                  <c:v>0</c:v>
                </c:pt>
                <c:pt idx="2">
                  <c:v>0.7</c:v>
                </c:pt>
                <c:pt idx="3">
                  <c:v>0.7</c:v>
                </c:pt>
                <c:pt idx="4">
                  <c:v>0.7</c:v>
                </c:pt>
                <c:pt idx="5">
                  <c:v>0.7</c:v>
                </c:pt>
                <c:pt idx="6">
                  <c:v>0.7</c:v>
                </c:pt>
                <c:pt idx="7">
                  <c:v>0.7</c:v>
                </c:pt>
              </c:numCache>
            </c:numRef>
          </c:val>
          <c:smooth val="0"/>
          <c:extLst>
            <c:ext xmlns:c16="http://schemas.microsoft.com/office/drawing/2014/chart" uri="{C3380CC4-5D6E-409C-BE32-E72D297353CC}">
              <c16:uniqueId val="{00000000-023D-4EA1-9C55-9E3B1D866CAD}"/>
            </c:ext>
          </c:extLst>
        </c:ser>
        <c:ser>
          <c:idx val="1"/>
          <c:order val="1"/>
          <c:tx>
            <c:strRef>
              <c:f>ReportData!$O$67</c:f>
              <c:strCache>
                <c:ptCount val="1"/>
                <c:pt idx="0">
                  <c:v>EBITDA Margin</c:v>
                </c:pt>
              </c:strCache>
            </c:strRef>
          </c:tx>
          <c:spPr>
            <a:ln w="28575" cap="rnd">
              <a:solidFill>
                <a:schemeClr val="tx1">
                  <a:lumMod val="95000"/>
                  <a:lumOff val="5000"/>
                </a:schemeClr>
              </a:solidFill>
              <a:round/>
            </a:ln>
            <a:effectLst/>
          </c:spPr>
          <c:marker>
            <c:symbol val="circle"/>
            <c:size val="5"/>
            <c:spPr>
              <a:solidFill>
                <a:schemeClr val="accent2"/>
              </a:solidFill>
              <a:ln w="9525">
                <a:solidFill>
                  <a:schemeClr val="tx1">
                    <a:lumMod val="95000"/>
                    <a:lumOff val="5000"/>
                  </a:schemeClr>
                </a:solidFill>
              </a:ln>
              <a:effectLst/>
            </c:spPr>
          </c:marker>
          <c:dLbls>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ReportData!$Q$67:$Z$67</c15:sqref>
                  </c15:fullRef>
                </c:ext>
              </c:extLst>
              <c:f>(ReportData!$Q$67:$R$67,ReportData!$U$67:$Z$67)</c:f>
              <c:numCache>
                <c:formatCode>0%</c:formatCode>
                <c:ptCount val="8"/>
                <c:pt idx="0">
                  <c:v>0</c:v>
                </c:pt>
                <c:pt idx="1">
                  <c:v>0</c:v>
                </c:pt>
                <c:pt idx="2">
                  <c:v>0.43214285714285716</c:v>
                </c:pt>
                <c:pt idx="3">
                  <c:v>0.43214285714285716</c:v>
                </c:pt>
                <c:pt idx="4">
                  <c:v>0.43214285714285716</c:v>
                </c:pt>
                <c:pt idx="5">
                  <c:v>0.43214285714285716</c:v>
                </c:pt>
                <c:pt idx="6">
                  <c:v>0.43214285714285716</c:v>
                </c:pt>
                <c:pt idx="7">
                  <c:v>0.43214285714285716</c:v>
                </c:pt>
              </c:numCache>
            </c:numRef>
          </c:val>
          <c:smooth val="0"/>
          <c:extLst>
            <c:ext xmlns:c16="http://schemas.microsoft.com/office/drawing/2014/chart" uri="{C3380CC4-5D6E-409C-BE32-E72D297353CC}">
              <c16:uniqueId val="{00000001-023D-4EA1-9C55-9E3B1D866CAD}"/>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ReportData!$Q$68:$Z$68</c15:sqref>
                  </c15:fullRef>
                </c:ext>
              </c:extLst>
              <c:f>(ReportData!$Q$68:$R$68,ReportData!$U$68:$Z$68)</c:f>
              <c:numCache>
                <c:formatCode>0%</c:formatCode>
                <c:ptCount val="8"/>
                <c:pt idx="0">
                  <c:v>0</c:v>
                </c:pt>
                <c:pt idx="1">
                  <c:v>0</c:v>
                </c:pt>
                <c:pt idx="2">
                  <c:v>0.20221525793650796</c:v>
                </c:pt>
                <c:pt idx="3">
                  <c:v>0.19782628968253968</c:v>
                </c:pt>
                <c:pt idx="4">
                  <c:v>0.19343732142857142</c:v>
                </c:pt>
                <c:pt idx="5">
                  <c:v>0.1890483531746032</c:v>
                </c:pt>
                <c:pt idx="6">
                  <c:v>0.18465938492063494</c:v>
                </c:pt>
                <c:pt idx="7">
                  <c:v>0.18027041666666666</c:v>
                </c:pt>
              </c:numCache>
            </c:numRef>
          </c:val>
          <c:smooth val="0"/>
          <c:extLst>
            <c:ext xmlns:c16="http://schemas.microsoft.com/office/drawing/2014/chart" uri="{C3380CC4-5D6E-409C-BE32-E72D297353CC}">
              <c16:uniqueId val="{00000002-023D-4EA1-9C55-9E3B1D866CAD}"/>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33874944"/>
        <c:crosses val="autoZero"/>
        <c:auto val="1"/>
        <c:lblAlgn val="ctr"/>
        <c:lblOffset val="100"/>
        <c:noMultiLvlLbl val="0"/>
      </c:catAx>
      <c:valAx>
        <c:axId val="1833874944"/>
        <c:scaling>
          <c:orientation val="minMax"/>
        </c:scaling>
        <c:delete val="1"/>
        <c:axPos val="l"/>
        <c:numFmt formatCode="0%" sourceLinked="1"/>
        <c:majorTickMark val="none"/>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85773957613536E-2"/>
          <c:y val="3.6447261712258226E-2"/>
          <c:w val="0.90495902845237086"/>
          <c:h val="0.67634933495657434"/>
        </c:manualLayout>
      </c:layout>
      <c:barChart>
        <c:barDir val="col"/>
        <c:grouping val="stacked"/>
        <c:varyColors val="0"/>
        <c:ser>
          <c:idx val="0"/>
          <c:order val="0"/>
          <c:tx>
            <c:strRef>
              <c:f>ReportData!$O$55</c:f>
              <c:strCache>
                <c:ptCount val="1"/>
                <c:pt idx="0">
                  <c:v>Direct Costs</c:v>
                </c:pt>
              </c:strCache>
            </c:strRef>
          </c:tx>
          <c:spPr>
            <a:solidFill>
              <a:schemeClr val="accent1"/>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ReportData!$P$55:$Z$55</c15:sqref>
                  </c15:fullRef>
                </c:ext>
              </c:extLst>
              <c:f>(ReportData!$P$55:$R$55,ReportData!$U$55:$Z$55)</c:f>
              <c:numCache>
                <c:formatCode>_(* #,##0_);_(* \(#,##0\);_(* "-"_);_(@_)</c:formatCode>
                <c:ptCount val="9"/>
                <c:pt idx="0">
                  <c:v>0</c:v>
                </c:pt>
                <c:pt idx="1">
                  <c:v>0</c:v>
                </c:pt>
                <c:pt idx="2">
                  <c:v>0</c:v>
                </c:pt>
                <c:pt idx="3">
                  <c:v>50400.000000000007</c:v>
                </c:pt>
                <c:pt idx="4">
                  <c:v>50400.000000000007</c:v>
                </c:pt>
                <c:pt idx="5">
                  <c:v>50400.000000000007</c:v>
                </c:pt>
                <c:pt idx="6">
                  <c:v>50400.000000000007</c:v>
                </c:pt>
                <c:pt idx="7">
                  <c:v>50400.000000000007</c:v>
                </c:pt>
                <c:pt idx="8">
                  <c:v>50400.000000000007</c:v>
                </c:pt>
              </c:numCache>
            </c:numRef>
          </c:val>
          <c:extLst>
            <c:ext xmlns:c16="http://schemas.microsoft.com/office/drawing/2014/chart" uri="{C3380CC4-5D6E-409C-BE32-E72D297353CC}">
              <c16:uniqueId val="{00000000-2A50-4367-A134-5D24DAB02F13}"/>
            </c:ext>
          </c:extLst>
        </c:ser>
        <c:ser>
          <c:idx val="1"/>
          <c:order val="1"/>
          <c:tx>
            <c:strRef>
              <c:f>ReportData!$O$56</c:f>
              <c:strCache>
                <c:ptCount val="1"/>
                <c:pt idx="0">
                  <c:v>Staff cost</c:v>
                </c:pt>
              </c:strCache>
            </c:strRef>
          </c:tx>
          <c:spPr>
            <a:solidFill>
              <a:schemeClr val="accent2"/>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ReportData!$P$56:$Z$56</c15:sqref>
                  </c15:fullRef>
                </c:ext>
              </c:extLst>
              <c:f>(ReportData!$P$56:$R$56,ReportData!$U$56:$Z$56)</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1-2A50-4367-A134-5D24DAB02F13}"/>
            </c:ext>
          </c:extLst>
        </c:ser>
        <c:ser>
          <c:idx val="2"/>
          <c:order val="2"/>
          <c:tx>
            <c:strRef>
              <c:f>ReportData!$O$57</c:f>
              <c:strCache>
                <c:ptCount val="1"/>
                <c:pt idx="0">
                  <c:v>Sales Commission</c:v>
                </c:pt>
              </c:strCache>
            </c:strRef>
          </c:tx>
          <c:spPr>
            <a:solidFill>
              <a:schemeClr val="accent3"/>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ReportData!$P$57:$Z$57</c15:sqref>
                  </c15:fullRef>
                </c:ext>
              </c:extLst>
              <c:f>(ReportData!$P$57:$R$57,ReportData!$U$57:$Z$57)</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2-2A50-4367-A134-5D24DAB02F13}"/>
            </c:ext>
          </c:extLst>
        </c:ser>
        <c:ser>
          <c:idx val="3"/>
          <c:order val="3"/>
          <c:tx>
            <c:strRef>
              <c:f>ReportData!$O$58</c:f>
              <c:strCache>
                <c:ptCount val="1"/>
                <c:pt idx="0">
                  <c:v>Rent</c:v>
                </c:pt>
              </c:strCache>
            </c:strRef>
          </c:tx>
          <c:spPr>
            <a:solidFill>
              <a:schemeClr val="accent4"/>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ReportData!$P$58:$Z$58</c15:sqref>
                  </c15:fullRef>
                </c:ext>
              </c:extLst>
              <c:f>(ReportData!$P$58:$R$58,ReportData!$U$58:$Z$58)</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3-2A50-4367-A134-5D24DAB02F13}"/>
            </c:ext>
          </c:extLst>
        </c:ser>
        <c:ser>
          <c:idx val="4"/>
          <c:order val="4"/>
          <c:tx>
            <c:strRef>
              <c:f>ReportData!$O$59</c:f>
              <c:strCache>
                <c:ptCount val="1"/>
                <c:pt idx="0">
                  <c:v>Legal and professional fee</c:v>
                </c:pt>
              </c:strCache>
            </c:strRef>
          </c:tx>
          <c:spPr>
            <a:solidFill>
              <a:schemeClr val="accent5"/>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ReportData!$P$59:$Z$59</c15:sqref>
                  </c15:fullRef>
                </c:ext>
              </c:extLst>
              <c:f>(ReportData!$P$59:$R$59,ReportData!$U$59:$Z$59)</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4-2A50-4367-A134-5D24DAB02F13}"/>
            </c:ext>
          </c:extLst>
        </c:ser>
        <c:ser>
          <c:idx val="5"/>
          <c:order val="5"/>
          <c:tx>
            <c:strRef>
              <c:f>ReportData!$O$60</c:f>
              <c:strCache>
                <c:ptCount val="1"/>
                <c:pt idx="0">
                  <c:v>Travelling &amp; communication</c:v>
                </c:pt>
              </c:strCache>
            </c:strRef>
          </c:tx>
          <c:spPr>
            <a:solidFill>
              <a:schemeClr val="accent6"/>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ReportData!$P$60:$Z$60</c15:sqref>
                  </c15:fullRef>
                </c:ext>
              </c:extLst>
              <c:f>(ReportData!$P$60:$R$60,ReportData!$U$60:$Z$60)</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5-2A50-4367-A134-5D24DAB02F13}"/>
            </c:ext>
          </c:extLst>
        </c:ser>
        <c:ser>
          <c:idx val="6"/>
          <c:order val="6"/>
          <c:tx>
            <c:strRef>
              <c:f>ReportData!$O$61</c:f>
              <c:strCache>
                <c:ptCount val="1"/>
                <c:pt idx="0">
                  <c:v>Printing &amp; Stationery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ReportData!$P$61:$Z$61</c15:sqref>
                  </c15:fullRef>
                </c:ext>
              </c:extLst>
              <c:f>(ReportData!$P$61:$R$61,ReportData!$U$61:$Z$61)</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6-2A50-4367-A134-5D24DAB02F13}"/>
            </c:ext>
          </c:extLst>
        </c:ser>
        <c:ser>
          <c:idx val="7"/>
          <c:order val="7"/>
          <c:tx>
            <c:strRef>
              <c:f>ReportData!$O$62</c:f>
              <c:strCache>
                <c:ptCount val="1"/>
                <c:pt idx="0">
                  <c:v>Utilities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ReportData!$P$62:$Z$62</c15:sqref>
                  </c15:fullRef>
                </c:ext>
              </c:extLst>
              <c:f>(ReportData!$P$62:$R$62,ReportData!$U$62:$Z$62)</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7-2A50-4367-A134-5D24DAB02F13}"/>
            </c:ext>
          </c:extLst>
        </c:ser>
        <c:ser>
          <c:idx val="8"/>
          <c:order val="8"/>
          <c:tx>
            <c:strRef>
              <c:f>ReportData!$O$63</c:f>
              <c:strCache>
                <c:ptCount val="1"/>
                <c:pt idx="0">
                  <c:v> Total Costs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ReportData!$P$63:$Z$63</c15:sqref>
                  </c15:fullRef>
                </c:ext>
              </c:extLst>
              <c:f>(ReportData!$P$63:$R$63,ReportData!$U$63:$Z$63)</c:f>
              <c:numCache>
                <c:formatCode>_(* #,##0.0_);_(* \(#,##0.0\);_(* "-"_);_(@_)</c:formatCode>
                <c:ptCount val="9"/>
                <c:pt idx="0">
                  <c:v>0</c:v>
                </c:pt>
                <c:pt idx="1">
                  <c:v>0</c:v>
                </c:pt>
                <c:pt idx="2">
                  <c:v>0</c:v>
                </c:pt>
                <c:pt idx="3">
                  <c:v>85400</c:v>
                </c:pt>
                <c:pt idx="4">
                  <c:v>85400</c:v>
                </c:pt>
                <c:pt idx="5">
                  <c:v>85400</c:v>
                </c:pt>
                <c:pt idx="6">
                  <c:v>85400</c:v>
                </c:pt>
                <c:pt idx="7">
                  <c:v>85400</c:v>
                </c:pt>
                <c:pt idx="8">
                  <c:v>85400</c:v>
                </c:pt>
              </c:numCache>
            </c:numRef>
          </c:val>
          <c:extLst>
            <c:ext xmlns:c16="http://schemas.microsoft.com/office/drawing/2014/chart" uri="{C3380CC4-5D6E-409C-BE32-E72D297353CC}">
              <c16:uniqueId val="{00000008-2A50-4367-A134-5D24DAB02F13}"/>
            </c:ext>
          </c:extLst>
        </c:ser>
        <c:dLbls>
          <c:showLegendKey val="0"/>
          <c:showVal val="0"/>
          <c:showCatName val="0"/>
          <c:showSerName val="0"/>
          <c:showPercent val="0"/>
          <c:showBubbleSize val="0"/>
        </c:dLbls>
        <c:gapWidth val="150"/>
        <c:overlap val="100"/>
        <c:axId val="1054035791"/>
        <c:axId val="1054045871"/>
      </c:barChart>
      <c:catAx>
        <c:axId val="105403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5871"/>
        <c:crosses val="autoZero"/>
        <c:auto val="1"/>
        <c:lblAlgn val="ctr"/>
        <c:lblOffset val="100"/>
        <c:noMultiLvlLbl val="0"/>
      </c:catAx>
      <c:valAx>
        <c:axId val="10540458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35791"/>
        <c:crosses val="autoZero"/>
        <c:crossBetween val="between"/>
      </c:valAx>
      <c:spPr>
        <a:noFill/>
        <a:ln>
          <a:noFill/>
        </a:ln>
        <a:effectLst/>
      </c:spPr>
    </c:plotArea>
    <c:legend>
      <c:legendPos val="b"/>
      <c:layout>
        <c:manualLayout>
          <c:xMode val="edge"/>
          <c:yMode val="edge"/>
          <c:x val="7.3415555010723239E-3"/>
          <c:y val="0.82818865538534403"/>
          <c:w val="0.99265836028924015"/>
          <c:h val="0.16905064352356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ReportData!$U$11</c:f>
          <c:strCache>
            <c:ptCount val="1"/>
            <c:pt idx="0">
              <c:v>Working Capital Balance in INR 'Units &amp; as a % of Revenue</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5.381892723122611E-2"/>
          <c:y val="5.2731481481481483E-2"/>
          <c:w val="0.90845081397430683"/>
          <c:h val="0.55768226888305639"/>
        </c:manualLayout>
      </c:layout>
      <c:barChart>
        <c:barDir val="col"/>
        <c:grouping val="stacked"/>
        <c:varyColors val="0"/>
        <c:ser>
          <c:idx val="0"/>
          <c:order val="0"/>
          <c:tx>
            <c:strRef>
              <c:f>ReportData!$O$89</c:f>
              <c:strCache>
                <c:ptCount val="1"/>
                <c:pt idx="0">
                  <c:v>Trade Receivables Days</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ReportData!$Q$89:$Z$89</c15:sqref>
                  </c15:fullRef>
                </c:ext>
              </c:extLst>
              <c:f>(ReportData!$Q$89:$R$89,ReportData!$U$89:$Z$89)</c:f>
              <c:numCache>
                <c:formatCode>_(* #,##0_);_(* \(#,##0\);_(*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0490-47B0-8FD4-F52326BB3E94}"/>
            </c:ext>
          </c:extLst>
        </c:ser>
        <c:ser>
          <c:idx val="1"/>
          <c:order val="1"/>
          <c:tx>
            <c:strRef>
              <c:f>ReportData!$O$90</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ReportData!$Q$90:$Z$90</c15:sqref>
                  </c15:fullRef>
                </c:ext>
              </c:extLst>
              <c:f>(ReportData!$Q$90:$R$90,ReportData!$U$90:$Z$90)</c:f>
              <c:numCache>
                <c:formatCode>_(* #,##0_);_(* \(#,##0\);_(* "-"_);_(@_)</c:formatCode>
                <c:ptCount val="8"/>
                <c:pt idx="0">
                  <c:v>0</c:v>
                </c:pt>
                <c:pt idx="1">
                  <c:v>0</c:v>
                </c:pt>
                <c:pt idx="2">
                  <c:v>5523.2876712328771</c:v>
                </c:pt>
                <c:pt idx="3">
                  <c:v>5523.2876712328771</c:v>
                </c:pt>
                <c:pt idx="4">
                  <c:v>5523.2876712328771</c:v>
                </c:pt>
                <c:pt idx="5">
                  <c:v>5523.2876712328771</c:v>
                </c:pt>
                <c:pt idx="6">
                  <c:v>5523.2876712328771</c:v>
                </c:pt>
                <c:pt idx="7">
                  <c:v>5523.2876712328771</c:v>
                </c:pt>
              </c:numCache>
            </c:numRef>
          </c:val>
          <c:extLst>
            <c:ext xmlns:c16="http://schemas.microsoft.com/office/drawing/2014/chart" uri="{C3380CC4-5D6E-409C-BE32-E72D297353CC}">
              <c16:uniqueId val="{00000001-0490-47B0-8FD4-F52326BB3E94}"/>
            </c:ext>
          </c:extLst>
        </c:ser>
        <c:ser>
          <c:idx val="2"/>
          <c:order val="2"/>
          <c:tx>
            <c:strRef>
              <c:f>ReportData!$O$91</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ReportData!$Q$91:$Z$91</c15:sqref>
                  </c15:fullRef>
                </c:ext>
              </c:extLst>
              <c:f>(ReportData!$Q$91:$R$91,ReportData!$U$91:$Z$91)</c:f>
              <c:numCache>
                <c:formatCode>_(* #,##0_);_(* \(#,##0\);_(* "-"_);_(@_)</c:formatCode>
                <c:ptCount val="8"/>
                <c:pt idx="0">
                  <c:v>0</c:v>
                </c:pt>
                <c:pt idx="1">
                  <c:v>0</c:v>
                </c:pt>
                <c:pt idx="2">
                  <c:v>18410.95890410959</c:v>
                </c:pt>
                <c:pt idx="3">
                  <c:v>18410.95890410959</c:v>
                </c:pt>
                <c:pt idx="4">
                  <c:v>18410.95890410959</c:v>
                </c:pt>
                <c:pt idx="5">
                  <c:v>18410.95890410959</c:v>
                </c:pt>
                <c:pt idx="6">
                  <c:v>18410.95890410959</c:v>
                </c:pt>
                <c:pt idx="7">
                  <c:v>18410.95890410959</c:v>
                </c:pt>
              </c:numCache>
            </c:numRef>
          </c:val>
          <c:extLst>
            <c:ext xmlns:c16="http://schemas.microsoft.com/office/drawing/2014/chart" uri="{C3380CC4-5D6E-409C-BE32-E72D297353CC}">
              <c16:uniqueId val="{00000002-0490-47B0-8FD4-F52326BB3E94}"/>
            </c:ext>
          </c:extLst>
        </c:ser>
        <c:ser>
          <c:idx val="3"/>
          <c:order val="3"/>
          <c:tx>
            <c:strRef>
              <c:f>ReportData!$O$92</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ReportData!$Q$92:$Z$92</c15:sqref>
                  </c15:fullRef>
                </c:ext>
              </c:extLst>
              <c:f>(ReportData!$Q$92:$R$92,ReportData!$U$92:$Z$92)</c:f>
              <c:numCache>
                <c:formatCode>_(* #,##0_);_(* \(#,##0\);_(* "-"_);_(@_)</c:formatCode>
                <c:ptCount val="8"/>
                <c:pt idx="0">
                  <c:v>0</c:v>
                </c:pt>
                <c:pt idx="1">
                  <c:v>0</c:v>
                </c:pt>
                <c:pt idx="2">
                  <c:v>3728.2191780821922</c:v>
                </c:pt>
                <c:pt idx="3">
                  <c:v>3728.2191780821922</c:v>
                </c:pt>
                <c:pt idx="4">
                  <c:v>3728.2191780821922</c:v>
                </c:pt>
                <c:pt idx="5">
                  <c:v>3728.2191780821922</c:v>
                </c:pt>
                <c:pt idx="6">
                  <c:v>3728.2191780821922</c:v>
                </c:pt>
                <c:pt idx="7">
                  <c:v>3728.2191780821922</c:v>
                </c:pt>
              </c:numCache>
            </c:numRef>
          </c:val>
          <c:extLst>
            <c:ext xmlns:c16="http://schemas.microsoft.com/office/drawing/2014/chart" uri="{C3380CC4-5D6E-409C-BE32-E72D297353CC}">
              <c16:uniqueId val="{00000003-0490-47B0-8FD4-F52326BB3E94}"/>
            </c:ext>
          </c:extLst>
        </c:ser>
        <c:ser>
          <c:idx val="4"/>
          <c:order val="4"/>
          <c:tx>
            <c:strRef>
              <c:f>ReportData!$O$93</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ReportData!$Q$93:$Z$93</c15:sqref>
                  </c15:fullRef>
                </c:ext>
              </c:extLst>
              <c:f>(ReportData!$Q$93:$R$93,ReportData!$U$93:$Z$93)</c:f>
              <c:numCache>
                <c:formatCode>_(* #,##0_);_(* \(#,##0\);_(* "-"_);_(@_)</c:formatCode>
                <c:ptCount val="8"/>
                <c:pt idx="0">
                  <c:v>0</c:v>
                </c:pt>
                <c:pt idx="1">
                  <c:v>0</c:v>
                </c:pt>
                <c:pt idx="2">
                  <c:v>3698.6301369863013</c:v>
                </c:pt>
                <c:pt idx="3">
                  <c:v>3698.6301369863013</c:v>
                </c:pt>
                <c:pt idx="4">
                  <c:v>3698.6301369863013</c:v>
                </c:pt>
                <c:pt idx="5">
                  <c:v>3698.6301369863013</c:v>
                </c:pt>
                <c:pt idx="6">
                  <c:v>3698.6301369863013</c:v>
                </c:pt>
                <c:pt idx="7">
                  <c:v>3698.6301369863013</c:v>
                </c:pt>
              </c:numCache>
            </c:numRef>
          </c:val>
          <c:extLst>
            <c:ext xmlns:c16="http://schemas.microsoft.com/office/drawing/2014/chart" uri="{C3380CC4-5D6E-409C-BE32-E72D297353CC}">
              <c16:uniqueId val="{00000004-0490-47B0-8FD4-F52326BB3E94}"/>
            </c:ext>
          </c:extLst>
        </c:ser>
        <c:ser>
          <c:idx val="5"/>
          <c:order val="5"/>
          <c:tx>
            <c:strRef>
              <c:f>ReportData!$O$94</c:f>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ReportData!$Q$94:$Z$94</c15:sqref>
                  </c15:fullRef>
                </c:ext>
              </c:extLst>
              <c:f>(ReportData!$Q$94:$R$94,ReportData!$U$94:$Z$94)</c:f>
              <c:numCache>
                <c:formatCode>_(* #,##0_);_(* \(#,##0\);_(* "-"_);_(@_)</c:formatCode>
                <c:ptCount val="8"/>
              </c:numCache>
            </c:numRef>
          </c:val>
          <c:extLst>
            <c:ext xmlns:c16="http://schemas.microsoft.com/office/drawing/2014/chart" uri="{C3380CC4-5D6E-409C-BE32-E72D297353CC}">
              <c16:uniqueId val="{00000005-0490-47B0-8FD4-F52326BB3E94}"/>
            </c:ext>
          </c:extLst>
        </c:ser>
        <c:ser>
          <c:idx val="6"/>
          <c:order val="6"/>
          <c:tx>
            <c:strRef>
              <c:f>ReportData!$O$95</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ReportData!$Q$95:$Z$95</c15:sqref>
                  </c15:fullRef>
                </c:ext>
              </c:extLst>
              <c:f>(ReportData!$Q$95:$R$95,ReportData!$U$95:$Z$95)</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0490-47B0-8FD4-F52326BB3E94}"/>
            </c:ext>
          </c:extLst>
        </c:ser>
        <c:ser>
          <c:idx val="7"/>
          <c:order val="7"/>
          <c:tx>
            <c:strRef>
              <c:f>ReportData!$O$96</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ReportData!$Q$96:$Z$96</c15:sqref>
                  </c15:fullRef>
                </c:ext>
              </c:extLst>
              <c:f>(ReportData!$Q$96:$R$96,ReportData!$U$96:$Z$96)</c:f>
              <c:numCache>
                <c:formatCode>_(* #,##0_);_(* \(#,##0\);_(* "-"_);_(@_)</c:formatCode>
                <c:ptCount val="8"/>
                <c:pt idx="0">
                  <c:v>0</c:v>
                </c:pt>
                <c:pt idx="1">
                  <c:v>0</c:v>
                </c:pt>
                <c:pt idx="2">
                  <c:v>9205.4794520547948</c:v>
                </c:pt>
                <c:pt idx="3">
                  <c:v>9205.4794520547948</c:v>
                </c:pt>
                <c:pt idx="4">
                  <c:v>9205.4794520547948</c:v>
                </c:pt>
                <c:pt idx="5">
                  <c:v>9205.4794520547948</c:v>
                </c:pt>
                <c:pt idx="6">
                  <c:v>9205.4794520547948</c:v>
                </c:pt>
                <c:pt idx="7">
                  <c:v>9205.4794520547948</c:v>
                </c:pt>
              </c:numCache>
            </c:numRef>
          </c:val>
          <c:extLst>
            <c:ext xmlns:c16="http://schemas.microsoft.com/office/drawing/2014/chart" uri="{C3380CC4-5D6E-409C-BE32-E72D297353CC}">
              <c16:uniqueId val="{00000007-0490-47B0-8FD4-F52326BB3E94}"/>
            </c:ext>
          </c:extLst>
        </c:ser>
        <c:ser>
          <c:idx val="8"/>
          <c:order val="8"/>
          <c:tx>
            <c:strRef>
              <c:f>ReportData!$O$97</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ReportData!$Q$97:$Z$97</c15:sqref>
                  </c15:fullRef>
                </c:ext>
              </c:extLst>
              <c:f>(ReportData!$Q$97:$R$97,ReportData!$U$97:$Z$97)</c:f>
              <c:numCache>
                <c:formatCode>_(* #,##0_);_(* \(#,##0\);_(* "-"_);_(@_)</c:formatCode>
                <c:ptCount val="8"/>
                <c:pt idx="0">
                  <c:v>0</c:v>
                </c:pt>
                <c:pt idx="1">
                  <c:v>0</c:v>
                </c:pt>
                <c:pt idx="2">
                  <c:v>547.94520547945206</c:v>
                </c:pt>
                <c:pt idx="3">
                  <c:v>547.94520547945206</c:v>
                </c:pt>
                <c:pt idx="4">
                  <c:v>547.94520547945206</c:v>
                </c:pt>
                <c:pt idx="5">
                  <c:v>547.94520547945206</c:v>
                </c:pt>
                <c:pt idx="6">
                  <c:v>547.94520547945206</c:v>
                </c:pt>
                <c:pt idx="7">
                  <c:v>547.94520547945206</c:v>
                </c:pt>
              </c:numCache>
            </c:numRef>
          </c:val>
          <c:extLst>
            <c:ext xmlns:c16="http://schemas.microsoft.com/office/drawing/2014/chart" uri="{C3380CC4-5D6E-409C-BE32-E72D297353CC}">
              <c16:uniqueId val="{00000008-0490-47B0-8FD4-F52326BB3E94}"/>
            </c:ext>
          </c:extLst>
        </c:ser>
        <c:ser>
          <c:idx val="9"/>
          <c:order val="9"/>
          <c:tx>
            <c:strRef>
              <c:f>ReportData!$O$98</c:f>
              <c:strCache>
                <c:ptCount val="1"/>
                <c:pt idx="0">
                  <c:v>Accrued Expenses Days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ReportData!$Q$98:$Z$98</c15:sqref>
                  </c15:fullRef>
                </c:ext>
              </c:extLst>
              <c:f>(ReportData!$Q$98:$R$98,ReportData!$U$98:$Z$98)</c:f>
              <c:numCache>
                <c:formatCode>_(* #,##0_);_(* \(#,##0\);_(* "-"_);_(@_)</c:formatCode>
                <c:ptCount val="8"/>
                <c:pt idx="0">
                  <c:v>0</c:v>
                </c:pt>
                <c:pt idx="1">
                  <c:v>0</c:v>
                </c:pt>
                <c:pt idx="2">
                  <c:v>3328.7671232876714</c:v>
                </c:pt>
                <c:pt idx="3">
                  <c:v>3328.7671232876714</c:v>
                </c:pt>
                <c:pt idx="4">
                  <c:v>3328.7671232876714</c:v>
                </c:pt>
                <c:pt idx="5">
                  <c:v>3328.7671232876714</c:v>
                </c:pt>
                <c:pt idx="6">
                  <c:v>3328.7671232876714</c:v>
                </c:pt>
                <c:pt idx="7">
                  <c:v>3328.7671232876714</c:v>
                </c:pt>
              </c:numCache>
            </c:numRef>
          </c:val>
          <c:extLst>
            <c:ext xmlns:c16="http://schemas.microsoft.com/office/drawing/2014/chart" uri="{C3380CC4-5D6E-409C-BE32-E72D297353CC}">
              <c16:uniqueId val="{00000009-0490-47B0-8FD4-F52326BB3E94}"/>
            </c:ext>
          </c:extLst>
        </c:ser>
        <c:ser>
          <c:idx val="10"/>
          <c:order val="10"/>
          <c:tx>
            <c:strRef>
              <c:f>ReportData!$O$99</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ReportData!$Q$99:$Z$99</c15:sqref>
                  </c15:fullRef>
                </c:ext>
              </c:extLst>
              <c:f>(ReportData!$Q$99:$R$99,ReportData!$U$99:$Z$99)</c:f>
              <c:numCache>
                <c:formatCode>_(* #,##0_);_(* \(#,##0\);_(* "-"_);_(@_)</c:formatCode>
                <c:ptCount val="8"/>
                <c:pt idx="0">
                  <c:v>0</c:v>
                </c:pt>
                <c:pt idx="1">
                  <c:v>0</c:v>
                </c:pt>
                <c:pt idx="2">
                  <c:v>1499.548219178082</c:v>
                </c:pt>
                <c:pt idx="3">
                  <c:v>1467.0013698630137</c:v>
                </c:pt>
                <c:pt idx="4">
                  <c:v>1434.4545205479451</c:v>
                </c:pt>
                <c:pt idx="5">
                  <c:v>1401.9076712328767</c:v>
                </c:pt>
                <c:pt idx="6">
                  <c:v>1369.3608219178082</c:v>
                </c:pt>
                <c:pt idx="7">
                  <c:v>1336.8139726027396</c:v>
                </c:pt>
              </c:numCache>
            </c:numRef>
          </c:val>
          <c:extLst>
            <c:ext xmlns:c16="http://schemas.microsoft.com/office/drawing/2014/chart" uri="{C3380CC4-5D6E-409C-BE32-E72D297353CC}">
              <c16:uniqueId val="{0000000A-0490-47B0-8FD4-F52326BB3E94}"/>
            </c:ext>
          </c:extLst>
        </c:ser>
        <c:ser>
          <c:idx val="11"/>
          <c:order val="11"/>
          <c:tx>
            <c:strRef>
              <c:f>ReportData!$O$100</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ReportData!$Q$100:$Z$100</c15:sqref>
                  </c15:fullRef>
                </c:ext>
              </c:extLst>
              <c:f>(ReportData!$Q$100:$R$100,ReportData!$U$100:$Z$100)</c:f>
              <c:numCache>
                <c:formatCode>_(* #,##0_);_(* \(#,##0\);_(* "-"_);_(@_)</c:formatCode>
                <c:ptCount val="8"/>
                <c:pt idx="0">
                  <c:v>0</c:v>
                </c:pt>
                <c:pt idx="1">
                  <c:v>0</c:v>
                </c:pt>
                <c:pt idx="2">
                  <c:v>1232.8767123287671</c:v>
                </c:pt>
                <c:pt idx="3">
                  <c:v>0</c:v>
                </c:pt>
                <c:pt idx="4">
                  <c:v>0</c:v>
                </c:pt>
                <c:pt idx="5">
                  <c:v>0</c:v>
                </c:pt>
                <c:pt idx="6">
                  <c:v>0</c:v>
                </c:pt>
                <c:pt idx="7">
                  <c:v>0</c:v>
                </c:pt>
              </c:numCache>
            </c:numRef>
          </c:val>
          <c:extLst>
            <c:ext xmlns:c16="http://schemas.microsoft.com/office/drawing/2014/chart" uri="{C3380CC4-5D6E-409C-BE32-E72D297353CC}">
              <c16:uniqueId val="{0000000B-0490-47B0-8FD4-F52326BB3E94}"/>
            </c:ext>
          </c:extLst>
        </c:ser>
        <c:dLbls>
          <c:showLegendKey val="0"/>
          <c:showVal val="0"/>
          <c:showCatName val="0"/>
          <c:showSerName val="0"/>
          <c:showPercent val="0"/>
          <c:showBubbleSize val="0"/>
        </c:dLbls>
        <c:gapWidth val="50"/>
        <c:overlap val="100"/>
        <c:axId val="1493104720"/>
        <c:axId val="141848303"/>
      </c:barChart>
      <c:lineChart>
        <c:grouping val="standard"/>
        <c:varyColors val="0"/>
        <c:ser>
          <c:idx val="12"/>
          <c:order val="12"/>
          <c:tx>
            <c:strRef>
              <c:f>ReportData!$O$102</c:f>
              <c:strCache>
                <c:ptCount val="1"/>
                <c:pt idx="0">
                  <c:v>NWC as a % of sales</c:v>
                </c:pt>
              </c:strCache>
            </c:strRef>
          </c:tx>
          <c:spPr>
            <a:ln w="28575" cap="rnd">
              <a:solidFill>
                <a:schemeClr val="accent3"/>
              </a:solidFill>
              <a:round/>
            </a:ln>
            <a:effectLst/>
          </c:spPr>
          <c:marker>
            <c:symbol val="none"/>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ReportData!$Q$102:$Z$102</c15:sqref>
                  </c15:fullRef>
                </c:ext>
              </c:extLst>
              <c:f>(ReportData!$Q$102:$R$102,ReportData!$U$102:$Z$102)</c:f>
              <c:numCache>
                <c:formatCode>0%</c:formatCode>
                <c:ptCount val="8"/>
                <c:pt idx="0">
                  <c:v>0</c:v>
                </c:pt>
                <c:pt idx="1">
                  <c:v>0</c:v>
                </c:pt>
                <c:pt idx="2">
                  <c:v>15546.479178082189</c:v>
                </c:pt>
                <c:pt idx="3">
                  <c:v>16811.902739726025</c:v>
                </c:pt>
                <c:pt idx="4">
                  <c:v>19592.142994485737</c:v>
                </c:pt>
                <c:pt idx="5">
                  <c:v>24293.137948293734</c:v>
                </c:pt>
                <c:pt idx="6">
                  <c:v>26693.398300354263</c:v>
                </c:pt>
                <c:pt idx="7">
                  <c:v>28930.667223781697</c:v>
                </c:pt>
              </c:numCache>
            </c:numRef>
          </c:val>
          <c:smooth val="0"/>
          <c:extLst>
            <c:ext xmlns:c16="http://schemas.microsoft.com/office/drawing/2014/chart" uri="{C3380CC4-5D6E-409C-BE32-E72D297353CC}">
              <c16:uniqueId val="{0000000C-0490-47B0-8FD4-F52326BB3E94}"/>
            </c:ext>
          </c:extLst>
        </c:ser>
        <c:dLbls>
          <c:showLegendKey val="0"/>
          <c:showVal val="0"/>
          <c:showCatName val="0"/>
          <c:showSerName val="0"/>
          <c:showPercent val="0"/>
          <c:showBubbleSize val="0"/>
        </c:dLbls>
        <c:marker val="1"/>
        <c:smooth val="0"/>
        <c:axId val="207062399"/>
        <c:axId val="234557935"/>
      </c:line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93104720"/>
        <c:crosses val="autoZero"/>
        <c:crossBetween val="between"/>
      </c:valAx>
      <c:valAx>
        <c:axId val="234557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3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207062399"/>
        <c:crosses val="max"/>
        <c:crossBetween val="between"/>
      </c:valAx>
      <c:catAx>
        <c:axId val="207062399"/>
        <c:scaling>
          <c:orientation val="minMax"/>
        </c:scaling>
        <c:delete val="1"/>
        <c:axPos val="b"/>
        <c:numFmt formatCode="General" sourceLinked="1"/>
        <c:majorTickMark val="out"/>
        <c:minorTickMark val="none"/>
        <c:tickLblPos val="nextTo"/>
        <c:crossAx val="234557935"/>
        <c:crosses val="autoZero"/>
        <c:auto val="1"/>
        <c:lblAlgn val="ctr"/>
        <c:lblOffset val="100"/>
        <c:noMultiLvlLbl val="0"/>
      </c:catAx>
      <c:spPr>
        <a:noFill/>
        <a:ln>
          <a:noFill/>
        </a:ln>
        <a:effectLst/>
      </c:spPr>
    </c:plotArea>
    <c:legend>
      <c:legendPos val="b"/>
      <c:layout>
        <c:manualLayout>
          <c:xMode val="edge"/>
          <c:yMode val="edge"/>
          <c:x val="8.0928579476680588E-3"/>
          <c:y val="0.75752490464270228"/>
          <c:w val="0.98922366536803807"/>
          <c:h val="0.24247509535729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ReportData!$U$12</c:f>
          <c:strCache>
            <c:ptCount val="1"/>
            <c:pt idx="0">
              <c:v>Capital Expenditure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ReportData!$O$105</c:f>
              <c:strCache>
                <c:ptCount val="1"/>
                <c:pt idx="0">
                  <c:v>Expansion Capex</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ReportData!$Q$105:$Z$105</c15:sqref>
                  </c15:fullRef>
                </c:ext>
              </c:extLst>
              <c:f>(ReportData!$Q$105:$R$105,ReportData!$U$105:$Z$105)</c:f>
              <c:numCache>
                <c:formatCode>General</c:formatCode>
                <c:ptCount val="8"/>
                <c:pt idx="3">
                  <c:v>0</c:v>
                </c:pt>
                <c:pt idx="4">
                  <c:v>0</c:v>
                </c:pt>
                <c:pt idx="5">
                  <c:v>0</c:v>
                </c:pt>
                <c:pt idx="6">
                  <c:v>0</c:v>
                </c:pt>
                <c:pt idx="7">
                  <c:v>0</c:v>
                </c:pt>
              </c:numCache>
            </c:numRef>
          </c:val>
          <c:extLst>
            <c:ext xmlns:c16="http://schemas.microsoft.com/office/drawing/2014/chart" uri="{C3380CC4-5D6E-409C-BE32-E72D297353CC}">
              <c16:uniqueId val="{00000000-51CE-4DB6-B225-86B2B352CF8F}"/>
            </c:ext>
          </c:extLst>
        </c:ser>
        <c:ser>
          <c:idx val="1"/>
          <c:order val="1"/>
          <c:tx>
            <c:strRef>
              <c:f>ReportData!$O$106</c:f>
              <c:strCache>
                <c:ptCount val="1"/>
                <c:pt idx="0">
                  <c:v>Maintenance Capex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ReportData!$Q$106:$Z$106</c15:sqref>
                  </c15:fullRef>
                </c:ext>
              </c:extLst>
              <c:f>(ReportData!$Q$106:$R$106,ReportData!$U$106:$Z$106)</c:f>
              <c:numCache>
                <c:formatCode>0.0</c:formatCode>
                <c:ptCount val="8"/>
              </c:numCache>
            </c:numRef>
          </c:val>
          <c:extLst>
            <c:ext xmlns:c16="http://schemas.microsoft.com/office/drawing/2014/chart" uri="{C3380CC4-5D6E-409C-BE32-E72D297353CC}">
              <c16:uniqueId val="{00000001-51CE-4DB6-B225-86B2B352CF8F}"/>
            </c:ext>
          </c:extLst>
        </c:ser>
        <c:ser>
          <c:idx val="2"/>
          <c:order val="2"/>
          <c:tx>
            <c:strRef>
              <c:f>ReportData!$O$107</c:f>
              <c:strCache>
                <c:ptCount val="1"/>
                <c:pt idx="0">
                  <c:v> Total Capex </c:v>
                </c:pt>
              </c:strCache>
            </c:strRef>
          </c:tx>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ReportData!$Q$107:$Z$107</c15:sqref>
                  </c15:fullRef>
                </c:ext>
              </c:extLst>
              <c:f>(ReportData!$Q$107:$R$107,ReportData!$U$107:$Z$107)</c:f>
              <c:numCache>
                <c:formatCode>_(* #,##0.0_);_(* \(#,##0.0\);_(*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51CE-4DB6-B225-86B2B352CF8F}"/>
            </c:ext>
          </c:extLst>
        </c:ser>
        <c:dLbls>
          <c:dLblPos val="ctr"/>
          <c:showLegendKey val="0"/>
          <c:showVal val="1"/>
          <c:showCatName val="0"/>
          <c:showSerName val="0"/>
          <c:showPercent val="0"/>
          <c:showBubbleSize val="0"/>
        </c:dLbls>
        <c:gapWidth val="150"/>
        <c:overlap val="100"/>
        <c:axId val="141055279"/>
        <c:axId val="141846815"/>
      </c:barChart>
      <c:catAx>
        <c:axId val="141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6815"/>
        <c:crosses val="autoZero"/>
        <c:auto val="1"/>
        <c:lblAlgn val="ctr"/>
        <c:lblOffset val="100"/>
        <c:noMultiLvlLbl val="0"/>
      </c:catAx>
      <c:valAx>
        <c:axId val="141846815"/>
        <c:scaling>
          <c:orientation val="minMax"/>
        </c:scaling>
        <c:delete val="1"/>
        <c:axPos val="l"/>
        <c:numFmt formatCode="General" sourceLinked="1"/>
        <c:majorTickMark val="none"/>
        <c:minorTickMark val="none"/>
        <c:tickLblPos val="nextTo"/>
        <c:crossAx val="141055279"/>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0.33473833581042439"/>
          <c:y val="0.28972643723135394"/>
          <c:w val="0.55713694397780811"/>
          <c:h val="0.51969832700080887"/>
        </c:manualLayout>
      </c:layout>
      <c:barChart>
        <c:barDir val="bar"/>
        <c:grouping val="stacked"/>
        <c:varyColors val="0"/>
        <c:ser>
          <c:idx val="0"/>
          <c:order val="0"/>
          <c:tx>
            <c:strRef>
              <c:f>ReportData!$P$8</c:f>
              <c:strCache>
                <c:ptCount val="1"/>
                <c:pt idx="0">
                  <c:v>Low</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ReportData!$P$9:$P$11</c:f>
              <c:numCache>
                <c:formatCode>_(* #,##0.0_);_(* \(#,##0.0\);_(* "-"_);_(@_)</c:formatCode>
                <c:ptCount val="3"/>
                <c:pt idx="0">
                  <c:v>-6541.7024933180655</c:v>
                </c:pt>
                <c:pt idx="1">
                  <c:v>205185.75</c:v>
                </c:pt>
                <c:pt idx="2">
                  <c:v>379335</c:v>
                </c:pt>
              </c:numCache>
            </c:numRef>
          </c:val>
          <c:extLst>
            <c:ext xmlns:c16="http://schemas.microsoft.com/office/drawing/2014/chart" uri="{C3380CC4-5D6E-409C-BE32-E72D297353CC}">
              <c16:uniqueId val="{00000000-AB10-4B9E-B958-0C8E319DCA78}"/>
            </c:ext>
          </c:extLst>
        </c:ser>
        <c:ser>
          <c:idx val="1"/>
          <c:order val="1"/>
          <c:tx>
            <c:strRef>
              <c:f>ReportData!$Q$8</c:f>
              <c:strCache>
                <c:ptCount val="1"/>
                <c:pt idx="0">
                  <c:v>Difference</c:v>
                </c:pt>
              </c:strCache>
            </c:strRef>
          </c:tx>
          <c:spPr>
            <a:solidFill>
              <a:schemeClr val="tx1">
                <a:lumMod val="95000"/>
                <a:lumOff val="5000"/>
              </a:schemeClr>
            </a:solidFill>
            <a:ln>
              <a:noFill/>
            </a:ln>
            <a:effectLst/>
          </c:spPr>
          <c:invertIfNegative val="0"/>
          <c:dLbls>
            <c:delete val="1"/>
          </c:dLbls>
          <c:cat>
            <c:strRef>
              <c:f>ReportData!$O$9:$O$11</c:f>
              <c:strCache>
                <c:ptCount val="3"/>
                <c:pt idx="0">
                  <c:v> DCF Approach </c:v>
                </c:pt>
                <c:pt idx="1">
                  <c:v> Multiples Approach (EV/EBITDA) </c:v>
                </c:pt>
                <c:pt idx="2">
                  <c:v> Transactions Approach </c:v>
                </c:pt>
              </c:strCache>
            </c:strRef>
          </c:cat>
          <c:val>
            <c:numRef>
              <c:f>ReportData!$Q$9:$Q$11</c:f>
              <c:numCache>
                <c:formatCode>_(* #,##0.0_);_(* \(#,##0.0\);_(* "-"_);_(@_)</c:formatCode>
                <c:ptCount val="3"/>
                <c:pt idx="0">
                  <c:v>8128.7398504043294</c:v>
                </c:pt>
                <c:pt idx="1">
                  <c:v>72418.499999999942</c:v>
                </c:pt>
                <c:pt idx="2">
                  <c:v>0</c:v>
                </c:pt>
              </c:numCache>
            </c:numRef>
          </c:val>
          <c:extLst>
            <c:ext xmlns:c16="http://schemas.microsoft.com/office/drawing/2014/chart" uri="{C3380CC4-5D6E-409C-BE32-E72D297353CC}">
              <c16:uniqueId val="{00000001-AB10-4B9E-B958-0C8E319DCA78}"/>
            </c:ext>
          </c:extLst>
        </c:ser>
        <c:ser>
          <c:idx val="2"/>
          <c:order val="2"/>
          <c:tx>
            <c:strRef>
              <c:f>ReportData!$R$8</c:f>
              <c:strCache>
                <c:ptCount val="1"/>
                <c:pt idx="0">
                  <c:v>High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ReportData!$R$9:$R$11</c:f>
              <c:numCache>
                <c:formatCode>_(* #,##0.0_);_(* \(#,##0.0\);_(* "-"_);_(@_)</c:formatCode>
                <c:ptCount val="3"/>
                <c:pt idx="0">
                  <c:v>1587.0373570862639</c:v>
                </c:pt>
                <c:pt idx="1">
                  <c:v>277604.24999999994</c:v>
                </c:pt>
                <c:pt idx="2">
                  <c:v>379335</c:v>
                </c:pt>
              </c:numCache>
            </c:numRef>
          </c:val>
          <c:extLst>
            <c:ext xmlns:c16="http://schemas.microsoft.com/office/drawing/2014/chart" uri="{C3380CC4-5D6E-409C-BE32-E72D297353CC}">
              <c16:uniqueId val="{00000002-AB10-4B9E-B958-0C8E319DCA78}"/>
            </c:ext>
          </c:extLst>
        </c:ser>
        <c:dLbls>
          <c:dLblPos val="ctr"/>
          <c:showLegendKey val="0"/>
          <c:showVal val="1"/>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c:rich>
      </c:tx>
      <c:layout>
        <c:manualLayout>
          <c:xMode val="edge"/>
          <c:yMode val="edge"/>
          <c:x val="0.333678894694238"/>
          <c:y val="0"/>
        </c:manualLayout>
      </c:layout>
      <c:overlay val="0"/>
      <c:spPr>
        <a:noFill/>
        <a:ln>
          <a:noFill/>
        </a:ln>
        <a:effectLst/>
      </c:spPr>
      <c:txPr>
        <a:bodyPr rot="0" spcFirstLastPara="1" vertOverflow="ellipsis" vert="horz" wrap="square" anchor="ctr" anchorCtr="1"/>
        <a:lstStyle/>
        <a:p>
          <a:pPr>
            <a:defRPr sz="960" b="1" i="0" u="none" strike="noStrike" kern="1200" spc="0" baseline="0">
              <a:solidFill>
                <a:schemeClr val="tx1">
                  <a:lumMod val="65000"/>
                  <a:lumOff val="35000"/>
                </a:schemeClr>
              </a:solidFill>
              <a:latin typeface="GT Walsheim Pro" panose="02000503040000020003" pitchFamily="50" charset="0"/>
              <a:ea typeface="+mn-ea"/>
              <a:cs typeface="+mn-cs"/>
            </a:defRPr>
          </a:pPr>
          <a:endParaRPr lang="en-US"/>
        </a:p>
      </c:txPr>
    </c:title>
    <c:autoTitleDeleted val="0"/>
    <c:plotArea>
      <c:layout>
        <c:manualLayout>
          <c:layoutTarget val="inner"/>
          <c:xMode val="edge"/>
          <c:yMode val="edge"/>
          <c:x val="0.30933659577599532"/>
          <c:y val="0.28724534433195853"/>
          <c:w val="0.66729891824269627"/>
          <c:h val="0.66740318174513902"/>
        </c:manualLayout>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0-6701-48CB-A0C6-BAF5F80DFB78}"/>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1-6701-48CB-A0C6-BAF5F80DFB78}"/>
            </c:ext>
          </c:extLst>
        </c:ser>
        <c:ser>
          <c:idx val="2"/>
          <c:order val="2"/>
          <c:spPr>
            <a:solidFill>
              <a:schemeClr val="accent3"/>
            </a:solidFill>
            <a:ln>
              <a:noFill/>
            </a:ln>
            <a:effectLst/>
          </c:spPr>
          <c:invertIfNegative val="0"/>
          <c:dLbls>
            <c:delete val="1"/>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2-6701-48CB-A0C6-BAF5F80DFB78}"/>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3-6701-48CB-A0C6-BAF5F80DFB78}"/>
            </c:ext>
          </c:extLst>
        </c:ser>
        <c:dLbls>
          <c:dLblPos val="ctr"/>
          <c:showLegendKey val="0"/>
          <c:showVal val="1"/>
          <c:showCatName val="0"/>
          <c:showSerName val="0"/>
          <c:showPercent val="0"/>
          <c:showBubbleSize val="0"/>
        </c:dLbls>
        <c:gapWidth val="150"/>
        <c:overlap val="100"/>
        <c:axId val="1274579231"/>
        <c:axId val="340570336"/>
        <c:extLst/>
      </c:barChart>
      <c:catAx>
        <c:axId val="127457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340570336"/>
        <c:crosses val="autoZero"/>
        <c:auto val="1"/>
        <c:lblAlgn val="ctr"/>
        <c:lblOffset val="100"/>
        <c:noMultiLvlLbl val="0"/>
      </c:catAx>
      <c:valAx>
        <c:axId val="340570336"/>
        <c:scaling>
          <c:orientation val="minMax"/>
        </c:scaling>
        <c:delete val="1"/>
        <c:axPos val="b"/>
        <c:numFmt formatCode="General" sourceLinked="1"/>
        <c:majorTickMark val="none"/>
        <c:minorTickMark val="none"/>
        <c:tickLblPos val="nextTo"/>
        <c:crossAx val="1274579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EBITDA Margin</a:t>
            </a:r>
            <a:r>
              <a:rPr lang="en-US" baseline="0"/>
              <a:t> vs EV/Revenue (FYE)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Multiples!$R$9:$R$15</c:f>
              <c:numCache>
                <c:formatCode>0.0%</c:formatCode>
                <c:ptCount val="7"/>
                <c:pt idx="0">
                  <c:v>0</c:v>
                </c:pt>
                <c:pt idx="1">
                  <c:v>0</c:v>
                </c:pt>
                <c:pt idx="2">
                  <c:v>0</c:v>
                </c:pt>
                <c:pt idx="3">
                  <c:v>0</c:v>
                </c:pt>
                <c:pt idx="4">
                  <c:v>0</c:v>
                </c:pt>
                <c:pt idx="5">
                  <c:v>0</c:v>
                </c:pt>
                <c:pt idx="6">
                  <c:v>0</c:v>
                </c:pt>
              </c:numCache>
            </c:numRef>
          </c:xVal>
          <c:yVal>
            <c:numRef>
              <c:f>Multiples!$X$9:$X$15</c:f>
              <c:numCache>
                <c:formatCode>_(* #,##0.0\x_);_(* \(#,##0.0\x\);_(* "-"??_);_(@_)</c:formatCode>
                <c:ptCount val="7"/>
                <c:pt idx="0">
                  <c:v>3</c:v>
                </c:pt>
                <c:pt idx="1">
                  <c:v>4</c:v>
                </c:pt>
                <c:pt idx="2">
                  <c:v>5</c:v>
                </c:pt>
                <c:pt idx="3">
                  <c:v>6</c:v>
                </c:pt>
                <c:pt idx="4">
                  <c:v>3</c:v>
                </c:pt>
                <c:pt idx="5">
                  <c:v>2</c:v>
                </c:pt>
                <c:pt idx="6">
                  <c:v>4</c:v>
                </c:pt>
              </c:numCache>
            </c:numRef>
          </c:yVal>
          <c:smooth val="0"/>
          <c:extLst>
            <c:ext xmlns:c16="http://schemas.microsoft.com/office/drawing/2014/chart" uri="{C3380CC4-5D6E-409C-BE32-E72D297353CC}">
              <c16:uniqueId val="{00000000-BBE9-4638-B68B-357BAD8814C3}"/>
            </c:ext>
          </c:extLst>
        </c:ser>
        <c:dLbls>
          <c:showLegendKey val="0"/>
          <c:showVal val="0"/>
          <c:showCatName val="0"/>
          <c:showSerName val="0"/>
          <c:showPercent val="0"/>
          <c:showBubbleSize val="0"/>
        </c:dLbls>
        <c:axId val="1976403055"/>
        <c:axId val="1728662207"/>
      </c:scatterChart>
      <c:valAx>
        <c:axId val="197640305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62207"/>
        <c:crosses val="autoZero"/>
        <c:crossBetween val="midCat"/>
      </c:valAx>
      <c:valAx>
        <c:axId val="1728662207"/>
        <c:scaling>
          <c:orientation val="minMax"/>
        </c:scaling>
        <c:delete val="0"/>
        <c:axPos val="l"/>
        <c:majorGridlines>
          <c:spPr>
            <a:ln w="9525" cap="flat" cmpd="sng" algn="ctr">
              <a:solidFill>
                <a:schemeClr val="tx1">
                  <a:lumMod val="15000"/>
                  <a:lumOff val="85000"/>
                </a:schemeClr>
              </a:solidFill>
              <a:round/>
            </a:ln>
            <a:effectLst/>
          </c:spPr>
        </c:majorGridlines>
        <c:numFmt formatCode="_(* #,##0.0\x_);_(* \(#,##0.0\x\);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403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Size (Revenue)</a:t>
            </a:r>
            <a:r>
              <a:rPr lang="en-US" baseline="0"/>
              <a:t> vs EV/EBITDA (FYE)</a:t>
            </a:r>
            <a:endParaRPr lang="en-US"/>
          </a:p>
        </c:rich>
      </c:tx>
      <c:layout>
        <c:manualLayout>
          <c:xMode val="edge"/>
          <c:yMode val="edge"/>
          <c:x val="0.394736001749781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Multiples!$I$9:$I$15</c:f>
              <c:numCache>
                <c:formatCode>_(* #,##0_);_(* \(#,##0\);_(* "-"_);_(@_)</c:formatCode>
                <c:ptCount val="7"/>
                <c:pt idx="0">
                  <c:v>0</c:v>
                </c:pt>
                <c:pt idx="1">
                  <c:v>0</c:v>
                </c:pt>
                <c:pt idx="2">
                  <c:v>0</c:v>
                </c:pt>
                <c:pt idx="3">
                  <c:v>0</c:v>
                </c:pt>
                <c:pt idx="4">
                  <c:v>0</c:v>
                </c:pt>
                <c:pt idx="5">
                  <c:v>0</c:v>
                </c:pt>
                <c:pt idx="6">
                  <c:v>0</c:v>
                </c:pt>
              </c:numCache>
            </c:numRef>
          </c:xVal>
          <c:yVal>
            <c:numRef>
              <c:f>Multiples!$AA$9:$AA$15</c:f>
              <c:numCache>
                <c:formatCode>_(* #,##0.0\x_);_(* \(#,##0.0\x\);_(* "-"??_);_(@_)</c:formatCode>
                <c:ptCount val="7"/>
                <c:pt idx="0">
                  <c:v>6</c:v>
                </c:pt>
                <c:pt idx="1">
                  <c:v>5</c:v>
                </c:pt>
                <c:pt idx="2">
                  <c:v>6</c:v>
                </c:pt>
                <c:pt idx="3">
                  <c:v>7</c:v>
                </c:pt>
                <c:pt idx="4">
                  <c:v>9</c:v>
                </c:pt>
                <c:pt idx="5">
                  <c:v>6</c:v>
                </c:pt>
                <c:pt idx="6">
                  <c:v>4</c:v>
                </c:pt>
              </c:numCache>
            </c:numRef>
          </c:yVal>
          <c:smooth val="0"/>
          <c:extLst>
            <c:ext xmlns:c16="http://schemas.microsoft.com/office/drawing/2014/chart" uri="{C3380CC4-5D6E-409C-BE32-E72D297353CC}">
              <c16:uniqueId val="{00000002-F271-4ADB-9D17-7BBD6A7A195E}"/>
            </c:ext>
          </c:extLst>
        </c:ser>
        <c:dLbls>
          <c:showLegendKey val="0"/>
          <c:showVal val="0"/>
          <c:showCatName val="0"/>
          <c:showSerName val="0"/>
          <c:showPercent val="0"/>
          <c:showBubbleSize val="0"/>
        </c:dLbls>
        <c:axId val="1933461215"/>
        <c:axId val="1749846063"/>
      </c:scatterChart>
      <c:valAx>
        <c:axId val="1933461215"/>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846063"/>
        <c:crosses val="autoZero"/>
        <c:crossBetween val="midCat"/>
      </c:valAx>
      <c:valAx>
        <c:axId val="1749846063"/>
        <c:scaling>
          <c:orientation val="minMax"/>
        </c:scaling>
        <c:delete val="0"/>
        <c:axPos val="l"/>
        <c:majorGridlines>
          <c:spPr>
            <a:ln w="9525" cap="flat" cmpd="sng" algn="ctr">
              <a:solidFill>
                <a:schemeClr val="tx1">
                  <a:lumMod val="15000"/>
                  <a:lumOff val="85000"/>
                </a:schemeClr>
              </a:solidFill>
              <a:round/>
            </a:ln>
            <a:effectLst/>
          </c:spPr>
        </c:majorGridlines>
        <c:numFmt formatCode="_(* #,##0.0\x_);_(* \(#,##0.0\x\);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461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61514532415231"/>
          <c:y val="8.05243590573156E-2"/>
          <c:w val="0.64608520190682783"/>
          <c:h val="0.82053270755908658"/>
        </c:manualLayout>
      </c:layout>
      <c:barChart>
        <c:barDir val="bar"/>
        <c:grouping val="clustered"/>
        <c:varyColors val="0"/>
        <c:ser>
          <c:idx val="0"/>
          <c:order val="1"/>
          <c:tx>
            <c:strRef>
              <c:f>Growth!$AD$8</c:f>
              <c:strCache>
                <c:ptCount val="1"/>
                <c:pt idx="0">
                  <c:v>2 Year CAGR</c:v>
                </c:pt>
              </c:strCache>
            </c:strRef>
          </c:tx>
          <c:spPr>
            <a:solidFill>
              <a:schemeClr val="accent1"/>
            </a:solidFill>
            <a:ln>
              <a:noFill/>
            </a:ln>
            <a:effectLst/>
          </c:spPr>
          <c:invertIfNegative val="0"/>
          <c:cat>
            <c:strRef>
              <c:f>Growth!GPCREVLABEL</c:f>
              <c:strCache>
                <c:ptCount val="30"/>
                <c:pt idx="0">
                  <c:v>Comp 1</c:v>
                </c:pt>
                <c:pt idx="1">
                  <c:v>Comp 2</c:v>
                </c:pt>
                <c:pt idx="2">
                  <c:v>Comp 3</c:v>
                </c:pt>
                <c:pt idx="3">
                  <c:v>Comp 4</c:v>
                </c:pt>
                <c:pt idx="4">
                  <c:v>Comp 5</c:v>
                </c:pt>
                <c:pt idx="5">
                  <c:v>Comp 6</c:v>
                </c:pt>
                <c:pt idx="6">
                  <c:v>Comp 7</c:v>
                </c:pt>
                <c:pt idx="7">
                  <c:v>Comp 8</c:v>
                </c:pt>
                <c:pt idx="8">
                  <c:v>Comp 9</c:v>
                </c:pt>
                <c:pt idx="9">
                  <c:v>Comp 10</c:v>
                </c:pt>
                <c:pt idx="10">
                  <c:v>Comp 11</c:v>
                </c:pt>
                <c:pt idx="11">
                  <c:v>Comp 12</c:v>
                </c:pt>
                <c:pt idx="12">
                  <c:v>Comp 13</c:v>
                </c:pt>
                <c:pt idx="13">
                  <c:v>Comp 14</c:v>
                </c:pt>
                <c:pt idx="14">
                  <c:v>Comp 15</c:v>
                </c:pt>
                <c:pt idx="15">
                  <c:v>Comp 16</c:v>
                </c:pt>
                <c:pt idx="16">
                  <c:v>Comp 17</c:v>
                </c:pt>
                <c:pt idx="17">
                  <c:v>Comp 18</c:v>
                </c:pt>
                <c:pt idx="18">
                  <c:v>Comp 19</c:v>
                </c:pt>
                <c:pt idx="19">
                  <c:v>Comp 20</c:v>
                </c:pt>
                <c:pt idx="20">
                  <c:v>Comp 21</c:v>
                </c:pt>
                <c:pt idx="21">
                  <c:v>Comp 22</c:v>
                </c:pt>
                <c:pt idx="22">
                  <c:v>Comp 23</c:v>
                </c:pt>
                <c:pt idx="23">
                  <c:v>Comp 24</c:v>
                </c:pt>
                <c:pt idx="24">
                  <c:v>Comp 25</c:v>
                </c:pt>
                <c:pt idx="25">
                  <c:v>Comp 26</c:v>
                </c:pt>
                <c:pt idx="26">
                  <c:v>Comp 27</c:v>
                </c:pt>
                <c:pt idx="27">
                  <c:v>Comp 28</c:v>
                </c:pt>
                <c:pt idx="28">
                  <c:v>Comp 29</c:v>
                </c:pt>
                <c:pt idx="29">
                  <c:v>Comp 30</c:v>
                </c:pt>
              </c:strCache>
            </c:strRef>
          </c:cat>
          <c:val>
            <c:numRef>
              <c:f>Growth!GPCREV</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65DF-4E0F-8458-9D2C383D6AEE}"/>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Growth!$AE$8</c:f>
              <c:strCache>
                <c:ptCount val="1"/>
                <c:pt idx="0">
                  <c:v>Median</c:v>
                </c:pt>
              </c:strCache>
            </c:strRef>
          </c:tx>
          <c:spPr>
            <a:ln w="12700" cap="rnd">
              <a:solidFill>
                <a:schemeClr val="accent1">
                  <a:lumMod val="20000"/>
                  <a:lumOff val="80000"/>
                </a:schemeClr>
              </a:solidFill>
              <a:prstDash val="lgDash"/>
              <a:round/>
            </a:ln>
            <a:effectLst/>
          </c:spPr>
          <c:marker>
            <c:symbol val="none"/>
          </c:marker>
          <c:xVal>
            <c:numRef>
              <c:f>Growth!$AE$10:$AE$11</c:f>
              <c:numCache>
                <c:formatCode>0.0%</c:formatCode>
                <c:ptCount val="2"/>
                <c:pt idx="0">
                  <c:v>0</c:v>
                </c:pt>
                <c:pt idx="1">
                  <c:v>0</c:v>
                </c:pt>
              </c:numCache>
            </c:numRef>
          </c:xVal>
          <c:yVal>
            <c:numRef>
              <c:f>Growth!$AF$10:$AF$11</c:f>
              <c:numCache>
                <c:formatCode>General</c:formatCode>
                <c:ptCount val="2"/>
                <c:pt idx="0">
                  <c:v>0</c:v>
                </c:pt>
                <c:pt idx="1">
                  <c:v>1.5</c:v>
                </c:pt>
              </c:numCache>
            </c:numRef>
          </c:yVal>
          <c:smooth val="0"/>
          <c:extLst>
            <c:ext xmlns:c16="http://schemas.microsoft.com/office/drawing/2014/chart" uri="{C3380CC4-5D6E-409C-BE32-E72D297353CC}">
              <c16:uniqueId val="{00000002-65DF-4E0F-8458-9D2C383D6AEE}"/>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0"/>
        <c:axPos val="l"/>
        <c:numFmt formatCode="General"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9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139889882054621"/>
          <c:y val="7.605822710738129E-2"/>
          <c:w val="0.64608520190682783"/>
          <c:h val="0.82053270755908658"/>
        </c:manualLayout>
      </c:layout>
      <c:barChart>
        <c:barDir val="bar"/>
        <c:grouping val="clustered"/>
        <c:varyColors val="0"/>
        <c:ser>
          <c:idx val="0"/>
          <c:order val="1"/>
          <c:tx>
            <c:strRef>
              <c:f>Margins!$I$58</c:f>
              <c:strCache>
                <c:ptCount val="1"/>
                <c:pt idx="0">
                  <c:v>FYE</c:v>
                </c:pt>
              </c:strCache>
            </c:strRef>
          </c:tx>
          <c:spPr>
            <a:solidFill>
              <a:schemeClr val="accent1"/>
            </a:solidFill>
            <a:ln>
              <a:noFill/>
            </a:ln>
            <a:effectLst/>
          </c:spPr>
          <c:invertIfNegative val="0"/>
          <c:cat>
            <c:multiLvlStrRef>
              <c:f>Margins!GPCEBITDALABEL</c:f>
            </c:multiLvlStrRef>
          </c:cat>
          <c:val>
            <c:numRef>
              <c:f>Margins!GPCEBITDAFYE</c:f>
              <c:numCache>
                <c:formatCode>0.0%</c:formatCode>
                <c:ptCount val="10"/>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E5F-41E6-A1B9-CFCF41735807}"/>
            </c:ext>
          </c:extLst>
        </c:ser>
        <c:ser>
          <c:idx val="1"/>
          <c:order val="2"/>
          <c:tx>
            <c:strRef>
              <c:f>Margins!$K$58</c:f>
              <c:strCache>
                <c:ptCount val="1"/>
                <c:pt idx="0">
                  <c:v>FYE + 1</c:v>
                </c:pt>
              </c:strCache>
            </c:strRef>
          </c:tx>
          <c:spPr>
            <a:solidFill>
              <a:schemeClr val="accent2"/>
            </a:solidFill>
            <a:ln>
              <a:noFill/>
            </a:ln>
            <a:effectLst/>
          </c:spPr>
          <c:invertIfNegative val="0"/>
          <c:cat>
            <c:multiLvlStrRef>
              <c:f>Margins!GPCEBITDALABEL</c:f>
            </c:multiLvlStrRef>
          </c:cat>
          <c:val>
            <c:numRef>
              <c:f>Margins!GPCEBITDAFYE1</c:f>
              <c:numCache>
                <c:formatCode>0.0%</c:formatCode>
                <c:ptCount val="31"/>
                <c:pt idx="1">
                  <c:v>0</c:v>
                </c:pt>
                <c:pt idx="2">
                  <c:v>0</c:v>
                </c:pt>
                <c:pt idx="3">
                  <c:v>0</c:v>
                </c:pt>
                <c:pt idx="4">
                  <c:v>0</c:v>
                </c:pt>
                <c:pt idx="5">
                  <c:v>0</c:v>
                </c:pt>
                <c:pt idx="6">
                  <c:v>0</c:v>
                </c:pt>
                <c:pt idx="7">
                  <c:v>0</c:v>
                </c:pt>
                <c:pt idx="8">
                  <c:v>0</c:v>
                </c:pt>
                <c:pt idx="9">
                  <c:v>0</c:v>
                </c:pt>
                <c:pt idx="30">
                  <c:v>0</c:v>
                </c:pt>
              </c:numCache>
            </c:numRef>
          </c:val>
          <c:extLst>
            <c:ext xmlns:c16="http://schemas.microsoft.com/office/drawing/2014/chart" uri="{C3380CC4-5D6E-409C-BE32-E72D297353CC}">
              <c16:uniqueId val="{00000001-3E5F-41E6-A1B9-CFCF41735807}"/>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Margins!$V$57</c:f>
              <c:strCache>
                <c:ptCount val="1"/>
                <c:pt idx="0">
                  <c:v>Median</c:v>
                </c:pt>
              </c:strCache>
            </c:strRef>
          </c:tx>
          <c:spPr>
            <a:ln w="19050" cap="rnd">
              <a:solidFill>
                <a:srgbClr val="7030A0"/>
              </a:solidFill>
              <a:prstDash val="dash"/>
              <a:round/>
            </a:ln>
            <a:effectLst/>
          </c:spPr>
          <c:marker>
            <c:symbol val="none"/>
          </c:marker>
          <c:xVal>
            <c:numRef>
              <c:f>Margins!$V$59:$V$60</c:f>
              <c:numCache>
                <c:formatCode>0.0%</c:formatCode>
                <c:ptCount val="2"/>
                <c:pt idx="0">
                  <c:v>0</c:v>
                </c:pt>
                <c:pt idx="1">
                  <c:v>0</c:v>
                </c:pt>
              </c:numCache>
            </c:numRef>
          </c:xVal>
          <c:yVal>
            <c:numRef>
              <c:f>Margins!$X$59:$X$60</c:f>
              <c:numCache>
                <c:formatCode>General</c:formatCode>
                <c:ptCount val="2"/>
                <c:pt idx="0">
                  <c:v>0</c:v>
                </c:pt>
                <c:pt idx="1">
                  <c:v>1.5</c:v>
                </c:pt>
              </c:numCache>
            </c:numRef>
          </c:yVal>
          <c:smooth val="0"/>
          <c:extLst>
            <c:ext xmlns:c16="http://schemas.microsoft.com/office/drawing/2014/chart" uri="{C3380CC4-5D6E-409C-BE32-E72D297353CC}">
              <c16:uniqueId val="{00000002-3E5F-41E6-A1B9-CFCF41735807}"/>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1"/>
        <c:axPos val="l"/>
        <c:numFmt formatCode="General" sourceLinked="1"/>
        <c:majorTickMark val="out"/>
        <c:minorTickMark val="none"/>
        <c:tickLblPos val="nextTo"/>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solidFill>
            <a:schemeClr val="tx2"/>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139889882054621"/>
          <c:y val="7.605822710738129E-2"/>
          <c:w val="0.64608520190682783"/>
          <c:h val="0.82053270755908658"/>
        </c:manualLayout>
      </c:layout>
      <c:barChart>
        <c:barDir val="bar"/>
        <c:grouping val="clustered"/>
        <c:varyColors val="0"/>
        <c:ser>
          <c:idx val="0"/>
          <c:order val="1"/>
          <c:tx>
            <c:strRef>
              <c:f>Margins!$I$58</c:f>
              <c:strCache>
                <c:ptCount val="1"/>
                <c:pt idx="0">
                  <c:v>FYE</c:v>
                </c:pt>
              </c:strCache>
            </c:strRef>
          </c:tx>
          <c:spPr>
            <a:solidFill>
              <a:schemeClr val="accent1"/>
            </a:solidFill>
            <a:ln>
              <a:noFill/>
            </a:ln>
            <a:effectLst/>
          </c:spPr>
          <c:invertIfNegative val="0"/>
          <c:cat>
            <c:multiLvlStrRef>
              <c:f>Margins!GPCEBITDALABEL</c:f>
            </c:multiLvlStrRef>
          </c:cat>
          <c:val>
            <c:numRef>
              <c:f>Margins!GPCEBITDAFYE</c:f>
              <c:numCache>
                <c:formatCode>0.0%</c:formatCode>
                <c:ptCount val="10"/>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58D-4B25-A772-213AB01A1DA9}"/>
            </c:ext>
          </c:extLst>
        </c:ser>
        <c:ser>
          <c:idx val="1"/>
          <c:order val="2"/>
          <c:tx>
            <c:strRef>
              <c:f>Margins!$K$58</c:f>
              <c:strCache>
                <c:ptCount val="1"/>
                <c:pt idx="0">
                  <c:v>FYE + 1</c:v>
                </c:pt>
              </c:strCache>
            </c:strRef>
          </c:tx>
          <c:spPr>
            <a:solidFill>
              <a:schemeClr val="accent2"/>
            </a:solidFill>
            <a:ln>
              <a:noFill/>
            </a:ln>
            <a:effectLst/>
          </c:spPr>
          <c:invertIfNegative val="0"/>
          <c:cat>
            <c:multiLvlStrRef>
              <c:f>Margins!GPCEBITDALABEL</c:f>
            </c:multiLvlStrRef>
          </c:cat>
          <c:val>
            <c:numRef>
              <c:f>Margins!GPCEBITDAFYE1</c:f>
              <c:numCache>
                <c:formatCode>0.0%</c:formatCode>
                <c:ptCount val="31"/>
                <c:pt idx="1">
                  <c:v>0</c:v>
                </c:pt>
                <c:pt idx="2">
                  <c:v>0</c:v>
                </c:pt>
                <c:pt idx="3">
                  <c:v>0</c:v>
                </c:pt>
                <c:pt idx="4">
                  <c:v>0</c:v>
                </c:pt>
                <c:pt idx="5">
                  <c:v>0</c:v>
                </c:pt>
                <c:pt idx="6">
                  <c:v>0</c:v>
                </c:pt>
                <c:pt idx="7">
                  <c:v>0</c:v>
                </c:pt>
                <c:pt idx="8">
                  <c:v>0</c:v>
                </c:pt>
                <c:pt idx="9">
                  <c:v>0</c:v>
                </c:pt>
                <c:pt idx="30">
                  <c:v>0</c:v>
                </c:pt>
              </c:numCache>
            </c:numRef>
          </c:val>
          <c:extLst>
            <c:ext xmlns:c16="http://schemas.microsoft.com/office/drawing/2014/chart" uri="{C3380CC4-5D6E-409C-BE32-E72D297353CC}">
              <c16:uniqueId val="{00000001-558D-4B25-A772-213AB01A1DA9}"/>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Margins!$V$57</c:f>
              <c:strCache>
                <c:ptCount val="1"/>
                <c:pt idx="0">
                  <c:v>Median</c:v>
                </c:pt>
              </c:strCache>
            </c:strRef>
          </c:tx>
          <c:spPr>
            <a:ln w="19050" cap="rnd">
              <a:solidFill>
                <a:srgbClr val="7030A0"/>
              </a:solidFill>
              <a:prstDash val="dash"/>
              <a:round/>
            </a:ln>
            <a:effectLst/>
          </c:spPr>
          <c:marker>
            <c:symbol val="none"/>
          </c:marker>
          <c:xVal>
            <c:numRef>
              <c:f>Margins!$V$59:$V$60</c:f>
              <c:numCache>
                <c:formatCode>0.0%</c:formatCode>
                <c:ptCount val="2"/>
                <c:pt idx="0">
                  <c:v>0</c:v>
                </c:pt>
                <c:pt idx="1">
                  <c:v>0</c:v>
                </c:pt>
              </c:numCache>
            </c:numRef>
          </c:xVal>
          <c:yVal>
            <c:numRef>
              <c:f>Margins!$X$59:$X$60</c:f>
              <c:numCache>
                <c:formatCode>General</c:formatCode>
                <c:ptCount val="2"/>
                <c:pt idx="0">
                  <c:v>0</c:v>
                </c:pt>
                <c:pt idx="1">
                  <c:v>1.5</c:v>
                </c:pt>
              </c:numCache>
            </c:numRef>
          </c:yVal>
          <c:smooth val="0"/>
          <c:extLst>
            <c:ext xmlns:c16="http://schemas.microsoft.com/office/drawing/2014/chart" uri="{C3380CC4-5D6E-409C-BE32-E72D297353CC}">
              <c16:uniqueId val="{00000002-558D-4B25-A772-213AB01A1DA9}"/>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1"/>
        <c:axPos val="l"/>
        <c:numFmt formatCode="General" sourceLinked="1"/>
        <c:majorTickMark val="out"/>
        <c:minorTickMark val="none"/>
        <c:tickLblPos val="nextTo"/>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solidFill>
            <a:schemeClr val="tx2"/>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WC as a % of revenue (FYE)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'Capex, Dep, WC'!$D$111:$D$117</c:f>
              <c:strCache>
                <c:ptCount val="7"/>
                <c:pt idx="0">
                  <c:v> Comp 1 </c:v>
                </c:pt>
                <c:pt idx="1">
                  <c:v> Comp 2 </c:v>
                </c:pt>
                <c:pt idx="2">
                  <c:v> Comp 3 </c:v>
                </c:pt>
                <c:pt idx="3">
                  <c:v> Comp 4 </c:v>
                </c:pt>
                <c:pt idx="4">
                  <c:v> Comp 5 </c:v>
                </c:pt>
                <c:pt idx="5">
                  <c:v> Comp 6 </c:v>
                </c:pt>
                <c:pt idx="6">
                  <c:v> Comp 7 </c:v>
                </c:pt>
              </c:strCache>
            </c:strRef>
          </c:cat>
          <c:val>
            <c:numRef>
              <c:f>'Capex, Dep, WC'!$I$111:$I$117</c:f>
              <c:numCache>
                <c:formatCode>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371C-4F0C-B7C5-EAC1F3B522FB}"/>
            </c:ext>
          </c:extLst>
        </c:ser>
        <c:dLbls>
          <c:showLegendKey val="0"/>
          <c:showVal val="0"/>
          <c:showCatName val="0"/>
          <c:showSerName val="0"/>
          <c:showPercent val="0"/>
          <c:showBubbleSize val="0"/>
        </c:dLbls>
        <c:gapWidth val="219"/>
        <c:overlap val="-27"/>
        <c:axId val="1731872719"/>
        <c:axId val="1702548431"/>
      </c:barChart>
      <c:catAx>
        <c:axId val="1731872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48431"/>
        <c:crosses val="autoZero"/>
        <c:auto val="1"/>
        <c:lblAlgn val="ctr"/>
        <c:lblOffset val="100"/>
        <c:noMultiLvlLbl val="0"/>
      </c:catAx>
      <c:valAx>
        <c:axId val="17025484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87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2.xml"/><Relationship Id="rId18" Type="http://schemas.microsoft.com/office/2007/relationships/hdphoto" Target="../media/hdphoto1.wdp"/><Relationship Id="rId26" Type="http://schemas.openxmlformats.org/officeDocument/2006/relationships/image" Target="../media/image15.svg"/><Relationship Id="rId3" Type="http://schemas.openxmlformats.org/officeDocument/2006/relationships/chart" Target="../charts/chart16.xml"/><Relationship Id="rId21" Type="http://schemas.openxmlformats.org/officeDocument/2006/relationships/image" Target="../media/image10.png"/><Relationship Id="rId7" Type="http://schemas.openxmlformats.org/officeDocument/2006/relationships/image" Target="../media/image6.emf"/><Relationship Id="rId12" Type="http://schemas.openxmlformats.org/officeDocument/2006/relationships/chart" Target="../charts/chart21.xml"/><Relationship Id="rId17" Type="http://schemas.openxmlformats.org/officeDocument/2006/relationships/image" Target="../media/image8.png"/><Relationship Id="rId25"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chart" Target="../charts/chart24.xml"/><Relationship Id="rId20" Type="http://schemas.microsoft.com/office/2007/relationships/hdphoto" Target="../media/hdphoto2.wdp"/><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20.xml"/><Relationship Id="rId24" Type="http://schemas.openxmlformats.org/officeDocument/2006/relationships/image" Target="../media/image13.svg"/><Relationship Id="rId5" Type="http://schemas.openxmlformats.org/officeDocument/2006/relationships/image" Target="../media/image4.png"/><Relationship Id="rId15" Type="http://schemas.openxmlformats.org/officeDocument/2006/relationships/image" Target="../media/image7.emf"/><Relationship Id="rId23" Type="http://schemas.openxmlformats.org/officeDocument/2006/relationships/image" Target="../media/image12.png"/><Relationship Id="rId28" Type="http://schemas.openxmlformats.org/officeDocument/2006/relationships/image" Target="../media/image17.svg"/><Relationship Id="rId10" Type="http://schemas.openxmlformats.org/officeDocument/2006/relationships/chart" Target="../charts/chart19.xml"/><Relationship Id="rId19" Type="http://schemas.openxmlformats.org/officeDocument/2006/relationships/image" Target="../media/image9.png"/><Relationship Id="rId4" Type="http://schemas.openxmlformats.org/officeDocument/2006/relationships/image" Target="../media/image3.emf"/><Relationship Id="rId9" Type="http://schemas.openxmlformats.org/officeDocument/2006/relationships/chart" Target="../charts/chart18.xml"/><Relationship Id="rId14" Type="http://schemas.openxmlformats.org/officeDocument/2006/relationships/chart" Target="../charts/chart23.xml"/><Relationship Id="rId22" Type="http://schemas.openxmlformats.org/officeDocument/2006/relationships/image" Target="../media/image11.svg"/><Relationship Id="rId27"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1.xml"/></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1</xdr:col>
      <xdr:colOff>175260</xdr:colOff>
      <xdr:row>5</xdr:row>
      <xdr:rowOff>76200</xdr:rowOff>
    </xdr:from>
    <xdr:to>
      <xdr:col>9</xdr:col>
      <xdr:colOff>236220</xdr:colOff>
      <xdr:row>17</xdr:row>
      <xdr:rowOff>53340</xdr:rowOff>
    </xdr:to>
    <xdr:graphicFrame macro="">
      <xdr:nvGraphicFramePr>
        <xdr:cNvPr id="2" name="Chart 1">
          <a:extLst>
            <a:ext uri="{FF2B5EF4-FFF2-40B4-BE49-F238E27FC236}">
              <a16:creationId xmlns:a16="http://schemas.microsoft.com/office/drawing/2014/main" id="{3E2A494C-1CB3-48B6-8882-349B2445E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373380</xdr:colOff>
      <xdr:row>5</xdr:row>
      <xdr:rowOff>60961</xdr:rowOff>
    </xdr:from>
    <xdr:to>
      <xdr:col>16</xdr:col>
      <xdr:colOff>716280</xdr:colOff>
      <xdr:row>17</xdr:row>
      <xdr:rowOff>45721</xdr:rowOff>
    </xdr:to>
    <xdr:graphicFrame macro="">
      <xdr:nvGraphicFramePr>
        <xdr:cNvPr id="3" name="Chart 2">
          <a:extLst>
            <a:ext uri="{FF2B5EF4-FFF2-40B4-BE49-F238E27FC236}">
              <a16:creationId xmlns:a16="http://schemas.microsoft.com/office/drawing/2014/main" id="{711F8A70-2197-4E2B-835C-83AE79CDF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xdr:colOff>
      <xdr:row>28</xdr:row>
      <xdr:rowOff>64770</xdr:rowOff>
    </xdr:from>
    <xdr:to>
      <xdr:col>6</xdr:col>
      <xdr:colOff>182880</xdr:colOff>
      <xdr:row>42</xdr:row>
      <xdr:rowOff>140970</xdr:rowOff>
    </xdr:to>
    <xdr:graphicFrame macro="">
      <xdr:nvGraphicFramePr>
        <xdr:cNvPr id="2" name="Chart 1">
          <a:extLst>
            <a:ext uri="{FF2B5EF4-FFF2-40B4-BE49-F238E27FC236}">
              <a16:creationId xmlns:a16="http://schemas.microsoft.com/office/drawing/2014/main" id="{40C44C29-1437-9695-31B2-457ACEB3D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266700</xdr:colOff>
      <xdr:row>28</xdr:row>
      <xdr:rowOff>64770</xdr:rowOff>
    </xdr:from>
    <xdr:to>
      <xdr:col>13</xdr:col>
      <xdr:colOff>542636</xdr:colOff>
      <xdr:row>42</xdr:row>
      <xdr:rowOff>140970</xdr:rowOff>
    </xdr:to>
    <xdr:graphicFrame macro="">
      <xdr:nvGraphicFramePr>
        <xdr:cNvPr id="3" name="Chart 2">
          <a:extLst>
            <a:ext uri="{FF2B5EF4-FFF2-40B4-BE49-F238E27FC236}">
              <a16:creationId xmlns:a16="http://schemas.microsoft.com/office/drawing/2014/main" id="{E8A6BA79-352C-F512-414B-8D68BA229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255385</xdr:colOff>
      <xdr:row>51</xdr:row>
      <xdr:rowOff>34635</xdr:rowOff>
    </xdr:from>
    <xdr:to>
      <xdr:col>12</xdr:col>
      <xdr:colOff>438265</xdr:colOff>
      <xdr:row>60</xdr:row>
      <xdr:rowOff>23090</xdr:rowOff>
    </xdr:to>
    <xdr:graphicFrame macro="">
      <xdr:nvGraphicFramePr>
        <xdr:cNvPr id="4" name="Chart 3">
          <a:extLst>
            <a:ext uri="{FF2B5EF4-FFF2-40B4-BE49-F238E27FC236}">
              <a16:creationId xmlns:a16="http://schemas.microsoft.com/office/drawing/2014/main" id="{64EEF5F2-12F6-5E20-782F-593C9A20C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123604</xdr:colOff>
      <xdr:row>51</xdr:row>
      <xdr:rowOff>34295</xdr:rowOff>
    </xdr:from>
    <xdr:to>
      <xdr:col>6</xdr:col>
      <xdr:colOff>179635</xdr:colOff>
      <xdr:row>60</xdr:row>
      <xdr:rowOff>23020</xdr:rowOff>
    </xdr:to>
    <xdr:graphicFrame macro="">
      <xdr:nvGraphicFramePr>
        <xdr:cNvPr id="5" name="Chart 4">
          <a:extLst>
            <a:ext uri="{FF2B5EF4-FFF2-40B4-BE49-F238E27FC236}">
              <a16:creationId xmlns:a16="http://schemas.microsoft.com/office/drawing/2014/main" id="{4AAFC05A-324B-4FF6-9D1A-66F343B2F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5602</xdr:colOff>
      <xdr:row>70</xdr:row>
      <xdr:rowOff>62754</xdr:rowOff>
    </xdr:from>
    <xdr:to>
      <xdr:col>13</xdr:col>
      <xdr:colOff>611909</xdr:colOff>
      <xdr:row>81</xdr:row>
      <xdr:rowOff>100854</xdr:rowOff>
    </xdr:to>
    <xdr:graphicFrame macro="">
      <xdr:nvGraphicFramePr>
        <xdr:cNvPr id="8" name="Chart 7">
          <a:extLst>
            <a:ext uri="{FF2B5EF4-FFF2-40B4-BE49-F238E27FC236}">
              <a16:creationId xmlns:a16="http://schemas.microsoft.com/office/drawing/2014/main" id="{2606F36B-8FB1-8D21-A3EB-0E0DD7B13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16808</xdr:colOff>
      <xdr:row>96</xdr:row>
      <xdr:rowOff>44824</xdr:rowOff>
    </xdr:from>
    <xdr:to>
      <xdr:col>7</xdr:col>
      <xdr:colOff>537882</xdr:colOff>
      <xdr:row>106</xdr:row>
      <xdr:rowOff>105336</xdr:rowOff>
    </xdr:to>
    <xdr:graphicFrame macro="">
      <xdr:nvGraphicFramePr>
        <xdr:cNvPr id="9" name="Chart 8">
          <a:extLst>
            <a:ext uri="{FF2B5EF4-FFF2-40B4-BE49-F238E27FC236}">
              <a16:creationId xmlns:a16="http://schemas.microsoft.com/office/drawing/2014/main" id="{E3A89555-DA6C-9E66-D08D-887B03FD5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22411</xdr:colOff>
      <xdr:row>83</xdr:row>
      <xdr:rowOff>0</xdr:rowOff>
    </xdr:from>
    <xdr:to>
      <xdr:col>12</xdr:col>
      <xdr:colOff>565898</xdr:colOff>
      <xdr:row>95</xdr:row>
      <xdr:rowOff>121023</xdr:rowOff>
    </xdr:to>
    <xdr:graphicFrame macro="">
      <xdr:nvGraphicFramePr>
        <xdr:cNvPr id="10" name="Chart 9">
          <a:extLst>
            <a:ext uri="{FF2B5EF4-FFF2-40B4-BE49-F238E27FC236}">
              <a16:creationId xmlns:a16="http://schemas.microsoft.com/office/drawing/2014/main" id="{43CAAF34-D28F-41B5-996E-1B3B8400A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112058</xdr:colOff>
      <xdr:row>7</xdr:row>
      <xdr:rowOff>22411</xdr:rowOff>
    </xdr:from>
    <xdr:to>
      <xdr:col>6</xdr:col>
      <xdr:colOff>560294</xdr:colOff>
      <xdr:row>16</xdr:row>
      <xdr:rowOff>56029</xdr:rowOff>
    </xdr:to>
    <xdr:graphicFrame macro="">
      <xdr:nvGraphicFramePr>
        <xdr:cNvPr id="11" name="Chart 10">
          <a:extLst>
            <a:ext uri="{FF2B5EF4-FFF2-40B4-BE49-F238E27FC236}">
              <a16:creationId xmlns:a16="http://schemas.microsoft.com/office/drawing/2014/main" id="{44F9ABC1-1FE6-3D46-9C8B-C53B7DEF1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168088</xdr:colOff>
      <xdr:row>7</xdr:row>
      <xdr:rowOff>22412</xdr:rowOff>
    </xdr:from>
    <xdr:to>
      <xdr:col>12</xdr:col>
      <xdr:colOff>616324</xdr:colOff>
      <xdr:row>16</xdr:row>
      <xdr:rowOff>56030</xdr:rowOff>
    </xdr:to>
    <xdr:graphicFrame macro="">
      <xdr:nvGraphicFramePr>
        <xdr:cNvPr id="12" name="Chart 11">
          <a:extLst>
            <a:ext uri="{FF2B5EF4-FFF2-40B4-BE49-F238E27FC236}">
              <a16:creationId xmlns:a16="http://schemas.microsoft.com/office/drawing/2014/main" id="{775588D1-865C-4953-AD4C-FF6B8133B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17</xdr:row>
      <xdr:rowOff>0</xdr:rowOff>
    </xdr:from>
    <xdr:to>
      <xdr:col>6</xdr:col>
      <xdr:colOff>448236</xdr:colOff>
      <xdr:row>26</xdr:row>
      <xdr:rowOff>33618</xdr:rowOff>
    </xdr:to>
    <xdr:graphicFrame macro="">
      <xdr:nvGraphicFramePr>
        <xdr:cNvPr id="13" name="Chart 12">
          <a:extLst>
            <a:ext uri="{FF2B5EF4-FFF2-40B4-BE49-F238E27FC236}">
              <a16:creationId xmlns:a16="http://schemas.microsoft.com/office/drawing/2014/main" id="{4F4A48A1-5406-4A7E-96A0-24249736B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56030</xdr:colOff>
      <xdr:row>17</xdr:row>
      <xdr:rowOff>1</xdr:rowOff>
    </xdr:from>
    <xdr:to>
      <xdr:col>12</xdr:col>
      <xdr:colOff>504266</xdr:colOff>
      <xdr:row>26</xdr:row>
      <xdr:rowOff>33619</xdr:rowOff>
    </xdr:to>
    <xdr:graphicFrame macro="">
      <xdr:nvGraphicFramePr>
        <xdr:cNvPr id="14" name="Chart 13">
          <a:extLst>
            <a:ext uri="{FF2B5EF4-FFF2-40B4-BE49-F238E27FC236}">
              <a16:creationId xmlns:a16="http://schemas.microsoft.com/office/drawing/2014/main" id="{013F7C8B-9150-4A5D-8166-E6F55FC23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34636</xdr:colOff>
      <xdr:row>43</xdr:row>
      <xdr:rowOff>8082</xdr:rowOff>
    </xdr:from>
    <xdr:to>
      <xdr:col>12</xdr:col>
      <xdr:colOff>473363</xdr:colOff>
      <xdr:row>50</xdr:row>
      <xdr:rowOff>173182</xdr:rowOff>
    </xdr:to>
    <xdr:graphicFrame macro="">
      <xdr:nvGraphicFramePr>
        <xdr:cNvPr id="6" name="Chart 5">
          <a:extLst>
            <a:ext uri="{FF2B5EF4-FFF2-40B4-BE49-F238E27FC236}">
              <a16:creationId xmlns:a16="http://schemas.microsoft.com/office/drawing/2014/main" id="{7F7F93AE-649D-82BE-8BEA-149EE7201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132773</xdr:colOff>
      <xdr:row>60</xdr:row>
      <xdr:rowOff>60036</xdr:rowOff>
    </xdr:from>
    <xdr:to>
      <xdr:col>12</xdr:col>
      <xdr:colOff>381000</xdr:colOff>
      <xdr:row>68</xdr:row>
      <xdr:rowOff>138546</xdr:rowOff>
    </xdr:to>
    <xdr:graphicFrame macro="">
      <xdr:nvGraphicFramePr>
        <xdr:cNvPr id="7" name="Chart 6">
          <a:extLst>
            <a:ext uri="{FF2B5EF4-FFF2-40B4-BE49-F238E27FC236}">
              <a16:creationId xmlns:a16="http://schemas.microsoft.com/office/drawing/2014/main" id="{1849C92D-A09C-3B4F-11D1-5D8D8C67A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10888</xdr:colOff>
      <xdr:row>1</xdr:row>
      <xdr:rowOff>163284</xdr:rowOff>
    </xdr:from>
    <xdr:to>
      <xdr:col>4</xdr:col>
      <xdr:colOff>3062112</xdr:colOff>
      <xdr:row>45</xdr:row>
      <xdr:rowOff>163285</xdr:rowOff>
    </xdr:to>
    <xdr:grpSp>
      <xdr:nvGrpSpPr>
        <xdr:cNvPr id="35" name="Group 34">
          <a:extLst>
            <a:ext uri="{FF2B5EF4-FFF2-40B4-BE49-F238E27FC236}">
              <a16:creationId xmlns:a16="http://schemas.microsoft.com/office/drawing/2014/main" id="{F216DD71-6391-BB1D-BD8D-B5BE3969D33B}"/>
            </a:ext>
          </a:extLst>
        </xdr:cNvPr>
        <xdr:cNvGrpSpPr/>
      </xdr:nvGrpSpPr>
      <xdr:grpSpPr>
        <a:xfrm>
          <a:off x="495797" y="319148"/>
          <a:ext cx="9164542" cy="7273637"/>
          <a:chOff x="-45718" y="-5516"/>
          <a:chExt cx="8854437" cy="6863516"/>
        </a:xfrm>
      </xdr:grpSpPr>
      <xdr:grpSp>
        <xdr:nvGrpSpPr>
          <xdr:cNvPr id="36" name="Group 35">
            <a:extLst>
              <a:ext uri="{FF2B5EF4-FFF2-40B4-BE49-F238E27FC236}">
                <a16:creationId xmlns:a16="http://schemas.microsoft.com/office/drawing/2014/main" id="{AB9CD257-40E4-EB5E-6089-7F11D3B39A17}"/>
              </a:ext>
            </a:extLst>
          </xdr:cNvPr>
          <xdr:cNvGrpSpPr/>
        </xdr:nvGrpSpPr>
        <xdr:grpSpPr>
          <a:xfrm>
            <a:off x="-45718" y="0"/>
            <a:ext cx="8854437" cy="6858000"/>
            <a:chOff x="1" y="0"/>
            <a:chExt cx="8854437" cy="6858000"/>
          </a:xfrm>
        </xdr:grpSpPr>
        <xdr:pic>
          <xdr:nvPicPr>
            <xdr:cNvPr id="45" name="Picture 44" descr="Circle PNG transparent image download, size: 1890x1890px">
              <a:extLst>
                <a:ext uri="{FF2B5EF4-FFF2-40B4-BE49-F238E27FC236}">
                  <a16:creationId xmlns:a16="http://schemas.microsoft.com/office/drawing/2014/main" id="{9B529E71-ADE0-CC63-E922-E15DD945575B}"/>
                </a:ext>
              </a:extLst>
            </xdr:cNvPr>
            <xdr:cNvPicPr>
              <a:picLocks noChangeAspect="1" noChangeArrowheads="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37303" t="22195" r="8713" b="33894"/>
            <a:stretch/>
          </xdr:blipFill>
          <xdr:spPr bwMode="auto">
            <a:xfrm>
              <a:off x="45719" y="0"/>
              <a:ext cx="8808719" cy="6858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 name="Picture 45" descr="Circle PNG transparent image download, size: 1890x1890px">
              <a:extLst>
                <a:ext uri="{FF2B5EF4-FFF2-40B4-BE49-F238E27FC236}">
                  <a16:creationId xmlns:a16="http://schemas.microsoft.com/office/drawing/2014/main" id="{5F056582-C6E2-4A8E-90E6-8F610306B139}"/>
                </a:ext>
              </a:extLst>
            </xdr:cNvPr>
            <xdr:cNvPicPr>
              <a:picLocks noChangeAspect="1" noChangeArrowheads="1"/>
            </xdr:cNvPicPr>
          </xdr:nvPicPr>
          <xdr:blipFill rotWithShape="1">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rcRect l="34594" t="22195" r="8713" b="22065"/>
            <a:stretch/>
          </xdr:blipFill>
          <xdr:spPr bwMode="auto">
            <a:xfrm>
              <a:off x="1" y="0"/>
              <a:ext cx="8519158" cy="68580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37" name="Picture 36" descr="Circle PNG transparent image download, size: 1890x1890px">
            <a:extLst>
              <a:ext uri="{FF2B5EF4-FFF2-40B4-BE49-F238E27FC236}">
                <a16:creationId xmlns:a16="http://schemas.microsoft.com/office/drawing/2014/main" id="{22010847-0FFD-FF4C-DCD6-E1666C01580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2002" t="24292" r="8123" b="16260"/>
          <a:stretch/>
        </xdr:blipFill>
        <xdr:spPr bwMode="auto">
          <a:xfrm>
            <a:off x="-45718" y="-5516"/>
            <a:ext cx="8183877" cy="686351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4441372</xdr:colOff>
      <xdr:row>100</xdr:row>
      <xdr:rowOff>21770</xdr:rowOff>
    </xdr:from>
    <xdr:to>
      <xdr:col>6</xdr:col>
      <xdr:colOff>2</xdr:colOff>
      <xdr:row>140</xdr:row>
      <xdr:rowOff>2128</xdr:rowOff>
    </xdr:to>
    <xdr:grpSp>
      <xdr:nvGrpSpPr>
        <xdr:cNvPr id="38" name="Group 37">
          <a:extLst>
            <a:ext uri="{FF2B5EF4-FFF2-40B4-BE49-F238E27FC236}">
              <a16:creationId xmlns:a16="http://schemas.microsoft.com/office/drawing/2014/main" id="{B3AD8E91-3E9C-AD7B-F110-1303DC55B7E7}"/>
            </a:ext>
          </a:extLst>
        </xdr:cNvPr>
        <xdr:cNvGrpSpPr/>
      </xdr:nvGrpSpPr>
      <xdr:grpSpPr>
        <a:xfrm>
          <a:off x="5064827" y="17565088"/>
          <a:ext cx="7456220" cy="6907631"/>
          <a:chOff x="4898570" y="999356"/>
          <a:chExt cx="7293430" cy="5858644"/>
        </a:xfrm>
      </xdr:grpSpPr>
      <xdr:pic>
        <xdr:nvPicPr>
          <xdr:cNvPr id="39" name="Picture 38" descr="Circle PNG transparent image download, size: 1890x1890px">
            <a:extLst>
              <a:ext uri="{FF2B5EF4-FFF2-40B4-BE49-F238E27FC236}">
                <a16:creationId xmlns:a16="http://schemas.microsoft.com/office/drawing/2014/main" id="{CBE09E7A-DB52-8BC3-552B-86685B5172D4}"/>
              </a:ext>
            </a:extLst>
          </xdr:cNvPr>
          <xdr:cNvPicPr>
            <a:picLocks noChangeAspect="1" noChangeArrowheads="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9003" t="8844" r="52766" b="50192"/>
          <a:stretch/>
        </xdr:blipFill>
        <xdr:spPr bwMode="auto">
          <a:xfrm>
            <a:off x="4898570" y="999356"/>
            <a:ext cx="7293429" cy="585864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39" descr="Circle PNG transparent image download, size: 1890x1890px">
            <a:extLst>
              <a:ext uri="{FF2B5EF4-FFF2-40B4-BE49-F238E27FC236}">
                <a16:creationId xmlns:a16="http://schemas.microsoft.com/office/drawing/2014/main" id="{2F992487-2266-D05B-BBD9-1ABDA1D53191}"/>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003" t="8844" r="52766" b="50192"/>
          <a:stretch/>
        </xdr:blipFill>
        <xdr:spPr bwMode="auto">
          <a:xfrm>
            <a:off x="5355771" y="999356"/>
            <a:ext cx="6836229" cy="585864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xdr:col>
      <xdr:colOff>3145971</xdr:colOff>
      <xdr:row>63</xdr:row>
      <xdr:rowOff>98075</xdr:rowOff>
    </xdr:from>
    <xdr:to>
      <xdr:col>5</xdr:col>
      <xdr:colOff>0</xdr:colOff>
      <xdr:row>92</xdr:row>
      <xdr:rowOff>159243</xdr:rowOff>
    </xdr:to>
    <xdr:pic>
      <xdr:nvPicPr>
        <xdr:cNvPr id="34" name="Picture 33">
          <a:extLst>
            <a:ext uri="{FF2B5EF4-FFF2-40B4-BE49-F238E27FC236}">
              <a16:creationId xmlns:a16="http://schemas.microsoft.com/office/drawing/2014/main" id="{B25356AF-DC44-4C7D-C38C-E1739BD2A583}"/>
            </a:ext>
          </a:extLst>
        </xdr:cNvPr>
        <xdr:cNvPicPr>
          <a:picLocks noChangeAspect="1"/>
        </xdr:cNvPicPr>
      </xdr:nvPicPr>
      <xdr:blipFill rotWithShape="1">
        <a:blip xmlns:r="http://schemas.openxmlformats.org/officeDocument/2006/relationships" r:embed="rId2"/>
        <a:srcRect t="-1" r="36470" b="50179"/>
        <a:stretch/>
      </xdr:blipFill>
      <xdr:spPr>
        <a:xfrm>
          <a:off x="3766457" y="3222275"/>
          <a:ext cx="8360229" cy="5112139"/>
        </a:xfrm>
        <a:prstGeom prst="rect">
          <a:avLst/>
        </a:prstGeom>
      </xdr:spPr>
    </xdr:pic>
    <xdr:clientData/>
  </xdr:twoCellAnchor>
  <xdr:twoCellAnchor>
    <xdr:from>
      <xdr:col>4</xdr:col>
      <xdr:colOff>38583</xdr:colOff>
      <xdr:row>148</xdr:row>
      <xdr:rowOff>5</xdr:rowOff>
    </xdr:from>
    <xdr:to>
      <xdr:col>4</xdr:col>
      <xdr:colOff>5430456</xdr:colOff>
      <xdr:row>158</xdr:row>
      <xdr:rowOff>112103</xdr:rowOff>
    </xdr:to>
    <xdr:graphicFrame macro="">
      <xdr:nvGraphicFramePr>
        <xdr:cNvPr id="3" name="Chart 2">
          <a:extLst>
            <a:ext uri="{FF2B5EF4-FFF2-40B4-BE49-F238E27FC236}">
              <a16:creationId xmlns:a16="http://schemas.microsoft.com/office/drawing/2014/main" id="{2131A828-0A05-4014-9027-4CBA01DF9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7620</xdr:colOff>
          <xdr:row>161</xdr:row>
          <xdr:rowOff>79768</xdr:rowOff>
        </xdr:from>
        <xdr:to>
          <xdr:col>4</xdr:col>
          <xdr:colOff>5478839</xdr:colOff>
          <xdr:row>168</xdr:row>
          <xdr:rowOff>107388</xdr:rowOff>
        </xdr:to>
        <xdr:pic>
          <xdr:nvPicPr>
            <xdr:cNvPr id="5" name="Picture 4">
              <a:extLst>
                <a:ext uri="{FF2B5EF4-FFF2-40B4-BE49-F238E27FC236}">
                  <a16:creationId xmlns:a16="http://schemas.microsoft.com/office/drawing/2014/main" id="{9702DF71-1A0B-FCCE-1847-1465A811646F}"/>
                </a:ext>
              </a:extLst>
            </xdr:cNvPr>
            <xdr:cNvPicPr>
              <a:picLocks noChangeAspect="1" noChangeArrowheads="1"/>
              <a:extLst>
                <a:ext uri="{84589F7E-364E-4C9E-8A38-B11213B215E9}">
                  <a14:cameraTool cellRange="ValSum!$B$67:$F$76" spid="_x0000_s946877"/>
                </a:ext>
              </a:extLst>
            </xdr:cNvPicPr>
          </xdr:nvPicPr>
          <xdr:blipFill>
            <a:blip xmlns:r="http://schemas.openxmlformats.org/officeDocument/2006/relationships" r:embed="rId4"/>
            <a:srcRect/>
            <a:stretch>
              <a:fillRect/>
            </a:stretch>
          </xdr:blipFill>
          <xdr:spPr bwMode="auto">
            <a:xfrm>
              <a:off x="6209721" y="11461540"/>
              <a:ext cx="5471064" cy="1245443"/>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4</xdr:col>
      <xdr:colOff>4912881</xdr:colOff>
      <xdr:row>49</xdr:row>
      <xdr:rowOff>48228</xdr:rowOff>
    </xdr:from>
    <xdr:to>
      <xdr:col>4</xdr:col>
      <xdr:colOff>5566796</xdr:colOff>
      <xdr:row>51</xdr:row>
      <xdr:rowOff>76422</xdr:rowOff>
    </xdr:to>
    <xdr:pic>
      <xdr:nvPicPr>
        <xdr:cNvPr id="2" name="Graphic 1">
          <a:extLst>
            <a:ext uri="{FF2B5EF4-FFF2-40B4-BE49-F238E27FC236}">
              <a16:creationId xmlns:a16="http://schemas.microsoft.com/office/drawing/2014/main" id="{8206F316-2910-4B0B-6ABF-1DA0EFA4AF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9267" y="377273"/>
          <a:ext cx="663618" cy="764217"/>
        </a:xfrm>
        <a:prstGeom prst="rect">
          <a:avLst/>
        </a:prstGeom>
      </xdr:spPr>
    </xdr:pic>
    <xdr:clientData/>
  </xdr:twoCellAnchor>
  <xdr:twoCellAnchor editAs="oneCell">
    <xdr:from>
      <xdr:col>4</xdr:col>
      <xdr:colOff>4915843</xdr:colOff>
      <xdr:row>96</xdr:row>
      <xdr:rowOff>9646</xdr:rowOff>
    </xdr:from>
    <xdr:to>
      <xdr:col>4</xdr:col>
      <xdr:colOff>5569758</xdr:colOff>
      <xdr:row>98</xdr:row>
      <xdr:rowOff>17034</xdr:rowOff>
    </xdr:to>
    <xdr:pic>
      <xdr:nvPicPr>
        <xdr:cNvPr id="4" name="Graphic 3">
          <a:extLst>
            <a:ext uri="{FF2B5EF4-FFF2-40B4-BE49-F238E27FC236}">
              <a16:creationId xmlns:a16="http://schemas.microsoft.com/office/drawing/2014/main" id="{978FD7D8-1AB6-47B5-8BCA-9A3BB1117A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2229" y="6573237"/>
          <a:ext cx="663618" cy="763450"/>
        </a:xfrm>
        <a:prstGeom prst="rect">
          <a:avLst/>
        </a:prstGeom>
      </xdr:spPr>
    </xdr:pic>
    <xdr:clientData/>
  </xdr:twoCellAnchor>
  <xdr:twoCellAnchor editAs="oneCell">
    <xdr:from>
      <xdr:col>4</xdr:col>
      <xdr:colOff>4912381</xdr:colOff>
      <xdr:row>142</xdr:row>
      <xdr:rowOff>153389</xdr:rowOff>
    </xdr:from>
    <xdr:to>
      <xdr:col>4</xdr:col>
      <xdr:colOff>5566296</xdr:colOff>
      <xdr:row>145</xdr:row>
      <xdr:rowOff>2155</xdr:rowOff>
    </xdr:to>
    <xdr:pic>
      <xdr:nvPicPr>
        <xdr:cNvPr id="7" name="Graphic 6">
          <a:extLst>
            <a:ext uri="{FF2B5EF4-FFF2-40B4-BE49-F238E27FC236}">
              <a16:creationId xmlns:a16="http://schemas.microsoft.com/office/drawing/2014/main" id="{F664A203-08B6-484D-8100-984C04F653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8767" y="11488139"/>
          <a:ext cx="663618" cy="763450"/>
        </a:xfrm>
        <a:prstGeom prst="rect">
          <a:avLst/>
        </a:prstGeom>
      </xdr:spPr>
    </xdr:pic>
    <xdr:clientData/>
  </xdr:twoCellAnchor>
  <xdr:twoCellAnchor editAs="oneCell">
    <xdr:from>
      <xdr:col>4</xdr:col>
      <xdr:colOff>4908919</xdr:colOff>
      <xdr:row>190</xdr:row>
      <xdr:rowOff>20045</xdr:rowOff>
    </xdr:from>
    <xdr:to>
      <xdr:col>4</xdr:col>
      <xdr:colOff>5569184</xdr:colOff>
      <xdr:row>192</xdr:row>
      <xdr:rowOff>36584</xdr:rowOff>
    </xdr:to>
    <xdr:pic>
      <xdr:nvPicPr>
        <xdr:cNvPr id="8" name="Graphic 7">
          <a:extLst>
            <a:ext uri="{FF2B5EF4-FFF2-40B4-BE49-F238E27FC236}">
              <a16:creationId xmlns:a16="http://schemas.microsoft.com/office/drawing/2014/main" id="{1BBE3E5B-2812-4F94-AB32-8CD1E46CC1E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5305" y="19225909"/>
          <a:ext cx="663618" cy="763450"/>
        </a:xfrm>
        <a:prstGeom prst="rect">
          <a:avLst/>
        </a:prstGeom>
      </xdr:spPr>
    </xdr:pic>
    <xdr:clientData/>
  </xdr:twoCellAnchor>
  <xdr:twoCellAnchor editAs="oneCell">
    <xdr:from>
      <xdr:col>4</xdr:col>
      <xdr:colOff>4909756</xdr:colOff>
      <xdr:row>238</xdr:row>
      <xdr:rowOff>16127</xdr:rowOff>
    </xdr:from>
    <xdr:to>
      <xdr:col>4</xdr:col>
      <xdr:colOff>5570021</xdr:colOff>
      <xdr:row>240</xdr:row>
      <xdr:rowOff>32668</xdr:rowOff>
    </xdr:to>
    <xdr:pic>
      <xdr:nvPicPr>
        <xdr:cNvPr id="9" name="Graphic 8">
          <a:extLst>
            <a:ext uri="{FF2B5EF4-FFF2-40B4-BE49-F238E27FC236}">
              <a16:creationId xmlns:a16="http://schemas.microsoft.com/office/drawing/2014/main" id="{362FBFA3-610D-4CA1-82F7-7E23BB5C4C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27079417"/>
          <a:ext cx="660265" cy="77713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15240</xdr:colOff>
          <xdr:row>248</xdr:row>
          <xdr:rowOff>22368</xdr:rowOff>
        </xdr:from>
        <xdr:to>
          <xdr:col>4</xdr:col>
          <xdr:colOff>5423218</xdr:colOff>
          <xdr:row>258</xdr:row>
          <xdr:rowOff>149551</xdr:rowOff>
        </xdr:to>
        <xdr:pic>
          <xdr:nvPicPr>
            <xdr:cNvPr id="10" name="Picture 9">
              <a:extLst>
                <a:ext uri="{FF2B5EF4-FFF2-40B4-BE49-F238E27FC236}">
                  <a16:creationId xmlns:a16="http://schemas.microsoft.com/office/drawing/2014/main" id="{127CC2B9-8D3B-5CCE-627F-06F452E362B1}"/>
                </a:ext>
              </a:extLst>
            </xdr:cNvPr>
            <xdr:cNvPicPr>
              <a:picLocks noChangeAspect="1" noChangeArrowheads="1"/>
              <a:extLst>
                <a:ext uri="{84589F7E-364E-4C9E-8A38-B11213B215E9}">
                  <a14:cameraTool cellRange="Sensitivities!$B$3:$S$14" spid="_x0000_s946878"/>
                </a:ext>
              </a:extLst>
            </xdr:cNvPicPr>
          </xdr:nvPicPr>
          <xdr:blipFill>
            <a:blip xmlns:r="http://schemas.openxmlformats.org/officeDocument/2006/relationships" r:embed="rId7"/>
            <a:srcRect/>
            <a:stretch>
              <a:fillRect/>
            </a:stretch>
          </xdr:blipFill>
          <xdr:spPr bwMode="auto">
            <a:xfrm>
              <a:off x="715788" y="29211884"/>
              <a:ext cx="11254986" cy="1965467"/>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oneCellAnchor>
    <xdr:from>
      <xdr:col>4</xdr:col>
      <xdr:colOff>4909756</xdr:colOff>
      <xdr:row>285</xdr:row>
      <xdr:rowOff>16127</xdr:rowOff>
    </xdr:from>
    <xdr:ext cx="660265" cy="777137"/>
    <xdr:pic>
      <xdr:nvPicPr>
        <xdr:cNvPr id="11" name="Graphic 10">
          <a:extLst>
            <a:ext uri="{FF2B5EF4-FFF2-40B4-BE49-F238E27FC236}">
              <a16:creationId xmlns:a16="http://schemas.microsoft.com/office/drawing/2014/main" id="{D53F9E58-80F3-47A4-90CE-419D82C70A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27079417"/>
          <a:ext cx="660265" cy="777137"/>
        </a:xfrm>
        <a:prstGeom prst="rect">
          <a:avLst/>
        </a:prstGeom>
      </xdr:spPr>
    </xdr:pic>
    <xdr:clientData/>
  </xdr:oneCellAnchor>
  <xdr:twoCellAnchor>
    <xdr:from>
      <xdr:col>4</xdr:col>
      <xdr:colOff>24580</xdr:colOff>
      <xdr:row>290</xdr:row>
      <xdr:rowOff>86033</xdr:rowOff>
    </xdr:from>
    <xdr:to>
      <xdr:col>4</xdr:col>
      <xdr:colOff>5444614</xdr:colOff>
      <xdr:row>308</xdr:row>
      <xdr:rowOff>135193</xdr:rowOff>
    </xdr:to>
    <xdr:graphicFrame macro="">
      <xdr:nvGraphicFramePr>
        <xdr:cNvPr id="13" name="Chart 12">
          <a:extLst>
            <a:ext uri="{FF2B5EF4-FFF2-40B4-BE49-F238E27FC236}">
              <a16:creationId xmlns:a16="http://schemas.microsoft.com/office/drawing/2014/main" id="{FE153E53-32BA-423F-9C55-097006555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159775</xdr:colOff>
      <xdr:row>299</xdr:row>
      <xdr:rowOff>102993</xdr:rowOff>
    </xdr:from>
    <xdr:to>
      <xdr:col>3</xdr:col>
      <xdr:colOff>12290</xdr:colOff>
      <xdr:row>309</xdr:row>
      <xdr:rowOff>12291</xdr:rowOff>
    </xdr:to>
    <xdr:graphicFrame macro="">
      <xdr:nvGraphicFramePr>
        <xdr:cNvPr id="14" name="Chart 13">
          <a:extLst>
            <a:ext uri="{FF2B5EF4-FFF2-40B4-BE49-F238E27FC236}">
              <a16:creationId xmlns:a16="http://schemas.microsoft.com/office/drawing/2014/main" id="{333543CE-889E-4D19-8E26-80956B859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159774</xdr:colOff>
      <xdr:row>290</xdr:row>
      <xdr:rowOff>122903</xdr:rowOff>
    </xdr:from>
    <xdr:to>
      <xdr:col>3</xdr:col>
      <xdr:colOff>12290</xdr:colOff>
      <xdr:row>299</xdr:row>
      <xdr:rowOff>73742</xdr:rowOff>
    </xdr:to>
    <xdr:graphicFrame macro="">
      <xdr:nvGraphicFramePr>
        <xdr:cNvPr id="15" name="Chart 14">
          <a:extLst>
            <a:ext uri="{FF2B5EF4-FFF2-40B4-BE49-F238E27FC236}">
              <a16:creationId xmlns:a16="http://schemas.microsoft.com/office/drawing/2014/main" id="{FE37D5F6-00BE-4D38-8D05-C7FADAB23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4</xdr:col>
      <xdr:colOff>4909756</xdr:colOff>
      <xdr:row>332</xdr:row>
      <xdr:rowOff>16127</xdr:rowOff>
    </xdr:from>
    <xdr:ext cx="660265" cy="777137"/>
    <xdr:pic>
      <xdr:nvPicPr>
        <xdr:cNvPr id="16" name="Graphic 15">
          <a:extLst>
            <a:ext uri="{FF2B5EF4-FFF2-40B4-BE49-F238E27FC236}">
              <a16:creationId xmlns:a16="http://schemas.microsoft.com/office/drawing/2014/main" id="{AB950275-EEA8-4951-B2F7-E62D1279E6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33703901"/>
          <a:ext cx="660265" cy="777137"/>
        </a:xfrm>
        <a:prstGeom prst="rect">
          <a:avLst/>
        </a:prstGeom>
      </xdr:spPr>
    </xdr:pic>
    <xdr:clientData/>
  </xdr:oneCellAnchor>
  <xdr:twoCellAnchor>
    <xdr:from>
      <xdr:col>4</xdr:col>
      <xdr:colOff>24581</xdr:colOff>
      <xdr:row>337</xdr:row>
      <xdr:rowOff>36871</xdr:rowOff>
    </xdr:from>
    <xdr:to>
      <xdr:col>4</xdr:col>
      <xdr:colOff>5432322</xdr:colOff>
      <xdr:row>352</xdr:row>
      <xdr:rowOff>49160</xdr:rowOff>
    </xdr:to>
    <xdr:graphicFrame macro="">
      <xdr:nvGraphicFramePr>
        <xdr:cNvPr id="20" name="Chart 19">
          <a:extLst>
            <a:ext uri="{FF2B5EF4-FFF2-40B4-BE49-F238E27FC236}">
              <a16:creationId xmlns:a16="http://schemas.microsoft.com/office/drawing/2014/main" id="{3D5C7C7C-1C00-45A0-898C-8984254C1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208935</xdr:colOff>
      <xdr:row>337</xdr:row>
      <xdr:rowOff>73741</xdr:rowOff>
    </xdr:from>
    <xdr:to>
      <xdr:col>3</xdr:col>
      <xdr:colOff>12290</xdr:colOff>
      <xdr:row>352</xdr:row>
      <xdr:rowOff>122902</xdr:rowOff>
    </xdr:to>
    <xdr:graphicFrame macro="">
      <xdr:nvGraphicFramePr>
        <xdr:cNvPr id="21" name="Chart 20">
          <a:extLst>
            <a:ext uri="{FF2B5EF4-FFF2-40B4-BE49-F238E27FC236}">
              <a16:creationId xmlns:a16="http://schemas.microsoft.com/office/drawing/2014/main" id="{9373724B-F19C-4756-87D4-A5C895536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xdr:col>
      <xdr:colOff>4909756</xdr:colOff>
      <xdr:row>379</xdr:row>
      <xdr:rowOff>16127</xdr:rowOff>
    </xdr:from>
    <xdr:ext cx="660265" cy="777137"/>
    <xdr:pic>
      <xdr:nvPicPr>
        <xdr:cNvPr id="22" name="Graphic 21">
          <a:extLst>
            <a:ext uri="{FF2B5EF4-FFF2-40B4-BE49-F238E27FC236}">
              <a16:creationId xmlns:a16="http://schemas.microsoft.com/office/drawing/2014/main" id="{29C82028-EF99-4970-89AF-5CA67EB9343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40697095"/>
          <a:ext cx="660265" cy="777137"/>
        </a:xfrm>
        <a:prstGeom prst="rect">
          <a:avLst/>
        </a:prstGeom>
      </xdr:spPr>
    </xdr:pic>
    <xdr:clientData/>
  </xdr:oneCellAnchor>
  <xdr:twoCellAnchor>
    <xdr:from>
      <xdr:col>2</xdr:col>
      <xdr:colOff>12290</xdr:colOff>
      <xdr:row>384</xdr:row>
      <xdr:rowOff>73742</xdr:rowOff>
    </xdr:from>
    <xdr:to>
      <xdr:col>3</xdr:col>
      <xdr:colOff>0</xdr:colOff>
      <xdr:row>403</xdr:row>
      <xdr:rowOff>0</xdr:rowOff>
    </xdr:to>
    <xdr:graphicFrame macro="">
      <xdr:nvGraphicFramePr>
        <xdr:cNvPr id="25" name="Chart 24">
          <a:extLst>
            <a:ext uri="{FF2B5EF4-FFF2-40B4-BE49-F238E27FC236}">
              <a16:creationId xmlns:a16="http://schemas.microsoft.com/office/drawing/2014/main" id="{8F40706D-DCB6-4483-8592-178089625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xdr:colOff>
      <xdr:row>384</xdr:row>
      <xdr:rowOff>73741</xdr:rowOff>
    </xdr:from>
    <xdr:to>
      <xdr:col>4</xdr:col>
      <xdr:colOff>5469192</xdr:colOff>
      <xdr:row>402</xdr:row>
      <xdr:rowOff>147483</xdr:rowOff>
    </xdr:to>
    <xdr:graphicFrame macro="">
      <xdr:nvGraphicFramePr>
        <xdr:cNvPr id="26" name="Chart 25">
          <a:extLst>
            <a:ext uri="{FF2B5EF4-FFF2-40B4-BE49-F238E27FC236}">
              <a16:creationId xmlns:a16="http://schemas.microsoft.com/office/drawing/2014/main" id="{659008C3-A568-434D-9519-B2DDAAAD2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xdr:col>
      <xdr:colOff>4909756</xdr:colOff>
      <xdr:row>426</xdr:row>
      <xdr:rowOff>16127</xdr:rowOff>
    </xdr:from>
    <xdr:ext cx="660265" cy="777137"/>
    <xdr:pic>
      <xdr:nvPicPr>
        <xdr:cNvPr id="27" name="Graphic 26">
          <a:extLst>
            <a:ext uri="{FF2B5EF4-FFF2-40B4-BE49-F238E27FC236}">
              <a16:creationId xmlns:a16="http://schemas.microsoft.com/office/drawing/2014/main" id="{AAA1530B-65AA-4CB2-90CD-420566C102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47690288"/>
          <a:ext cx="660265" cy="777137"/>
        </a:xfrm>
        <a:prstGeom prst="rect">
          <a:avLst/>
        </a:prstGeom>
      </xdr:spPr>
    </xdr:pic>
    <xdr:clientData/>
  </xdr:oneCellAnchor>
  <xdr:oneCellAnchor>
    <xdr:from>
      <xdr:col>4</xdr:col>
      <xdr:colOff>4909756</xdr:colOff>
      <xdr:row>473</xdr:row>
      <xdr:rowOff>16127</xdr:rowOff>
    </xdr:from>
    <xdr:ext cx="660265" cy="777137"/>
    <xdr:pic>
      <xdr:nvPicPr>
        <xdr:cNvPr id="30" name="Graphic 29">
          <a:extLst>
            <a:ext uri="{FF2B5EF4-FFF2-40B4-BE49-F238E27FC236}">
              <a16:creationId xmlns:a16="http://schemas.microsoft.com/office/drawing/2014/main" id="{02B1F306-C01B-424B-B5FD-259A1A9E06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54683482"/>
          <a:ext cx="660265" cy="777137"/>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518160</xdr:colOff>
          <xdr:row>478</xdr:row>
          <xdr:rowOff>45717</xdr:rowOff>
        </xdr:from>
        <xdr:to>
          <xdr:col>4</xdr:col>
          <xdr:colOff>5533670</xdr:colOff>
          <xdr:row>487</xdr:row>
          <xdr:rowOff>6874</xdr:rowOff>
        </xdr:to>
        <xdr:pic>
          <xdr:nvPicPr>
            <xdr:cNvPr id="31" name="Picture 30">
              <a:extLst>
                <a:ext uri="{FF2B5EF4-FFF2-40B4-BE49-F238E27FC236}">
                  <a16:creationId xmlns:a16="http://schemas.microsoft.com/office/drawing/2014/main" id="{7B8E8A8F-E232-17C6-6E3A-232F5290CE43}"/>
                </a:ext>
              </a:extLst>
            </xdr:cNvPr>
            <xdr:cNvPicPr>
              <a:picLocks noChangeAspect="1" noChangeArrowheads="1"/>
              <a:extLst>
                <a:ext uri="{84589F7E-364E-4C9E-8A38-B11213B215E9}">
                  <a14:cameraTool cellRange="ReportData!$O$19:$R$25" spid="_x0000_s946879"/>
                </a:ext>
              </a:extLst>
            </xdr:cNvPicPr>
          </xdr:nvPicPr>
          <xdr:blipFill>
            <a:blip xmlns:r="http://schemas.openxmlformats.org/officeDocument/2006/relationships" r:embed="rId15"/>
            <a:srcRect/>
            <a:stretch>
              <a:fillRect/>
            </a:stretch>
          </xdr:blipFill>
          <xdr:spPr bwMode="auto">
            <a:xfrm>
              <a:off x="6990456" y="71109273"/>
              <a:ext cx="5015510" cy="1583126"/>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xdr:from>
      <xdr:col>2</xdr:col>
      <xdr:colOff>36871</xdr:colOff>
      <xdr:row>477</xdr:row>
      <xdr:rowOff>178584</xdr:rowOff>
    </xdr:from>
    <xdr:to>
      <xdr:col>3</xdr:col>
      <xdr:colOff>147483</xdr:colOff>
      <xdr:row>488</xdr:row>
      <xdr:rowOff>35772</xdr:rowOff>
    </xdr:to>
    <xdr:graphicFrame macro="">
      <xdr:nvGraphicFramePr>
        <xdr:cNvPr id="32" name="Chart 31">
          <a:extLst>
            <a:ext uri="{FF2B5EF4-FFF2-40B4-BE49-F238E27FC236}">
              <a16:creationId xmlns:a16="http://schemas.microsoft.com/office/drawing/2014/main" id="{4D4DD03C-42E2-41D9-8D1D-9C848C8A6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2</xdr:col>
      <xdr:colOff>56444</xdr:colOff>
      <xdr:row>243</xdr:row>
      <xdr:rowOff>28223</xdr:rowOff>
    </xdr:from>
    <xdr:ext cx="11317111" cy="766877"/>
    <xdr:sp macro="" textlink="">
      <xdr:nvSpPr>
        <xdr:cNvPr id="6" name="TextBox 5">
          <a:extLst>
            <a:ext uri="{FF2B5EF4-FFF2-40B4-BE49-F238E27FC236}">
              <a16:creationId xmlns:a16="http://schemas.microsoft.com/office/drawing/2014/main" id="{EA753F7D-CDDE-04ED-1272-A329A972DFEC}"/>
            </a:ext>
          </a:extLst>
        </xdr:cNvPr>
        <xdr:cNvSpPr txBox="1"/>
      </xdr:nvSpPr>
      <xdr:spPr>
        <a:xfrm>
          <a:off x="752592" y="32455556"/>
          <a:ext cx="11317111" cy="766877"/>
        </a:xfrm>
        <a:prstGeom prst="rect">
          <a:avLst/>
        </a:prstGeom>
        <a:noFill/>
      </xdr:spPr>
      <xdr:txBody>
        <a:bodyPr vertOverflow="clip" horzOverflow="clip" wrap="square" lIns="0" tIns="0" rIns="0" bIns="0" rtlCol="0" anchor="t">
          <a:spAutoFit/>
        </a:bodyPr>
        <a:lstStyle/>
        <a:p>
          <a:r>
            <a:rPr lang="en-US" sz="1000" b="0" i="0" kern="1200" dirty="0">
              <a:solidFill>
                <a:schemeClr val="tx1"/>
              </a:solidFill>
              <a:effectLst/>
              <a:latin typeface="Leelawadee" panose="020B0502040204020203" pitchFamily="34" charset="-34"/>
              <a:ea typeface="+mn-ea"/>
              <a:cs typeface="Leelawadee" panose="020B0502040204020203" pitchFamily="34" charset="-34"/>
            </a:rPr>
            <a:t>Within our valuation analysis, we have sense-checked the provided financial forecasts with current market averages based on the determined peers of the business, and highlighted discrepancies where applicable. </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While the Management case may retain some of these discrepancies validated by Management rationale, the Valify case provides a pure market-aligned valuation by sensitizing all identified discrepancies to market-level.</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37630</xdr:colOff>
      <xdr:row>71</xdr:row>
      <xdr:rowOff>9414</xdr:rowOff>
    </xdr:from>
    <xdr:ext cx="5635037" cy="2140201"/>
    <xdr:sp macro="" textlink="">
      <xdr:nvSpPr>
        <xdr:cNvPr id="12" name="TextBox 11">
          <a:extLst>
            <a:ext uri="{FF2B5EF4-FFF2-40B4-BE49-F238E27FC236}">
              <a16:creationId xmlns:a16="http://schemas.microsoft.com/office/drawing/2014/main" id="{3E4ABA4D-57E9-C71B-642D-BF9E20BB3D0D}"/>
            </a:ext>
          </a:extLst>
        </xdr:cNvPr>
        <xdr:cNvSpPr txBox="1"/>
      </xdr:nvSpPr>
      <xdr:spPr>
        <a:xfrm>
          <a:off x="733778" y="4637858"/>
          <a:ext cx="5635037" cy="2140201"/>
        </a:xfrm>
        <a:prstGeom prst="rect">
          <a:avLst/>
        </a:prstGeom>
        <a:noFill/>
      </xdr:spPr>
      <xdr:txBody>
        <a:bodyPr vertOverflow="clip" horzOverflow="clip" wrap="square" lIns="0" tIns="0" rIns="0" bIns="0" rtlCol="0" anchor="t">
          <a:spAutoFit/>
        </a:bodyPr>
        <a:lstStyle/>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Our Report is limited to reviewing the information on the Subject Company made available to us by you, and other publicly available information sources that we considered appropriate. Whilst we have no reason to believe that these sources are not reliable or accurate, we do not warrant their accuracy, completeness or correctness.</a:t>
          </a:r>
        </a:p>
        <a:p>
          <a:pPr>
            <a:lnSpc>
              <a:spcPts val="1400"/>
            </a:lnSpc>
          </a:pPr>
          <a:endParaRPr lang="en-US" sz="1000" b="1" i="0" kern="1200" dirty="0">
            <a:solidFill>
              <a:srgbClr val="00CCE2"/>
            </a:solidFill>
            <a:effectLst/>
            <a:latin typeface="Leelawadee" panose="020B0502040204020203" pitchFamily="34" charset="-34"/>
            <a:ea typeface="+mn-ea"/>
            <a:cs typeface="Leelawadee" panose="020B0502040204020203" pitchFamily="34" charset="-34"/>
          </a:endParaRPr>
        </a:p>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Methodology:</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This valuation exercise has been conducted in line with internationally accepted valuation standards and best practices and is based primarily on information and explanations provided by You, along with publicly available information in the form of desktop research into the market and the competitive landscape. We have utilised the income approach, more specifically the discounted cashflow (“DCF”) approach, whilst the market approach has been used to corroborate the valuation conclusion. </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4</xdr:col>
      <xdr:colOff>20695</xdr:colOff>
      <xdr:row>62</xdr:row>
      <xdr:rowOff>20710</xdr:rowOff>
    </xdr:from>
    <xdr:ext cx="5635037" cy="2678810"/>
    <xdr:sp macro="" textlink="">
      <xdr:nvSpPr>
        <xdr:cNvPr id="18" name="TextBox 17">
          <a:extLst>
            <a:ext uri="{FF2B5EF4-FFF2-40B4-BE49-F238E27FC236}">
              <a16:creationId xmlns:a16="http://schemas.microsoft.com/office/drawing/2014/main" id="{1383A7A4-BDDC-4C78-951A-442CAE3F93F1}"/>
            </a:ext>
          </a:extLst>
        </xdr:cNvPr>
        <xdr:cNvSpPr txBox="1"/>
      </xdr:nvSpPr>
      <xdr:spPr>
        <a:xfrm>
          <a:off x="6492991" y="3040488"/>
          <a:ext cx="5635037" cy="2678810"/>
        </a:xfrm>
        <a:prstGeom prst="rect">
          <a:avLst/>
        </a:prstGeom>
        <a:noFill/>
      </xdr:spPr>
      <xdr:txBody>
        <a:bodyPr vertOverflow="clip" horzOverflow="clip" wrap="square" lIns="0" tIns="0" rIns="0" bIns="0" rtlCol="0" anchor="t">
          <a:spAutoFit/>
        </a:bodyPr>
        <a:lstStyle/>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Information we relied on:</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The information used as part of this valuation analysis is set out on Page 6 within the Executive Summary Section, and includes the below:</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1)   Historical and year to date financial data shared by you.</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2)   Management forecasts for income statement, NWC &amp; Capex shared by You</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3)   Query responses to help us understand the key drivers of the business, and</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4)   Market data relevant to the business accessed through various verified data providers.</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endPar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endParaRPr>
        </a:p>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Limitations to our work:</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During our valuation exercise, our analysis has been impacted by a number of key limitations as noted within Appendix B - Important Notice.</a:t>
          </a:r>
        </a:p>
        <a:p>
          <a:pPr>
            <a:lnSpc>
              <a:spcPts val="140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A valuation is not a fact; it is an estimate of the most probable range of possible outcomes based on the assumptions made in the valuation process. Should any of these assumptions cease to be valid, the valuation conclusion may be subject to change.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2</xdr:col>
      <xdr:colOff>37631</xdr:colOff>
      <xdr:row>102</xdr:row>
      <xdr:rowOff>1</xdr:rowOff>
    </xdr:from>
    <xdr:to>
      <xdr:col>3</xdr:col>
      <xdr:colOff>84668</xdr:colOff>
      <xdr:row>124</xdr:row>
      <xdr:rowOff>68478</xdr:rowOff>
    </xdr:to>
    <xdr:grpSp>
      <xdr:nvGrpSpPr>
        <xdr:cNvPr id="29" name="Group 28">
          <a:extLst>
            <a:ext uri="{FF2B5EF4-FFF2-40B4-BE49-F238E27FC236}">
              <a16:creationId xmlns:a16="http://schemas.microsoft.com/office/drawing/2014/main" id="{E3823273-111C-94D5-0239-4E3C727E5F31}"/>
            </a:ext>
          </a:extLst>
        </xdr:cNvPr>
        <xdr:cNvGrpSpPr/>
      </xdr:nvGrpSpPr>
      <xdr:grpSpPr>
        <a:xfrm>
          <a:off x="661086" y="17889683"/>
          <a:ext cx="5831309" cy="3878477"/>
          <a:chOff x="733779" y="9002890"/>
          <a:chExt cx="5635037" cy="3793810"/>
        </a:xfrm>
      </xdr:grpSpPr>
      <xdr:sp macro="" textlink="">
        <xdr:nvSpPr>
          <xdr:cNvPr id="24" name="TextBox 23">
            <a:extLst>
              <a:ext uri="{FF2B5EF4-FFF2-40B4-BE49-F238E27FC236}">
                <a16:creationId xmlns:a16="http://schemas.microsoft.com/office/drawing/2014/main" id="{5FFD6926-C9F5-4887-9AD4-E88C8F202228}"/>
              </a:ext>
            </a:extLst>
          </xdr:cNvPr>
          <xdr:cNvSpPr txBox="1"/>
        </xdr:nvSpPr>
        <xdr:spPr>
          <a:xfrm>
            <a:off x="733779" y="9002890"/>
            <a:ext cx="5635037" cy="1242520"/>
          </a:xfrm>
          <a:prstGeom prst="rect">
            <a:avLst/>
          </a:prstGeom>
          <a:noFill/>
        </xdr:spPr>
        <xdr:txBody>
          <a:bodyPr vertOverflow="clip" horzOverflow="clip" wrap="square" lIns="0" tIns="0" rIns="0" bIns="0" rtlCol="0" anchor="t">
            <a:spAutoFit/>
          </a:bodyPr>
          <a:lstStyle/>
          <a:p>
            <a:pPr>
              <a:lnSpc>
                <a:spcPts val="135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Disclaimer:</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The Valuer confirms that, to the best of its knowledge, all the factual information provided to us during the process was accurate and that there were no material omissions. We reserve the right</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to alter our valuation conclusions in the event that any information that was not made available to us and/or were not made aware of at the time of the preparation of this report was to come to light subsequent to the issuance of this report and has a material impact on our valuation conclusions of the business.</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sp macro="" textlink="">
        <xdr:nvSpPr>
          <xdr:cNvPr id="28" name="TextBox 27">
            <a:extLst>
              <a:ext uri="{FF2B5EF4-FFF2-40B4-BE49-F238E27FC236}">
                <a16:creationId xmlns:a16="http://schemas.microsoft.com/office/drawing/2014/main" id="{9CA91986-A5B4-4756-AB71-C4075D0B3031}"/>
              </a:ext>
            </a:extLst>
          </xdr:cNvPr>
          <xdr:cNvSpPr txBox="1"/>
        </xdr:nvSpPr>
        <xdr:spPr>
          <a:xfrm>
            <a:off x="733779" y="11554180"/>
            <a:ext cx="5635037" cy="1242520"/>
          </a:xfrm>
          <a:prstGeom prst="rect">
            <a:avLst/>
          </a:prstGeom>
          <a:noFill/>
        </xdr:spPr>
        <xdr:txBody>
          <a:bodyPr vertOverflow="clip" horzOverflow="clip" wrap="square" lIns="0" tIns="0" rIns="0" bIns="0" rtlCol="0" anchor="t">
            <a:spAutoFit/>
          </a:bodyPr>
          <a:lstStyle/>
          <a:p>
            <a:pPr>
              <a:lnSpc>
                <a:spcPts val="135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If you have any concerns in respect of this report and its contents, please do not hesitate to contact us.</a:t>
            </a: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Yours faithfully,</a:t>
            </a:r>
            <a:endParaRPr lang="en-US" sz="1000" b="0" i="0" kern="1200" baseline="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Valify Team</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grpSp>
    <xdr:clientData/>
  </xdr:twoCellAnchor>
  <xdr:twoCellAnchor editAs="oneCell">
    <xdr:from>
      <xdr:col>4</xdr:col>
      <xdr:colOff>862463</xdr:colOff>
      <xdr:row>126</xdr:row>
      <xdr:rowOff>221</xdr:rowOff>
    </xdr:from>
    <xdr:to>
      <xdr:col>4</xdr:col>
      <xdr:colOff>1994459</xdr:colOff>
      <xdr:row>132</xdr:row>
      <xdr:rowOff>89350</xdr:rowOff>
    </xdr:to>
    <xdr:pic>
      <xdr:nvPicPr>
        <xdr:cNvPr id="41" name="Picture 40" descr="A person in a red dress&#10;&#10;Description automatically generated">
          <a:extLst>
            <a:ext uri="{FF2B5EF4-FFF2-40B4-BE49-F238E27FC236}">
              <a16:creationId xmlns:a16="http://schemas.microsoft.com/office/drawing/2014/main" id="{6B4E0B1A-E133-5EB6-B8A1-641A0FA0ED55}"/>
            </a:ext>
          </a:extLst>
        </xdr:cNvPr>
        <xdr:cNvPicPr>
          <a:picLocks noChangeAspect="1"/>
        </xdr:cNvPicPr>
      </xdr:nvPicPr>
      <xdr:blipFill rotWithShape="1">
        <a:blip xmlns:r="http://schemas.openxmlformats.org/officeDocument/2006/relationships" r:embed="rId17" cstate="screen">
          <a:extLst>
            <a:ext uri="{BEBA8EAE-BF5A-486C-A8C5-ECC9F3942E4B}">
              <a14:imgProps xmlns:a14="http://schemas.microsoft.com/office/drawing/2010/main">
                <a14:imgLayer r:embed="rId18">
                  <a14:imgEffect>
                    <a14:brightnessContrast bright="20000"/>
                  </a14:imgEffect>
                </a14:imgLayer>
              </a14:imgProps>
            </a:ext>
            <a:ext uri="{28A0092B-C50C-407E-A947-70E740481C1C}">
              <a14:useLocalDpi xmlns:a14="http://schemas.microsoft.com/office/drawing/2010/main" val="0"/>
            </a:ext>
          </a:extLst>
        </a:blip>
        <a:srcRect l="35870" t="37217" r="28472" b="35987"/>
        <a:stretch/>
      </xdr:blipFill>
      <xdr:spPr>
        <a:xfrm>
          <a:off x="7263263" y="13727107"/>
          <a:ext cx="1131996" cy="1134158"/>
        </a:xfrm>
        <a:prstGeom prst="ellipse">
          <a:avLst/>
        </a:prstGeom>
        <a:ln>
          <a:solidFill>
            <a:srgbClr val="51D3E1"/>
          </a:solidFill>
        </a:ln>
      </xdr:spPr>
    </xdr:pic>
    <xdr:clientData/>
  </xdr:twoCellAnchor>
  <xdr:twoCellAnchor editAs="oneCell">
    <xdr:from>
      <xdr:col>4</xdr:col>
      <xdr:colOff>850667</xdr:colOff>
      <xdr:row>116</xdr:row>
      <xdr:rowOff>54428</xdr:rowOff>
    </xdr:from>
    <xdr:to>
      <xdr:col>4</xdr:col>
      <xdr:colOff>2006256</xdr:colOff>
      <xdr:row>123</xdr:row>
      <xdr:rowOff>71220</xdr:rowOff>
    </xdr:to>
    <xdr:pic>
      <xdr:nvPicPr>
        <xdr:cNvPr id="42" name="Picture 41" descr="A person with her arms crossed&#10;&#10;Description automatically generated with medium confidence">
          <a:extLst>
            <a:ext uri="{FF2B5EF4-FFF2-40B4-BE49-F238E27FC236}">
              <a16:creationId xmlns:a16="http://schemas.microsoft.com/office/drawing/2014/main" id="{223B63E4-D37C-7226-24DF-BCEDD4701FB9}"/>
            </a:ext>
          </a:extLst>
        </xdr:cNvPr>
        <xdr:cNvPicPr>
          <a:picLocks noChangeAspect="1"/>
        </xdr:cNvPicPr>
      </xdr:nvPicPr>
      <xdr:blipFill rotWithShape="1">
        <a:blip xmlns:r="http://schemas.openxmlformats.org/officeDocument/2006/relationships" r:embed="rId19" cstate="screen">
          <a:extLst>
            <a:ext uri="{BEBA8EAE-BF5A-486C-A8C5-ECC9F3942E4B}">
              <a14:imgProps xmlns:a14="http://schemas.microsoft.com/office/drawing/2010/main">
                <a14:imgLayer r:embed="rId20">
                  <a14:imgEffect>
                    <a14:saturation sat="120000"/>
                  </a14:imgEffect>
                  <a14:imgEffect>
                    <a14:brightnessContrast bright="10000"/>
                  </a14:imgEffect>
                </a14:imgLayer>
              </a14:imgProps>
            </a:ext>
            <a:ext uri="{28A0092B-C50C-407E-A947-70E740481C1C}">
              <a14:useLocalDpi xmlns:a14="http://schemas.microsoft.com/office/drawing/2010/main" val="0"/>
            </a:ext>
          </a:extLst>
        </a:blip>
        <a:srcRect l="11727" r="12546"/>
        <a:stretch/>
      </xdr:blipFill>
      <xdr:spPr>
        <a:xfrm>
          <a:off x="7251467" y="12148457"/>
          <a:ext cx="1155589" cy="1235992"/>
        </a:xfrm>
        <a:prstGeom prst="ellipse">
          <a:avLst/>
        </a:prstGeom>
        <a:ln>
          <a:solidFill>
            <a:srgbClr val="00CCE2"/>
          </a:solidFill>
        </a:ln>
      </xdr:spPr>
    </xdr:pic>
    <xdr:clientData/>
  </xdr:twoCellAnchor>
  <xdr:twoCellAnchor>
    <xdr:from>
      <xdr:col>4</xdr:col>
      <xdr:colOff>2133601</xdr:colOff>
      <xdr:row>117</xdr:row>
      <xdr:rowOff>10886</xdr:rowOff>
    </xdr:from>
    <xdr:to>
      <xdr:col>4</xdr:col>
      <xdr:colOff>5373601</xdr:colOff>
      <xdr:row>123</xdr:row>
      <xdr:rowOff>39244</xdr:rowOff>
    </xdr:to>
    <xdr:sp macro="" textlink="">
      <xdr:nvSpPr>
        <xdr:cNvPr id="43" name="Text Placeholder 6">
          <a:extLst>
            <a:ext uri="{FF2B5EF4-FFF2-40B4-BE49-F238E27FC236}">
              <a16:creationId xmlns:a16="http://schemas.microsoft.com/office/drawing/2014/main" id="{6DA43869-ADA3-5111-20DB-695F26F7A676}"/>
            </a:ext>
          </a:extLst>
        </xdr:cNvPr>
        <xdr:cNvSpPr txBox="1"/>
      </xdr:nvSpPr>
      <xdr:spPr>
        <a:xfrm>
          <a:off x="8534401" y="12268200"/>
          <a:ext cx="3240000" cy="1008073"/>
        </a:xfrm>
        <a:prstGeom prst="rect">
          <a:avLst/>
        </a:prstGeom>
      </xdr:spPr>
      <xdr:txBody>
        <a:bodyPr vert="horz" wrap="square" lIns="0" tIns="0" rIns="0" bIns="0" rtlCol="0">
          <a:noAutofit/>
        </a:bodyPr>
        <a:lstStyle>
          <a:defPPr>
            <a:defRPr lang="en-US"/>
          </a:defPPr>
          <a:lvl1pPr marL="0" indent="0" algn="l" defTabSz="946862" rtl="0" eaLnBrk="1" latinLnBrk="0" hangingPunct="1">
            <a:lnSpc>
              <a:spcPct val="100000"/>
            </a:lnSpc>
            <a:spcBef>
              <a:spcPts val="0"/>
            </a:spcBef>
            <a:spcAft>
              <a:spcPts val="600"/>
            </a:spcAft>
            <a:buFont typeface="Arial" panose="020B0604020202020204" pitchFamily="34" charset="0"/>
            <a:buNone/>
            <a:defRPr lang="en-US" sz="900" b="0" kern="1200" dirty="0">
              <a:solidFill>
                <a:schemeClr val="tx1"/>
              </a:solidFill>
              <a:latin typeface="+mn-lt"/>
              <a:ea typeface="+mn-ea"/>
              <a:cs typeface="+mn-cs"/>
            </a:defRPr>
          </a:lvl1pPr>
          <a:lvl2pPr marL="169092" indent="-169092" algn="l" defTabSz="946862" rtl="0" eaLnBrk="1" latinLnBrk="0" hangingPunct="1">
            <a:lnSpc>
              <a:spcPct val="100000"/>
            </a:lnSpc>
            <a:spcBef>
              <a:spcPts val="0"/>
            </a:spcBef>
            <a:spcAft>
              <a:spcPts val="600"/>
            </a:spcAft>
            <a:buFont typeface="Arial" panose="020B0604020202020204" pitchFamily="34" charset="0"/>
            <a:buChar char="•"/>
            <a:defRPr sz="900" b="0" kern="1200">
              <a:solidFill>
                <a:schemeClr val="tx1"/>
              </a:solidFill>
              <a:latin typeface="+mn-lt"/>
              <a:ea typeface="+mn-ea"/>
              <a:cs typeface="+mn-cs"/>
            </a:defRPr>
          </a:lvl2pPr>
          <a:lvl3pPr marL="338184" indent="-169092"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3pPr>
          <a:lvl4pPr marL="540000" indent="-180000"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4pPr>
          <a:lvl5pPr marL="0" indent="-180000" algn="l" defTabSz="946862" rtl="0" eaLnBrk="1" latinLnBrk="0" hangingPunct="1">
            <a:lnSpc>
              <a:spcPct val="100000"/>
            </a:lnSpc>
            <a:spcBef>
              <a:spcPts val="0"/>
            </a:spcBef>
            <a:spcAft>
              <a:spcPts val="600"/>
            </a:spcAft>
            <a:buFont typeface="+mj-lt"/>
            <a:buAutoNum type="arabicPeriod"/>
            <a:defRPr sz="900" kern="1200">
              <a:solidFill>
                <a:schemeClr val="tx1"/>
              </a:solidFill>
              <a:latin typeface="+mn-lt"/>
              <a:ea typeface="+mn-ea"/>
              <a:cs typeface="+mn-cs"/>
            </a:defRPr>
          </a:lvl5pPr>
          <a:lvl6pPr marL="360000" indent="-180000" algn="l" defTabSz="946862" rtl="0" eaLnBrk="1" latinLnBrk="0" hangingPunct="1">
            <a:lnSpc>
              <a:spcPct val="100000"/>
            </a:lnSpc>
            <a:spcBef>
              <a:spcPts val="0"/>
            </a:spcBef>
            <a:spcAft>
              <a:spcPts val="600"/>
            </a:spcAft>
            <a:buFont typeface="+mj-lt"/>
            <a:buAutoNum type="alphaLcPeriod"/>
            <a:defRPr sz="900" b="0" kern="1200">
              <a:solidFill>
                <a:schemeClr val="tx1"/>
              </a:solidFill>
              <a:latin typeface="+mn-lt"/>
              <a:ea typeface="+mn-ea"/>
              <a:cs typeface="+mn-cs"/>
            </a:defRPr>
          </a:lvl6pPr>
          <a:lvl7pPr marL="0" indent="0" algn="l" defTabSz="946862" rtl="0" eaLnBrk="1" latinLnBrk="0" hangingPunct="1">
            <a:lnSpc>
              <a:spcPct val="100000"/>
            </a:lnSpc>
            <a:spcBef>
              <a:spcPts val="0"/>
            </a:spcBef>
            <a:spcAft>
              <a:spcPts val="600"/>
            </a:spcAft>
            <a:buFont typeface="Arial" panose="020B0604020202020204" pitchFamily="34" charset="0"/>
            <a:buNone/>
            <a:defRPr lang="en-US" sz="1350" kern="1200" dirty="0">
              <a:solidFill>
                <a:schemeClr val="accent1"/>
              </a:solidFill>
              <a:latin typeface="+mn-lt"/>
              <a:ea typeface="+mn-ea"/>
              <a:cs typeface="+mn-cs"/>
            </a:defRPr>
          </a:lvl7pPr>
          <a:lvl8pPr marL="0" indent="0" algn="l" defTabSz="946862" rtl="0" eaLnBrk="1" latinLnBrk="0" hangingPunct="1">
            <a:lnSpc>
              <a:spcPct val="100000"/>
            </a:lnSpc>
            <a:spcBef>
              <a:spcPts val="0"/>
            </a:spcBef>
            <a:spcAft>
              <a:spcPts val="900"/>
            </a:spcAft>
            <a:buFont typeface="Arial" panose="020B0604020202020204" pitchFamily="34" charset="0"/>
            <a:buNone/>
            <a:defRPr lang="en-US" sz="900" b="1" kern="1200" dirty="0">
              <a:solidFill>
                <a:schemeClr val="accent3"/>
              </a:solidFill>
              <a:latin typeface="+mn-lt"/>
              <a:ea typeface="+mn-ea"/>
              <a:cs typeface="+mn-cs"/>
            </a:defRPr>
          </a:lvl8pPr>
          <a:lvl9pPr marL="0" indent="0" algn="l" defTabSz="946862" rtl="0" eaLnBrk="1" latinLnBrk="0" hangingPunct="1">
            <a:lnSpc>
              <a:spcPct val="100000"/>
            </a:lnSpc>
            <a:spcBef>
              <a:spcPts val="0"/>
            </a:spcBef>
            <a:spcAft>
              <a:spcPts val="600"/>
            </a:spcAft>
            <a:buFont typeface="Arial" panose="020B0604020202020204" pitchFamily="34" charset="0"/>
            <a:buNone/>
            <a:defRPr lang="en-US" sz="900" b="1" kern="1200" dirty="0">
              <a:solidFill>
                <a:schemeClr val="tx1"/>
              </a:solidFill>
              <a:latin typeface="+mn-lt"/>
              <a:ea typeface="+mn-ea"/>
              <a:cs typeface="+mn-cs"/>
            </a:defRPr>
          </a:lvl9pPr>
        </a:lstStyle>
        <a:p>
          <a:pPr lvl="0">
            <a:spcAft>
              <a:spcPts val="300"/>
            </a:spcAft>
            <a:buClr>
              <a:srgbClr val="000000"/>
            </a:buClr>
            <a:defRPr/>
          </a:pPr>
          <a:r>
            <a:rPr lang="en-GB" sz="1600" b="0">
              <a:solidFill>
                <a:srgbClr val="00CCE2"/>
              </a:solidFill>
              <a:latin typeface="GT Walsheim Pro Medium" panose="02000603040000020003" pitchFamily="50" charset="0"/>
              <a:cs typeface="Calibri Light" panose="020F0302020204030204" pitchFamily="34" charset="0"/>
            </a:rPr>
            <a:t>Samina Burhani, CFA, AFM</a:t>
          </a:r>
        </a:p>
        <a:p>
          <a:pPr lvl="1" defTabSz="1018632">
            <a:spcAft>
              <a:spcPts val="300"/>
            </a:spcAft>
            <a:buClr>
              <a:srgbClr val="000000"/>
            </a:buClr>
            <a:defRPr/>
          </a:pPr>
          <a:r>
            <a:rPr lang="en-US" sz="1100">
              <a:solidFill>
                <a:schemeClr val="bg1"/>
              </a:solidFill>
              <a:latin typeface="GT Walsheim Pro Light" panose="02000503040000020003" pitchFamily="50" charset="0"/>
              <a:cs typeface="Calibri Light" panose="020F0302020204030204" pitchFamily="34" charset="0"/>
            </a:rPr>
            <a:t>Advanced Financial Modeler &amp; Transaction Advisory Consultant</a:t>
          </a:r>
        </a:p>
        <a:p>
          <a:pPr indent="-228558" defTabSz="1018632">
            <a:spcAft>
              <a:spcPts val="300"/>
            </a:spcAft>
            <a:buClr>
              <a:srgbClr val="000000"/>
            </a:buClr>
            <a:defRPr/>
          </a:pPr>
          <a:endParaRPr lang="en-GB" sz="1400" b="0">
            <a:solidFill>
              <a:schemeClr val="bg1"/>
            </a:solidFill>
            <a:latin typeface="GT Walsheim Pro Medium" panose="02000603040000020003" pitchFamily="50" charset="0"/>
            <a:cs typeface="Calibri Light" panose="020F0302020204030204" pitchFamily="34" charset="0"/>
          </a:endParaRPr>
        </a:p>
        <a:p>
          <a:pPr indent="-228558" defTabSz="1018632">
            <a:spcAft>
              <a:spcPts val="300"/>
            </a:spcAft>
            <a:buClr>
              <a:srgbClr val="000000"/>
            </a:buClr>
            <a:defRPr/>
          </a:pPr>
          <a:endParaRPr lang="en-GB" sz="1400" b="0">
            <a:solidFill>
              <a:schemeClr val="bg1"/>
            </a:solidFill>
            <a:latin typeface="GT Walsheim Pro Medium" panose="02000603040000020003" pitchFamily="50" charset="0"/>
            <a:cs typeface="Calibri Light" panose="020F0302020204030204" pitchFamily="34" charset="0"/>
          </a:endParaRPr>
        </a:p>
      </xdr:txBody>
    </xdr:sp>
    <xdr:clientData/>
  </xdr:twoCellAnchor>
  <xdr:twoCellAnchor>
    <xdr:from>
      <xdr:col>4</xdr:col>
      <xdr:colOff>2133601</xdr:colOff>
      <xdr:row>126</xdr:row>
      <xdr:rowOff>124389</xdr:rowOff>
    </xdr:from>
    <xdr:to>
      <xdr:col>4</xdr:col>
      <xdr:colOff>5373601</xdr:colOff>
      <xdr:row>132</xdr:row>
      <xdr:rowOff>152748</xdr:rowOff>
    </xdr:to>
    <xdr:sp macro="" textlink="">
      <xdr:nvSpPr>
        <xdr:cNvPr id="44" name="Text Placeholder 6">
          <a:extLst>
            <a:ext uri="{FF2B5EF4-FFF2-40B4-BE49-F238E27FC236}">
              <a16:creationId xmlns:a16="http://schemas.microsoft.com/office/drawing/2014/main" id="{223DE4B1-FD32-B91D-08CE-F4A8B24B3E9C}"/>
            </a:ext>
          </a:extLst>
        </xdr:cNvPr>
        <xdr:cNvSpPr txBox="1"/>
      </xdr:nvSpPr>
      <xdr:spPr>
        <a:xfrm>
          <a:off x="8534401" y="13851275"/>
          <a:ext cx="3240000" cy="1008073"/>
        </a:xfrm>
        <a:prstGeom prst="rect">
          <a:avLst/>
        </a:prstGeom>
      </xdr:spPr>
      <xdr:txBody>
        <a:bodyPr vert="horz" wrap="square" lIns="0" tIns="0" rIns="0" bIns="0" rtlCol="0">
          <a:noAutofit/>
        </a:bodyPr>
        <a:lstStyle>
          <a:defPPr>
            <a:defRPr lang="en-US"/>
          </a:defPPr>
          <a:lvl1pPr marL="0" indent="0" algn="l" defTabSz="946862" rtl="0" eaLnBrk="1" latinLnBrk="0" hangingPunct="1">
            <a:lnSpc>
              <a:spcPct val="100000"/>
            </a:lnSpc>
            <a:spcBef>
              <a:spcPts val="0"/>
            </a:spcBef>
            <a:spcAft>
              <a:spcPts val="600"/>
            </a:spcAft>
            <a:buFont typeface="Arial" panose="020B0604020202020204" pitchFamily="34" charset="0"/>
            <a:buNone/>
            <a:defRPr lang="en-US" sz="900" b="0" kern="1200" dirty="0">
              <a:solidFill>
                <a:schemeClr val="tx1"/>
              </a:solidFill>
              <a:latin typeface="+mn-lt"/>
              <a:ea typeface="+mn-ea"/>
              <a:cs typeface="+mn-cs"/>
            </a:defRPr>
          </a:lvl1pPr>
          <a:lvl2pPr marL="169092" indent="-169092" algn="l" defTabSz="946862" rtl="0" eaLnBrk="1" latinLnBrk="0" hangingPunct="1">
            <a:lnSpc>
              <a:spcPct val="100000"/>
            </a:lnSpc>
            <a:spcBef>
              <a:spcPts val="0"/>
            </a:spcBef>
            <a:spcAft>
              <a:spcPts val="600"/>
            </a:spcAft>
            <a:buFont typeface="Arial" panose="020B0604020202020204" pitchFamily="34" charset="0"/>
            <a:buChar char="•"/>
            <a:defRPr sz="900" b="0" kern="1200">
              <a:solidFill>
                <a:schemeClr val="tx1"/>
              </a:solidFill>
              <a:latin typeface="+mn-lt"/>
              <a:ea typeface="+mn-ea"/>
              <a:cs typeface="+mn-cs"/>
            </a:defRPr>
          </a:lvl2pPr>
          <a:lvl3pPr marL="338184" indent="-169092"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3pPr>
          <a:lvl4pPr marL="540000" indent="-180000"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4pPr>
          <a:lvl5pPr marL="0" indent="-180000" algn="l" defTabSz="946862" rtl="0" eaLnBrk="1" latinLnBrk="0" hangingPunct="1">
            <a:lnSpc>
              <a:spcPct val="100000"/>
            </a:lnSpc>
            <a:spcBef>
              <a:spcPts val="0"/>
            </a:spcBef>
            <a:spcAft>
              <a:spcPts val="600"/>
            </a:spcAft>
            <a:buFont typeface="+mj-lt"/>
            <a:buAutoNum type="arabicPeriod"/>
            <a:defRPr sz="900" kern="1200">
              <a:solidFill>
                <a:schemeClr val="tx1"/>
              </a:solidFill>
              <a:latin typeface="+mn-lt"/>
              <a:ea typeface="+mn-ea"/>
              <a:cs typeface="+mn-cs"/>
            </a:defRPr>
          </a:lvl5pPr>
          <a:lvl6pPr marL="360000" indent="-180000" algn="l" defTabSz="946862" rtl="0" eaLnBrk="1" latinLnBrk="0" hangingPunct="1">
            <a:lnSpc>
              <a:spcPct val="100000"/>
            </a:lnSpc>
            <a:spcBef>
              <a:spcPts val="0"/>
            </a:spcBef>
            <a:spcAft>
              <a:spcPts val="600"/>
            </a:spcAft>
            <a:buFont typeface="+mj-lt"/>
            <a:buAutoNum type="alphaLcPeriod"/>
            <a:defRPr sz="900" b="0" kern="1200">
              <a:solidFill>
                <a:schemeClr val="tx1"/>
              </a:solidFill>
              <a:latin typeface="+mn-lt"/>
              <a:ea typeface="+mn-ea"/>
              <a:cs typeface="+mn-cs"/>
            </a:defRPr>
          </a:lvl6pPr>
          <a:lvl7pPr marL="0" indent="0" algn="l" defTabSz="946862" rtl="0" eaLnBrk="1" latinLnBrk="0" hangingPunct="1">
            <a:lnSpc>
              <a:spcPct val="100000"/>
            </a:lnSpc>
            <a:spcBef>
              <a:spcPts val="0"/>
            </a:spcBef>
            <a:spcAft>
              <a:spcPts val="600"/>
            </a:spcAft>
            <a:buFont typeface="Arial" panose="020B0604020202020204" pitchFamily="34" charset="0"/>
            <a:buNone/>
            <a:defRPr lang="en-US" sz="1350" kern="1200" dirty="0">
              <a:solidFill>
                <a:schemeClr val="accent1"/>
              </a:solidFill>
              <a:latin typeface="+mn-lt"/>
              <a:ea typeface="+mn-ea"/>
              <a:cs typeface="+mn-cs"/>
            </a:defRPr>
          </a:lvl7pPr>
          <a:lvl8pPr marL="0" indent="0" algn="l" defTabSz="946862" rtl="0" eaLnBrk="1" latinLnBrk="0" hangingPunct="1">
            <a:lnSpc>
              <a:spcPct val="100000"/>
            </a:lnSpc>
            <a:spcBef>
              <a:spcPts val="0"/>
            </a:spcBef>
            <a:spcAft>
              <a:spcPts val="900"/>
            </a:spcAft>
            <a:buFont typeface="Arial" panose="020B0604020202020204" pitchFamily="34" charset="0"/>
            <a:buNone/>
            <a:defRPr lang="en-US" sz="900" b="1" kern="1200" dirty="0">
              <a:solidFill>
                <a:schemeClr val="accent3"/>
              </a:solidFill>
              <a:latin typeface="+mn-lt"/>
              <a:ea typeface="+mn-ea"/>
              <a:cs typeface="+mn-cs"/>
            </a:defRPr>
          </a:lvl8pPr>
          <a:lvl9pPr marL="0" indent="0" algn="l" defTabSz="946862" rtl="0" eaLnBrk="1" latinLnBrk="0" hangingPunct="1">
            <a:lnSpc>
              <a:spcPct val="100000"/>
            </a:lnSpc>
            <a:spcBef>
              <a:spcPts val="0"/>
            </a:spcBef>
            <a:spcAft>
              <a:spcPts val="600"/>
            </a:spcAft>
            <a:buFont typeface="Arial" panose="020B0604020202020204" pitchFamily="34" charset="0"/>
            <a:buNone/>
            <a:defRPr lang="en-US" sz="900" b="1" kern="1200" dirty="0">
              <a:solidFill>
                <a:schemeClr val="tx1"/>
              </a:solidFill>
              <a:latin typeface="+mn-lt"/>
              <a:ea typeface="+mn-ea"/>
              <a:cs typeface="+mn-cs"/>
            </a:defRPr>
          </a:lvl9pPr>
        </a:lstStyle>
        <a:p>
          <a:pPr lvl="0">
            <a:spcAft>
              <a:spcPts val="300"/>
            </a:spcAft>
            <a:buClr>
              <a:srgbClr val="000000"/>
            </a:buClr>
            <a:defRPr/>
          </a:pPr>
          <a:r>
            <a:rPr lang="en-GB" sz="1600">
              <a:solidFill>
                <a:srgbClr val="00CCE2"/>
              </a:solidFill>
              <a:latin typeface="GT Walsheim Pro Medium" panose="02000603040000020003" pitchFamily="50" charset="0"/>
              <a:cs typeface="Calibri Light" panose="020F0302020204030204" pitchFamily="34" charset="0"/>
            </a:rPr>
            <a:t>Alifiya Burhani</a:t>
          </a:r>
        </a:p>
        <a:p>
          <a:pPr lvl="1" defTabSz="1018632">
            <a:spcAft>
              <a:spcPts val="300"/>
            </a:spcAft>
            <a:buClr>
              <a:srgbClr val="000000"/>
            </a:buClr>
            <a:defRPr/>
          </a:pPr>
          <a:r>
            <a:rPr lang="en-US" sz="1100">
              <a:solidFill>
                <a:schemeClr val="bg1"/>
              </a:solidFill>
              <a:latin typeface="GT Walsheim Pro Light" panose="02000503040000020003" pitchFamily="50" charset="0"/>
              <a:cs typeface="Calibri Light" panose="020F0302020204030204" pitchFamily="34" charset="0"/>
            </a:rPr>
            <a:t>Double Masters in Finance (NIMMS) &amp; International Political Economics (Kings College London)</a:t>
          </a:r>
        </a:p>
        <a:p>
          <a:pPr lvl="1" defTabSz="1018632">
            <a:spcAft>
              <a:spcPts val="300"/>
            </a:spcAft>
            <a:buClr>
              <a:srgbClr val="000000"/>
            </a:buClr>
            <a:defRPr/>
          </a:pPr>
          <a:endParaRPr lang="en-US" sz="1100">
            <a:solidFill>
              <a:schemeClr val="bg1"/>
            </a:solidFill>
            <a:latin typeface="GT Walsheim Pro Light" panose="02000503040000020003" pitchFamily="50" charset="0"/>
            <a:cs typeface="Calibri Light" panose="020F0302020204030204" pitchFamily="34" charset="0"/>
          </a:endParaRPr>
        </a:p>
        <a:p>
          <a:pPr indent="-228558" defTabSz="1018632">
            <a:spcAft>
              <a:spcPts val="300"/>
            </a:spcAft>
            <a:buClr>
              <a:srgbClr val="000000"/>
            </a:buClr>
            <a:defRPr/>
          </a:pPr>
          <a:endParaRPr lang="en-GB" sz="1400">
            <a:solidFill>
              <a:schemeClr val="bg1"/>
            </a:solidFill>
            <a:latin typeface="GT Walsheim Pro Medium" panose="02000603040000020003" pitchFamily="50" charset="0"/>
            <a:cs typeface="Calibri Light" panose="020F0302020204030204" pitchFamily="34" charset="0"/>
          </a:endParaRPr>
        </a:p>
        <a:p>
          <a:pPr indent="-228558" defTabSz="1018632">
            <a:spcAft>
              <a:spcPts val="300"/>
            </a:spcAft>
            <a:buClr>
              <a:srgbClr val="000000"/>
            </a:buClr>
            <a:defRPr/>
          </a:pPr>
          <a:endParaRPr lang="en-GB" sz="1400">
            <a:solidFill>
              <a:schemeClr val="bg1"/>
            </a:solidFill>
            <a:latin typeface="GT Walsheim Pro Medium" panose="02000603040000020003" pitchFamily="50" charset="0"/>
            <a:cs typeface="Calibri Light" panose="020F0302020204030204" pitchFamily="34" charset="0"/>
          </a:endParaRPr>
        </a:p>
      </xdr:txBody>
    </xdr:sp>
    <xdr:clientData/>
  </xdr:twoCellAnchor>
  <xdr:oneCellAnchor>
    <xdr:from>
      <xdr:col>4</xdr:col>
      <xdr:colOff>2800783</xdr:colOff>
      <xdr:row>1</xdr:row>
      <xdr:rowOff>163535</xdr:rowOff>
    </xdr:from>
    <xdr:ext cx="2636092" cy="3067910"/>
    <xdr:pic>
      <xdr:nvPicPr>
        <xdr:cNvPr id="19" name="Graphic 18">
          <a:extLst>
            <a:ext uri="{FF2B5EF4-FFF2-40B4-BE49-F238E27FC236}">
              <a16:creationId xmlns:a16="http://schemas.microsoft.com/office/drawing/2014/main" id="{16CEB6F7-CA25-48B5-B3E4-9A3996380B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207227" y="332868"/>
          <a:ext cx="2636092" cy="3067910"/>
        </a:xfrm>
        <a:prstGeom prst="rect">
          <a:avLst/>
        </a:prstGeom>
      </xdr:spPr>
    </xdr:pic>
    <xdr:clientData/>
  </xdr:oneCellAnchor>
  <xdr:oneCellAnchor>
    <xdr:from>
      <xdr:col>2</xdr:col>
      <xdr:colOff>406801</xdr:colOff>
      <xdr:row>6</xdr:row>
      <xdr:rowOff>326572</xdr:rowOff>
    </xdr:from>
    <xdr:ext cx="6324197" cy="1804206"/>
    <xdr:sp macro="" textlink="Log!I5">
      <xdr:nvSpPr>
        <xdr:cNvPr id="47" name="TextBox 46">
          <a:extLst>
            <a:ext uri="{FF2B5EF4-FFF2-40B4-BE49-F238E27FC236}">
              <a16:creationId xmlns:a16="http://schemas.microsoft.com/office/drawing/2014/main" id="{D6D9BC7D-BA42-D733-2251-78CC5BE3B379}"/>
            </a:ext>
          </a:extLst>
        </xdr:cNvPr>
        <xdr:cNvSpPr txBox="1"/>
      </xdr:nvSpPr>
      <xdr:spPr>
        <a:xfrm>
          <a:off x="1027690" y="1342572"/>
          <a:ext cx="6324197" cy="1804206"/>
        </a:xfrm>
        <a:prstGeom prst="rect">
          <a:avLst/>
        </a:prstGeom>
        <a:noFill/>
      </xdr:spPr>
      <xdr:txBody>
        <a:bodyPr vertOverflow="clip" horzOverflow="clip" wrap="square" lIns="0" tIns="0" rIns="0" bIns="0" rtlCol="0" anchor="t">
          <a:noAutofit/>
        </a:bodyPr>
        <a:lstStyle/>
        <a:p>
          <a:fld id="{7DAFB647-77CC-429B-A2EF-7FF4110C4EB7}" type="TxLink">
            <a:rPr lang="en-US" sz="3200" b="1" i="0" u="none" strike="noStrike" kern="1200" dirty="0" smtClean="0">
              <a:solidFill>
                <a:srgbClr val="00CCE2"/>
              </a:solidFill>
              <a:effectLst/>
              <a:latin typeface="Leelawadee"/>
              <a:ea typeface="+mn-ea"/>
              <a:cs typeface="Leelawadee"/>
            </a:rPr>
            <a:pPr/>
            <a:t>Valuation of Lazure Worldwide FZCO</a:t>
          </a:fld>
          <a:endParaRPr lang="en-AE" sz="9600" b="1" i="0" kern="1200" dirty="0">
            <a:solidFill>
              <a:srgbClr val="00CCE2"/>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17</xdr:row>
      <xdr:rowOff>53619</xdr:rowOff>
    </xdr:from>
    <xdr:ext cx="6810427" cy="1357491"/>
    <xdr:sp macro="" textlink="Log!I6">
      <xdr:nvSpPr>
        <xdr:cNvPr id="48" name="TextBox 47">
          <a:extLst>
            <a:ext uri="{FF2B5EF4-FFF2-40B4-BE49-F238E27FC236}">
              <a16:creationId xmlns:a16="http://schemas.microsoft.com/office/drawing/2014/main" id="{7A620507-ECE9-4027-95C5-400C6D38B007}"/>
            </a:ext>
          </a:extLst>
        </xdr:cNvPr>
        <xdr:cNvSpPr txBox="1"/>
      </xdr:nvSpPr>
      <xdr:spPr>
        <a:xfrm>
          <a:off x="1027690" y="3341508"/>
          <a:ext cx="6810427" cy="1357491"/>
        </a:xfrm>
        <a:prstGeom prst="rect">
          <a:avLst/>
        </a:prstGeom>
        <a:noFill/>
      </xdr:spPr>
      <xdr:txBody>
        <a:bodyPr vertOverflow="clip" horzOverflow="clip" wrap="square" lIns="0" tIns="0" rIns="0" bIns="0" rtlCol="0" anchor="t">
          <a:noAutofit/>
        </a:bodyPr>
        <a:lstStyle/>
        <a:p>
          <a:fld id="{7C853982-6A5F-49AB-BEB0-4E62F21B23A2}" type="TxLink">
            <a:rPr lang="en-US" sz="3200" b="1" i="0" u="none" strike="noStrike" kern="1200" dirty="0" smtClean="0">
              <a:solidFill>
                <a:schemeClr val="bg1"/>
              </a:solidFill>
              <a:effectLst/>
              <a:latin typeface="Leelawadee"/>
              <a:ea typeface="+mn-ea"/>
              <a:cs typeface="Leelawadee"/>
            </a:rPr>
            <a:pPr/>
            <a:t>for Client Company Name</a:t>
          </a:fld>
          <a:endParaRPr lang="en-AE" sz="496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27</xdr:row>
      <xdr:rowOff>47977</xdr:rowOff>
    </xdr:from>
    <xdr:ext cx="5856514" cy="306687"/>
    <xdr:sp macro="" textlink="Log!I7">
      <xdr:nvSpPr>
        <xdr:cNvPr id="49" name="TextBox 48">
          <a:extLst>
            <a:ext uri="{FF2B5EF4-FFF2-40B4-BE49-F238E27FC236}">
              <a16:creationId xmlns:a16="http://schemas.microsoft.com/office/drawing/2014/main" id="{1B4BABF4-12A8-49C4-BA9A-37EF53FB9A9B}"/>
            </a:ext>
          </a:extLst>
        </xdr:cNvPr>
        <xdr:cNvSpPr txBox="1"/>
      </xdr:nvSpPr>
      <xdr:spPr>
        <a:xfrm>
          <a:off x="1027690" y="5029199"/>
          <a:ext cx="5856514" cy="306687"/>
        </a:xfrm>
        <a:prstGeom prst="rect">
          <a:avLst/>
        </a:prstGeom>
        <a:noFill/>
      </xdr:spPr>
      <xdr:txBody>
        <a:bodyPr vertOverflow="clip" horzOverflow="clip" wrap="square" lIns="0" tIns="0" rIns="0" bIns="0" rtlCol="0" anchor="t">
          <a:spAutoFit/>
        </a:bodyPr>
        <a:lstStyle/>
        <a:p>
          <a:fld id="{BD86FD90-2C90-4C49-8F2C-056326E9343C}" type="TxLink">
            <a:rPr lang="en-US" sz="2000" b="0" i="0" u="none" strike="noStrike" kern="1200" dirty="0" smtClean="0">
              <a:solidFill>
                <a:schemeClr val="bg1"/>
              </a:solidFill>
              <a:effectLst/>
              <a:latin typeface="Leelawadee"/>
              <a:ea typeface="+mn-ea"/>
              <a:cs typeface="Leelawadee"/>
            </a:rPr>
            <a:pPr/>
            <a:t>Valuation as at 30 September 2024</a:t>
          </a:fld>
          <a:endParaRPr lang="en-AE" sz="1481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33</xdr:row>
      <xdr:rowOff>71757</xdr:rowOff>
    </xdr:from>
    <xdr:ext cx="5856514" cy="214739"/>
    <xdr:sp macro="" textlink="Log!I8">
      <xdr:nvSpPr>
        <xdr:cNvPr id="50" name="TextBox 49">
          <a:extLst>
            <a:ext uri="{FF2B5EF4-FFF2-40B4-BE49-F238E27FC236}">
              <a16:creationId xmlns:a16="http://schemas.microsoft.com/office/drawing/2014/main" id="{DDCBB5D5-85DD-4F03-A789-7B3CA0518EDA}"/>
            </a:ext>
          </a:extLst>
        </xdr:cNvPr>
        <xdr:cNvSpPr txBox="1"/>
      </xdr:nvSpPr>
      <xdr:spPr>
        <a:xfrm>
          <a:off x="1027690" y="6068979"/>
          <a:ext cx="5856514" cy="214739"/>
        </a:xfrm>
        <a:prstGeom prst="rect">
          <a:avLst/>
        </a:prstGeom>
        <a:noFill/>
      </xdr:spPr>
      <xdr:txBody>
        <a:bodyPr vertOverflow="clip" horzOverflow="clip" wrap="square" lIns="0" tIns="0" rIns="0" bIns="0" rtlCol="0" anchor="t">
          <a:spAutoFit/>
        </a:bodyPr>
        <a:lstStyle/>
        <a:p>
          <a:fld id="{7B0B2B91-F43C-4B16-A8B1-5304E2EF2248}" type="TxLink">
            <a:rPr lang="en-US" sz="1400" b="0" i="0" u="none" strike="noStrike" kern="1200" dirty="0" smtClean="0">
              <a:solidFill>
                <a:schemeClr val="bg1"/>
              </a:solidFill>
              <a:effectLst/>
              <a:latin typeface="Leelawadee"/>
              <a:ea typeface="+mn-ea"/>
              <a:cs typeface="Leelawadee"/>
            </a:rPr>
            <a:pPr/>
            <a:t>21 February 2025</a:t>
          </a:fld>
          <a:endParaRPr lang="en-AE" sz="14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36</xdr:row>
      <xdr:rowOff>43540</xdr:rowOff>
    </xdr:from>
    <xdr:ext cx="5856514" cy="214739"/>
    <xdr:sp macro="" textlink="">
      <xdr:nvSpPr>
        <xdr:cNvPr id="51" name="TextBox 50">
          <a:extLst>
            <a:ext uri="{FF2B5EF4-FFF2-40B4-BE49-F238E27FC236}">
              <a16:creationId xmlns:a16="http://schemas.microsoft.com/office/drawing/2014/main" id="{5B72BE90-2D70-4235-BCD8-DF0511AC921F}"/>
            </a:ext>
          </a:extLst>
        </xdr:cNvPr>
        <xdr:cNvSpPr txBox="1"/>
      </xdr:nvSpPr>
      <xdr:spPr>
        <a:xfrm>
          <a:off x="1027690" y="6548762"/>
          <a:ext cx="5856514" cy="214739"/>
        </a:xfrm>
        <a:prstGeom prst="rect">
          <a:avLst/>
        </a:prstGeom>
        <a:noFill/>
      </xdr:spPr>
      <xdr:txBody>
        <a:bodyPr vertOverflow="clip" horzOverflow="clip" wrap="square" lIns="0" tIns="0" rIns="0" bIns="0" rtlCol="0" anchor="t">
          <a:spAutoFit/>
        </a:bodyPr>
        <a:lstStyle/>
        <a:p>
          <a:r>
            <a:rPr lang="en-US" sz="1400" b="0" i="0" u="none" strike="noStrike" kern="1200" dirty="0">
              <a:solidFill>
                <a:schemeClr val="bg1"/>
              </a:solidFill>
              <a:effectLst/>
              <a:latin typeface="Leelawadee"/>
              <a:ea typeface="+mn-ea"/>
              <a:cs typeface="Leelawadee"/>
            </a:rPr>
            <a:t>Valify - Digital</a:t>
          </a:r>
          <a:r>
            <a:rPr lang="en-US" sz="1400" b="0" i="0" u="none" strike="noStrike" kern="1200" baseline="0" dirty="0">
              <a:solidFill>
                <a:schemeClr val="bg1"/>
              </a:solidFill>
              <a:effectLst/>
              <a:latin typeface="Leelawadee"/>
              <a:ea typeface="+mn-ea"/>
              <a:cs typeface="Leelawadee"/>
            </a:rPr>
            <a:t> Valuation platform</a:t>
          </a:r>
          <a:endParaRPr lang="en-US" sz="1400" b="0" i="0" u="none" strike="noStrike" kern="1200" dirty="0">
            <a:solidFill>
              <a:schemeClr val="bg1"/>
            </a:solidFill>
            <a:effectLst/>
            <a:latin typeface="Leelawadee"/>
            <a:ea typeface="+mn-ea"/>
            <a:cs typeface="Leelawadee"/>
          </a:endParaRPr>
        </a:p>
      </xdr:txBody>
    </xdr:sp>
    <xdr:clientData/>
  </xdr:oneCellAnchor>
  <xdr:oneCellAnchor>
    <xdr:from>
      <xdr:col>2</xdr:col>
      <xdr:colOff>24554</xdr:colOff>
      <xdr:row>163</xdr:row>
      <xdr:rowOff>26275</xdr:rowOff>
    </xdr:from>
    <xdr:ext cx="5582401" cy="1242520"/>
    <xdr:sp macro="" textlink="">
      <xdr:nvSpPr>
        <xdr:cNvPr id="58" name="TextBox 57">
          <a:extLst>
            <a:ext uri="{FF2B5EF4-FFF2-40B4-BE49-F238E27FC236}">
              <a16:creationId xmlns:a16="http://schemas.microsoft.com/office/drawing/2014/main" id="{A85B1472-4F8F-46A8-B9D5-095850A92C69}"/>
            </a:ext>
          </a:extLst>
        </xdr:cNvPr>
        <xdr:cNvSpPr txBox="1"/>
      </xdr:nvSpPr>
      <xdr:spPr>
        <a:xfrm>
          <a:off x="637296" y="29359347"/>
          <a:ext cx="5582401" cy="1242520"/>
        </a:xfrm>
        <a:prstGeom prst="rect">
          <a:avLst/>
        </a:prstGeom>
        <a:noFill/>
      </xdr:spPr>
      <xdr:txBody>
        <a:bodyPr vertOverflow="clip" horzOverflow="clip" wrap="square" lIns="0" tIns="0" rIns="0" bIns="0" rtlCol="0" anchor="t">
          <a:sp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Please note that we have not carried out an audit of the information provided to us by the Company and do not comment on the achievability of the forecasts prepared by them. The scope of our work has been limited by the information, market research and time made available to us to complete our work.</a:t>
          </a:r>
        </a:p>
        <a:p>
          <a:pPr>
            <a:lnSpc>
              <a:spcPts val="140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The valuation provided hereafter is subject to a due diligence exercise, based on which the</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a:t>
          </a:r>
          <a:r>
            <a:rPr lang="en-US" sz="1000" b="0" i="0" kern="1200" dirty="0">
              <a:solidFill>
                <a:schemeClr val="tx1"/>
              </a:solidFill>
              <a:effectLst/>
              <a:latin typeface="Leelawadee" panose="020B0502040204020203" pitchFamily="34" charset="-34"/>
              <a:ea typeface="+mn-ea"/>
              <a:cs typeface="Leelawadee" panose="020B0502040204020203" pitchFamily="34" charset="-34"/>
            </a:rPr>
            <a:t>valuation provided is subject to change.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2</xdr:col>
      <xdr:colOff>27694</xdr:colOff>
      <xdr:row>172</xdr:row>
      <xdr:rowOff>8983</xdr:rowOff>
    </xdr:from>
    <xdr:to>
      <xdr:col>2</xdr:col>
      <xdr:colOff>5615442</xdr:colOff>
      <xdr:row>186</xdr:row>
      <xdr:rowOff>33422</xdr:rowOff>
    </xdr:to>
    <xdr:grpSp>
      <xdr:nvGrpSpPr>
        <xdr:cNvPr id="62" name="Group 61">
          <a:extLst>
            <a:ext uri="{FF2B5EF4-FFF2-40B4-BE49-F238E27FC236}">
              <a16:creationId xmlns:a16="http://schemas.microsoft.com/office/drawing/2014/main" id="{14139D94-717D-A6BF-9CF7-51E4FCDECF81}"/>
            </a:ext>
          </a:extLst>
        </xdr:cNvPr>
        <xdr:cNvGrpSpPr/>
      </xdr:nvGrpSpPr>
      <xdr:grpSpPr>
        <a:xfrm>
          <a:off x="651149" y="30454347"/>
          <a:ext cx="5587748" cy="2448984"/>
          <a:chOff x="649326" y="31130667"/>
          <a:chExt cx="5587748" cy="2457492"/>
        </a:xfrm>
      </xdr:grpSpPr>
      <xdr:sp macro="" textlink="">
        <xdr:nvSpPr>
          <xdr:cNvPr id="59" name="TextBox 58">
            <a:extLst>
              <a:ext uri="{FF2B5EF4-FFF2-40B4-BE49-F238E27FC236}">
                <a16:creationId xmlns:a16="http://schemas.microsoft.com/office/drawing/2014/main" id="{0A0EFCAD-5BBC-465A-A9BE-500CDFDAA692}"/>
              </a:ext>
            </a:extLst>
          </xdr:cNvPr>
          <xdr:cNvSpPr txBox="1"/>
        </xdr:nvSpPr>
        <xdr:spPr>
          <a:xfrm>
            <a:off x="650663" y="31130667"/>
            <a:ext cx="5582401" cy="572544"/>
          </a:xfrm>
          <a:prstGeom prst="rect">
            <a:avLst/>
          </a:prstGeom>
          <a:noFill/>
        </xdr:spPr>
        <xdr:txBody>
          <a:bodyPr vertOverflow="clip" horzOverflow="clip" wrap="square" lIns="0" tIns="0" rIns="0" bIns="0" rtlCol="0" anchor="t">
            <a:no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To estimate at an Enterprise Value range of the Company, we have adopted the below-listed methodologies</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that we believe are best suited for valuation of the described business characteristics, growth level &amp; phase: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sp macro="" textlink="">
        <xdr:nvSpPr>
          <xdr:cNvPr id="60" name="TextBox 59">
            <a:extLst>
              <a:ext uri="{FF2B5EF4-FFF2-40B4-BE49-F238E27FC236}">
                <a16:creationId xmlns:a16="http://schemas.microsoft.com/office/drawing/2014/main" id="{7F8CA9A1-00D1-4AC9-B614-898A4BF59035}"/>
              </a:ext>
            </a:extLst>
          </xdr:cNvPr>
          <xdr:cNvSpPr txBox="1"/>
        </xdr:nvSpPr>
        <xdr:spPr>
          <a:xfrm>
            <a:off x="649326" y="32172067"/>
            <a:ext cx="5582401" cy="781091"/>
          </a:xfrm>
          <a:prstGeom prst="rect">
            <a:avLst/>
          </a:prstGeom>
          <a:noFill/>
        </xdr:spPr>
        <xdr:txBody>
          <a:bodyPr vertOverflow="clip" horzOverflow="clip" wrap="square" lIns="0" tIns="0" rIns="0" bIns="0" rtlCol="0" anchor="t">
            <a:no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We have applied the below approaches within our analysis:</a:t>
            </a: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a.</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a:t>
            </a:r>
            <a:r>
              <a:rPr lang="en-US" sz="1000" b="0" i="0" kern="1200" dirty="0">
                <a:solidFill>
                  <a:schemeClr val="tx1"/>
                </a:solidFill>
                <a:effectLst/>
                <a:latin typeface="Leelawadee" panose="020B0502040204020203" pitchFamily="34" charset="-34"/>
                <a:ea typeface="+mn-ea"/>
                <a:cs typeface="Leelawadee" panose="020B0502040204020203" pitchFamily="34" charset="-34"/>
              </a:rPr>
              <a:t>‘Management Case’ which adopts Management forecasts provided by you, and</a:t>
            </a: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b. ‘Valify Case’ which includes sensitivities to the Management case based on</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market parameters</a:t>
            </a:r>
            <a:r>
              <a:rPr lang="en-US" sz="1000" b="0" i="0" kern="1200" dirty="0">
                <a:solidFill>
                  <a:schemeClr val="tx1"/>
                </a:solidFill>
                <a:effectLst/>
                <a:latin typeface="Leelawadee" panose="020B0502040204020203" pitchFamily="34" charset="-34"/>
                <a:ea typeface="+mn-ea"/>
                <a:cs typeface="Leelawadee" panose="020B0502040204020203" pitchFamily="34" charset="-34"/>
              </a:rPr>
              <a:t>; (please refer to the ‘Business Plan Assumptions - Scenarios’ section for further detail)</a:t>
            </a:r>
          </a:p>
        </xdr:txBody>
      </xdr:sp>
      <xdr:sp macro="" textlink="Log!I14">
        <xdr:nvSpPr>
          <xdr:cNvPr id="61" name="TextBox 60">
            <a:extLst>
              <a:ext uri="{FF2B5EF4-FFF2-40B4-BE49-F238E27FC236}">
                <a16:creationId xmlns:a16="http://schemas.microsoft.com/office/drawing/2014/main" id="{8983A147-1212-4A39-8387-8425B249FCB6}"/>
              </a:ext>
            </a:extLst>
          </xdr:cNvPr>
          <xdr:cNvSpPr txBox="1"/>
        </xdr:nvSpPr>
        <xdr:spPr>
          <a:xfrm>
            <a:off x="654673" y="33039679"/>
            <a:ext cx="5582401" cy="548480"/>
          </a:xfrm>
          <a:prstGeom prst="rect">
            <a:avLst/>
          </a:prstGeom>
          <a:noFill/>
        </xdr:spPr>
        <xdr:txBody>
          <a:bodyPr vertOverflow="clip" horzOverflow="clip" wrap="square" lIns="0" tIns="0" rIns="0" bIns="0" rtlCol="0" anchor="t">
            <a:noAutofit/>
          </a:bodyPr>
          <a:lstStyle/>
          <a:p>
            <a:pPr>
              <a:lnSpc>
                <a:spcPts val="1400"/>
              </a:lnSpc>
            </a:pPr>
            <a:fld id="{5961F721-F2EB-4031-AB38-84E15098FF10}" type="TxLink">
              <a:rPr lang="en-US" sz="1000" b="0" i="0" u="none" strike="noStrike" kern="1200" dirty="0" smtClean="0">
                <a:solidFill>
                  <a:srgbClr val="000000"/>
                </a:solidFill>
                <a:effectLst/>
                <a:latin typeface="Leelawadee"/>
                <a:ea typeface="+mn-ea"/>
                <a:cs typeface="Leelawadee"/>
              </a:rPr>
              <a:pPr>
                <a:lnSpc>
                  <a:spcPts val="1400"/>
                </a:lnSpc>
              </a:pPr>
              <a:t>We have corroborated our analysis using the Market approach, which considers market multiples (EV/EBITDA) of a set of publicly listed companies comparable to Lazure Worldwide FZCO.</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grpSp>
    <xdr:clientData/>
  </xdr:twoCellAnchor>
  <xdr:oneCellAnchor>
    <xdr:from>
      <xdr:col>2</xdr:col>
      <xdr:colOff>29033</xdr:colOff>
      <xdr:row>156</xdr:row>
      <xdr:rowOff>8978</xdr:rowOff>
    </xdr:from>
    <xdr:ext cx="5582401" cy="344838"/>
    <xdr:sp macro="" textlink="Log!I13">
      <xdr:nvSpPr>
        <xdr:cNvPr id="63" name="TextBox 62">
          <a:extLst>
            <a:ext uri="{FF2B5EF4-FFF2-40B4-BE49-F238E27FC236}">
              <a16:creationId xmlns:a16="http://schemas.microsoft.com/office/drawing/2014/main" id="{8FDD1EC4-35B3-49CC-ADD1-833ACF8B65B5}"/>
            </a:ext>
          </a:extLst>
        </xdr:cNvPr>
        <xdr:cNvSpPr txBox="1"/>
      </xdr:nvSpPr>
      <xdr:spPr>
        <a:xfrm>
          <a:off x="650665" y="28350031"/>
          <a:ext cx="5582401" cy="344838"/>
        </a:xfrm>
        <a:prstGeom prst="rect">
          <a:avLst/>
        </a:prstGeom>
        <a:noFill/>
      </xdr:spPr>
      <xdr:txBody>
        <a:bodyPr vertOverflow="clip" horzOverflow="clip" wrap="square" lIns="0" tIns="0" rIns="0" bIns="0" rtlCol="0" anchor="t">
          <a:spAutoFit/>
        </a:bodyPr>
        <a:lstStyle/>
        <a:p>
          <a:pPr>
            <a:lnSpc>
              <a:spcPts val="1400"/>
            </a:lnSpc>
          </a:pPr>
          <a:fld id="{2DCEBC9B-7176-4A89-B604-92E517E4285F}" type="TxLink">
            <a:rPr lang="en-US" sz="1000" b="0" i="0" u="none" strike="noStrike" kern="1200" dirty="0" smtClean="0">
              <a:solidFill>
                <a:srgbClr val="000000"/>
              </a:solidFill>
              <a:effectLst/>
              <a:latin typeface="Leelawadee"/>
              <a:ea typeface="+mn-ea"/>
              <a:cs typeface="Leelawadee"/>
            </a:rPr>
            <a:pPr>
              <a:lnSpc>
                <a:spcPts val="1400"/>
              </a:lnSpc>
            </a:pPr>
            <a:t>To carry out the valuation of Hazel Lighting India, we have relied on financial &amp; non-financialinformation provided by the Valuer including, but not limited to; </a:t>
          </a:fld>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4</xdr:col>
      <xdr:colOff>27695</xdr:colOff>
      <xdr:row>176</xdr:row>
      <xdr:rowOff>18393</xdr:rowOff>
    </xdr:from>
    <xdr:to>
      <xdr:col>4</xdr:col>
      <xdr:colOff>5610096</xdr:colOff>
      <xdr:row>179</xdr:row>
      <xdr:rowOff>47038</xdr:rowOff>
    </xdr:to>
    <xdr:sp macro="" textlink="Log!I15">
      <xdr:nvSpPr>
        <xdr:cNvPr id="64" name="TextBox 63">
          <a:extLst>
            <a:ext uri="{FF2B5EF4-FFF2-40B4-BE49-F238E27FC236}">
              <a16:creationId xmlns:a16="http://schemas.microsoft.com/office/drawing/2014/main" id="{98E76AA8-3670-467A-9ADC-07D7C8CBB241}"/>
            </a:ext>
          </a:extLst>
        </xdr:cNvPr>
        <xdr:cNvSpPr txBox="1"/>
      </xdr:nvSpPr>
      <xdr:spPr>
        <a:xfrm>
          <a:off x="6490584" y="32530393"/>
          <a:ext cx="5582401" cy="564867"/>
        </a:xfrm>
        <a:prstGeom prst="rect">
          <a:avLst/>
        </a:prstGeom>
        <a:noFill/>
      </xdr:spPr>
      <xdr:txBody>
        <a:bodyPr vertOverflow="clip" horzOverflow="clip" wrap="square" lIns="0" tIns="0" rIns="0" bIns="0" rtlCol="0" anchor="t">
          <a:noAutofit/>
        </a:bodyPr>
        <a:lstStyle/>
        <a:p>
          <a:pPr>
            <a:lnSpc>
              <a:spcPts val="1400"/>
            </a:lnSpc>
          </a:pPr>
          <a:fld id="{05105FAD-3253-45DA-92A6-60C46C660F48}" type="TxLink">
            <a:rPr lang="en-US" sz="1000" b="0" i="0" u="none" strike="noStrike" kern="1200" dirty="0" smtClean="0">
              <a:solidFill>
                <a:srgbClr val="000000"/>
              </a:solidFill>
              <a:effectLst/>
              <a:latin typeface="Leelawadee"/>
              <a:ea typeface="+mn-ea"/>
              <a:cs typeface="Leelawadee"/>
            </a:rPr>
            <a:pPr>
              <a:lnSpc>
                <a:spcPts val="1400"/>
              </a:lnSpc>
            </a:pPr>
            <a:t>#REF!</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489186</xdr:colOff>
      <xdr:row>195</xdr:row>
      <xdr:rowOff>150519</xdr:rowOff>
    </xdr:from>
    <xdr:to>
      <xdr:col>3</xdr:col>
      <xdr:colOff>3828</xdr:colOff>
      <xdr:row>198</xdr:row>
      <xdr:rowOff>9402</xdr:rowOff>
    </xdr:to>
    <xdr:sp macro="" textlink="Log!I17">
      <xdr:nvSpPr>
        <xdr:cNvPr id="65" name="TextBox 64">
          <a:extLst>
            <a:ext uri="{FF2B5EF4-FFF2-40B4-BE49-F238E27FC236}">
              <a16:creationId xmlns:a16="http://schemas.microsoft.com/office/drawing/2014/main" id="{7A1DD0E0-8D26-4C95-BAE4-0C840064DAFE}"/>
            </a:ext>
          </a:extLst>
        </xdr:cNvPr>
        <xdr:cNvSpPr txBox="1"/>
      </xdr:nvSpPr>
      <xdr:spPr>
        <a:xfrm>
          <a:off x="1089391" y="35640930"/>
          <a:ext cx="5081766" cy="380801"/>
        </a:xfrm>
        <a:prstGeom prst="rect">
          <a:avLst/>
        </a:prstGeom>
        <a:noFill/>
      </xdr:spPr>
      <xdr:txBody>
        <a:bodyPr vertOverflow="clip" horzOverflow="clip" wrap="square" lIns="0" tIns="0" rIns="0" bIns="0" rtlCol="0" anchor="t">
          <a:noAutofit/>
        </a:bodyPr>
        <a:lstStyle/>
        <a:p>
          <a:pPr>
            <a:lnSpc>
              <a:spcPts val="1400"/>
            </a:lnSpc>
          </a:pPr>
          <a:fld id="{DCD0A223-68DC-42B7-95CD-2407C7B9CE4C}" type="TxLink">
            <a:rPr lang="en-US" sz="1000" b="0" i="0" u="none" strike="noStrike" kern="1200" dirty="0" smtClean="0">
              <a:solidFill>
                <a:srgbClr val="000000"/>
              </a:solidFill>
              <a:effectLst/>
              <a:latin typeface="Leelawadee"/>
              <a:ea typeface="+mn-ea"/>
              <a:cs typeface="Leelawadee"/>
            </a:rPr>
            <a:pPr>
              <a:lnSpc>
                <a:spcPts val="1400"/>
              </a:lnSpc>
            </a:pPr>
            <a:t>Lazure Worldwide FZCOis a Growing Service Provider in the Electrical Equipment industry in India.</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editAs="oneCell">
    <xdr:from>
      <xdr:col>2</xdr:col>
      <xdr:colOff>18815</xdr:colOff>
      <xdr:row>195</xdr:row>
      <xdr:rowOff>112885</xdr:rowOff>
    </xdr:from>
    <xdr:to>
      <xdr:col>2</xdr:col>
      <xdr:colOff>442149</xdr:colOff>
      <xdr:row>198</xdr:row>
      <xdr:rowOff>1285</xdr:rowOff>
    </xdr:to>
    <xdr:pic>
      <xdr:nvPicPr>
        <xdr:cNvPr id="67" name="Graphic 66" descr="Badge Question Mark with solid fill">
          <a:extLst>
            <a:ext uri="{FF2B5EF4-FFF2-40B4-BE49-F238E27FC236}">
              <a16:creationId xmlns:a16="http://schemas.microsoft.com/office/drawing/2014/main" id="{22A7BA7A-5050-474F-D8D7-2E7C679C075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39704" y="36425478"/>
          <a:ext cx="423334" cy="423334"/>
        </a:xfrm>
        <a:prstGeom prst="rect">
          <a:avLst/>
        </a:prstGeom>
      </xdr:spPr>
    </xdr:pic>
    <xdr:clientData/>
  </xdr:twoCellAnchor>
  <xdr:twoCellAnchor>
    <xdr:from>
      <xdr:col>2</xdr:col>
      <xdr:colOff>404518</xdr:colOff>
      <xdr:row>200</xdr:row>
      <xdr:rowOff>39513</xdr:rowOff>
    </xdr:from>
    <xdr:to>
      <xdr:col>2</xdr:col>
      <xdr:colOff>5625630</xdr:colOff>
      <xdr:row>202</xdr:row>
      <xdr:rowOff>77136</xdr:rowOff>
    </xdr:to>
    <xdr:sp macro="" textlink="Log!I18">
      <xdr:nvSpPr>
        <xdr:cNvPr id="68" name="TextBox 67">
          <a:extLst>
            <a:ext uri="{FF2B5EF4-FFF2-40B4-BE49-F238E27FC236}">
              <a16:creationId xmlns:a16="http://schemas.microsoft.com/office/drawing/2014/main" id="{90A7DD45-8E4F-4042-B8C1-347E901BBBEB}"/>
            </a:ext>
          </a:extLst>
        </xdr:cNvPr>
        <xdr:cNvSpPr txBox="1"/>
      </xdr:nvSpPr>
      <xdr:spPr>
        <a:xfrm>
          <a:off x="1025407" y="37245809"/>
          <a:ext cx="5221112" cy="395105"/>
        </a:xfrm>
        <a:prstGeom prst="rect">
          <a:avLst/>
        </a:prstGeom>
        <a:noFill/>
      </xdr:spPr>
      <xdr:txBody>
        <a:bodyPr vertOverflow="clip" horzOverflow="clip" wrap="square" lIns="0" tIns="0" rIns="0" bIns="0" rtlCol="0" anchor="t">
          <a:noAutofit/>
        </a:bodyPr>
        <a:lstStyle/>
        <a:p>
          <a:pPr>
            <a:lnSpc>
              <a:spcPts val="1400"/>
            </a:lnSpc>
          </a:pPr>
          <a:fld id="{A0D5E1FE-586B-4123-90E8-3E104236F3C4}" type="TxLink">
            <a:rPr lang="en-US" sz="1000" b="0" i="0" u="none" strike="noStrike" kern="1200" dirty="0" smtClean="0">
              <a:solidFill>
                <a:srgbClr val="000000"/>
              </a:solidFill>
              <a:effectLst/>
              <a:latin typeface="Leelawadee"/>
              <a:ea typeface="+mn-ea"/>
              <a:cs typeface="Leelawadee"/>
            </a:rPr>
            <a:pPr>
              <a:lnSpc>
                <a:spcPts val="1400"/>
              </a:lnSpc>
            </a:pPr>
            <a:t>Hazel Lighting India's existing business includes Residential lighting, Hotels &amp; Hospitals, Government &amp; Infrastructure and  Distributorship</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404518</xdr:colOff>
      <xdr:row>202</xdr:row>
      <xdr:rowOff>69616</xdr:rowOff>
    </xdr:from>
    <xdr:to>
      <xdr:col>2</xdr:col>
      <xdr:colOff>5625630</xdr:colOff>
      <xdr:row>204</xdr:row>
      <xdr:rowOff>107240</xdr:rowOff>
    </xdr:to>
    <xdr:sp macro="" textlink="Log!I19">
      <xdr:nvSpPr>
        <xdr:cNvPr id="69" name="TextBox 68">
          <a:extLst>
            <a:ext uri="{FF2B5EF4-FFF2-40B4-BE49-F238E27FC236}">
              <a16:creationId xmlns:a16="http://schemas.microsoft.com/office/drawing/2014/main" id="{7BE79F7D-6F8B-4179-8937-4C55D6A33481}"/>
            </a:ext>
          </a:extLst>
        </xdr:cNvPr>
        <xdr:cNvSpPr txBox="1"/>
      </xdr:nvSpPr>
      <xdr:spPr>
        <a:xfrm>
          <a:off x="1025407" y="37633394"/>
          <a:ext cx="5221112" cy="395105"/>
        </a:xfrm>
        <a:prstGeom prst="rect">
          <a:avLst/>
        </a:prstGeom>
        <a:noFill/>
      </xdr:spPr>
      <xdr:txBody>
        <a:bodyPr vertOverflow="clip" horzOverflow="clip" wrap="square" lIns="0" tIns="0" rIns="0" bIns="0" rtlCol="0" anchor="t">
          <a:noAutofit/>
        </a:bodyPr>
        <a:lstStyle/>
        <a:p>
          <a:pPr>
            <a:lnSpc>
              <a:spcPts val="1400"/>
            </a:lnSpc>
          </a:pPr>
          <a:fld id="{FFD19572-B21E-4210-BF96-EF912AF54DB4}" type="TxLink">
            <a:rPr lang="en-US" sz="1000" b="0" i="0" u="none" strike="noStrike" kern="1200" dirty="0" smtClean="0">
              <a:solidFill>
                <a:srgbClr val="000000"/>
              </a:solidFill>
              <a:effectLst/>
              <a:latin typeface="Leelawadee"/>
              <a:ea typeface="+mn-ea"/>
              <a:cs typeface="Leelawadee"/>
            </a:rPr>
            <a:pPr>
              <a:lnSpc>
                <a:spcPts val="1400"/>
              </a:lnSpc>
            </a:pPr>
            <a:t>Further, as per provided information, UAE &amp; Oman projects, NA, NA, NA are in confirmed pipeline during the next 5 years.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404518</xdr:colOff>
      <xdr:row>205</xdr:row>
      <xdr:rowOff>127942</xdr:rowOff>
    </xdr:from>
    <xdr:to>
      <xdr:col>2</xdr:col>
      <xdr:colOff>5625630</xdr:colOff>
      <xdr:row>207</xdr:row>
      <xdr:rowOff>165566</xdr:rowOff>
    </xdr:to>
    <xdr:sp macro="" textlink="Log!I20">
      <xdr:nvSpPr>
        <xdr:cNvPr id="70" name="TextBox 69">
          <a:extLst>
            <a:ext uri="{FF2B5EF4-FFF2-40B4-BE49-F238E27FC236}">
              <a16:creationId xmlns:a16="http://schemas.microsoft.com/office/drawing/2014/main" id="{0E6948F9-1F35-4762-8822-716B20C0F4CC}"/>
            </a:ext>
          </a:extLst>
        </xdr:cNvPr>
        <xdr:cNvSpPr txBox="1"/>
      </xdr:nvSpPr>
      <xdr:spPr>
        <a:xfrm>
          <a:off x="1025407" y="38227942"/>
          <a:ext cx="5221112" cy="395105"/>
        </a:xfrm>
        <a:prstGeom prst="rect">
          <a:avLst/>
        </a:prstGeom>
        <a:noFill/>
      </xdr:spPr>
      <xdr:txBody>
        <a:bodyPr vertOverflow="clip" horzOverflow="clip" wrap="square" lIns="0" tIns="0" rIns="0" bIns="0" rtlCol="0" anchor="t">
          <a:noAutofit/>
        </a:bodyPr>
        <a:lstStyle/>
        <a:p>
          <a:pPr>
            <a:lnSpc>
              <a:spcPts val="1400"/>
            </a:lnSpc>
          </a:pPr>
          <a:fld id="{B172D30C-35A7-4E61-8CC0-5F52E03926CE}" type="TxLink">
            <a:rPr lang="en-US" sz="1000" b="0" i="0" u="none" strike="noStrike" kern="1200" dirty="0" smtClean="0">
              <a:solidFill>
                <a:srgbClr val="000000"/>
              </a:solidFill>
              <a:effectLst/>
              <a:latin typeface="Leelawadee"/>
              <a:ea typeface="+mn-ea"/>
              <a:cs typeface="Leelawadee"/>
            </a:rPr>
            <a:pPr>
              <a:lnSpc>
                <a:spcPts val="1400"/>
              </a:lnSpc>
            </a:pPr>
            <a:t>Lastly, as per the provided information, the Company aims to develop business into Product contracts by specifiers, NA, NA and NA over the next 5 years.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editAs="oneCell">
    <xdr:from>
      <xdr:col>1</xdr:col>
      <xdr:colOff>84666</xdr:colOff>
      <xdr:row>202</xdr:row>
      <xdr:rowOff>28223</xdr:rowOff>
    </xdr:from>
    <xdr:to>
      <xdr:col>2</xdr:col>
      <xdr:colOff>367925</xdr:colOff>
      <xdr:row>204</xdr:row>
      <xdr:rowOff>95112</xdr:rowOff>
    </xdr:to>
    <xdr:pic>
      <xdr:nvPicPr>
        <xdr:cNvPr id="72" name="Graphic 71" descr="Handshake with solid fill">
          <a:extLst>
            <a:ext uri="{FF2B5EF4-FFF2-40B4-BE49-F238E27FC236}">
              <a16:creationId xmlns:a16="http://schemas.microsoft.com/office/drawing/2014/main" id="{45CA40D8-DB5F-AA77-0957-F924D43BCF9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4444" y="37592001"/>
          <a:ext cx="424370" cy="424370"/>
        </a:xfrm>
        <a:prstGeom prst="rect">
          <a:avLst/>
        </a:prstGeom>
      </xdr:spPr>
    </xdr:pic>
    <xdr:clientData/>
  </xdr:twoCellAnchor>
  <xdr:twoCellAnchor editAs="oneCell">
    <xdr:from>
      <xdr:col>1</xdr:col>
      <xdr:colOff>103481</xdr:colOff>
      <xdr:row>205</xdr:row>
      <xdr:rowOff>131183</xdr:rowOff>
    </xdr:from>
    <xdr:to>
      <xdr:col>2</xdr:col>
      <xdr:colOff>349110</xdr:colOff>
      <xdr:row>207</xdr:row>
      <xdr:rowOff>160442</xdr:rowOff>
    </xdr:to>
    <xdr:pic>
      <xdr:nvPicPr>
        <xdr:cNvPr id="74" name="Graphic 73" descr="Crops with solid fill">
          <a:extLst>
            <a:ext uri="{FF2B5EF4-FFF2-40B4-BE49-F238E27FC236}">
              <a16:creationId xmlns:a16="http://schemas.microsoft.com/office/drawing/2014/main" id="{407F21D9-F44E-31E7-B901-EB1A0D1A11A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3259" y="38231183"/>
          <a:ext cx="386740" cy="386740"/>
        </a:xfrm>
        <a:prstGeom prst="rect">
          <a:avLst/>
        </a:prstGeom>
      </xdr:spPr>
    </xdr:pic>
    <xdr:clientData/>
  </xdr:twoCellAnchor>
  <xdr:twoCellAnchor editAs="oneCell">
    <xdr:from>
      <xdr:col>2</xdr:col>
      <xdr:colOff>9408</xdr:colOff>
      <xdr:row>200</xdr:row>
      <xdr:rowOff>27185</xdr:rowOff>
    </xdr:from>
    <xdr:to>
      <xdr:col>2</xdr:col>
      <xdr:colOff>330296</xdr:colOff>
      <xdr:row>201</xdr:row>
      <xdr:rowOff>169332</xdr:rowOff>
    </xdr:to>
    <xdr:pic>
      <xdr:nvPicPr>
        <xdr:cNvPr id="76" name="Graphic 75" descr="Briefcase with solid fill">
          <a:extLst>
            <a:ext uri="{FF2B5EF4-FFF2-40B4-BE49-F238E27FC236}">
              <a16:creationId xmlns:a16="http://schemas.microsoft.com/office/drawing/2014/main" id="{C481C069-AFC6-D5DC-5EB8-4A56D9DEC2B1}"/>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630297" y="37233481"/>
          <a:ext cx="320888" cy="320888"/>
        </a:xfrm>
        <a:prstGeom prst="rect">
          <a:avLst/>
        </a:prstGeom>
      </xdr:spPr>
    </xdr:pic>
    <xdr:clientData/>
  </xdr:twoCellAnchor>
  <xdr:twoCellAnchor>
    <xdr:from>
      <xdr:col>2</xdr:col>
      <xdr:colOff>37628</xdr:colOff>
      <xdr:row>218</xdr:row>
      <xdr:rowOff>16943</xdr:rowOff>
    </xdr:from>
    <xdr:to>
      <xdr:col>3</xdr:col>
      <xdr:colOff>75257</xdr:colOff>
      <xdr:row>220</xdr:row>
      <xdr:rowOff>54567</xdr:rowOff>
    </xdr:to>
    <xdr:sp macro="" textlink="Log!I22">
      <xdr:nvSpPr>
        <xdr:cNvPr id="77" name="TextBox 76">
          <a:extLst>
            <a:ext uri="{FF2B5EF4-FFF2-40B4-BE49-F238E27FC236}">
              <a16:creationId xmlns:a16="http://schemas.microsoft.com/office/drawing/2014/main" id="{22759FC9-30F0-4B35-95A5-7C29E7B1EAD9}"/>
            </a:ext>
          </a:extLst>
        </xdr:cNvPr>
        <xdr:cNvSpPr txBox="1"/>
      </xdr:nvSpPr>
      <xdr:spPr>
        <a:xfrm>
          <a:off x="658517" y="40421758"/>
          <a:ext cx="5691481" cy="395105"/>
        </a:xfrm>
        <a:prstGeom prst="rect">
          <a:avLst/>
        </a:prstGeom>
        <a:noFill/>
      </xdr:spPr>
      <xdr:txBody>
        <a:bodyPr vertOverflow="clip" horzOverflow="clip" wrap="square" lIns="0" tIns="0" rIns="0" bIns="0" rtlCol="0" anchor="t">
          <a:noAutofit/>
        </a:bodyPr>
        <a:lstStyle/>
        <a:p>
          <a:pPr>
            <a:lnSpc>
              <a:spcPts val="1400"/>
            </a:lnSpc>
          </a:pPr>
          <a:fld id="{D0CE999B-EC04-4E04-806C-2E0282EB06CB}" type="TxLink">
            <a:rPr lang="en-US" sz="1000" b="0" i="0" u="none" strike="noStrike" kern="1200" dirty="0" smtClean="0">
              <a:solidFill>
                <a:srgbClr val="000000"/>
              </a:solidFill>
              <a:effectLst/>
              <a:latin typeface="Leelawadee"/>
              <a:ea typeface="+mn-ea"/>
              <a:cs typeface="Leelawadee"/>
            </a:rPr>
            <a:pPr>
              <a:lnSpc>
                <a:spcPts val="1400"/>
              </a:lnSpc>
            </a:pPr>
            <a:t>Hazel Lighting India has a secondary business as a Distributor in Electrical Equipment which contributes 50% to Company revenues.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213360</xdr:colOff>
      <xdr:row>5</xdr:row>
      <xdr:rowOff>106680</xdr:rowOff>
    </xdr:from>
    <xdr:to>
      <xdr:col>5</xdr:col>
      <xdr:colOff>723900</xdr:colOff>
      <xdr:row>14</xdr:row>
      <xdr:rowOff>60960</xdr:rowOff>
    </xdr:to>
    <xdr:graphicFrame macro="">
      <xdr:nvGraphicFramePr>
        <xdr:cNvPr id="2" name="Chart 1">
          <a:extLst>
            <a:ext uri="{FF2B5EF4-FFF2-40B4-BE49-F238E27FC236}">
              <a16:creationId xmlns:a16="http://schemas.microsoft.com/office/drawing/2014/main" id="{A9ADE914-C183-64C8-24D0-66A93FA0B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117732</xdr:colOff>
      <xdr:row>38</xdr:row>
      <xdr:rowOff>113689</xdr:rowOff>
    </xdr:from>
    <xdr:to>
      <xdr:col>5</xdr:col>
      <xdr:colOff>0</xdr:colOff>
      <xdr:row>58</xdr:row>
      <xdr:rowOff>149677</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38</xdr:row>
      <xdr:rowOff>92540</xdr:rowOff>
    </xdr:from>
    <xdr:to>
      <xdr:col>24</xdr:col>
      <xdr:colOff>56641</xdr:colOff>
      <xdr:row>56</xdr:row>
      <xdr:rowOff>92908</xdr:rowOff>
    </xdr:to>
    <xdr:graphicFrame macro="">
      <xdr:nvGraphicFramePr>
        <xdr:cNvPr id="2"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26</xdr:col>
      <xdr:colOff>304870</xdr:colOff>
      <xdr:row>5</xdr:row>
      <xdr:rowOff>17379</xdr:rowOff>
    </xdr:from>
    <xdr:to>
      <xdr:col>34</xdr:col>
      <xdr:colOff>575909</xdr:colOff>
      <xdr:row>43</xdr:row>
      <xdr:rowOff>44133</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17</xdr:col>
      <xdr:colOff>430370</xdr:colOff>
      <xdr:row>90</xdr:row>
      <xdr:rowOff>102655</xdr:rowOff>
    </xdr:from>
    <xdr:to>
      <xdr:col>27</xdr:col>
      <xdr:colOff>107560</xdr:colOff>
      <xdr:row>105</xdr:row>
      <xdr:rowOff>78215</xdr:rowOff>
    </xdr:to>
    <xdr:graphicFrame macro="">
      <xdr:nvGraphicFramePr>
        <xdr:cNvPr id="3"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430370</xdr:colOff>
      <xdr:row>40</xdr:row>
      <xdr:rowOff>102655</xdr:rowOff>
    </xdr:from>
    <xdr:to>
      <xdr:col>27</xdr:col>
      <xdr:colOff>107560</xdr:colOff>
      <xdr:row>55</xdr:row>
      <xdr:rowOff>0</xdr:rowOff>
    </xdr:to>
    <xdr:graphicFrame macro="">
      <xdr:nvGraphicFramePr>
        <xdr:cNvPr id="2" name="Chart 1">
          <a:extLst>
            <a:ext uri="{FF2B5EF4-FFF2-40B4-BE49-F238E27FC236}">
              <a16:creationId xmlns:a16="http://schemas.microsoft.com/office/drawing/2014/main" id="{6EFEC8D1-509A-4110-8749-2660654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576792</xdr:colOff>
      <xdr:row>109</xdr:row>
      <xdr:rowOff>115357</xdr:rowOff>
    </xdr:from>
    <xdr:to>
      <xdr:col>25</xdr:col>
      <xdr:colOff>598714</xdr:colOff>
      <xdr:row>140</xdr:row>
      <xdr:rowOff>0</xdr:rowOff>
    </xdr:to>
    <xdr:graphicFrame macro="">
      <xdr:nvGraphicFramePr>
        <xdr:cNvPr id="2" name="Chart 1">
          <a:extLst>
            <a:ext uri="{FF2B5EF4-FFF2-40B4-BE49-F238E27FC236}">
              <a16:creationId xmlns:a16="http://schemas.microsoft.com/office/drawing/2014/main" id="{CF2B54C4-0356-414B-AC09-E3362B267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mina.burhani/Desktop/Work/Valify/Valify%20Storyboard%200102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mina.burhani/Desktop/Work/Valify/Valify%20Form%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Finance/MAN_ACCS/2007-2008/Monthly/Sep%2008/Group%20Management%20Pack%20Sep%2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Finance/Head%20Office%20MAN_ACCS/2009-2010/F%20April%202010/Budget%20Template%20REVIEW%20v2%20YT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NTSERVER/OFFICE/HOME/OFFICE/DAMAS/Damas99/Diamond%20Division/HOME/OFFICE/DAMAS/Damas99/Shop%20Division/AAJT9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enovo/Downloads/FM%20template%2006%20-%20view%20vers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hyperlink" Target="http://home.treasury.gov/resource-center/data-chart-center/interest-rates/TextView?type=daily_treasury_yield_curve&amp;field_tdr_date_value=2024" TargetMode="External"/><Relationship Id="rId2" Type="http://schemas.openxmlformats.org/officeDocument/2006/relationships/hyperlink" Target="http://www.imf.org/en/Countries/ARE" TargetMode="External"/><Relationship Id="rId1" Type="http://schemas.openxmlformats.org/officeDocument/2006/relationships/hyperlink" Target="http://www.imf.org/en/Countries/USA" TargetMode="External"/><Relationship Id="rId6" Type="http://schemas.openxmlformats.org/officeDocument/2006/relationships/comments" Target="../comments2.xml"/><Relationship Id="rId5" Type="http://schemas.openxmlformats.org/officeDocument/2006/relationships/vmlDrawing" Target="../drawings/vmlDrawing3.vml"/><Relationship Id="rId4"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5.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6.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3.xml.rels><?xml version="1.0" encoding="UTF-8" standalone="yes"?>
<Relationships xmlns="http://schemas.openxmlformats.org/package/2006/relationships"><Relationship Id="rId117" Type="http://schemas.openxmlformats.org/officeDocument/2006/relationships/hyperlink" Target="https://tradingeconomics.com/philippines/corporate-tax-rate" TargetMode="External"/><Relationship Id="rId21" Type="http://schemas.openxmlformats.org/officeDocument/2006/relationships/hyperlink" Target="https://tradingeconomics.com/botswana/corporate-tax-rate" TargetMode="External"/><Relationship Id="rId42" Type="http://schemas.openxmlformats.org/officeDocument/2006/relationships/hyperlink" Target="https://tradingeconomics.com/egypt/corporate-tax-rate" TargetMode="External"/><Relationship Id="rId63" Type="http://schemas.openxmlformats.org/officeDocument/2006/relationships/hyperlink" Target="https://tradingeconomics.com/hungary/corporate-tax-rate" TargetMode="External"/><Relationship Id="rId84" Type="http://schemas.openxmlformats.org/officeDocument/2006/relationships/hyperlink" Target="https://tradingeconomics.com/libya/corporate-tax-rate" TargetMode="External"/><Relationship Id="rId138" Type="http://schemas.openxmlformats.org/officeDocument/2006/relationships/hyperlink" Target="https://tradingeconomics.com/spain/corporate-tax-rate" TargetMode="External"/><Relationship Id="rId159" Type="http://schemas.openxmlformats.org/officeDocument/2006/relationships/hyperlink" Target="https://tradingeconomics.com/uzbekistan/corporate-tax-rate" TargetMode="External"/><Relationship Id="rId107" Type="http://schemas.openxmlformats.org/officeDocument/2006/relationships/hyperlink" Target="https://tradingeconomics.com/new-zealand/corporate-tax-rate" TargetMode="External"/><Relationship Id="rId11" Type="http://schemas.openxmlformats.org/officeDocument/2006/relationships/hyperlink" Target="https://tradingeconomics.com/bahamas/corporate-tax-rate" TargetMode="External"/><Relationship Id="rId32" Type="http://schemas.openxmlformats.org/officeDocument/2006/relationships/hyperlink" Target="https://tradingeconomics.com/china/corporate-tax-rate" TargetMode="External"/><Relationship Id="rId53" Type="http://schemas.openxmlformats.org/officeDocument/2006/relationships/hyperlink" Target="https://tradingeconomics.com/gambia/corporate-tax-rate" TargetMode="External"/><Relationship Id="rId74" Type="http://schemas.openxmlformats.org/officeDocument/2006/relationships/hyperlink" Target="https://tradingeconomics.com/japan/corporate-tax-rate" TargetMode="External"/><Relationship Id="rId128" Type="http://schemas.openxmlformats.org/officeDocument/2006/relationships/hyperlink" Target="https://tradingeconomics.com/senegal/corporate-tax-rate" TargetMode="External"/><Relationship Id="rId149" Type="http://schemas.openxmlformats.org/officeDocument/2006/relationships/hyperlink" Target="https://tradingeconomics.com/tonga/corporate-tax-rate" TargetMode="External"/><Relationship Id="rId5" Type="http://schemas.openxmlformats.org/officeDocument/2006/relationships/hyperlink" Target="https://tradingeconomics.com/argentina/corporate-tax-rate" TargetMode="External"/><Relationship Id="rId95" Type="http://schemas.openxmlformats.org/officeDocument/2006/relationships/hyperlink" Target="https://tradingeconomics.com/mauritania/corporate-tax-rate" TargetMode="External"/><Relationship Id="rId160" Type="http://schemas.openxmlformats.org/officeDocument/2006/relationships/hyperlink" Target="https://tradingeconomics.com/vanuatu/corporate-tax-rate" TargetMode="External"/><Relationship Id="rId22" Type="http://schemas.openxmlformats.org/officeDocument/2006/relationships/hyperlink" Target="https://tradingeconomics.com/brazil/corporate-tax-rate" TargetMode="External"/><Relationship Id="rId43" Type="http://schemas.openxmlformats.org/officeDocument/2006/relationships/hyperlink" Target="https://tradingeconomics.com/el-salvador/corporate-tax-rate" TargetMode="External"/><Relationship Id="rId64" Type="http://schemas.openxmlformats.org/officeDocument/2006/relationships/hyperlink" Target="https://tradingeconomics.com/iceland/corporate-tax-rate" TargetMode="External"/><Relationship Id="rId118" Type="http://schemas.openxmlformats.org/officeDocument/2006/relationships/hyperlink" Target="https://tradingeconomics.com/poland/corporate-tax-rate" TargetMode="External"/><Relationship Id="rId139" Type="http://schemas.openxmlformats.org/officeDocument/2006/relationships/hyperlink" Target="https://tradingeconomics.com/sri-lanka/corporate-tax-rate" TargetMode="External"/><Relationship Id="rId85" Type="http://schemas.openxmlformats.org/officeDocument/2006/relationships/hyperlink" Target="https://tradingeconomics.com/liechtenstein/corporate-tax-rate" TargetMode="External"/><Relationship Id="rId150" Type="http://schemas.openxmlformats.org/officeDocument/2006/relationships/hyperlink" Target="https://tradingeconomics.com/trinidad-and-tobago/corporate-tax-rate" TargetMode="External"/><Relationship Id="rId12" Type="http://schemas.openxmlformats.org/officeDocument/2006/relationships/hyperlink" Target="https://tradingeconomics.com/bahrain/corporate-tax-rate" TargetMode="External"/><Relationship Id="rId17" Type="http://schemas.openxmlformats.org/officeDocument/2006/relationships/hyperlink" Target="https://tradingeconomics.com/benin/corporate-tax-rate" TargetMode="External"/><Relationship Id="rId33" Type="http://schemas.openxmlformats.org/officeDocument/2006/relationships/hyperlink" Target="https://tradingeconomics.com/colombia/corporate-tax-rate" TargetMode="External"/><Relationship Id="rId38" Type="http://schemas.openxmlformats.org/officeDocument/2006/relationships/hyperlink" Target="https://tradingeconomics.com/czech-republic/corporate-tax-rate" TargetMode="External"/><Relationship Id="rId59" Type="http://schemas.openxmlformats.org/officeDocument/2006/relationships/hyperlink" Target="https://tradingeconomics.com/guatemala/corporate-tax-rate" TargetMode="External"/><Relationship Id="rId103" Type="http://schemas.openxmlformats.org/officeDocument/2006/relationships/hyperlink" Target="https://tradingeconomics.com/mozambique/corporate-tax-rate" TargetMode="External"/><Relationship Id="rId108" Type="http://schemas.openxmlformats.org/officeDocument/2006/relationships/hyperlink" Target="https://tradingeconomics.com/nicaragua/corporate-tax-rate" TargetMode="External"/><Relationship Id="rId124" Type="http://schemas.openxmlformats.org/officeDocument/2006/relationships/hyperlink" Target="https://tradingeconomics.com/russia/corporate-tax-rate" TargetMode="External"/><Relationship Id="rId129" Type="http://schemas.openxmlformats.org/officeDocument/2006/relationships/hyperlink" Target="https://tradingeconomics.com/serbia/corporate-tax-rate" TargetMode="External"/><Relationship Id="rId54" Type="http://schemas.openxmlformats.org/officeDocument/2006/relationships/hyperlink" Target="https://tradingeconomics.com/georgia/corporate-tax-rate" TargetMode="External"/><Relationship Id="rId70" Type="http://schemas.openxmlformats.org/officeDocument/2006/relationships/hyperlink" Target="https://tradingeconomics.com/israel/corporate-tax-rate" TargetMode="External"/><Relationship Id="rId75" Type="http://schemas.openxmlformats.org/officeDocument/2006/relationships/hyperlink" Target="https://tradingeconomics.com/jordan/corporate-tax-rate" TargetMode="External"/><Relationship Id="rId91" Type="http://schemas.openxmlformats.org/officeDocument/2006/relationships/hyperlink" Target="https://tradingeconomics.com/malawi/corporate-tax-rate" TargetMode="External"/><Relationship Id="rId96" Type="http://schemas.openxmlformats.org/officeDocument/2006/relationships/hyperlink" Target="https://tradingeconomics.com/mauritius/corporate-tax-rate" TargetMode="External"/><Relationship Id="rId140" Type="http://schemas.openxmlformats.org/officeDocument/2006/relationships/hyperlink" Target="https://tradingeconomics.com/sudan/corporate-tax-rate" TargetMode="External"/><Relationship Id="rId145" Type="http://schemas.openxmlformats.org/officeDocument/2006/relationships/hyperlink" Target="https://tradingeconomics.com/syria/corporate-tax-rate" TargetMode="External"/><Relationship Id="rId161" Type="http://schemas.openxmlformats.org/officeDocument/2006/relationships/hyperlink" Target="https://tradingeconomics.com/venezuela/corporate-tax-rate" TargetMode="External"/><Relationship Id="rId1" Type="http://schemas.openxmlformats.org/officeDocument/2006/relationships/hyperlink" Target="https://tradingeconomics.com/afghanistan/corporate-tax-rate" TargetMode="External"/><Relationship Id="rId6" Type="http://schemas.openxmlformats.org/officeDocument/2006/relationships/hyperlink" Target="https://tradingeconomics.com/armenia/corporate-tax-rate" TargetMode="External"/><Relationship Id="rId23" Type="http://schemas.openxmlformats.org/officeDocument/2006/relationships/hyperlink" Target="https://tradingeconomics.com/brunei/corporate-tax-rate" TargetMode="External"/><Relationship Id="rId28" Type="http://schemas.openxmlformats.org/officeDocument/2006/relationships/hyperlink" Target="https://tradingeconomics.com/canada/corporate-tax-rate" TargetMode="External"/><Relationship Id="rId49" Type="http://schemas.openxmlformats.org/officeDocument/2006/relationships/hyperlink" Target="https://tradingeconomics.com/fiji/corporate-tax-rate" TargetMode="External"/><Relationship Id="rId114" Type="http://schemas.openxmlformats.org/officeDocument/2006/relationships/hyperlink" Target="https://tradingeconomics.com/papua-new-guinea/corporate-tax-rate" TargetMode="External"/><Relationship Id="rId119" Type="http://schemas.openxmlformats.org/officeDocument/2006/relationships/hyperlink" Target="https://tradingeconomics.com/portugal/corporate-tax-rate" TargetMode="External"/><Relationship Id="rId44" Type="http://schemas.openxmlformats.org/officeDocument/2006/relationships/hyperlink" Target="https://tradingeconomics.com/equatorial-guinea/corporate-tax-rate" TargetMode="External"/><Relationship Id="rId60" Type="http://schemas.openxmlformats.org/officeDocument/2006/relationships/hyperlink" Target="https://tradingeconomics.com/guinea/corporate-tax-rate" TargetMode="External"/><Relationship Id="rId65" Type="http://schemas.openxmlformats.org/officeDocument/2006/relationships/hyperlink" Target="https://tradingeconomics.com/india/corporate-tax-rate" TargetMode="External"/><Relationship Id="rId81" Type="http://schemas.openxmlformats.org/officeDocument/2006/relationships/hyperlink" Target="https://tradingeconomics.com/latvia/corporate-tax-rate" TargetMode="External"/><Relationship Id="rId86" Type="http://schemas.openxmlformats.org/officeDocument/2006/relationships/hyperlink" Target="https://tradingeconomics.com/lithuania/corporate-tax-rate" TargetMode="External"/><Relationship Id="rId130" Type="http://schemas.openxmlformats.org/officeDocument/2006/relationships/hyperlink" Target="https://tradingeconomics.com/seychelles/corporate-tax-rate" TargetMode="External"/><Relationship Id="rId135" Type="http://schemas.openxmlformats.org/officeDocument/2006/relationships/hyperlink" Target="https://tradingeconomics.com/solomon-islands/corporate-tax-rate" TargetMode="External"/><Relationship Id="rId151" Type="http://schemas.openxmlformats.org/officeDocument/2006/relationships/hyperlink" Target="https://tradingeconomics.com/tunisia/corporate-tax-rate" TargetMode="External"/><Relationship Id="rId156" Type="http://schemas.openxmlformats.org/officeDocument/2006/relationships/hyperlink" Target="https://tradingeconomics.com/united-kingdom/corporate-tax-rate" TargetMode="External"/><Relationship Id="rId13" Type="http://schemas.openxmlformats.org/officeDocument/2006/relationships/hyperlink" Target="https://tradingeconomics.com/bangladesh/corporate-tax-rate" TargetMode="External"/><Relationship Id="rId18" Type="http://schemas.openxmlformats.org/officeDocument/2006/relationships/hyperlink" Target="https://tradingeconomics.com/bermuda/corporate-tax-rate" TargetMode="External"/><Relationship Id="rId39" Type="http://schemas.openxmlformats.org/officeDocument/2006/relationships/hyperlink" Target="https://tradingeconomics.com/denmark/corporate-tax-rate" TargetMode="External"/><Relationship Id="rId109" Type="http://schemas.openxmlformats.org/officeDocument/2006/relationships/hyperlink" Target="https://tradingeconomics.com/nigeria/corporate-tax-rate" TargetMode="External"/><Relationship Id="rId34" Type="http://schemas.openxmlformats.org/officeDocument/2006/relationships/hyperlink" Target="https://tradingeconomics.com/congo/corporate-tax-rate" TargetMode="External"/><Relationship Id="rId50" Type="http://schemas.openxmlformats.org/officeDocument/2006/relationships/hyperlink" Target="https://tradingeconomics.com/finland/corporate-tax-rate" TargetMode="External"/><Relationship Id="rId55" Type="http://schemas.openxmlformats.org/officeDocument/2006/relationships/hyperlink" Target="https://tradingeconomics.com/germany/corporate-tax-rate" TargetMode="External"/><Relationship Id="rId76" Type="http://schemas.openxmlformats.org/officeDocument/2006/relationships/hyperlink" Target="https://tradingeconomics.com/kazakhstan/corporate-tax-rate" TargetMode="External"/><Relationship Id="rId97" Type="http://schemas.openxmlformats.org/officeDocument/2006/relationships/hyperlink" Target="https://tradingeconomics.com/mexico/corporate-tax-rate" TargetMode="External"/><Relationship Id="rId104" Type="http://schemas.openxmlformats.org/officeDocument/2006/relationships/hyperlink" Target="https://tradingeconomics.com/myanmar/corporate-tax-rate" TargetMode="External"/><Relationship Id="rId120" Type="http://schemas.openxmlformats.org/officeDocument/2006/relationships/hyperlink" Target="https://tradingeconomics.com/puerto-rico/corporate-tax-rate" TargetMode="External"/><Relationship Id="rId125" Type="http://schemas.openxmlformats.org/officeDocument/2006/relationships/hyperlink" Target="https://tradingeconomics.com/rwanda/corporate-tax-rate" TargetMode="External"/><Relationship Id="rId141" Type="http://schemas.openxmlformats.org/officeDocument/2006/relationships/hyperlink" Target="https://tradingeconomics.com/suriname/corporate-tax-rate" TargetMode="External"/><Relationship Id="rId146" Type="http://schemas.openxmlformats.org/officeDocument/2006/relationships/hyperlink" Target="https://tradingeconomics.com/taiwan/corporate-tax-rate" TargetMode="External"/><Relationship Id="rId7" Type="http://schemas.openxmlformats.org/officeDocument/2006/relationships/hyperlink" Target="https://tradingeconomics.com/aruba/corporate-tax-rate" TargetMode="External"/><Relationship Id="rId71" Type="http://schemas.openxmlformats.org/officeDocument/2006/relationships/hyperlink" Target="https://tradingeconomics.com/italy/corporate-tax-rate" TargetMode="External"/><Relationship Id="rId92" Type="http://schemas.openxmlformats.org/officeDocument/2006/relationships/hyperlink" Target="https://tradingeconomics.com/malaysia/corporate-tax-rate" TargetMode="External"/><Relationship Id="rId162" Type="http://schemas.openxmlformats.org/officeDocument/2006/relationships/hyperlink" Target="https://tradingeconomics.com/vietnam/corporate-tax-rate" TargetMode="External"/><Relationship Id="rId2" Type="http://schemas.openxmlformats.org/officeDocument/2006/relationships/hyperlink" Target="https://tradingeconomics.com/albania/corporate-tax-rate" TargetMode="External"/><Relationship Id="rId29" Type="http://schemas.openxmlformats.org/officeDocument/2006/relationships/hyperlink" Target="https://tradingeconomics.com/cayman-islands/corporate-tax-rate" TargetMode="External"/><Relationship Id="rId24" Type="http://schemas.openxmlformats.org/officeDocument/2006/relationships/hyperlink" Target="https://tradingeconomics.com/bulgaria/corporate-tax-rate" TargetMode="External"/><Relationship Id="rId40" Type="http://schemas.openxmlformats.org/officeDocument/2006/relationships/hyperlink" Target="https://tradingeconomics.com/dominican-republic/corporate-tax-rate" TargetMode="External"/><Relationship Id="rId45" Type="http://schemas.openxmlformats.org/officeDocument/2006/relationships/hyperlink" Target="https://tradingeconomics.com/estonia/corporate-tax-rate" TargetMode="External"/><Relationship Id="rId66" Type="http://schemas.openxmlformats.org/officeDocument/2006/relationships/hyperlink" Target="https://tradingeconomics.com/indonesia/corporate-tax-rate" TargetMode="External"/><Relationship Id="rId87" Type="http://schemas.openxmlformats.org/officeDocument/2006/relationships/hyperlink" Target="https://tradingeconomics.com/luxembourg/corporate-tax-rate" TargetMode="External"/><Relationship Id="rId110" Type="http://schemas.openxmlformats.org/officeDocument/2006/relationships/hyperlink" Target="https://tradingeconomics.com/norway/corporate-tax-rate" TargetMode="External"/><Relationship Id="rId115" Type="http://schemas.openxmlformats.org/officeDocument/2006/relationships/hyperlink" Target="https://tradingeconomics.com/paraguay/corporate-tax-rate" TargetMode="External"/><Relationship Id="rId131" Type="http://schemas.openxmlformats.org/officeDocument/2006/relationships/hyperlink" Target="https://tradingeconomics.com/sierra-leone/corporate-tax-rate" TargetMode="External"/><Relationship Id="rId136" Type="http://schemas.openxmlformats.org/officeDocument/2006/relationships/hyperlink" Target="https://tradingeconomics.com/south-africa/corporate-tax-rate" TargetMode="External"/><Relationship Id="rId157" Type="http://schemas.openxmlformats.org/officeDocument/2006/relationships/hyperlink" Target="https://tradingeconomics.com/united-states/corporate-tax-rate" TargetMode="External"/><Relationship Id="rId61" Type="http://schemas.openxmlformats.org/officeDocument/2006/relationships/hyperlink" Target="https://tradingeconomics.com/honduras/corporate-tax-rate" TargetMode="External"/><Relationship Id="rId82" Type="http://schemas.openxmlformats.org/officeDocument/2006/relationships/hyperlink" Target="https://tradingeconomics.com/lebanon/corporate-tax-rate" TargetMode="External"/><Relationship Id="rId152" Type="http://schemas.openxmlformats.org/officeDocument/2006/relationships/hyperlink" Target="https://tradingeconomics.com/turkey/corporate-tax-rate" TargetMode="External"/><Relationship Id="rId19" Type="http://schemas.openxmlformats.org/officeDocument/2006/relationships/hyperlink" Target="https://tradingeconomics.com/bolivia/corporate-tax-rate" TargetMode="External"/><Relationship Id="rId14" Type="http://schemas.openxmlformats.org/officeDocument/2006/relationships/hyperlink" Target="https://tradingeconomics.com/barbados/corporate-tax-rate" TargetMode="External"/><Relationship Id="rId30" Type="http://schemas.openxmlformats.org/officeDocument/2006/relationships/hyperlink" Target="https://tradingeconomics.com/chad/corporate-tax-rate" TargetMode="External"/><Relationship Id="rId35" Type="http://schemas.openxmlformats.org/officeDocument/2006/relationships/hyperlink" Target="https://tradingeconomics.com/costa-rica/corporate-tax-rate" TargetMode="External"/><Relationship Id="rId56" Type="http://schemas.openxmlformats.org/officeDocument/2006/relationships/hyperlink" Target="https://tradingeconomics.com/ghana/corporate-tax-rate" TargetMode="External"/><Relationship Id="rId77" Type="http://schemas.openxmlformats.org/officeDocument/2006/relationships/hyperlink" Target="https://tradingeconomics.com/kenya/corporate-tax-rate" TargetMode="External"/><Relationship Id="rId100" Type="http://schemas.openxmlformats.org/officeDocument/2006/relationships/hyperlink" Target="https://tradingeconomics.com/mongolia/corporate-tax-rate" TargetMode="External"/><Relationship Id="rId105" Type="http://schemas.openxmlformats.org/officeDocument/2006/relationships/hyperlink" Target="https://tradingeconomics.com/namibia/corporate-tax-rate" TargetMode="External"/><Relationship Id="rId126" Type="http://schemas.openxmlformats.org/officeDocument/2006/relationships/hyperlink" Target="https://tradingeconomics.com/samoa/corporate-tax-rate" TargetMode="External"/><Relationship Id="rId147" Type="http://schemas.openxmlformats.org/officeDocument/2006/relationships/hyperlink" Target="https://tradingeconomics.com/tanzania/corporate-tax-rate" TargetMode="External"/><Relationship Id="rId8" Type="http://schemas.openxmlformats.org/officeDocument/2006/relationships/hyperlink" Target="https://tradingeconomics.com/australia/corporate-tax-rate" TargetMode="External"/><Relationship Id="rId51" Type="http://schemas.openxmlformats.org/officeDocument/2006/relationships/hyperlink" Target="https://tradingeconomics.com/france/corporate-tax-rate" TargetMode="External"/><Relationship Id="rId72" Type="http://schemas.openxmlformats.org/officeDocument/2006/relationships/hyperlink" Target="https://tradingeconomics.com/ivory-coast/corporate-tax-rate" TargetMode="External"/><Relationship Id="rId93" Type="http://schemas.openxmlformats.org/officeDocument/2006/relationships/hyperlink" Target="https://tradingeconomics.com/maldives/corporate-tax-rate" TargetMode="External"/><Relationship Id="rId98" Type="http://schemas.openxmlformats.org/officeDocument/2006/relationships/hyperlink" Target="https://tradingeconomics.com/micronesia/corporate-tax-rate" TargetMode="External"/><Relationship Id="rId121" Type="http://schemas.openxmlformats.org/officeDocument/2006/relationships/hyperlink" Target="https://tradingeconomics.com/qatar/corporate-tax-rate" TargetMode="External"/><Relationship Id="rId142" Type="http://schemas.openxmlformats.org/officeDocument/2006/relationships/hyperlink" Target="https://tradingeconomics.com/swaziland/corporate-tax-rate" TargetMode="External"/><Relationship Id="rId163" Type="http://schemas.openxmlformats.org/officeDocument/2006/relationships/hyperlink" Target="https://tradingeconomics.com/zambia/corporate-tax-rate" TargetMode="External"/><Relationship Id="rId3" Type="http://schemas.openxmlformats.org/officeDocument/2006/relationships/hyperlink" Target="https://tradingeconomics.com/algeria/corporate-tax-rate" TargetMode="External"/><Relationship Id="rId25" Type="http://schemas.openxmlformats.org/officeDocument/2006/relationships/hyperlink" Target="https://tradingeconomics.com/burkina-faso/corporate-tax-rate" TargetMode="External"/><Relationship Id="rId46" Type="http://schemas.openxmlformats.org/officeDocument/2006/relationships/hyperlink" Target="https://tradingeconomics.com/ethiopia/corporate-tax-rate" TargetMode="External"/><Relationship Id="rId67" Type="http://schemas.openxmlformats.org/officeDocument/2006/relationships/hyperlink" Target="https://tradingeconomics.com/iraq/corporate-tax-rate" TargetMode="External"/><Relationship Id="rId116" Type="http://schemas.openxmlformats.org/officeDocument/2006/relationships/hyperlink" Target="https://tradingeconomics.com/peru/corporate-tax-rate" TargetMode="External"/><Relationship Id="rId137" Type="http://schemas.openxmlformats.org/officeDocument/2006/relationships/hyperlink" Target="https://tradingeconomics.com/south-korea/corporate-tax-rate" TargetMode="External"/><Relationship Id="rId158" Type="http://schemas.openxmlformats.org/officeDocument/2006/relationships/hyperlink" Target="https://tradingeconomics.com/uruguay/corporate-tax-rate" TargetMode="External"/><Relationship Id="rId20" Type="http://schemas.openxmlformats.org/officeDocument/2006/relationships/hyperlink" Target="https://tradingeconomics.com/bosnia-and-herzegovina/corporate-tax-rate" TargetMode="External"/><Relationship Id="rId41" Type="http://schemas.openxmlformats.org/officeDocument/2006/relationships/hyperlink" Target="https://tradingeconomics.com/ecuador/corporate-tax-rate" TargetMode="External"/><Relationship Id="rId62" Type="http://schemas.openxmlformats.org/officeDocument/2006/relationships/hyperlink" Target="https://tradingeconomics.com/hong-kong/corporate-tax-rate" TargetMode="External"/><Relationship Id="rId83" Type="http://schemas.openxmlformats.org/officeDocument/2006/relationships/hyperlink" Target="https://tradingeconomics.com/lesotho/corporate-tax-rate" TargetMode="External"/><Relationship Id="rId88" Type="http://schemas.openxmlformats.org/officeDocument/2006/relationships/hyperlink" Target="https://tradingeconomics.com/macau/corporate-tax-rate" TargetMode="External"/><Relationship Id="rId111" Type="http://schemas.openxmlformats.org/officeDocument/2006/relationships/hyperlink" Target="https://tradingeconomics.com/oman/corporate-tax-rate" TargetMode="External"/><Relationship Id="rId132" Type="http://schemas.openxmlformats.org/officeDocument/2006/relationships/hyperlink" Target="https://tradingeconomics.com/singapore/corporate-tax-rate" TargetMode="External"/><Relationship Id="rId153" Type="http://schemas.openxmlformats.org/officeDocument/2006/relationships/hyperlink" Target="https://tradingeconomics.com/uganda/corporate-tax-rate" TargetMode="External"/><Relationship Id="rId15" Type="http://schemas.openxmlformats.org/officeDocument/2006/relationships/hyperlink" Target="https://tradingeconomics.com/belarus/corporate-tax-rate" TargetMode="External"/><Relationship Id="rId36" Type="http://schemas.openxmlformats.org/officeDocument/2006/relationships/hyperlink" Target="https://tradingeconomics.com/croatia/corporate-tax-rate" TargetMode="External"/><Relationship Id="rId57" Type="http://schemas.openxmlformats.org/officeDocument/2006/relationships/hyperlink" Target="https://tradingeconomics.com/greece/corporate-tax-rate" TargetMode="External"/><Relationship Id="rId106" Type="http://schemas.openxmlformats.org/officeDocument/2006/relationships/hyperlink" Target="https://tradingeconomics.com/netherlands/corporate-tax-rate" TargetMode="External"/><Relationship Id="rId127" Type="http://schemas.openxmlformats.org/officeDocument/2006/relationships/hyperlink" Target="https://tradingeconomics.com/saudi-arabia/corporate-tax-rate" TargetMode="External"/><Relationship Id="rId10" Type="http://schemas.openxmlformats.org/officeDocument/2006/relationships/hyperlink" Target="https://tradingeconomics.com/azerbaijan/corporate-tax-rate" TargetMode="External"/><Relationship Id="rId31" Type="http://schemas.openxmlformats.org/officeDocument/2006/relationships/hyperlink" Target="https://tradingeconomics.com/chile/corporate-tax-rate" TargetMode="External"/><Relationship Id="rId52" Type="http://schemas.openxmlformats.org/officeDocument/2006/relationships/hyperlink" Target="https://tradingeconomics.com/gabon/corporate-tax-rate" TargetMode="External"/><Relationship Id="rId73" Type="http://schemas.openxmlformats.org/officeDocument/2006/relationships/hyperlink" Target="https://tradingeconomics.com/jamaica/corporate-tax-rate" TargetMode="External"/><Relationship Id="rId78" Type="http://schemas.openxmlformats.org/officeDocument/2006/relationships/hyperlink" Target="https://tradingeconomics.com/kosovo/corporate-tax-rate" TargetMode="External"/><Relationship Id="rId94" Type="http://schemas.openxmlformats.org/officeDocument/2006/relationships/hyperlink" Target="https://tradingeconomics.com/malta/corporate-tax-rate" TargetMode="External"/><Relationship Id="rId99" Type="http://schemas.openxmlformats.org/officeDocument/2006/relationships/hyperlink" Target="https://tradingeconomics.com/moldova/corporate-tax-rate" TargetMode="External"/><Relationship Id="rId101" Type="http://schemas.openxmlformats.org/officeDocument/2006/relationships/hyperlink" Target="https://tradingeconomics.com/montenegro/corporate-tax-rate" TargetMode="External"/><Relationship Id="rId122" Type="http://schemas.openxmlformats.org/officeDocument/2006/relationships/hyperlink" Target="https://tradingeconomics.com/republic-of-the-congo/corporate-tax-rate" TargetMode="External"/><Relationship Id="rId143" Type="http://schemas.openxmlformats.org/officeDocument/2006/relationships/hyperlink" Target="https://tradingeconomics.com/sweden/corporate-tax-rate" TargetMode="External"/><Relationship Id="rId148" Type="http://schemas.openxmlformats.org/officeDocument/2006/relationships/hyperlink" Target="https://tradingeconomics.com/thailand/corporate-tax-rate" TargetMode="External"/><Relationship Id="rId164" Type="http://schemas.openxmlformats.org/officeDocument/2006/relationships/hyperlink" Target="https://tradingeconomics.com/zimbabwe/corporate-tax-rate" TargetMode="External"/><Relationship Id="rId4" Type="http://schemas.openxmlformats.org/officeDocument/2006/relationships/hyperlink" Target="https://tradingeconomics.com/angola/corporate-tax-rate" TargetMode="External"/><Relationship Id="rId9" Type="http://schemas.openxmlformats.org/officeDocument/2006/relationships/hyperlink" Target="https://tradingeconomics.com/austria/corporate-tax-rate" TargetMode="External"/><Relationship Id="rId26" Type="http://schemas.openxmlformats.org/officeDocument/2006/relationships/hyperlink" Target="https://tradingeconomics.com/cambodia/corporate-tax-rate" TargetMode="External"/><Relationship Id="rId47" Type="http://schemas.openxmlformats.org/officeDocument/2006/relationships/hyperlink" Target="https://tradingeconomics.com/euro-area/corporate-tax-rate" TargetMode="External"/><Relationship Id="rId68" Type="http://schemas.openxmlformats.org/officeDocument/2006/relationships/hyperlink" Target="https://tradingeconomics.com/ireland/corporate-tax-rate" TargetMode="External"/><Relationship Id="rId89" Type="http://schemas.openxmlformats.org/officeDocument/2006/relationships/hyperlink" Target="https://tradingeconomics.com/macedonia/corporate-tax-rate" TargetMode="External"/><Relationship Id="rId112" Type="http://schemas.openxmlformats.org/officeDocument/2006/relationships/hyperlink" Target="https://tradingeconomics.com/pakistan/corporate-tax-rate" TargetMode="External"/><Relationship Id="rId133" Type="http://schemas.openxmlformats.org/officeDocument/2006/relationships/hyperlink" Target="https://tradingeconomics.com/slovakia/corporate-tax-rate" TargetMode="External"/><Relationship Id="rId154" Type="http://schemas.openxmlformats.org/officeDocument/2006/relationships/hyperlink" Target="https://tradingeconomics.com/ukraine/corporate-tax-rate" TargetMode="External"/><Relationship Id="rId16" Type="http://schemas.openxmlformats.org/officeDocument/2006/relationships/hyperlink" Target="https://tradingeconomics.com/belgium/corporate-tax-rate" TargetMode="External"/><Relationship Id="rId37" Type="http://schemas.openxmlformats.org/officeDocument/2006/relationships/hyperlink" Target="https://tradingeconomics.com/cyprus/corporate-tax-rate" TargetMode="External"/><Relationship Id="rId58" Type="http://schemas.openxmlformats.org/officeDocument/2006/relationships/hyperlink" Target="https://tradingeconomics.com/guam/corporate-tax-rate" TargetMode="External"/><Relationship Id="rId79" Type="http://schemas.openxmlformats.org/officeDocument/2006/relationships/hyperlink" Target="https://tradingeconomics.com/kuwait/corporate-tax-rate" TargetMode="External"/><Relationship Id="rId102" Type="http://schemas.openxmlformats.org/officeDocument/2006/relationships/hyperlink" Target="https://tradingeconomics.com/morocco/corporate-tax-rate" TargetMode="External"/><Relationship Id="rId123" Type="http://schemas.openxmlformats.org/officeDocument/2006/relationships/hyperlink" Target="https://tradingeconomics.com/romania/corporate-tax-rate" TargetMode="External"/><Relationship Id="rId144" Type="http://schemas.openxmlformats.org/officeDocument/2006/relationships/hyperlink" Target="https://tradingeconomics.com/switzerland/corporate-tax-rate" TargetMode="External"/><Relationship Id="rId90" Type="http://schemas.openxmlformats.org/officeDocument/2006/relationships/hyperlink" Target="https://tradingeconomics.com/madagascar/corporate-tax-rate" TargetMode="External"/><Relationship Id="rId165" Type="http://schemas.openxmlformats.org/officeDocument/2006/relationships/printerSettings" Target="../printerSettings/printerSettings27.bin"/><Relationship Id="rId27" Type="http://schemas.openxmlformats.org/officeDocument/2006/relationships/hyperlink" Target="https://tradingeconomics.com/cameroon/corporate-tax-rate" TargetMode="External"/><Relationship Id="rId48" Type="http://schemas.openxmlformats.org/officeDocument/2006/relationships/hyperlink" Target="https://tradingeconomics.com/european-union/corporate-tax-rate" TargetMode="External"/><Relationship Id="rId69" Type="http://schemas.openxmlformats.org/officeDocument/2006/relationships/hyperlink" Target="https://tradingeconomics.com/isle-of-man/corporate-tax-rate" TargetMode="External"/><Relationship Id="rId113" Type="http://schemas.openxmlformats.org/officeDocument/2006/relationships/hyperlink" Target="https://tradingeconomics.com/panama/corporate-tax-rate" TargetMode="External"/><Relationship Id="rId134" Type="http://schemas.openxmlformats.org/officeDocument/2006/relationships/hyperlink" Target="https://tradingeconomics.com/slovenia/corporate-tax-rate" TargetMode="External"/><Relationship Id="rId80" Type="http://schemas.openxmlformats.org/officeDocument/2006/relationships/hyperlink" Target="https://tradingeconomics.com/laos/corporate-tax-rate" TargetMode="External"/><Relationship Id="rId155" Type="http://schemas.openxmlformats.org/officeDocument/2006/relationships/hyperlink" Target="https://tradingeconomics.com/united-arab-emirates/corporate-tax-r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5"/>
  <dimension ref="A1:E105"/>
  <sheetViews>
    <sheetView workbookViewId="0">
      <selection activeCell="F2" sqref="F2"/>
    </sheetView>
  </sheetViews>
  <sheetFormatPr defaultColWidth="8.88671875" defaultRowHeight="12.75"/>
  <cols>
    <col min="1" max="1" width="43.44140625" style="1" customWidth="1"/>
    <col min="2" max="2" width="6.88671875" style="1" customWidth="1"/>
    <col min="3" max="3" width="17.109375" style="1" customWidth="1"/>
    <col min="4" max="4" width="6.44140625" style="1" customWidth="1"/>
    <col min="5" max="16384" width="8.88671875" style="1"/>
  </cols>
  <sheetData>
    <row r="1" spans="1:5">
      <c r="A1" s="1" t="s">
        <v>0</v>
      </c>
      <c r="B1" s="3">
        <v>0</v>
      </c>
      <c r="C1" s="1" t="str">
        <f>IF($B1=0,"Internal Schedule","Schedule "&amp;TEXT(SUM($B1:$B$1),"0"))</f>
        <v>Internal Schedule</v>
      </c>
      <c r="D1" s="3">
        <f>ROW()</f>
        <v>1</v>
      </c>
    </row>
    <row r="2" spans="1:5">
      <c r="A2" s="1" t="s">
        <v>1</v>
      </c>
      <c r="B2" s="3">
        <v>0</v>
      </c>
      <c r="C2" s="1" t="str">
        <f>IF($B2=0,"Internal Schedule","Schedule "&amp;TEXT(SUM($B$1:$B2),"0"))</f>
        <v>Internal Schedule</v>
      </c>
      <c r="D2" s="3">
        <f>ROW()</f>
        <v>2</v>
      </c>
      <c r="E2" s="1" t="e">
        <f ca="1">OFFSET(INDIRECT("A" &amp;(VLOOKUP(E1,A1:D105,4,FALSE))),-1,0)</f>
        <v>#N/A</v>
      </c>
    </row>
    <row r="3" spans="1:5">
      <c r="A3" s="1" t="s">
        <v>2</v>
      </c>
      <c r="B3" s="3">
        <v>0</v>
      </c>
      <c r="C3" s="1" t="str">
        <f>IF($B3=0,"Internal Schedule","Schedule "&amp;TEXT(SUM($B$1:$B3),"0"))</f>
        <v>Internal Schedule</v>
      </c>
      <c r="D3" s="3">
        <f>ROW()</f>
        <v>3</v>
      </c>
      <c r="E3" s="1" t="e">
        <f ca="1">OFFSET(INDIRECT("A" &amp;(VLOOKUP(E1,A1:D105,4,FALSE))),1,0)</f>
        <v>#N/A</v>
      </c>
    </row>
    <row r="4" spans="1:5">
      <c r="A4" s="1" t="s">
        <v>3</v>
      </c>
      <c r="B4" s="3">
        <v>0</v>
      </c>
      <c r="C4" s="1" t="str">
        <f>IF($B4=0,"Internal Schedule","Schedule "&amp;TEXT(SUM($B$1:$B4),"0"))</f>
        <v>Internal Schedule</v>
      </c>
      <c r="D4" s="3">
        <f>ROW()</f>
        <v>4</v>
      </c>
    </row>
    <row r="5" spans="1:5">
      <c r="A5" s="1" t="s">
        <v>4</v>
      </c>
      <c r="B5" s="3">
        <v>0</v>
      </c>
      <c r="C5" s="1" t="str">
        <f>IF($B5=0,"Internal Schedule","Schedule "&amp;TEXT(SUM($B$1:$B5),"0"))</f>
        <v>Internal Schedule</v>
      </c>
      <c r="D5" s="3">
        <f>ROW()</f>
        <v>5</v>
      </c>
    </row>
    <row r="6" spans="1:5">
      <c r="A6" s="1" t="s">
        <v>5</v>
      </c>
      <c r="B6" s="3">
        <v>0</v>
      </c>
      <c r="C6" s="1" t="str">
        <f>IF($B6=0,"Internal Schedule","Schedule "&amp;TEXT(SUM($B$1:$B6),"0"))</f>
        <v>Internal Schedule</v>
      </c>
      <c r="D6" s="3">
        <f>ROW()</f>
        <v>6</v>
      </c>
    </row>
    <row r="7" spans="1:5">
      <c r="A7" s="1" t="s">
        <v>6</v>
      </c>
      <c r="B7" s="3">
        <v>0</v>
      </c>
      <c r="C7" s="1" t="str">
        <f>IF($B7=0,"Internal Schedule","Schedule "&amp;TEXT(SUM($B$1:$B7),"0"))</f>
        <v>Internal Schedule</v>
      </c>
      <c r="D7" s="3">
        <f>ROW()</f>
        <v>7</v>
      </c>
    </row>
    <row r="8" spans="1:5">
      <c r="A8" s="1" t="s">
        <v>7</v>
      </c>
      <c r="B8" s="3">
        <v>0</v>
      </c>
      <c r="C8" s="1" t="str">
        <f>IF($B8=0,"Internal Schedule","Schedule "&amp;TEXT(SUM($B$1:$B8),"0"))</f>
        <v>Internal Schedule</v>
      </c>
      <c r="D8" s="3">
        <f>ROW()</f>
        <v>8</v>
      </c>
    </row>
    <row r="9" spans="1:5">
      <c r="A9" s="1" t="s">
        <v>8</v>
      </c>
      <c r="B9" s="3">
        <v>0</v>
      </c>
      <c r="C9" s="1" t="str">
        <f>IF($B9=0,"Internal Schedule","Schedule "&amp;TEXT(SUM($B$1:$B9),"0"))</f>
        <v>Internal Schedule</v>
      </c>
      <c r="D9" s="3">
        <f>ROW()</f>
        <v>9</v>
      </c>
    </row>
    <row r="10" spans="1:5">
      <c r="A10" s="1" t="s">
        <v>9</v>
      </c>
      <c r="B10" s="3">
        <v>0</v>
      </c>
      <c r="C10" s="1" t="str">
        <f>IF($B10=0,"Internal Schedule","Schedule "&amp;TEXT(SUM($B$1:$B10),"0"))</f>
        <v>Internal Schedule</v>
      </c>
      <c r="D10" s="3">
        <f>ROW()</f>
        <v>10</v>
      </c>
    </row>
    <row r="11" spans="1:5">
      <c r="A11" s="1" t="s">
        <v>10</v>
      </c>
      <c r="B11" s="3">
        <v>0</v>
      </c>
      <c r="C11" s="1" t="str">
        <f>IF($B11=0,"Internal Schedule","Schedule "&amp;TEXT(SUM($B$1:$B11),"0"))</f>
        <v>Internal Schedule</v>
      </c>
      <c r="D11" s="3">
        <f>ROW()</f>
        <v>11</v>
      </c>
    </row>
    <row r="12" spans="1:5">
      <c r="A12" s="1" t="s">
        <v>11</v>
      </c>
      <c r="B12" s="3">
        <v>0</v>
      </c>
      <c r="C12" s="1" t="str">
        <f>IF($B12=0,"Internal Schedule","Schedule "&amp;TEXT(SUM($B$1:$B12),"0"))</f>
        <v>Internal Schedule</v>
      </c>
      <c r="D12" s="3">
        <f>ROW()</f>
        <v>12</v>
      </c>
    </row>
    <row r="13" spans="1:5">
      <c r="A13" s="1" t="s">
        <v>12</v>
      </c>
      <c r="B13" s="3">
        <v>0</v>
      </c>
      <c r="C13" s="1" t="str">
        <f>IF($B13=0,"Internal Schedule","Schedule "&amp;TEXT(SUM($B$1:$B13),"0"))</f>
        <v>Internal Schedule</v>
      </c>
      <c r="D13" s="3">
        <f>ROW()</f>
        <v>13</v>
      </c>
    </row>
    <row r="14" spans="1:5">
      <c r="A14" s="1" t="s">
        <v>13</v>
      </c>
      <c r="B14" s="3">
        <v>0</v>
      </c>
      <c r="C14" s="1" t="str">
        <f>IF($B14=0,"Internal Schedule","Schedule "&amp;TEXT(SUM($B$1:$B14),"0"))</f>
        <v>Internal Schedule</v>
      </c>
      <c r="D14" s="3">
        <f>ROW()</f>
        <v>14</v>
      </c>
    </row>
    <row r="15" spans="1:5">
      <c r="A15" s="1" t="s">
        <v>14</v>
      </c>
      <c r="B15" s="3">
        <v>0</v>
      </c>
      <c r="C15" s="1" t="str">
        <f>IF($B15=0,"Internal Schedule","Schedule "&amp;TEXT(SUM($B$1:$B15),"0"))</f>
        <v>Internal Schedule</v>
      </c>
      <c r="D15" s="3">
        <f>ROW()</f>
        <v>15</v>
      </c>
    </row>
    <row r="16" spans="1:5">
      <c r="A16" s="1" t="s">
        <v>15</v>
      </c>
      <c r="B16" s="3">
        <v>0</v>
      </c>
      <c r="C16" s="1" t="str">
        <f>IF($B16=0,"Internal Schedule","Schedule "&amp;TEXT(SUM($B$1:$B16),"0"))</f>
        <v>Internal Schedule</v>
      </c>
      <c r="D16" s="3">
        <f>ROW()</f>
        <v>16</v>
      </c>
    </row>
    <row r="17" spans="1:4">
      <c r="A17" s="1" t="s">
        <v>16</v>
      </c>
      <c r="B17" s="3">
        <v>0</v>
      </c>
      <c r="C17" s="1" t="str">
        <f>IF($B17=0,"Internal Schedule","Schedule "&amp;TEXT(SUM($B$1:$B17),"0"))</f>
        <v>Internal Schedule</v>
      </c>
      <c r="D17" s="3">
        <f>ROW()</f>
        <v>17</v>
      </c>
    </row>
    <row r="18" spans="1:4">
      <c r="A18" s="1" t="s">
        <v>17</v>
      </c>
      <c r="B18" s="3">
        <v>0</v>
      </c>
      <c r="C18" s="1" t="str">
        <f>IF($B18=0,"Internal Schedule","Schedule "&amp;TEXT(SUM($B$1:$B18),"0"))</f>
        <v>Internal Schedule</v>
      </c>
      <c r="D18" s="3">
        <f>ROW()</f>
        <v>18</v>
      </c>
    </row>
    <row r="19" spans="1:4">
      <c r="A19" s="1" t="s">
        <v>18</v>
      </c>
      <c r="B19" s="3">
        <v>0</v>
      </c>
      <c r="C19" s="1" t="str">
        <f>IF($B19=0,"Internal Schedule","Schedule "&amp;TEXT(SUM($B$1:$B19),"0"))</f>
        <v>Internal Schedule</v>
      </c>
      <c r="D19" s="3">
        <f>ROW()</f>
        <v>19</v>
      </c>
    </row>
    <row r="20" spans="1:4">
      <c r="A20" s="1" t="s">
        <v>19</v>
      </c>
      <c r="B20" s="3">
        <v>0</v>
      </c>
      <c r="C20" s="1" t="str">
        <f>IF($B20=0,"Internal Schedule","Schedule "&amp;TEXT(SUM($B$1:$B20),"0"))</f>
        <v>Internal Schedule</v>
      </c>
      <c r="D20" s="3">
        <f>ROW()</f>
        <v>20</v>
      </c>
    </row>
    <row r="21" spans="1:4">
      <c r="A21" s="1" t="s">
        <v>20</v>
      </c>
      <c r="B21" s="3">
        <v>0</v>
      </c>
      <c r="C21" s="1" t="str">
        <f>IF($B21=0,"Internal Schedule","Schedule "&amp;TEXT(SUM($B$1:$B21),"0"))</f>
        <v>Internal Schedule</v>
      </c>
      <c r="D21" s="3">
        <f>ROW()</f>
        <v>21</v>
      </c>
    </row>
    <row r="22" spans="1:4">
      <c r="A22" s="1" t="s">
        <v>21</v>
      </c>
      <c r="B22" s="3">
        <v>0</v>
      </c>
      <c r="C22" s="1" t="str">
        <f>IF($B22=0,"Internal Schedule","Schedule "&amp;TEXT(SUM($B$1:$B22),"0"))</f>
        <v>Internal Schedule</v>
      </c>
      <c r="D22" s="3">
        <f>ROW()</f>
        <v>22</v>
      </c>
    </row>
    <row r="23" spans="1:4">
      <c r="A23" s="1" t="s">
        <v>22</v>
      </c>
      <c r="B23" s="3">
        <v>0</v>
      </c>
      <c r="C23" s="1" t="str">
        <f>IF($B23=0,"Internal Schedule","Schedule "&amp;TEXT(SUM($B$1:$B23),"0"))</f>
        <v>Internal Schedule</v>
      </c>
      <c r="D23" s="3">
        <f>ROW()</f>
        <v>23</v>
      </c>
    </row>
    <row r="24" spans="1:4">
      <c r="A24" s="1" t="s">
        <v>23</v>
      </c>
      <c r="B24" s="3">
        <v>0</v>
      </c>
      <c r="C24" s="1" t="str">
        <f>IF($B24=0,"Internal Schedule","Schedule "&amp;TEXT(SUM($B$1:$B24),"0"))</f>
        <v>Internal Schedule</v>
      </c>
      <c r="D24" s="3">
        <f>ROW()</f>
        <v>24</v>
      </c>
    </row>
    <row r="25" spans="1:4">
      <c r="A25" s="1" t="s">
        <v>24</v>
      </c>
      <c r="B25" s="3">
        <v>0</v>
      </c>
      <c r="C25" s="1" t="str">
        <f>IF($B25=0,"Internal Schedule","Schedule "&amp;TEXT(SUM($B$1:$B25),"0"))</f>
        <v>Internal Schedule</v>
      </c>
      <c r="D25" s="3">
        <f>ROW()</f>
        <v>25</v>
      </c>
    </row>
    <row r="26" spans="1:4">
      <c r="A26" s="1" t="s">
        <v>25</v>
      </c>
      <c r="B26" s="3">
        <v>0</v>
      </c>
      <c r="C26" s="1" t="str">
        <f>IF($B26=0,"Internal Schedule","Schedule "&amp;TEXT(SUM($B$1:$B26),"0"))</f>
        <v>Internal Schedule</v>
      </c>
      <c r="D26" s="3">
        <f>ROW()</f>
        <v>26</v>
      </c>
    </row>
    <row r="27" spans="1:4">
      <c r="A27" s="1" t="s">
        <v>26</v>
      </c>
      <c r="B27" s="3">
        <v>0</v>
      </c>
      <c r="C27" s="1" t="str">
        <f>IF($B27=0,"Internal Schedule","Schedule "&amp;TEXT(SUM($B$1:$B27),"0"))</f>
        <v>Internal Schedule</v>
      </c>
      <c r="D27" s="3">
        <f>ROW()</f>
        <v>27</v>
      </c>
    </row>
    <row r="28" spans="1:4">
      <c r="A28" s="1" t="s">
        <v>27</v>
      </c>
      <c r="B28" s="3">
        <v>0</v>
      </c>
      <c r="C28" s="1" t="str">
        <f>IF($B28=0,"Internal Schedule","Schedule "&amp;TEXT(SUM($B$1:$B28),"0"))</f>
        <v>Internal Schedule</v>
      </c>
      <c r="D28" s="3">
        <f>ROW()</f>
        <v>28</v>
      </c>
    </row>
    <row r="29" spans="1:4">
      <c r="A29" s="1" t="s">
        <v>28</v>
      </c>
      <c r="B29" s="3">
        <v>0</v>
      </c>
      <c r="C29" s="1" t="str">
        <f>IF($B29=0,"Internal Schedule","Schedule "&amp;TEXT(SUM($B$1:$B29),"0"))</f>
        <v>Internal Schedule</v>
      </c>
      <c r="D29" s="3">
        <f>ROW()</f>
        <v>29</v>
      </c>
    </row>
    <row r="30" spans="1:4">
      <c r="A30" s="1" t="s">
        <v>29</v>
      </c>
      <c r="B30" s="3">
        <v>0</v>
      </c>
      <c r="C30" s="1" t="str">
        <f>IF($B30=0,"Internal Schedule","Schedule "&amp;TEXT(SUM($B$1:$B30),"0"))</f>
        <v>Internal Schedule</v>
      </c>
      <c r="D30" s="3">
        <f>ROW()</f>
        <v>30</v>
      </c>
    </row>
    <row r="31" spans="1:4">
      <c r="A31" s="1" t="s">
        <v>30</v>
      </c>
      <c r="B31" s="3">
        <v>0</v>
      </c>
      <c r="C31" s="1" t="str">
        <f>IF($B31=0,"Internal Schedule","Schedule "&amp;TEXT(SUM($B$1:$B31),"0"))</f>
        <v>Internal Schedule</v>
      </c>
      <c r="D31" s="3">
        <f>ROW()</f>
        <v>31</v>
      </c>
    </row>
    <row r="32" spans="1:4">
      <c r="A32" s="1" t="s">
        <v>31</v>
      </c>
      <c r="B32" s="3">
        <v>0</v>
      </c>
      <c r="C32" s="1" t="str">
        <f>IF($B32=0,"Internal Schedule","Schedule "&amp;TEXT(SUM($B$1:$B32),"0"))</f>
        <v>Internal Schedule</v>
      </c>
      <c r="D32" s="3">
        <f>ROW()</f>
        <v>32</v>
      </c>
    </row>
    <row r="33" spans="1:4">
      <c r="A33" s="1" t="s">
        <v>32</v>
      </c>
      <c r="B33" s="3">
        <v>0</v>
      </c>
      <c r="C33" s="1" t="str">
        <f>IF($B33=0,"Internal Schedule","Schedule "&amp;TEXT(SUM($B$1:$B33),"0"))</f>
        <v>Internal Schedule</v>
      </c>
      <c r="D33" s="3">
        <f>ROW()</f>
        <v>33</v>
      </c>
    </row>
    <row r="34" spans="1:4">
      <c r="A34" s="1" t="s">
        <v>33</v>
      </c>
      <c r="B34" s="3">
        <v>0</v>
      </c>
      <c r="C34" s="1" t="str">
        <f>IF($B34=0,"Internal Schedule","Schedule "&amp;TEXT(SUM($B$1:$B34),"0"))</f>
        <v>Internal Schedule</v>
      </c>
      <c r="D34" s="3">
        <f>ROW()</f>
        <v>34</v>
      </c>
    </row>
    <row r="35" spans="1:4">
      <c r="A35" s="1" t="s">
        <v>34</v>
      </c>
      <c r="B35" s="3">
        <v>0</v>
      </c>
      <c r="C35" s="1" t="str">
        <f>IF($B35=0,"Internal Schedule","Schedule "&amp;TEXT(SUM($B$1:$B35),"0"))</f>
        <v>Internal Schedule</v>
      </c>
      <c r="D35" s="3">
        <f>ROW()</f>
        <v>35</v>
      </c>
    </row>
    <row r="36" spans="1:4">
      <c r="A36" s="1" t="s">
        <v>35</v>
      </c>
      <c r="B36" s="3">
        <v>0</v>
      </c>
      <c r="C36" s="1" t="str">
        <f>IF($B36=0,"Internal Schedule","Schedule "&amp;TEXT(SUM($B$1:$B36),"0"))</f>
        <v>Internal Schedule</v>
      </c>
      <c r="D36" s="3">
        <f>ROW()</f>
        <v>36</v>
      </c>
    </row>
    <row r="37" spans="1:4">
      <c r="A37" s="1" t="s">
        <v>36</v>
      </c>
      <c r="B37" s="3">
        <v>0</v>
      </c>
      <c r="C37" s="1" t="str">
        <f>IF($B37=0,"Internal Schedule","Schedule "&amp;TEXT(SUM($B$1:$B37),"0"))</f>
        <v>Internal Schedule</v>
      </c>
      <c r="D37" s="3">
        <f>ROW()</f>
        <v>37</v>
      </c>
    </row>
    <row r="38" spans="1:4">
      <c r="A38" s="1" t="s">
        <v>37</v>
      </c>
      <c r="B38" s="3">
        <v>0</v>
      </c>
      <c r="C38" s="1" t="str">
        <f>IF($B38=0,"Internal Schedule","Schedule "&amp;TEXT(SUM($B$1:$B38),"0"))</f>
        <v>Internal Schedule</v>
      </c>
      <c r="D38" s="3">
        <f>ROW()</f>
        <v>38</v>
      </c>
    </row>
    <row r="39" spans="1:4">
      <c r="A39" s="1" t="s">
        <v>38</v>
      </c>
      <c r="B39" s="3">
        <v>0</v>
      </c>
      <c r="C39" s="1" t="str">
        <f>IF($B39=0,"Internal Schedule","Schedule "&amp;TEXT(SUM($B$1:$B39),"0"))</f>
        <v>Internal Schedule</v>
      </c>
      <c r="D39" s="3">
        <f>ROW()</f>
        <v>39</v>
      </c>
    </row>
    <row r="40" spans="1:4">
      <c r="A40" s="1" t="s">
        <v>39</v>
      </c>
      <c r="B40" s="3">
        <v>0</v>
      </c>
      <c r="C40" s="1" t="str">
        <f>IF($B40=0,"Internal Schedule","Schedule "&amp;TEXT(SUM($B$1:$B40),"0"))</f>
        <v>Internal Schedule</v>
      </c>
      <c r="D40" s="3">
        <f>ROW()</f>
        <v>40</v>
      </c>
    </row>
    <row r="41" spans="1:4">
      <c r="A41" s="1" t="s">
        <v>40</v>
      </c>
      <c r="B41" s="3">
        <v>0</v>
      </c>
      <c r="C41" s="1" t="str">
        <f>IF($B41=0,"Internal Schedule","Schedule "&amp;TEXT(SUM($B$1:$B41),"0"))</f>
        <v>Internal Schedule</v>
      </c>
      <c r="D41" s="3">
        <f>ROW()</f>
        <v>41</v>
      </c>
    </row>
    <row r="42" spans="1:4">
      <c r="A42" s="1" t="s">
        <v>41</v>
      </c>
      <c r="B42" s="3">
        <v>0</v>
      </c>
      <c r="C42" s="1" t="str">
        <f>IF($B42=0,"Internal Schedule","Schedule "&amp;TEXT(SUM($B$1:$B42),"0"))</f>
        <v>Internal Schedule</v>
      </c>
      <c r="D42" s="3">
        <f>ROW()</f>
        <v>42</v>
      </c>
    </row>
    <row r="43" spans="1:4">
      <c r="A43" s="1" t="s">
        <v>42</v>
      </c>
      <c r="B43" s="3">
        <v>0</v>
      </c>
      <c r="C43" s="1" t="str">
        <f>IF($B43=0,"Internal Schedule","Schedule "&amp;TEXT(SUM($B$1:$B43),"0"))</f>
        <v>Internal Schedule</v>
      </c>
      <c r="D43" s="3">
        <f>ROW()</f>
        <v>43</v>
      </c>
    </row>
    <row r="44" spans="1:4">
      <c r="A44" s="1" t="s">
        <v>43</v>
      </c>
      <c r="B44" s="3">
        <v>0</v>
      </c>
      <c r="C44" s="1" t="str">
        <f>IF($B44=0,"Internal Schedule","Schedule "&amp;TEXT(SUM($B$1:$B44),"0"))</f>
        <v>Internal Schedule</v>
      </c>
      <c r="D44" s="3">
        <f>ROW()</f>
        <v>44</v>
      </c>
    </row>
    <row r="45" spans="1:4">
      <c r="A45" s="1" t="s">
        <v>44</v>
      </c>
      <c r="B45" s="3">
        <v>0</v>
      </c>
      <c r="C45" s="1" t="str">
        <f>IF($B45=0,"Internal Schedule","Schedule "&amp;TEXT(SUM($B$1:$B45),"0"))</f>
        <v>Internal Schedule</v>
      </c>
      <c r="D45" s="3">
        <f>ROW()</f>
        <v>45</v>
      </c>
    </row>
    <row r="46" spans="1:4">
      <c r="A46" s="1" t="s">
        <v>45</v>
      </c>
      <c r="B46" s="3">
        <v>0</v>
      </c>
      <c r="C46" s="1" t="str">
        <f>IF($B46=0,"Internal Schedule","Schedule "&amp;TEXT(SUM($B$1:$B46),"0"))</f>
        <v>Internal Schedule</v>
      </c>
      <c r="D46" s="3">
        <f>ROW()</f>
        <v>46</v>
      </c>
    </row>
    <row r="47" spans="1:4">
      <c r="A47" s="1" t="s">
        <v>46</v>
      </c>
      <c r="B47" s="3">
        <v>0</v>
      </c>
      <c r="C47" s="1" t="str">
        <f>IF($B47=0,"Internal Schedule","Schedule "&amp;TEXT(SUM($B$1:$B47),"0"))</f>
        <v>Internal Schedule</v>
      </c>
      <c r="D47" s="3">
        <f>ROW()</f>
        <v>47</v>
      </c>
    </row>
    <row r="48" spans="1:4">
      <c r="A48" s="1" t="s">
        <v>47</v>
      </c>
      <c r="B48" s="3">
        <v>0</v>
      </c>
      <c r="C48" s="1" t="str">
        <f>IF($B48=0,"Internal Schedule","Schedule "&amp;TEXT(SUM($B$1:$B48),"0"))</f>
        <v>Internal Schedule</v>
      </c>
      <c r="D48" s="3">
        <f>ROW()</f>
        <v>48</v>
      </c>
    </row>
    <row r="49" spans="1:4">
      <c r="A49" s="1" t="s">
        <v>48</v>
      </c>
      <c r="B49" s="3">
        <v>0</v>
      </c>
      <c r="C49" s="1" t="str">
        <f>IF($B49=0,"Internal Schedule","Schedule "&amp;TEXT(SUM($B$1:$B49),"0"))</f>
        <v>Internal Schedule</v>
      </c>
      <c r="D49" s="3">
        <f>ROW()</f>
        <v>49</v>
      </c>
    </row>
    <row r="50" spans="1:4">
      <c r="A50" s="1" t="s">
        <v>49</v>
      </c>
      <c r="B50" s="3">
        <v>0</v>
      </c>
      <c r="C50" s="1" t="str">
        <f>IF($B50=0,"Internal Schedule","Schedule "&amp;TEXT(SUM($B$1:$B50),"0"))</f>
        <v>Internal Schedule</v>
      </c>
      <c r="D50" s="3">
        <f>ROW()</f>
        <v>50</v>
      </c>
    </row>
    <row r="51" spans="1:4">
      <c r="A51" s="1" t="s">
        <v>50</v>
      </c>
      <c r="B51" s="3">
        <v>0</v>
      </c>
      <c r="C51" s="1" t="str">
        <f>IF($B51=0,"Internal Schedule","Schedule "&amp;TEXT(SUM($B$1:$B51),"0"))</f>
        <v>Internal Schedule</v>
      </c>
      <c r="D51" s="3">
        <f>ROW()</f>
        <v>51</v>
      </c>
    </row>
    <row r="52" spans="1:4">
      <c r="A52" s="1" t="s">
        <v>51</v>
      </c>
      <c r="B52" s="3">
        <v>0</v>
      </c>
      <c r="C52" s="1" t="str">
        <f>IF($B52=0,"Internal Schedule","Schedule "&amp;TEXT(SUM($B$1:$B52),"0"))</f>
        <v>Internal Schedule</v>
      </c>
      <c r="D52" s="3">
        <f>ROW()</f>
        <v>52</v>
      </c>
    </row>
    <row r="53" spans="1:4">
      <c r="A53" s="1" t="s">
        <v>52</v>
      </c>
      <c r="B53" s="3">
        <v>0</v>
      </c>
      <c r="C53" s="1" t="str">
        <f>IF($B53=0,"Internal Schedule","Schedule "&amp;TEXT(SUM($B$1:$B53),"0"))</f>
        <v>Internal Schedule</v>
      </c>
      <c r="D53" s="3">
        <f>ROW()</f>
        <v>53</v>
      </c>
    </row>
    <row r="54" spans="1:4">
      <c r="A54" s="1" t="s">
        <v>53</v>
      </c>
      <c r="B54" s="3">
        <v>0</v>
      </c>
      <c r="C54" s="1" t="str">
        <f>IF($B54=0,"Internal Schedule","Schedule "&amp;TEXT(SUM($B$1:$B54),"0"))</f>
        <v>Internal Schedule</v>
      </c>
      <c r="D54" s="3">
        <f>ROW()</f>
        <v>54</v>
      </c>
    </row>
    <row r="55" spans="1:4">
      <c r="A55" s="1" t="s">
        <v>54</v>
      </c>
      <c r="B55" s="3">
        <v>0</v>
      </c>
      <c r="C55" s="1" t="str">
        <f>IF($B55=0,"Internal Schedule","Schedule "&amp;TEXT(SUM($B$1:$B55),"0"))</f>
        <v>Internal Schedule</v>
      </c>
      <c r="D55" s="3">
        <f>ROW()</f>
        <v>55</v>
      </c>
    </row>
    <row r="56" spans="1:4">
      <c r="A56" s="1" t="s">
        <v>55</v>
      </c>
      <c r="B56" s="3">
        <v>0</v>
      </c>
      <c r="C56" s="1" t="str">
        <f>IF($B56=0,"Internal Schedule","Schedule "&amp;TEXT(SUM($B$1:$B56),"0"))</f>
        <v>Internal Schedule</v>
      </c>
      <c r="D56" s="3">
        <f>ROW()</f>
        <v>56</v>
      </c>
    </row>
    <row r="57" spans="1:4">
      <c r="A57" s="1" t="s">
        <v>56</v>
      </c>
      <c r="B57" s="3">
        <v>0</v>
      </c>
      <c r="C57" s="1" t="str">
        <f>IF($B57=0,"Internal Schedule","Schedule "&amp;TEXT(SUM($B$1:$B57),"0"))</f>
        <v>Internal Schedule</v>
      </c>
      <c r="D57" s="3">
        <f>ROW()</f>
        <v>57</v>
      </c>
    </row>
    <row r="58" spans="1:4">
      <c r="A58" s="1" t="s">
        <v>57</v>
      </c>
      <c r="B58" s="3">
        <v>0</v>
      </c>
      <c r="C58" s="1" t="str">
        <f>IF($B58=0,"Internal Schedule","Schedule "&amp;TEXT(SUM($B$1:$B58),"0"))</f>
        <v>Internal Schedule</v>
      </c>
      <c r="D58" s="3">
        <f>ROW()</f>
        <v>58</v>
      </c>
    </row>
    <row r="59" spans="1:4">
      <c r="A59" s="1" t="s">
        <v>58</v>
      </c>
      <c r="B59" s="3">
        <v>0</v>
      </c>
      <c r="C59" s="1" t="str">
        <f>IF($B59=0,"Internal Schedule","Schedule "&amp;TEXT(SUM($B$1:$B59),"0"))</f>
        <v>Internal Schedule</v>
      </c>
      <c r="D59" s="3">
        <f>ROW()</f>
        <v>59</v>
      </c>
    </row>
    <row r="60" spans="1:4">
      <c r="A60" s="1" t="s">
        <v>59</v>
      </c>
      <c r="B60" s="3">
        <v>0</v>
      </c>
      <c r="C60" s="1" t="str">
        <f>IF($B60=0,"Internal Schedule","Schedule "&amp;TEXT(SUM($B$1:$B60),"0"))</f>
        <v>Internal Schedule</v>
      </c>
      <c r="D60" s="3">
        <f>ROW()</f>
        <v>60</v>
      </c>
    </row>
    <row r="61" spans="1:4">
      <c r="A61" s="1" t="s">
        <v>60</v>
      </c>
      <c r="B61" s="3">
        <v>0</v>
      </c>
      <c r="C61" s="1" t="str">
        <f>IF($B61=0,"Internal Schedule","Schedule "&amp;TEXT(SUM($B$1:$B61),"0"))</f>
        <v>Internal Schedule</v>
      </c>
      <c r="D61" s="3">
        <f>ROW()</f>
        <v>61</v>
      </c>
    </row>
    <row r="62" spans="1:4">
      <c r="A62" s="1" t="s">
        <v>61</v>
      </c>
      <c r="B62" s="3">
        <v>0</v>
      </c>
      <c r="C62" s="1" t="str">
        <f>IF($B62=0,"Internal Schedule","Schedule "&amp;TEXT(SUM($B$1:$B62),"0"))</f>
        <v>Internal Schedule</v>
      </c>
      <c r="D62" s="3">
        <f>ROW()</f>
        <v>62</v>
      </c>
    </row>
    <row r="63" spans="1:4">
      <c r="A63" s="1" t="s">
        <v>62</v>
      </c>
      <c r="B63" s="3">
        <v>0</v>
      </c>
      <c r="C63" s="1" t="str">
        <f>IF($B63=0,"Internal Schedule","Schedule "&amp;TEXT(SUM($B$1:$B63),"0"))</f>
        <v>Internal Schedule</v>
      </c>
      <c r="D63" s="3">
        <f>ROW()</f>
        <v>63</v>
      </c>
    </row>
    <row r="64" spans="1:4">
      <c r="A64" s="1" t="s">
        <v>63</v>
      </c>
      <c r="B64" s="3">
        <v>0</v>
      </c>
      <c r="C64" s="1" t="str">
        <f>IF($B64=0,"Internal Schedule","Schedule "&amp;TEXT(SUM($B$1:$B64),"0"))</f>
        <v>Internal Schedule</v>
      </c>
      <c r="D64" s="3">
        <f>ROW()</f>
        <v>64</v>
      </c>
    </row>
    <row r="65" spans="1:4">
      <c r="A65" s="1" t="s">
        <v>64</v>
      </c>
      <c r="B65" s="3">
        <v>0</v>
      </c>
      <c r="C65" s="1" t="str">
        <f>IF($B65=0,"Internal Schedule","Schedule "&amp;TEXT(SUM($B$1:$B65),"0"))</f>
        <v>Internal Schedule</v>
      </c>
      <c r="D65" s="3">
        <f>ROW()</f>
        <v>65</v>
      </c>
    </row>
    <row r="66" spans="1:4">
      <c r="A66" s="1" t="s">
        <v>65</v>
      </c>
      <c r="B66" s="3">
        <v>0</v>
      </c>
      <c r="C66" s="1" t="str">
        <f>IF($B66=0,"Internal Schedule","Schedule "&amp;TEXT(SUM($B$1:$B66),"0"))</f>
        <v>Internal Schedule</v>
      </c>
      <c r="D66" s="3">
        <f>ROW()</f>
        <v>66</v>
      </c>
    </row>
    <row r="67" spans="1:4">
      <c r="A67" s="1" t="s">
        <v>66</v>
      </c>
      <c r="B67" s="3">
        <v>0</v>
      </c>
      <c r="C67" s="1" t="str">
        <f>IF($B67=0,"Internal Schedule","Schedule "&amp;TEXT(SUM($B$1:$B67),"0"))</f>
        <v>Internal Schedule</v>
      </c>
      <c r="D67" s="3">
        <f>ROW()</f>
        <v>67</v>
      </c>
    </row>
    <row r="68" spans="1:4">
      <c r="A68" s="1" t="s">
        <v>67</v>
      </c>
      <c r="B68" s="3">
        <v>0</v>
      </c>
      <c r="C68" s="1" t="str">
        <f>IF($B68=0,"Internal Schedule","Schedule "&amp;TEXT(SUM($B$1:$B68),"0"))</f>
        <v>Internal Schedule</v>
      </c>
      <c r="D68" s="3">
        <f>ROW()</f>
        <v>68</v>
      </c>
    </row>
    <row r="69" spans="1:4">
      <c r="A69" s="1" t="s">
        <v>68</v>
      </c>
      <c r="B69" s="3">
        <v>0</v>
      </c>
      <c r="C69" s="1" t="str">
        <f>IF($B69=0,"Internal Schedule","Schedule "&amp;TEXT(SUM($B$1:$B69),"0"))</f>
        <v>Internal Schedule</v>
      </c>
      <c r="D69" s="3">
        <f>ROW()</f>
        <v>69</v>
      </c>
    </row>
    <row r="70" spans="1:4">
      <c r="A70" s="1" t="s">
        <v>69</v>
      </c>
      <c r="B70" s="3">
        <v>0</v>
      </c>
      <c r="C70" s="1" t="str">
        <f>IF($B70=0,"Internal Schedule","Schedule "&amp;TEXT(SUM($B$1:$B70),"0"))</f>
        <v>Internal Schedule</v>
      </c>
      <c r="D70" s="3">
        <f>ROW()</f>
        <v>70</v>
      </c>
    </row>
    <row r="71" spans="1:4">
      <c r="A71" s="1" t="s">
        <v>70</v>
      </c>
      <c r="B71" s="3">
        <v>0</v>
      </c>
      <c r="C71" s="1" t="str">
        <f>IF($B71=0,"Internal Schedule","Schedule "&amp;TEXT(SUM($B$1:$B71),"0"))</f>
        <v>Internal Schedule</v>
      </c>
      <c r="D71" s="3">
        <f>ROW()</f>
        <v>71</v>
      </c>
    </row>
    <row r="72" spans="1:4">
      <c r="A72" s="1" t="s">
        <v>71</v>
      </c>
      <c r="B72" s="3">
        <v>0</v>
      </c>
      <c r="C72" s="1" t="str">
        <f>IF($B72=0,"Internal Schedule","Schedule "&amp;TEXT(SUM($B$1:$B72),"0"))</f>
        <v>Internal Schedule</v>
      </c>
      <c r="D72" s="3">
        <f>ROW()</f>
        <v>72</v>
      </c>
    </row>
    <row r="73" spans="1:4">
      <c r="A73" s="1" t="s">
        <v>72</v>
      </c>
      <c r="B73" s="3">
        <v>0</v>
      </c>
      <c r="C73" s="1" t="str">
        <f>IF($B73=0,"Internal Schedule","Schedule "&amp;TEXT(SUM($B$1:$B73),"0"))</f>
        <v>Internal Schedule</v>
      </c>
      <c r="D73" s="3">
        <f>ROW()</f>
        <v>73</v>
      </c>
    </row>
    <row r="74" spans="1:4">
      <c r="A74" s="1" t="s">
        <v>73</v>
      </c>
      <c r="B74" s="3">
        <v>0</v>
      </c>
      <c r="C74" s="1" t="str">
        <f>IF($B74=0,"Internal Schedule","Schedule "&amp;TEXT(SUM($B$1:$B74),"0"))</f>
        <v>Internal Schedule</v>
      </c>
      <c r="D74" s="3">
        <f>ROW()</f>
        <v>74</v>
      </c>
    </row>
    <row r="75" spans="1:4">
      <c r="A75" s="1" t="s">
        <v>74</v>
      </c>
      <c r="B75" s="3">
        <v>0</v>
      </c>
      <c r="C75" s="1" t="str">
        <f>IF($B75=0,"Internal Schedule","Schedule "&amp;TEXT(SUM($B$1:$B75),"0"))</f>
        <v>Internal Schedule</v>
      </c>
      <c r="D75" s="3">
        <f>ROW()</f>
        <v>75</v>
      </c>
    </row>
    <row r="76" spans="1:4">
      <c r="A76" s="1" t="s">
        <v>75</v>
      </c>
      <c r="B76" s="3">
        <v>0</v>
      </c>
      <c r="C76" s="1" t="str">
        <f>IF($B76=0,"Internal Schedule","Schedule "&amp;TEXT(SUM($B$1:$B76),"0"))</f>
        <v>Internal Schedule</v>
      </c>
      <c r="D76" s="3">
        <f>ROW()</f>
        <v>76</v>
      </c>
    </row>
    <row r="77" spans="1:4">
      <c r="A77" s="1" t="s">
        <v>76</v>
      </c>
      <c r="B77" s="3">
        <v>0</v>
      </c>
      <c r="C77" s="1" t="str">
        <f>IF($B77=0,"Internal Schedule","Schedule "&amp;TEXT(SUM($B$1:$B77),"0"))</f>
        <v>Internal Schedule</v>
      </c>
      <c r="D77" s="3">
        <f>ROW()</f>
        <v>77</v>
      </c>
    </row>
    <row r="78" spans="1:4">
      <c r="A78" s="1" t="s">
        <v>77</v>
      </c>
      <c r="B78" s="3">
        <v>0</v>
      </c>
      <c r="C78" s="1" t="str">
        <f>IF($B78=0,"Internal Schedule","Schedule "&amp;TEXT(SUM($B$1:$B78),"0"))</f>
        <v>Internal Schedule</v>
      </c>
      <c r="D78" s="3">
        <f>ROW()</f>
        <v>78</v>
      </c>
    </row>
    <row r="79" spans="1:4">
      <c r="A79" s="1" t="s">
        <v>78</v>
      </c>
      <c r="B79" s="3">
        <v>0</v>
      </c>
      <c r="C79" s="1" t="str">
        <f>IF($B79=0,"Internal Schedule","Schedule "&amp;TEXT(SUM($B$1:$B79),"0"))</f>
        <v>Internal Schedule</v>
      </c>
      <c r="D79" s="3">
        <f>ROW()</f>
        <v>79</v>
      </c>
    </row>
    <row r="80" spans="1:4">
      <c r="A80" s="1" t="s">
        <v>79</v>
      </c>
      <c r="B80" s="3">
        <v>0</v>
      </c>
      <c r="C80" s="1" t="str">
        <f>IF($B80=0,"Internal Schedule","Schedule "&amp;TEXT(SUM($B$1:$B80),"0"))</f>
        <v>Internal Schedule</v>
      </c>
      <c r="D80" s="3">
        <f>ROW()</f>
        <v>80</v>
      </c>
    </row>
    <row r="81" spans="1:4">
      <c r="A81" s="1" t="s">
        <v>80</v>
      </c>
      <c r="B81" s="3">
        <v>0</v>
      </c>
      <c r="C81" s="1" t="str">
        <f>IF($B81=0,"Internal Schedule","Schedule "&amp;TEXT(SUM($B$1:$B81),"0"))</f>
        <v>Internal Schedule</v>
      </c>
      <c r="D81" s="3">
        <f>ROW()</f>
        <v>81</v>
      </c>
    </row>
    <row r="82" spans="1:4">
      <c r="A82" s="1" t="s">
        <v>81</v>
      </c>
      <c r="B82" s="3">
        <v>0</v>
      </c>
      <c r="C82" s="1" t="str">
        <f>IF($B82=0,"Internal Schedule","Schedule "&amp;TEXT(SUM($B$1:$B82),"0"))</f>
        <v>Internal Schedule</v>
      </c>
      <c r="D82" s="3">
        <f>ROW()</f>
        <v>82</v>
      </c>
    </row>
    <row r="83" spans="1:4">
      <c r="A83" s="1" t="s">
        <v>82</v>
      </c>
      <c r="B83" s="3">
        <v>0</v>
      </c>
      <c r="C83" s="1" t="str">
        <f>IF($B83=0,"Internal Schedule","Schedule "&amp;TEXT(SUM($B$1:$B83),"0"))</f>
        <v>Internal Schedule</v>
      </c>
      <c r="D83" s="3">
        <f>ROW()</f>
        <v>83</v>
      </c>
    </row>
    <row r="84" spans="1:4">
      <c r="A84" s="1" t="s">
        <v>83</v>
      </c>
      <c r="B84" s="3">
        <v>0</v>
      </c>
      <c r="C84" s="1" t="str">
        <f>IF($B84=0,"Internal Schedule","Schedule "&amp;TEXT(SUM($B$1:$B84),"0"))</f>
        <v>Internal Schedule</v>
      </c>
      <c r="D84" s="3">
        <f>ROW()</f>
        <v>84</v>
      </c>
    </row>
    <row r="85" spans="1:4">
      <c r="A85" s="1" t="s">
        <v>84</v>
      </c>
      <c r="B85" s="3">
        <v>0</v>
      </c>
      <c r="C85" s="1" t="str">
        <f>IF($B85=0,"Internal Schedule","Schedule "&amp;TEXT(SUM($B$1:$B85),"0"))</f>
        <v>Internal Schedule</v>
      </c>
      <c r="D85" s="3">
        <f>ROW()</f>
        <v>85</v>
      </c>
    </row>
    <row r="86" spans="1:4">
      <c r="A86" s="1" t="s">
        <v>85</v>
      </c>
      <c r="B86" s="3">
        <v>0</v>
      </c>
      <c r="C86" s="1" t="str">
        <f>IF($B86=0,"Internal Schedule","Schedule "&amp;TEXT(SUM($B$1:$B86),"0"))</f>
        <v>Internal Schedule</v>
      </c>
      <c r="D86" s="3">
        <f>ROW()</f>
        <v>86</v>
      </c>
    </row>
    <row r="87" spans="1:4">
      <c r="A87" s="1" t="s">
        <v>86</v>
      </c>
      <c r="B87" s="3">
        <v>0</v>
      </c>
      <c r="C87" s="1" t="str">
        <f>IF($B87=0,"Internal Schedule","Schedule "&amp;TEXT(SUM($B$1:$B87),"0"))</f>
        <v>Internal Schedule</v>
      </c>
      <c r="D87" s="3">
        <f>ROW()</f>
        <v>87</v>
      </c>
    </row>
    <row r="88" spans="1:4">
      <c r="A88" s="1" t="s">
        <v>87</v>
      </c>
      <c r="B88" s="3">
        <v>0</v>
      </c>
      <c r="C88" s="1" t="str">
        <f>IF($B88=0,"Internal Schedule","Schedule "&amp;TEXT(SUM($B$1:$B88),"0"))</f>
        <v>Internal Schedule</v>
      </c>
      <c r="D88" s="3">
        <f>ROW()</f>
        <v>88</v>
      </c>
    </row>
    <row r="89" spans="1:4">
      <c r="A89" s="1" t="s">
        <v>88</v>
      </c>
      <c r="B89" s="3">
        <v>0</v>
      </c>
      <c r="C89" s="1" t="str">
        <f>IF($B89=0,"Internal Schedule","Schedule "&amp;TEXT(SUM($B$1:$B89),"0"))</f>
        <v>Internal Schedule</v>
      </c>
      <c r="D89" s="3">
        <f>ROW()</f>
        <v>89</v>
      </c>
    </row>
    <row r="90" spans="1:4">
      <c r="A90" s="1" t="s">
        <v>89</v>
      </c>
      <c r="B90" s="3">
        <v>0</v>
      </c>
      <c r="C90" s="1" t="str">
        <f>IF($B90=0,"Internal Schedule","Schedule "&amp;TEXT(SUM($B$1:$B90),"0"))</f>
        <v>Internal Schedule</v>
      </c>
      <c r="D90" s="3">
        <f>ROW()</f>
        <v>90</v>
      </c>
    </row>
    <row r="91" spans="1:4">
      <c r="A91" s="1" t="s">
        <v>90</v>
      </c>
      <c r="B91" s="3">
        <v>0</v>
      </c>
      <c r="C91" s="1" t="str">
        <f>IF($B91=0,"Internal Schedule","Schedule "&amp;TEXT(SUM($B$1:$B91),"0"))</f>
        <v>Internal Schedule</v>
      </c>
      <c r="D91" s="3">
        <f>ROW()</f>
        <v>91</v>
      </c>
    </row>
    <row r="92" spans="1:4">
      <c r="A92" s="1" t="s">
        <v>91</v>
      </c>
      <c r="B92" s="3">
        <v>0</v>
      </c>
      <c r="C92" s="1" t="str">
        <f>IF($B92=0,"Internal Schedule","Schedule "&amp;TEXT(SUM($B$1:$B92),"0"))</f>
        <v>Internal Schedule</v>
      </c>
      <c r="D92" s="3">
        <f>ROW()</f>
        <v>92</v>
      </c>
    </row>
    <row r="93" spans="1:4">
      <c r="B93" s="3"/>
      <c r="C93" s="1" t="str">
        <f>IF($B93=0,"Internal Schedule","Schedule "&amp;TEXT(SUM($B$1:$B93),"0"))</f>
        <v>Internal Schedule</v>
      </c>
      <c r="D93" s="3">
        <f>ROW()</f>
        <v>93</v>
      </c>
    </row>
    <row r="94" spans="1:4">
      <c r="B94" s="3"/>
      <c r="C94" s="1" t="str">
        <f>IF($B94=0,"Internal Schedule","Schedule "&amp;TEXT(SUM($B$1:$B94),"0"))</f>
        <v>Internal Schedule</v>
      </c>
      <c r="D94" s="3">
        <f>ROW()</f>
        <v>94</v>
      </c>
    </row>
    <row r="95" spans="1:4">
      <c r="B95" s="3"/>
      <c r="C95" s="1" t="str">
        <f>IF($B95=0,"Internal Schedule","Schedule "&amp;TEXT(SUM($B$1:$B95),"0"))</f>
        <v>Internal Schedule</v>
      </c>
      <c r="D95" s="3">
        <f>ROW()</f>
        <v>95</v>
      </c>
    </row>
    <row r="96" spans="1:4">
      <c r="B96" s="3"/>
      <c r="C96" s="1" t="str">
        <f>IF($B96=0,"Internal Schedule","Schedule "&amp;TEXT(SUM($B$1:$B96),"0"))</f>
        <v>Internal Schedule</v>
      </c>
      <c r="D96" s="3">
        <f>ROW()</f>
        <v>96</v>
      </c>
    </row>
    <row r="97" spans="2:4">
      <c r="B97" s="3"/>
      <c r="C97" s="1" t="str">
        <f>IF($B97=0,"Internal Schedule","Schedule "&amp;TEXT(SUM($B$1:$B97),"0"))</f>
        <v>Internal Schedule</v>
      </c>
      <c r="D97" s="3">
        <f>ROW()</f>
        <v>97</v>
      </c>
    </row>
    <row r="98" spans="2:4">
      <c r="B98" s="3"/>
      <c r="C98" s="1" t="str">
        <f>IF($B98=0,"Internal Schedule","Schedule "&amp;TEXT(SUM($B$1:$B98),"0"))</f>
        <v>Internal Schedule</v>
      </c>
      <c r="D98" s="3">
        <f>ROW()</f>
        <v>98</v>
      </c>
    </row>
    <row r="99" spans="2:4">
      <c r="B99" s="3"/>
      <c r="C99" s="1" t="str">
        <f>IF($B99=0,"Internal Schedule","Schedule "&amp;TEXT(SUM($B$1:$B99),"0"))</f>
        <v>Internal Schedule</v>
      </c>
      <c r="D99" s="3">
        <f>ROW()</f>
        <v>99</v>
      </c>
    </row>
    <row r="100" spans="2:4">
      <c r="B100" s="3"/>
      <c r="C100" s="1" t="str">
        <f>IF($B100=0,"Internal Schedule","Schedule "&amp;TEXT(SUM($B$1:$B100),"0"))</f>
        <v>Internal Schedule</v>
      </c>
      <c r="D100" s="3">
        <f>ROW()</f>
        <v>100</v>
      </c>
    </row>
    <row r="101" spans="2:4">
      <c r="B101" s="3"/>
      <c r="C101" s="1" t="str">
        <f>IF($B101=0,"Internal Schedule","Schedule "&amp;TEXT(SUM($B$1:$B101),"0"))</f>
        <v>Internal Schedule</v>
      </c>
      <c r="D101" s="3">
        <f>ROW()</f>
        <v>101</v>
      </c>
    </row>
    <row r="102" spans="2:4">
      <c r="B102" s="3"/>
      <c r="C102" s="1" t="str">
        <f>IF($B102=0,"Internal Schedule","Schedule "&amp;TEXT(SUM($B$1:$B102),"0"))</f>
        <v>Internal Schedule</v>
      </c>
      <c r="D102" s="3">
        <f>ROW()</f>
        <v>102</v>
      </c>
    </row>
    <row r="103" spans="2:4">
      <c r="B103" s="3"/>
      <c r="C103" s="1" t="str">
        <f>IF($B103=0,"Internal Schedule","Schedule "&amp;TEXT(SUM($B$1:$B103),"0"))</f>
        <v>Internal Schedule</v>
      </c>
      <c r="D103" s="3">
        <f>ROW()</f>
        <v>103</v>
      </c>
    </row>
    <row r="104" spans="2:4">
      <c r="B104" s="3"/>
      <c r="C104" s="1" t="str">
        <f>IF($B104=0,"Internal Schedule","Schedule "&amp;TEXT(SUM($B$1:$B104),"0"))</f>
        <v>Internal Schedule</v>
      </c>
      <c r="D104" s="3">
        <f>ROW()</f>
        <v>104</v>
      </c>
    </row>
    <row r="105" spans="2:4">
      <c r="B105" s="3"/>
      <c r="C105" s="1" t="str">
        <f>IF($B105=0,"Internal Schedule","Schedule "&amp;TEXT(SUM($B$1:$B105),"0"))</f>
        <v>Internal Schedule</v>
      </c>
      <c r="D105" s="3">
        <f>ROW()</f>
        <v>105</v>
      </c>
    </row>
  </sheetData>
  <pageMargins left="0.7" right="0.7" top="0.75" bottom="0.75" header="0.3" footer="0.3"/>
  <pageSetup orientation="portrait" r:id="rId1"/>
  <headerFooter>
    <oddHeader>&amp;R&amp;"Arial"&amp;8&amp;K000000Confidential&amp;1#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0FB5-22CB-48CA-8C33-49245A7C9C04}">
  <dimension ref="A1:P15"/>
  <sheetViews>
    <sheetView showGridLines="0" zoomScale="80" zoomScaleNormal="80" workbookViewId="0">
      <selection activeCell="D14" sqref="D14"/>
    </sheetView>
  </sheetViews>
  <sheetFormatPr defaultColWidth="0" defaultRowHeight="0" customHeight="1" zeroHeight="1"/>
  <cols>
    <col min="1" max="3" width="2.6640625" style="49" customWidth="1"/>
    <col min="4" max="11" width="15.21875" style="49" customWidth="1"/>
    <col min="12" max="12" width="7.109375" style="49" customWidth="1"/>
    <col min="13" max="13" width="12.33203125" style="49" bestFit="1" customWidth="1"/>
    <col min="14" max="16" width="7.109375" style="49" customWidth="1"/>
    <col min="17" max="16384" width="7.109375" style="49" hidden="1"/>
  </cols>
  <sheetData>
    <row r="1" spans="1:14" ht="18.600000000000001" customHeight="1"/>
    <row r="2" spans="1:14" ht="18.600000000000001" customHeight="1">
      <c r="B2" s="50" t="str">
        <f>F5</f>
        <v>Hazel Lighting India</v>
      </c>
    </row>
    <row r="3" spans="1:14" ht="18.600000000000001" customHeight="1" thickBot="1">
      <c r="A3" s="51"/>
      <c r="B3" s="51"/>
      <c r="C3" s="51"/>
      <c r="D3" s="51"/>
      <c r="E3" s="51"/>
      <c r="F3" s="51"/>
      <c r="G3" s="51"/>
      <c r="H3" s="51"/>
      <c r="I3" s="51"/>
      <c r="J3" s="51"/>
      <c r="K3" s="51"/>
    </row>
    <row r="4" spans="1:14" ht="11.25">
      <c r="M4" s="49" t="s">
        <v>2693</v>
      </c>
    </row>
    <row r="5" spans="1:14" ht="11.25">
      <c r="D5" s="52" t="s">
        <v>1926</v>
      </c>
      <c r="F5" s="49" t="str">
        <f>client.name.long</f>
        <v>Hazel Lighting India</v>
      </c>
      <c r="K5" s="53" t="s">
        <v>1790</v>
      </c>
      <c r="M5" s="1290" t="s">
        <v>2657</v>
      </c>
      <c r="N5" s="49" t="s">
        <v>1979</v>
      </c>
    </row>
    <row r="6" spans="1:14" ht="11.25">
      <c r="D6" s="52" t="s">
        <v>2499</v>
      </c>
      <c r="F6" s="49" t="str">
        <f>target.name</f>
        <v>Lazure Worldwide FZCO</v>
      </c>
      <c r="K6" s="54" t="s">
        <v>1791</v>
      </c>
    </row>
    <row r="7" spans="1:14" ht="11.25">
      <c r="D7" s="52" t="s">
        <v>1924</v>
      </c>
      <c r="F7" s="49" t="str">
        <f>project.title</f>
        <v>Lazure Worldwide FZCO - Self Valuation using DCF Method, Transaction Multiples Method, &amp; Market Multiples Method</v>
      </c>
      <c r="K7" s="55" t="s">
        <v>1793</v>
      </c>
    </row>
    <row r="8" spans="1:14" ht="11.25">
      <c r="D8" s="52" t="s">
        <v>1792</v>
      </c>
      <c r="F8" s="49" t="s">
        <v>2225</v>
      </c>
      <c r="K8" s="56" t="s">
        <v>1795</v>
      </c>
    </row>
    <row r="9" spans="1:14" ht="11.25">
      <c r="D9" s="52" t="s">
        <v>1794</v>
      </c>
      <c r="F9" s="57" t="s">
        <v>1923</v>
      </c>
      <c r="K9" s="58" t="s">
        <v>1797</v>
      </c>
    </row>
    <row r="10" spans="1:14" ht="11.25">
      <c r="D10" s="52" t="s">
        <v>1796</v>
      </c>
      <c r="F10" s="59">
        <f ca="1">TODAY()</f>
        <v>45709</v>
      </c>
      <c r="K10" s="60" t="s">
        <v>1798</v>
      </c>
    </row>
    <row r="11" spans="1:14" ht="11.25"/>
    <row r="12" spans="1:14" ht="11.25">
      <c r="D12" s="1820" t="s">
        <v>1799</v>
      </c>
      <c r="E12" s="1820"/>
      <c r="F12" s="1820"/>
      <c r="G12" s="1820"/>
      <c r="H12" s="1820"/>
      <c r="I12" s="1820"/>
      <c r="J12" s="1820"/>
      <c r="K12" s="1820"/>
    </row>
    <row r="13" spans="1:14" ht="201" customHeight="1">
      <c r="D13" s="1821" t="s">
        <v>2227</v>
      </c>
      <c r="E13" s="1821"/>
      <c r="F13" s="1821"/>
      <c r="G13" s="1821"/>
      <c r="H13" s="1821"/>
      <c r="I13" s="1821"/>
      <c r="J13" s="1821"/>
      <c r="K13" s="1821"/>
      <c r="L13" s="61"/>
    </row>
    <row r="14" spans="1:14" ht="11.25"/>
    <row r="15" spans="1:14" ht="11.25"/>
  </sheetData>
  <mergeCells count="2">
    <mergeCell ref="D12:K12"/>
    <mergeCell ref="D13:K1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E86FF-9961-4253-9E70-8DC9A3BB7EBC}">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defaultColWidth="0" defaultRowHeight="15.75"/>
  <cols>
    <col min="1" max="1" width="5.44140625" style="1500" customWidth="1"/>
    <col min="2" max="4" width="5.44140625" style="1500" hidden="1" customWidth="1"/>
    <col min="5" max="5" width="1.5546875" hidden="1" customWidth="1"/>
    <col min="6" max="6" width="2.21875" style="1499" customWidth="1"/>
    <col min="7" max="7" width="4.109375" style="1500" customWidth="1"/>
    <col min="8" max="8" width="22.109375" style="1499" customWidth="1"/>
    <col min="9" max="9" width="76.88671875" style="1501" customWidth="1"/>
    <col min="10" max="12" width="10.88671875" style="1500" customWidth="1"/>
    <col min="13" max="13" width="9.21875" style="1500" customWidth="1"/>
    <col min="14" max="14" width="14" style="1500" customWidth="1"/>
    <col min="15" max="15" width="39.6640625" style="1503" customWidth="1"/>
    <col min="16" max="16" width="28.88671875" style="1500" customWidth="1"/>
    <col min="17" max="18" width="34.88671875" style="1506" customWidth="1"/>
    <col min="19" max="19" width="34.88671875" style="1500" customWidth="1"/>
    <col min="20" max="20" width="7.21875" style="1500" customWidth="1"/>
    <col min="21" max="23" width="0" style="1500" hidden="1" customWidth="1"/>
    <col min="24" max="16384" width="7.21875" style="1500" hidden="1"/>
  </cols>
  <sheetData>
    <row r="1" spans="1:19">
      <c r="A1" s="1498" t="s">
        <v>2354</v>
      </c>
      <c r="B1" s="1498"/>
      <c r="C1" s="1498"/>
      <c r="D1" s="1498"/>
      <c r="I1" s="1502"/>
      <c r="J1" s="1502"/>
      <c r="K1" s="1502"/>
      <c r="L1" s="1502"/>
      <c r="M1" s="1502"/>
      <c r="Q1" s="1504"/>
      <c r="R1" s="1504"/>
      <c r="S1" s="1504"/>
    </row>
    <row r="2" spans="1:19">
      <c r="A2" s="1505" t="s">
        <v>2355</v>
      </c>
      <c r="B2" s="1505"/>
      <c r="C2" s="1505"/>
      <c r="D2" s="1505"/>
      <c r="I2" s="1502" t="s">
        <v>2518</v>
      </c>
      <c r="J2" s="1502"/>
      <c r="K2" s="1502"/>
      <c r="L2" s="1502"/>
      <c r="M2" s="1502"/>
      <c r="S2" s="1506"/>
    </row>
    <row r="3" spans="1:19">
      <c r="A3" s="1505"/>
      <c r="B3" s="1505"/>
      <c r="C3" s="1505"/>
      <c r="D3" s="1505"/>
      <c r="I3" s="1502"/>
      <c r="J3" s="1502"/>
      <c r="K3" s="1502"/>
      <c r="L3" s="1502"/>
      <c r="M3" s="1502"/>
      <c r="S3" s="1506"/>
    </row>
    <row r="4" spans="1:19">
      <c r="A4" s="1505"/>
      <c r="B4" s="1505"/>
      <c r="C4" s="1505"/>
      <c r="D4" s="1505"/>
      <c r="I4" s="1502"/>
      <c r="J4" s="1502"/>
      <c r="K4" s="1502"/>
      <c r="L4" s="1502"/>
      <c r="M4" s="1502"/>
      <c r="S4" s="1506"/>
    </row>
    <row r="5" spans="1:19">
      <c r="A5"/>
      <c r="B5"/>
      <c r="C5"/>
      <c r="D5"/>
      <c r="H5" s="1789" t="s">
        <v>2356</v>
      </c>
      <c r="I5" s="1507" t="s">
        <v>2357</v>
      </c>
      <c r="J5" s="1508" t="s">
        <v>2358</v>
      </c>
      <c r="K5" s="1508"/>
      <c r="L5" s="1508"/>
      <c r="M5" s="1508" t="s">
        <v>2359</v>
      </c>
      <c r="N5" s="1509" t="s">
        <v>2360</v>
      </c>
      <c r="O5" s="1509" t="s">
        <v>2361</v>
      </c>
      <c r="P5" s="1510" t="s">
        <v>2870</v>
      </c>
      <c r="Q5" s="1511"/>
      <c r="R5" s="1511" t="s">
        <v>2871</v>
      </c>
      <c r="S5" s="1511" t="s">
        <v>2872</v>
      </c>
    </row>
    <row r="6" spans="1:19" s="71" customFormat="1">
      <c r="A6"/>
      <c r="B6"/>
      <c r="C6"/>
      <c r="D6"/>
      <c r="E6" s="1233" t="s">
        <v>2812</v>
      </c>
      <c r="F6" s="1291">
        <v>0</v>
      </c>
      <c r="G6" s="1292"/>
      <c r="H6" s="1291" t="s">
        <v>2491</v>
      </c>
      <c r="I6" s="1293"/>
      <c r="J6" s="1292"/>
      <c r="K6" s="1292"/>
      <c r="L6" s="1292"/>
      <c r="M6" s="1292"/>
      <c r="N6" s="1292"/>
      <c r="O6" s="1292" t="s">
        <v>2492</v>
      </c>
      <c r="P6" s="1292"/>
      <c r="Q6" s="1294"/>
    </row>
    <row r="7" spans="1:19" s="1145" customFormat="1">
      <c r="A7"/>
      <c r="B7"/>
      <c r="C7"/>
      <c r="D7"/>
      <c r="E7" s="1233" t="s">
        <v>2812</v>
      </c>
      <c r="H7" s="1295" t="s">
        <v>2873</v>
      </c>
      <c r="I7" s="1296" t="s">
        <v>2874</v>
      </c>
      <c r="J7" s="1145" t="s">
        <v>2875</v>
      </c>
      <c r="N7" s="1512" t="s">
        <v>106</v>
      </c>
      <c r="O7" s="1145" t="s">
        <v>2509</v>
      </c>
      <c r="P7" s="1145" t="s">
        <v>2876</v>
      </c>
      <c r="Q7" s="1162"/>
    </row>
    <row r="8" spans="1:19" s="1145" customFormat="1">
      <c r="A8"/>
      <c r="B8"/>
      <c r="C8"/>
      <c r="D8"/>
      <c r="E8" s="1233" t="s">
        <v>2812</v>
      </c>
      <c r="H8" s="1295" t="s">
        <v>2878</v>
      </c>
      <c r="I8" s="1296" t="s">
        <v>2879</v>
      </c>
      <c r="J8" s="1145" t="s">
        <v>2877</v>
      </c>
      <c r="N8" s="1512" t="s">
        <v>106</v>
      </c>
      <c r="O8" s="1145" t="s">
        <v>3011</v>
      </c>
      <c r="Q8" s="1162"/>
    </row>
    <row r="9" spans="1:19" s="1145" customFormat="1">
      <c r="A9"/>
      <c r="B9"/>
      <c r="C9"/>
      <c r="D9"/>
      <c r="E9" s="1233" t="s">
        <v>2812</v>
      </c>
      <c r="G9" s="1295"/>
      <c r="H9" s="1790" t="s">
        <v>2322</v>
      </c>
      <c r="I9" s="1501" t="s">
        <v>2880</v>
      </c>
      <c r="J9" s="1145" t="s">
        <v>2881</v>
      </c>
      <c r="N9" s="1512" t="s">
        <v>2413</v>
      </c>
      <c r="Q9" s="1162"/>
    </row>
    <row r="10" spans="1:19">
      <c r="A10"/>
      <c r="B10"/>
      <c r="C10"/>
      <c r="D10"/>
      <c r="E10" s="1233" t="s">
        <v>2812</v>
      </c>
      <c r="F10" s="1145"/>
      <c r="H10" s="1789"/>
      <c r="J10" s="1508"/>
      <c r="K10" s="1508"/>
      <c r="L10" s="1508"/>
      <c r="M10" s="1508"/>
      <c r="N10" s="1509"/>
      <c r="O10" s="1509"/>
      <c r="Q10" s="1511"/>
      <c r="R10" s="1511"/>
      <c r="S10" s="1511"/>
    </row>
    <row r="11" spans="1:19">
      <c r="A11"/>
      <c r="B11"/>
      <c r="C11"/>
      <c r="D11"/>
      <c r="E11" s="1233" t="s">
        <v>2812</v>
      </c>
      <c r="F11" s="1513">
        <v>1</v>
      </c>
      <c r="G11" s="1514"/>
      <c r="H11" s="1513" t="s">
        <v>2362</v>
      </c>
      <c r="I11" s="1515"/>
      <c r="J11" s="1514"/>
      <c r="K11" s="1514"/>
      <c r="L11" s="1514"/>
      <c r="M11" s="1514"/>
      <c r="N11" s="1514"/>
      <c r="O11" s="1516"/>
      <c r="P11" s="1514"/>
      <c r="Q11" s="1517"/>
      <c r="R11" s="1517"/>
      <c r="S11" s="1517"/>
    </row>
    <row r="12" spans="1:19">
      <c r="A12"/>
      <c r="B12"/>
      <c r="C12"/>
      <c r="D12"/>
      <c r="E12" s="1233" t="s">
        <v>2812</v>
      </c>
      <c r="F12" s="1145"/>
      <c r="G12" s="1518">
        <f>F11+0.1</f>
        <v>1.1000000000000001</v>
      </c>
      <c r="H12" s="1519" t="s">
        <v>2363</v>
      </c>
      <c r="I12" s="1520"/>
      <c r="J12" s="1521"/>
      <c r="K12" s="1521"/>
      <c r="L12" s="1521"/>
      <c r="M12" s="1521"/>
      <c r="N12" s="1521"/>
      <c r="O12" s="1522"/>
      <c r="P12" s="1521"/>
      <c r="Q12" s="1523"/>
      <c r="R12" s="1523"/>
      <c r="S12" s="1523"/>
    </row>
    <row r="13" spans="1:19">
      <c r="A13"/>
      <c r="B13"/>
      <c r="C13"/>
      <c r="D13"/>
      <c r="E13" s="1233" t="s">
        <v>2812</v>
      </c>
      <c r="F13" s="1145"/>
      <c r="G13" s="1524"/>
      <c r="H13" s="1791" t="s">
        <v>2364</v>
      </c>
      <c r="I13" s="1822" t="s">
        <v>2659</v>
      </c>
      <c r="J13" s="1822"/>
      <c r="K13" s="1822"/>
      <c r="L13" s="1822"/>
      <c r="M13" s="1822"/>
      <c r="N13" s="1822"/>
      <c r="O13" s="1822"/>
      <c r="P13" s="1822"/>
      <c r="Q13" s="1822"/>
      <c r="R13" s="1526"/>
      <c r="S13" s="1526"/>
    </row>
    <row r="14" spans="1:19">
      <c r="A14"/>
      <c r="B14"/>
      <c r="C14"/>
      <c r="D14"/>
      <c r="E14" s="1233" t="s">
        <v>2812</v>
      </c>
      <c r="F14" s="1145"/>
      <c r="G14" s="1524"/>
      <c r="H14" s="1583"/>
      <c r="S14" s="1506"/>
    </row>
    <row r="15" spans="1:19" s="1533" customFormat="1">
      <c r="A15"/>
      <c r="B15"/>
      <c r="C15"/>
      <c r="D15"/>
      <c r="E15" s="1233" t="s">
        <v>2812</v>
      </c>
      <c r="F15" s="1145"/>
      <c r="G15" s="1524"/>
      <c r="H15" s="1792" t="s">
        <v>2304</v>
      </c>
      <c r="I15" s="1528" t="s">
        <v>2882</v>
      </c>
      <c r="J15" s="1529"/>
      <c r="K15" s="1529"/>
      <c r="L15" s="1529"/>
      <c r="M15" s="1529"/>
      <c r="N15" s="1530" t="s">
        <v>2883</v>
      </c>
      <c r="O15" s="1529"/>
      <c r="P15" s="1531"/>
      <c r="Q15" s="1531"/>
      <c r="R15" s="1532"/>
      <c r="S15" s="1532"/>
    </row>
    <row r="16" spans="1:19" s="1533" customFormat="1">
      <c r="A16"/>
      <c r="B16"/>
      <c r="C16"/>
      <c r="D16"/>
      <c r="E16" s="1233" t="s">
        <v>2812</v>
      </c>
      <c r="F16" s="1145"/>
      <c r="H16" s="1793" t="s">
        <v>2494</v>
      </c>
      <c r="I16" s="1534" t="s">
        <v>2848</v>
      </c>
      <c r="M16" s="1533" t="s">
        <v>2490</v>
      </c>
      <c r="N16" s="1535" t="s">
        <v>3153</v>
      </c>
      <c r="O16" s="1536"/>
      <c r="Q16" s="1532"/>
      <c r="R16" s="1532"/>
      <c r="S16" s="1532"/>
    </row>
    <row r="17" spans="1:19" s="1533" customFormat="1">
      <c r="A17"/>
      <c r="B17"/>
      <c r="C17"/>
      <c r="D17"/>
      <c r="E17" s="1233" t="s">
        <v>2812</v>
      </c>
      <c r="F17" s="1145"/>
      <c r="H17" s="1792" t="s">
        <v>2305</v>
      </c>
      <c r="I17" s="1528" t="s">
        <v>2884</v>
      </c>
      <c r="J17" s="1529"/>
      <c r="K17" s="1529"/>
      <c r="L17" s="1529"/>
      <c r="M17" s="1529" t="s">
        <v>2495</v>
      </c>
      <c r="N17" s="1530" t="s">
        <v>2658</v>
      </c>
      <c r="O17" s="1537"/>
      <c r="P17" s="1529"/>
      <c r="Q17" s="1531"/>
      <c r="R17" s="1532"/>
      <c r="S17" s="1532"/>
    </row>
    <row r="18" spans="1:19" s="1533" customFormat="1" ht="105">
      <c r="A18"/>
      <c r="B18"/>
      <c r="C18"/>
      <c r="D18"/>
      <c r="E18" s="1233" t="s">
        <v>2812</v>
      </c>
      <c r="F18" s="1145"/>
      <c r="H18" s="1793" t="s">
        <v>2366</v>
      </c>
      <c r="I18" s="1534" t="s">
        <v>2885</v>
      </c>
      <c r="N18" s="1538" t="s">
        <v>2365</v>
      </c>
      <c r="O18" s="1533" t="str">
        <f>IF(N18="A","Vendor Valuation",IF(N18="B","Management Valuation",IF(N18="C","Target Valuation","Other (please specify)")))</f>
        <v>Management Valuation</v>
      </c>
      <c r="Q18" s="1532"/>
      <c r="R18" s="1532"/>
      <c r="S18" s="1532"/>
    </row>
    <row r="19" spans="1:19" s="1533" customFormat="1">
      <c r="A19"/>
      <c r="B19"/>
      <c r="C19"/>
      <c r="D19"/>
      <c r="E19" s="1233" t="s">
        <v>2812</v>
      </c>
      <c r="F19" s="1145"/>
      <c r="H19" s="1793"/>
      <c r="I19" s="1534"/>
      <c r="O19" s="1536"/>
      <c r="Q19" s="1532"/>
      <c r="R19" s="1532"/>
      <c r="S19" s="1532"/>
    </row>
    <row r="20" spans="1:19">
      <c r="A20"/>
      <c r="B20"/>
      <c r="C20"/>
      <c r="D20"/>
      <c r="E20" s="1233" t="s">
        <v>2812</v>
      </c>
      <c r="F20" s="1145"/>
      <c r="G20" s="1518">
        <f>G12+0.1</f>
        <v>1.2000000000000002</v>
      </c>
      <c r="H20" s="1519" t="s">
        <v>2368</v>
      </c>
      <c r="I20" s="1520"/>
      <c r="J20" s="1521"/>
      <c r="K20" s="1521"/>
      <c r="L20" s="1521"/>
      <c r="M20" s="1521"/>
      <c r="N20" s="1521"/>
      <c r="O20" s="1522"/>
      <c r="P20" s="1521"/>
      <c r="Q20" s="1523"/>
      <c r="R20" s="1523"/>
      <c r="S20" s="1523"/>
    </row>
    <row r="21" spans="1:19">
      <c r="A21"/>
      <c r="B21"/>
      <c r="C21"/>
      <c r="D21"/>
      <c r="E21" s="1233" t="s">
        <v>2812</v>
      </c>
      <c r="F21" s="1145"/>
      <c r="H21" s="1560" t="s">
        <v>2369</v>
      </c>
      <c r="I21" s="1541" t="s">
        <v>2886</v>
      </c>
      <c r="J21" s="1542"/>
      <c r="K21" s="1542"/>
      <c r="L21" s="1542"/>
      <c r="M21" s="1542"/>
      <c r="N21" s="1530" t="s">
        <v>106</v>
      </c>
      <c r="O21" s="1542" t="s">
        <v>2367</v>
      </c>
      <c r="P21" s="1542"/>
      <c r="Q21" s="1543"/>
      <c r="R21" s="1544"/>
      <c r="S21" s="1544"/>
    </row>
    <row r="22" spans="1:19">
      <c r="A22"/>
      <c r="B22"/>
      <c r="C22"/>
      <c r="D22"/>
      <c r="E22" s="1233" t="s">
        <v>2812</v>
      </c>
      <c r="F22" s="1145"/>
      <c r="H22" s="1560" t="s">
        <v>94</v>
      </c>
      <c r="I22" s="1541" t="s">
        <v>2370</v>
      </c>
      <c r="J22" s="1542" t="s">
        <v>2371</v>
      </c>
      <c r="K22" s="1542"/>
      <c r="L22" s="1542"/>
      <c r="M22" s="1542" t="s">
        <v>2372</v>
      </c>
      <c r="N22" s="1530" t="s">
        <v>3154</v>
      </c>
      <c r="O22" s="1545"/>
      <c r="P22" s="1542"/>
      <c r="Q22" s="1543"/>
      <c r="R22" s="1544"/>
      <c r="S22" s="1544"/>
    </row>
    <row r="23" spans="1:19">
      <c r="A23"/>
      <c r="B23"/>
      <c r="C23"/>
      <c r="D23"/>
      <c r="E23" s="1233" t="s">
        <v>2812</v>
      </c>
      <c r="F23" s="1145"/>
      <c r="H23" s="1560" t="s">
        <v>2373</v>
      </c>
      <c r="I23" s="1528" t="s">
        <v>2374</v>
      </c>
      <c r="J23" s="1542" t="s">
        <v>2887</v>
      </c>
      <c r="K23" s="1542"/>
      <c r="L23" s="1542"/>
      <c r="M23" s="1542" t="s">
        <v>2375</v>
      </c>
      <c r="N23" s="1546" t="s">
        <v>3155</v>
      </c>
      <c r="O23" s="1545"/>
      <c r="P23" s="1542"/>
      <c r="Q23" s="1547"/>
      <c r="S23" s="1506"/>
    </row>
    <row r="24" spans="1:19">
      <c r="A24"/>
      <c r="B24"/>
      <c r="C24"/>
      <c r="D24"/>
      <c r="E24" s="1233" t="s">
        <v>2812</v>
      </c>
      <c r="F24" s="1145"/>
      <c r="N24" s="1538"/>
      <c r="S24" s="1506"/>
    </row>
    <row r="25" spans="1:19">
      <c r="A25"/>
      <c r="B25"/>
      <c r="C25"/>
      <c r="D25"/>
      <c r="E25" s="1233" t="s">
        <v>2812</v>
      </c>
      <c r="F25" s="1145"/>
      <c r="G25" s="1518">
        <f>G20+0.1</f>
        <v>1.3000000000000003</v>
      </c>
      <c r="H25" s="1519" t="s">
        <v>2376</v>
      </c>
      <c r="I25" s="1520"/>
      <c r="J25" s="1521"/>
      <c r="K25" s="1521"/>
      <c r="L25" s="1521"/>
      <c r="M25" s="1521"/>
      <c r="N25" s="1521"/>
      <c r="O25" s="1522"/>
      <c r="P25" s="1521"/>
      <c r="Q25" s="1523"/>
      <c r="R25" s="1523"/>
      <c r="S25" s="1523"/>
    </row>
    <row r="26" spans="1:19" ht="45">
      <c r="A26"/>
      <c r="B26"/>
      <c r="C26"/>
      <c r="D26"/>
      <c r="E26" s="1233" t="s">
        <v>2812</v>
      </c>
      <c r="F26" s="1145"/>
      <c r="H26" s="1560" t="s">
        <v>2380</v>
      </c>
      <c r="I26" s="1541" t="s">
        <v>2890</v>
      </c>
      <c r="J26" s="1542" t="s">
        <v>2381</v>
      </c>
      <c r="K26" s="1542"/>
      <c r="L26" s="1542"/>
      <c r="M26" s="1542" t="s">
        <v>2382</v>
      </c>
      <c r="N26" s="1548">
        <v>45565</v>
      </c>
      <c r="O26" s="1545" t="s">
        <v>2379</v>
      </c>
      <c r="P26" s="1542"/>
      <c r="Q26" s="1551"/>
      <c r="R26" s="1552"/>
      <c r="S26" s="1552"/>
    </row>
    <row r="27" spans="1:19">
      <c r="A27"/>
      <c r="B27"/>
      <c r="C27"/>
      <c r="D27"/>
      <c r="E27" s="1233" t="s">
        <v>2812</v>
      </c>
      <c r="F27" s="1145"/>
      <c r="H27" s="1560" t="s">
        <v>2377</v>
      </c>
      <c r="I27" s="1541" t="s">
        <v>2888</v>
      </c>
      <c r="J27" s="1542" t="s">
        <v>2381</v>
      </c>
      <c r="K27" s="1542"/>
      <c r="L27" s="1542"/>
      <c r="M27" s="1542" t="s">
        <v>2378</v>
      </c>
      <c r="N27" s="1548">
        <v>45657</v>
      </c>
      <c r="O27" s="1545" t="s">
        <v>2379</v>
      </c>
      <c r="P27" s="1542"/>
      <c r="Q27" s="1549"/>
      <c r="S27" s="1550" t="s">
        <v>2889</v>
      </c>
    </row>
    <row r="28" spans="1:19">
      <c r="A28"/>
      <c r="B28"/>
      <c r="C28"/>
      <c r="D28"/>
      <c r="E28" s="1233" t="s">
        <v>2812</v>
      </c>
      <c r="F28" s="1145"/>
      <c r="H28" s="1499" t="s">
        <v>2854</v>
      </c>
      <c r="I28" s="1501" t="s">
        <v>2852</v>
      </c>
      <c r="J28" s="1533" t="s">
        <v>2383</v>
      </c>
      <c r="K28" s="1533"/>
      <c r="L28" s="1533"/>
      <c r="M28" s="1500" t="s">
        <v>2145</v>
      </c>
      <c r="N28" s="1553">
        <f>12-ROUND((N27-val.date)/30,0)</f>
        <v>9</v>
      </c>
      <c r="Q28" s="1552"/>
      <c r="S28" s="1506"/>
    </row>
    <row r="29" spans="1:19">
      <c r="A29"/>
      <c r="B29"/>
      <c r="C29"/>
      <c r="D29"/>
      <c r="E29" s="1233" t="s">
        <v>2812</v>
      </c>
      <c r="F29" s="1145"/>
      <c r="H29" s="1794" t="s">
        <v>2384</v>
      </c>
      <c r="I29" s="1555" t="s">
        <v>1391</v>
      </c>
      <c r="J29" s="1556"/>
      <c r="K29" s="1556"/>
      <c r="L29" s="1556"/>
      <c r="M29" s="1556" t="s">
        <v>2385</v>
      </c>
      <c r="N29" s="1557" t="str">
        <f t="array" ref="N29">"Valuation Date:  "&amp;TEXT(val.date,"mmmm d, yyy")</f>
        <v>Valuation Date:  September 30, 2024</v>
      </c>
      <c r="O29" s="1558"/>
      <c r="P29" s="1556"/>
      <c r="Q29" s="1559"/>
      <c r="S29" s="1506"/>
    </row>
    <row r="30" spans="1:19" ht="276.75">
      <c r="A30"/>
      <c r="B30"/>
      <c r="C30"/>
      <c r="D30"/>
      <c r="E30" s="1233" t="s">
        <v>2812</v>
      </c>
      <c r="F30" s="1145"/>
      <c r="H30" s="1560" t="s">
        <v>2386</v>
      </c>
      <c r="I30" s="1541" t="s">
        <v>2891</v>
      </c>
      <c r="J30" s="1542" t="s">
        <v>2892</v>
      </c>
      <c r="K30" s="1542"/>
      <c r="L30" s="1542"/>
      <c r="M30" s="1542"/>
      <c r="N30" s="1297" t="s">
        <v>2179</v>
      </c>
      <c r="O30" s="1298"/>
      <c r="P30" s="1542"/>
      <c r="Q30" s="1554"/>
      <c r="R30" s="1554"/>
      <c r="S30" s="1550" t="s">
        <v>2893</v>
      </c>
    </row>
    <row r="31" spans="1:19">
      <c r="A31"/>
      <c r="B31"/>
      <c r="C31"/>
      <c r="D31"/>
      <c r="E31" s="1233" t="s">
        <v>2812</v>
      </c>
      <c r="F31" s="1145"/>
      <c r="N31" s="1299"/>
      <c r="O31" s="1300"/>
      <c r="S31" s="1506"/>
    </row>
    <row r="32" spans="1:19">
      <c r="A32"/>
      <c r="B32"/>
      <c r="C32"/>
      <c r="D32"/>
      <c r="E32" s="1233" t="s">
        <v>2812</v>
      </c>
      <c r="F32" s="1145"/>
      <c r="G32" s="1518">
        <f>G25+0.1</f>
        <v>1.4000000000000004</v>
      </c>
      <c r="H32" s="1519" t="s">
        <v>2387</v>
      </c>
      <c r="I32" s="1540"/>
      <c r="J32" s="1521"/>
      <c r="K32" s="1521"/>
      <c r="L32" s="1521"/>
      <c r="M32" s="1521"/>
      <c r="N32" s="1521"/>
      <c r="O32" s="1522"/>
      <c r="P32" s="1521"/>
      <c r="Q32" s="1523"/>
      <c r="R32" s="1523"/>
      <c r="S32" s="1523"/>
    </row>
    <row r="33" spans="1:19">
      <c r="A33"/>
      <c r="B33"/>
      <c r="C33"/>
      <c r="D33"/>
      <c r="E33" s="1233" t="s">
        <v>2812</v>
      </c>
      <c r="F33" s="1145"/>
      <c r="H33" s="1560" t="s">
        <v>2309</v>
      </c>
      <c r="I33" s="1541" t="s">
        <v>2388</v>
      </c>
      <c r="J33" s="1542"/>
      <c r="K33" s="1542"/>
      <c r="L33" s="1542"/>
      <c r="M33" s="1542"/>
      <c r="N33" s="1530" t="s">
        <v>1380</v>
      </c>
      <c r="O33" s="1545"/>
      <c r="P33" s="1542"/>
      <c r="Q33" s="1549"/>
      <c r="S33" s="1506"/>
    </row>
    <row r="34" spans="1:19">
      <c r="A34"/>
      <c r="B34"/>
      <c r="C34"/>
      <c r="D34"/>
      <c r="E34" s="1233" t="s">
        <v>2812</v>
      </c>
      <c r="F34" s="1145"/>
      <c r="H34" s="1560" t="s">
        <v>2389</v>
      </c>
      <c r="I34" s="1541" t="s">
        <v>2894</v>
      </c>
      <c r="J34" s="1542"/>
      <c r="K34" s="1542"/>
      <c r="L34" s="1542"/>
      <c r="M34" s="1542"/>
      <c r="N34" s="1530" t="s">
        <v>113</v>
      </c>
      <c r="O34" s="1545"/>
      <c r="P34" s="1542"/>
      <c r="Q34" s="1549"/>
      <c r="S34" s="1506"/>
    </row>
    <row r="35" spans="1:19" ht="75">
      <c r="A35"/>
      <c r="B35"/>
      <c r="C35"/>
      <c r="D35"/>
      <c r="E35" s="1233" t="s">
        <v>2812</v>
      </c>
      <c r="F35" s="1145"/>
      <c r="H35" s="1560" t="s">
        <v>2390</v>
      </c>
      <c r="I35" s="1541" t="s">
        <v>2895</v>
      </c>
      <c r="J35" s="1542" t="s">
        <v>2896</v>
      </c>
      <c r="K35" s="1542"/>
      <c r="L35" s="1542"/>
      <c r="M35" s="1542"/>
      <c r="N35" s="1301" t="s">
        <v>2361</v>
      </c>
      <c r="O35" s="1545"/>
      <c r="P35" s="1542"/>
      <c r="Q35" s="1561"/>
      <c r="R35" s="1562"/>
      <c r="S35" s="1563"/>
    </row>
    <row r="36" spans="1:19">
      <c r="A36"/>
      <c r="B36"/>
      <c r="C36"/>
      <c r="D36"/>
      <c r="E36" s="1233" t="s">
        <v>2812</v>
      </c>
      <c r="F36" s="1145"/>
      <c r="S36" s="1506"/>
    </row>
    <row r="37" spans="1:19">
      <c r="A37"/>
      <c r="B37"/>
      <c r="C37"/>
      <c r="D37"/>
      <c r="E37" s="1233" t="s">
        <v>2812</v>
      </c>
      <c r="F37" s="1145"/>
      <c r="G37" s="1518">
        <f>G32+0.1</f>
        <v>1.5000000000000004</v>
      </c>
      <c r="H37" s="1519" t="s">
        <v>2391</v>
      </c>
      <c r="I37" s="1520"/>
      <c r="J37" s="1521"/>
      <c r="K37" s="1521"/>
      <c r="L37" s="1521"/>
      <c r="M37" s="1521"/>
      <c r="N37" s="1521"/>
      <c r="O37" s="1522"/>
      <c r="P37" s="1521"/>
      <c r="Q37" s="1523"/>
      <c r="R37" s="1523"/>
      <c r="S37" s="1523"/>
    </row>
    <row r="38" spans="1:19" ht="60">
      <c r="A38"/>
      <c r="B38"/>
      <c r="C38"/>
      <c r="D38"/>
      <c r="E38" s="1233" t="s">
        <v>2812</v>
      </c>
      <c r="F38" s="1145"/>
      <c r="H38" s="1560" t="s">
        <v>2897</v>
      </c>
      <c r="I38" s="1541" t="s">
        <v>2898</v>
      </c>
      <c r="J38" s="1542"/>
      <c r="K38" s="1542"/>
      <c r="L38" s="1542"/>
      <c r="M38" s="1542"/>
      <c r="N38" s="1312">
        <v>50000</v>
      </c>
      <c r="O38" s="1545"/>
      <c r="P38" s="1542"/>
      <c r="Q38" s="1549"/>
      <c r="S38" s="1506"/>
    </row>
    <row r="39" spans="1:19">
      <c r="A39"/>
      <c r="B39"/>
      <c r="C39"/>
      <c r="D39"/>
      <c r="E39" s="1233" t="s">
        <v>2812</v>
      </c>
      <c r="F39" s="1145"/>
      <c r="H39" s="1560" t="s">
        <v>2392</v>
      </c>
      <c r="I39" s="1541" t="s">
        <v>2899</v>
      </c>
      <c r="J39" s="1560" t="s">
        <v>2393</v>
      </c>
      <c r="K39" s="1560"/>
      <c r="L39" s="1560"/>
      <c r="M39" s="1542"/>
      <c r="N39" s="1539" t="s">
        <v>2576</v>
      </c>
      <c r="O39" s="1545"/>
      <c r="P39" s="1542"/>
      <c r="Q39" s="1564"/>
      <c r="S39" s="1506"/>
    </row>
    <row r="40" spans="1:19">
      <c r="A40"/>
      <c r="B40"/>
      <c r="C40"/>
      <c r="D40"/>
      <c r="E40" s="1233" t="s">
        <v>2812</v>
      </c>
      <c r="F40" s="1145"/>
      <c r="H40" s="1560" t="s">
        <v>2395</v>
      </c>
      <c r="I40" s="1541" t="s">
        <v>2396</v>
      </c>
      <c r="J40" s="1560"/>
      <c r="K40" s="1560"/>
      <c r="L40" s="1560"/>
      <c r="M40" s="1542"/>
      <c r="N40" s="1539" t="s">
        <v>3156</v>
      </c>
      <c r="O40" s="1545"/>
      <c r="P40" s="1542"/>
      <c r="Q40" s="1564"/>
      <c r="S40" s="1506"/>
    </row>
    <row r="41" spans="1:19" ht="30">
      <c r="A41"/>
      <c r="B41"/>
      <c r="C41"/>
      <c r="D41"/>
      <c r="E41" s="1233" t="s">
        <v>2812</v>
      </c>
      <c r="F41" s="1145"/>
      <c r="H41" s="1560" t="s">
        <v>2397</v>
      </c>
      <c r="I41" s="1541" t="s">
        <v>2856</v>
      </c>
      <c r="J41" s="1542"/>
      <c r="K41" s="1542"/>
      <c r="L41" s="1542"/>
      <c r="M41" s="1542"/>
      <c r="N41" s="1530" t="s">
        <v>3157</v>
      </c>
      <c r="O41" s="1545"/>
      <c r="P41" s="1542"/>
      <c r="Q41" s="1549"/>
      <c r="S41" s="1506"/>
    </row>
    <row r="42" spans="1:19" ht="61.5">
      <c r="A42"/>
      <c r="B42"/>
      <c r="C42"/>
      <c r="D42"/>
      <c r="E42" s="1233" t="s">
        <v>2812</v>
      </c>
      <c r="F42" s="1145"/>
      <c r="H42" s="1560" t="s">
        <v>2398</v>
      </c>
      <c r="I42" s="1541" t="s">
        <v>2900</v>
      </c>
      <c r="J42" s="1542"/>
      <c r="K42" s="1542"/>
      <c r="L42" s="1542"/>
      <c r="M42" s="1542"/>
      <c r="N42" s="1530" t="s">
        <v>3158</v>
      </c>
      <c r="O42" s="1545"/>
      <c r="P42" s="1542"/>
      <c r="Q42" s="1565"/>
      <c r="R42" s="1552" t="s">
        <v>2901</v>
      </c>
      <c r="S42" s="1506"/>
    </row>
    <row r="43" spans="1:19">
      <c r="A43"/>
      <c r="B43"/>
      <c r="C43"/>
      <c r="D43"/>
      <c r="E43" s="1233" t="s">
        <v>2812</v>
      </c>
      <c r="F43" s="1145"/>
      <c r="H43" s="1560" t="s">
        <v>2902</v>
      </c>
      <c r="I43" s="1541" t="s">
        <v>2399</v>
      </c>
      <c r="J43" s="1542"/>
      <c r="K43" s="1542"/>
      <c r="L43" s="1542"/>
      <c r="M43" s="1542"/>
      <c r="N43" s="1530" t="s">
        <v>171</v>
      </c>
      <c r="O43" s="1545"/>
      <c r="P43" s="1542"/>
      <c r="Q43" s="1565"/>
      <c r="S43" s="1506"/>
    </row>
    <row r="44" spans="1:19" ht="30.75" thickBot="1">
      <c r="A44"/>
      <c r="B44"/>
      <c r="C44"/>
      <c r="D44"/>
      <c r="E44" s="1233" t="s">
        <v>2812</v>
      </c>
      <c r="F44" s="1145"/>
      <c r="H44" s="1795" t="s">
        <v>2400</v>
      </c>
      <c r="I44" s="1566" t="s">
        <v>2903</v>
      </c>
      <c r="J44" s="1567"/>
      <c r="K44" s="1567"/>
      <c r="L44" s="1567"/>
      <c r="M44" s="1567"/>
      <c r="N44" s="1530" t="s">
        <v>1742</v>
      </c>
      <c r="O44" s="1568" t="s">
        <v>2401</v>
      </c>
      <c r="P44" s="1569"/>
      <c r="Q44" s="1570"/>
      <c r="S44" s="1506"/>
    </row>
    <row r="45" spans="1:19">
      <c r="A45"/>
      <c r="B45"/>
      <c r="C45"/>
      <c r="D45"/>
      <c r="E45" s="1233" t="s">
        <v>2812</v>
      </c>
      <c r="F45" s="1145"/>
      <c r="H45" s="1500"/>
      <c r="I45" s="1500"/>
      <c r="O45" s="1500"/>
      <c r="Q45" s="1500"/>
    </row>
    <row r="46" spans="1:19" ht="30">
      <c r="A46"/>
      <c r="B46"/>
      <c r="C46"/>
      <c r="D46"/>
      <c r="E46" s="1233" t="s">
        <v>2812</v>
      </c>
      <c r="F46" s="1145"/>
      <c r="H46" s="1560" t="s">
        <v>2402</v>
      </c>
      <c r="I46" s="1541" t="s">
        <v>2904</v>
      </c>
      <c r="J46" s="1542"/>
      <c r="K46" s="1542"/>
      <c r="L46" s="1542"/>
      <c r="M46" s="1542"/>
      <c r="N46" s="1530" t="s">
        <v>106</v>
      </c>
      <c r="O46" s="1571"/>
      <c r="P46" s="1542"/>
      <c r="Q46" s="1549"/>
      <c r="S46" s="1506"/>
    </row>
    <row r="47" spans="1:19">
      <c r="A47"/>
      <c r="B47"/>
      <c r="C47"/>
      <c r="D47"/>
      <c r="E47" s="1233" t="s">
        <v>2812</v>
      </c>
      <c r="F47" s="1145"/>
      <c r="H47" s="1560" t="s">
        <v>2403</v>
      </c>
      <c r="I47" s="1541" t="s">
        <v>2404</v>
      </c>
      <c r="J47" s="1560" t="s">
        <v>2858</v>
      </c>
      <c r="K47" s="1560" t="s">
        <v>2393</v>
      </c>
      <c r="L47" s="1560"/>
      <c r="M47" s="1542"/>
      <c r="N47" s="1539" t="s">
        <v>2576</v>
      </c>
      <c r="O47" s="1545"/>
      <c r="P47" s="1542"/>
      <c r="Q47" s="1565"/>
      <c r="S47" s="1506"/>
    </row>
    <row r="48" spans="1:19">
      <c r="A48"/>
      <c r="B48"/>
      <c r="C48"/>
      <c r="D48"/>
      <c r="E48" s="1233" t="s">
        <v>2812</v>
      </c>
      <c r="F48" s="1145"/>
      <c r="H48" s="1560" t="s">
        <v>2405</v>
      </c>
      <c r="I48" s="1541" t="s">
        <v>2406</v>
      </c>
      <c r="J48" s="1560" t="s">
        <v>2858</v>
      </c>
      <c r="K48" s="1560"/>
      <c r="L48" s="1560"/>
      <c r="M48" s="1542"/>
      <c r="N48" s="1539" t="s">
        <v>3159</v>
      </c>
      <c r="O48" s="1545"/>
      <c r="P48" s="1542"/>
      <c r="Q48" s="1564"/>
      <c r="S48" s="1506"/>
    </row>
    <row r="49" spans="1:19" ht="30">
      <c r="A49"/>
      <c r="B49"/>
      <c r="C49"/>
      <c r="D49"/>
      <c r="E49" s="1233" t="s">
        <v>2812</v>
      </c>
      <c r="F49" s="1145"/>
      <c r="H49" s="1560" t="s">
        <v>2407</v>
      </c>
      <c r="I49" s="1541" t="s">
        <v>2408</v>
      </c>
      <c r="J49" s="1560" t="s">
        <v>2858</v>
      </c>
      <c r="K49" s="1542"/>
      <c r="L49" s="1542"/>
      <c r="M49" s="1542"/>
      <c r="N49" s="1530" t="s">
        <v>3160</v>
      </c>
      <c r="O49" s="1545"/>
      <c r="P49" s="1542"/>
      <c r="Q49" s="1549"/>
      <c r="S49" s="1506"/>
    </row>
    <row r="50" spans="1:19" ht="61.5">
      <c r="A50"/>
      <c r="B50"/>
      <c r="C50"/>
      <c r="D50"/>
      <c r="E50" s="1233" t="s">
        <v>2812</v>
      </c>
      <c r="F50" s="1145"/>
      <c r="H50" s="1560" t="s">
        <v>2409</v>
      </c>
      <c r="I50" s="1541" t="s">
        <v>2660</v>
      </c>
      <c r="J50" s="1560" t="s">
        <v>2858</v>
      </c>
      <c r="K50" s="1542"/>
      <c r="L50" s="1542"/>
      <c r="M50" s="1542"/>
      <c r="N50" s="1530" t="s">
        <v>3161</v>
      </c>
      <c r="O50" s="1545"/>
      <c r="P50" s="1542"/>
      <c r="Q50" s="1549"/>
      <c r="S50" s="1506"/>
    </row>
    <row r="51" spans="1:19">
      <c r="A51"/>
      <c r="B51"/>
      <c r="C51"/>
      <c r="D51"/>
      <c r="E51" s="1233" t="s">
        <v>2812</v>
      </c>
      <c r="F51" s="1145"/>
      <c r="H51" s="1560" t="s">
        <v>2410</v>
      </c>
      <c r="I51" s="1541" t="s">
        <v>2411</v>
      </c>
      <c r="J51" s="1560" t="s">
        <v>2858</v>
      </c>
      <c r="K51" s="1542"/>
      <c r="L51" s="1542"/>
      <c r="M51" s="1542"/>
      <c r="N51" s="1530" t="s">
        <v>171</v>
      </c>
      <c r="O51" s="1545"/>
      <c r="P51" s="1542"/>
      <c r="Q51" s="1565"/>
      <c r="S51" s="1506"/>
    </row>
    <row r="52" spans="1:19" ht="30.75" thickBot="1">
      <c r="A52"/>
      <c r="B52"/>
      <c r="C52"/>
      <c r="D52"/>
      <c r="E52" s="1233" t="s">
        <v>2812</v>
      </c>
      <c r="F52" s="1145"/>
      <c r="H52" s="1795" t="s">
        <v>2412</v>
      </c>
      <c r="I52" s="1566" t="s">
        <v>2905</v>
      </c>
      <c r="J52" s="1567" t="s">
        <v>2858</v>
      </c>
      <c r="K52" s="1567"/>
      <c r="L52" s="1567"/>
      <c r="M52" s="1567"/>
      <c r="N52" s="1530" t="s">
        <v>1742</v>
      </c>
      <c r="O52" s="1568" t="s">
        <v>2401</v>
      </c>
      <c r="P52" s="1569"/>
      <c r="Q52" s="1570"/>
      <c r="S52" s="1506"/>
    </row>
    <row r="53" spans="1:19">
      <c r="A53"/>
      <c r="B53"/>
      <c r="C53"/>
      <c r="D53"/>
      <c r="E53" s="1233" t="s">
        <v>2812</v>
      </c>
      <c r="F53" s="1145"/>
      <c r="H53" s="1793" t="s">
        <v>2906</v>
      </c>
      <c r="I53" s="1534" t="s">
        <v>2907</v>
      </c>
      <c r="J53" s="1533"/>
      <c r="K53" s="1533"/>
      <c r="L53" s="1533"/>
      <c r="M53" s="1533"/>
      <c r="N53" s="1572">
        <v>0.3</v>
      </c>
      <c r="O53" s="1573"/>
      <c r="Q53" s="1574"/>
      <c r="S53" s="1506"/>
    </row>
    <row r="54" spans="1:19">
      <c r="A54"/>
      <c r="B54"/>
      <c r="C54"/>
      <c r="D54"/>
      <c r="E54" s="1233" t="s">
        <v>2812</v>
      </c>
      <c r="F54" s="1145"/>
      <c r="H54" s="1500"/>
      <c r="I54" s="1500"/>
      <c r="O54" s="1500"/>
      <c r="Q54" s="1500"/>
    </row>
    <row r="55" spans="1:19">
      <c r="A55"/>
      <c r="B55"/>
      <c r="C55"/>
      <c r="D55"/>
      <c r="E55" s="1233" t="s">
        <v>2812</v>
      </c>
      <c r="F55" s="1145"/>
      <c r="G55" s="1518">
        <f>G37+0.1</f>
        <v>1.6000000000000005</v>
      </c>
      <c r="H55" s="1589" t="s">
        <v>2908</v>
      </c>
      <c r="I55" s="1520"/>
      <c r="J55" s="1521"/>
      <c r="K55" s="1521"/>
      <c r="L55" s="1521"/>
      <c r="M55" s="1521"/>
      <c r="N55" s="1521"/>
      <c r="O55" s="1522"/>
      <c r="P55" s="1521"/>
      <c r="Q55" s="1523"/>
      <c r="R55" s="1575"/>
      <c r="S55" s="1523"/>
    </row>
    <row r="56" spans="1:19">
      <c r="A56"/>
      <c r="B56"/>
      <c r="C56"/>
      <c r="D56"/>
      <c r="E56" s="1233" t="s">
        <v>2812</v>
      </c>
      <c r="F56" s="1145"/>
      <c r="H56" s="1560" t="s">
        <v>2414</v>
      </c>
      <c r="I56" s="1541" t="s">
        <v>2415</v>
      </c>
      <c r="J56" s="1542"/>
      <c r="K56" s="1542"/>
      <c r="L56" s="1542"/>
      <c r="M56" s="1542"/>
      <c r="N56" s="1530" t="s">
        <v>106</v>
      </c>
      <c r="O56" s="1545" t="s">
        <v>2367</v>
      </c>
      <c r="P56" s="1542"/>
      <c r="Q56" s="1549"/>
      <c r="R56" s="1552"/>
      <c r="S56" s="1506"/>
    </row>
    <row r="57" spans="1:19" ht="60">
      <c r="A57"/>
      <c r="B57"/>
      <c r="C57"/>
      <c r="D57"/>
      <c r="E57" s="1233" t="s">
        <v>2812</v>
      </c>
      <c r="F57" s="1145"/>
      <c r="H57" s="1560" t="s">
        <v>2178</v>
      </c>
      <c r="I57" s="1541" t="s">
        <v>2416</v>
      </c>
      <c r="J57" s="1542" t="s">
        <v>2909</v>
      </c>
      <c r="K57" s="1542"/>
      <c r="L57" s="1542"/>
      <c r="M57" s="1542"/>
      <c r="N57" s="1542"/>
      <c r="O57" s="1545"/>
      <c r="P57" s="1542"/>
      <c r="Q57" s="1549"/>
      <c r="R57" s="1552"/>
      <c r="S57" s="1506"/>
    </row>
    <row r="58" spans="1:19">
      <c r="A58"/>
      <c r="B58"/>
      <c r="C58"/>
      <c r="D58"/>
      <c r="E58" s="1233" t="s">
        <v>2812</v>
      </c>
      <c r="F58" s="1145"/>
      <c r="R58" s="1552"/>
      <c r="S58" s="1506"/>
    </row>
    <row r="59" spans="1:19">
      <c r="A59"/>
      <c r="B59"/>
      <c r="C59"/>
      <c r="D59"/>
      <c r="E59" s="1233" t="s">
        <v>2812</v>
      </c>
      <c r="F59" s="1513">
        <f>F11+1</f>
        <v>2</v>
      </c>
      <c r="G59" s="1515"/>
      <c r="H59" s="1513" t="s">
        <v>1400</v>
      </c>
      <c r="I59" s="1515"/>
      <c r="J59" s="1514"/>
      <c r="K59" s="1514"/>
      <c r="L59" s="1514"/>
      <c r="M59" s="1514"/>
      <c r="N59" s="1514"/>
      <c r="O59" s="1516"/>
      <c r="P59" s="1514"/>
      <c r="Q59" s="1517"/>
      <c r="R59" s="1576"/>
      <c r="S59" s="1517"/>
    </row>
    <row r="60" spans="1:19" ht="115.5" customHeight="1">
      <c r="A60"/>
      <c r="B60"/>
      <c r="C60"/>
      <c r="D60"/>
      <c r="E60" s="1233" t="s">
        <v>2812</v>
      </c>
      <c r="F60" s="1145"/>
      <c r="G60" s="1524"/>
      <c r="H60" s="1791" t="s">
        <v>2364</v>
      </c>
      <c r="I60" s="1525" t="s">
        <v>2910</v>
      </c>
      <c r="J60" s="1542" t="s">
        <v>2911</v>
      </c>
      <c r="K60" s="1525"/>
      <c r="L60" s="1525"/>
      <c r="M60" s="1525"/>
      <c r="N60" s="1525"/>
      <c r="O60" s="1525"/>
      <c r="P60" s="1525"/>
      <c r="Q60" s="1525"/>
      <c r="R60" s="1577"/>
      <c r="S60" s="1526"/>
    </row>
    <row r="61" spans="1:19">
      <c r="A61"/>
      <c r="B61"/>
      <c r="C61"/>
      <c r="D61"/>
      <c r="E61" s="1233" t="s">
        <v>2812</v>
      </c>
      <c r="F61" s="1145"/>
      <c r="G61" s="1524"/>
      <c r="I61" s="1578"/>
      <c r="J61" s="1579"/>
      <c r="K61" s="1579"/>
      <c r="L61" s="1579"/>
      <c r="M61" s="1580"/>
      <c r="N61" s="1580"/>
      <c r="O61" s="1581"/>
      <c r="P61" s="1580"/>
      <c r="Q61" s="1580"/>
      <c r="R61" s="1582"/>
      <c r="S61" s="1580"/>
    </row>
    <row r="62" spans="1:19" ht="120">
      <c r="A62"/>
      <c r="B62"/>
      <c r="C62"/>
      <c r="D62"/>
      <c r="E62" s="1233" t="s">
        <v>2812</v>
      </c>
      <c r="F62" s="1145"/>
      <c r="G62" s="1583" t="s">
        <v>2417</v>
      </c>
      <c r="I62" s="1584" t="s">
        <v>2912</v>
      </c>
      <c r="J62" s="1499"/>
      <c r="K62" s="1499"/>
      <c r="L62" s="1499"/>
      <c r="Q62" s="1532"/>
      <c r="R62" s="1552"/>
      <c r="S62" s="1506"/>
    </row>
    <row r="63" spans="1:19">
      <c r="A63"/>
      <c r="B63"/>
      <c r="C63"/>
      <c r="D63"/>
      <c r="E63" s="1233" t="s">
        <v>2812</v>
      </c>
      <c r="F63" s="1145"/>
      <c r="G63" s="1583"/>
      <c r="I63" s="1584" t="s">
        <v>2418</v>
      </c>
      <c r="J63" s="1499"/>
      <c r="K63" s="1499"/>
      <c r="L63" s="1499"/>
      <c r="N63" s="1585" t="s">
        <v>3014</v>
      </c>
      <c r="Q63" s="1532"/>
      <c r="R63" s="1552"/>
      <c r="S63" s="1506"/>
    </row>
    <row r="64" spans="1:19">
      <c r="A64"/>
      <c r="B64"/>
      <c r="C64"/>
      <c r="D64"/>
      <c r="E64" s="1233" t="s">
        <v>2812</v>
      </c>
      <c r="F64" s="1145"/>
      <c r="G64" s="1583"/>
      <c r="I64" s="1584"/>
      <c r="J64" s="1499"/>
      <c r="K64" s="1499"/>
      <c r="L64" s="1499"/>
      <c r="Q64" s="1532"/>
      <c r="R64" s="1552"/>
      <c r="S64" s="1506"/>
    </row>
    <row r="65" spans="1:19" ht="30">
      <c r="A65"/>
      <c r="B65"/>
      <c r="C65"/>
      <c r="D65"/>
      <c r="E65" s="1233" t="s">
        <v>2812</v>
      </c>
      <c r="F65" s="1145"/>
      <c r="H65" s="1499" t="s">
        <v>2164</v>
      </c>
      <c r="N65" s="1538" t="s">
        <v>3162</v>
      </c>
      <c r="R65" s="1506" t="s">
        <v>2419</v>
      </c>
    </row>
    <row r="66" spans="1:19">
      <c r="A66"/>
      <c r="B66"/>
      <c r="C66"/>
      <c r="D66"/>
      <c r="E66" s="1233" t="s">
        <v>2812</v>
      </c>
      <c r="F66" s="1145"/>
      <c r="H66" s="1499" t="s">
        <v>2165</v>
      </c>
      <c r="N66" s="1538" t="s">
        <v>3163</v>
      </c>
      <c r="R66" s="1552"/>
      <c r="S66" s="1506"/>
    </row>
    <row r="67" spans="1:19">
      <c r="A67"/>
      <c r="B67"/>
      <c r="C67"/>
      <c r="D67"/>
      <c r="E67" s="1233" t="s">
        <v>2812</v>
      </c>
      <c r="F67" s="1145"/>
      <c r="H67" s="1499" t="s">
        <v>2166</v>
      </c>
      <c r="N67" s="1538" t="s">
        <v>3164</v>
      </c>
      <c r="R67" s="1552"/>
      <c r="S67" s="1506"/>
    </row>
    <row r="68" spans="1:19">
      <c r="A68"/>
      <c r="B68"/>
      <c r="C68"/>
      <c r="D68"/>
      <c r="E68" s="1233" t="s">
        <v>2812</v>
      </c>
      <c r="F68" s="1145"/>
      <c r="G68" s="1542"/>
      <c r="H68" s="1560" t="s">
        <v>2167</v>
      </c>
      <c r="I68" s="1541"/>
      <c r="J68" s="1542"/>
      <c r="K68" s="1542"/>
      <c r="L68" s="1542"/>
      <c r="M68" s="1542"/>
      <c r="N68" s="1530" t="s">
        <v>3165</v>
      </c>
      <c r="O68" s="1545"/>
      <c r="P68" s="1542"/>
      <c r="Q68" s="1549"/>
      <c r="R68" s="1552"/>
      <c r="S68" s="1506"/>
    </row>
    <row r="69" spans="1:19">
      <c r="A69"/>
      <c r="B69"/>
      <c r="C69"/>
      <c r="D69"/>
      <c r="E69" s="1233" t="s">
        <v>2812</v>
      </c>
      <c r="F69" s="1145"/>
      <c r="R69" s="1552"/>
      <c r="S69" s="1506"/>
    </row>
    <row r="70" spans="1:19" ht="75">
      <c r="A70"/>
      <c r="B70"/>
      <c r="C70"/>
      <c r="D70"/>
      <c r="E70" s="1233" t="s">
        <v>2812</v>
      </c>
      <c r="F70" s="1145"/>
      <c r="G70" s="1583" t="s">
        <v>1844</v>
      </c>
      <c r="I70" s="1506" t="s">
        <v>2913</v>
      </c>
      <c r="J70" s="1500" t="s">
        <v>2421</v>
      </c>
      <c r="N70" s="1538" t="s">
        <v>106</v>
      </c>
      <c r="O70" s="1503" t="s">
        <v>2367</v>
      </c>
      <c r="R70" s="1552" t="s">
        <v>2420</v>
      </c>
      <c r="S70" s="1506"/>
    </row>
    <row r="71" spans="1:19">
      <c r="A71"/>
      <c r="B71"/>
      <c r="C71"/>
      <c r="D71"/>
      <c r="E71" s="1233" t="s">
        <v>2812</v>
      </c>
      <c r="F71" s="1145"/>
      <c r="G71" s="1583"/>
      <c r="I71" s="1506"/>
      <c r="R71" s="1552"/>
      <c r="S71" s="1506"/>
    </row>
    <row r="72" spans="1:19">
      <c r="A72"/>
      <c r="B72"/>
      <c r="C72"/>
      <c r="D72"/>
      <c r="E72" s="1233" t="s">
        <v>2812</v>
      </c>
      <c r="F72" s="1145"/>
      <c r="G72" s="1583"/>
      <c r="I72" s="1506"/>
      <c r="R72" s="1552"/>
      <c r="S72" s="1506"/>
    </row>
    <row r="73" spans="1:19">
      <c r="A73"/>
      <c r="B73"/>
      <c r="C73"/>
      <c r="D73"/>
      <c r="E73" s="1233" t="s">
        <v>2812</v>
      </c>
      <c r="F73" s="1145"/>
      <c r="H73" s="1499" t="s">
        <v>2168</v>
      </c>
      <c r="N73" s="1538" t="s">
        <v>3167</v>
      </c>
      <c r="R73" s="1552"/>
      <c r="S73" s="1506"/>
    </row>
    <row r="74" spans="1:19">
      <c r="A74"/>
      <c r="B74"/>
      <c r="C74"/>
      <c r="D74"/>
      <c r="E74" s="1233" t="s">
        <v>2812</v>
      </c>
      <c r="F74" s="1145"/>
      <c r="H74" s="1499" t="s">
        <v>2169</v>
      </c>
      <c r="N74" s="1538" t="s">
        <v>1391</v>
      </c>
      <c r="R74" s="1552"/>
      <c r="S74" s="1506"/>
    </row>
    <row r="75" spans="1:19">
      <c r="A75"/>
      <c r="B75"/>
      <c r="C75"/>
      <c r="D75"/>
      <c r="E75" s="1233" t="s">
        <v>2812</v>
      </c>
      <c r="F75" s="1145"/>
      <c r="H75" s="1499" t="s">
        <v>2170</v>
      </c>
      <c r="N75" s="1538" t="s">
        <v>1391</v>
      </c>
      <c r="R75" s="1552"/>
      <c r="S75" s="1506"/>
    </row>
    <row r="76" spans="1:19">
      <c r="A76"/>
      <c r="B76"/>
      <c r="C76"/>
      <c r="D76"/>
      <c r="E76" s="1233" t="s">
        <v>2812</v>
      </c>
      <c r="F76" s="1145"/>
      <c r="G76" s="1542"/>
      <c r="H76" s="1560" t="s">
        <v>2171</v>
      </c>
      <c r="I76" s="1541"/>
      <c r="J76" s="1542"/>
      <c r="K76" s="1542"/>
      <c r="L76" s="1542"/>
      <c r="M76" s="1542"/>
      <c r="N76" s="1530" t="s">
        <v>1391</v>
      </c>
      <c r="O76" s="1545"/>
      <c r="P76" s="1542"/>
      <c r="Q76" s="1549"/>
      <c r="R76" s="1552"/>
      <c r="S76" s="1506"/>
    </row>
    <row r="77" spans="1:19" ht="60">
      <c r="A77"/>
      <c r="B77"/>
      <c r="C77"/>
      <c r="D77"/>
      <c r="E77" s="1233" t="s">
        <v>2812</v>
      </c>
      <c r="F77" s="1145"/>
      <c r="R77" s="1552" t="s">
        <v>2422</v>
      </c>
      <c r="S77" s="1506"/>
    </row>
    <row r="78" spans="1:19" ht="90">
      <c r="A78"/>
      <c r="B78"/>
      <c r="C78"/>
      <c r="D78"/>
      <c r="E78" s="1233" t="s">
        <v>2812</v>
      </c>
      <c r="F78" s="1145"/>
      <c r="G78" s="1583" t="s">
        <v>1845</v>
      </c>
      <c r="I78" s="1501" t="s">
        <v>2914</v>
      </c>
      <c r="J78" s="1500" t="s">
        <v>2421</v>
      </c>
      <c r="N78" s="1538" t="s">
        <v>106</v>
      </c>
      <c r="O78" s="1503" t="s">
        <v>2367</v>
      </c>
      <c r="R78" s="1552" t="s">
        <v>2423</v>
      </c>
      <c r="S78" s="1506"/>
    </row>
    <row r="79" spans="1:19">
      <c r="A79"/>
      <c r="B79"/>
      <c r="C79"/>
      <c r="D79"/>
      <c r="E79" s="1233" t="s">
        <v>2812</v>
      </c>
      <c r="F79" s="1145"/>
      <c r="G79" s="1583"/>
      <c r="I79" s="1506"/>
      <c r="R79" s="1552"/>
      <c r="S79" s="1506"/>
    </row>
    <row r="80" spans="1:19">
      <c r="A80"/>
      <c r="B80"/>
      <c r="C80"/>
      <c r="D80"/>
      <c r="E80" s="1233" t="s">
        <v>2812</v>
      </c>
      <c r="F80" s="1145"/>
      <c r="G80" s="1583"/>
      <c r="I80" s="1506"/>
      <c r="R80" s="1552"/>
      <c r="S80" s="1506"/>
    </row>
    <row r="81" spans="1:19">
      <c r="A81"/>
      <c r="B81"/>
      <c r="C81"/>
      <c r="D81"/>
      <c r="E81" s="1233" t="s">
        <v>2812</v>
      </c>
      <c r="F81" s="1145"/>
      <c r="H81" s="1499" t="s">
        <v>2172</v>
      </c>
      <c r="N81" s="1538" t="s">
        <v>3166</v>
      </c>
      <c r="R81" s="1552"/>
      <c r="S81" s="1506"/>
    </row>
    <row r="82" spans="1:19">
      <c r="A82"/>
      <c r="B82"/>
      <c r="C82"/>
      <c r="D82"/>
      <c r="E82" s="1233" t="s">
        <v>2812</v>
      </c>
      <c r="F82" s="1145"/>
      <c r="H82" s="1499" t="s">
        <v>2173</v>
      </c>
      <c r="N82" s="1538" t="s">
        <v>1391</v>
      </c>
      <c r="R82" s="1552"/>
      <c r="S82" s="1506"/>
    </row>
    <row r="83" spans="1:19">
      <c r="A83"/>
      <c r="B83"/>
      <c r="C83"/>
      <c r="D83"/>
      <c r="E83" s="1233" t="s">
        <v>2812</v>
      </c>
      <c r="F83" s="1145"/>
      <c r="H83" s="1499" t="s">
        <v>2174</v>
      </c>
      <c r="N83" s="1538" t="s">
        <v>1391</v>
      </c>
      <c r="R83" s="1552"/>
      <c r="S83" s="1506"/>
    </row>
    <row r="84" spans="1:19">
      <c r="A84"/>
      <c r="B84"/>
      <c r="C84"/>
      <c r="D84"/>
      <c r="E84" s="1233" t="s">
        <v>2812</v>
      </c>
      <c r="F84" s="1145"/>
      <c r="H84" s="1499" t="s">
        <v>2175</v>
      </c>
      <c r="N84" s="1538" t="s">
        <v>1391</v>
      </c>
      <c r="R84" s="1552"/>
      <c r="S84" s="1506"/>
    </row>
    <row r="85" spans="1:19" ht="45">
      <c r="A85"/>
      <c r="B85"/>
      <c r="C85"/>
      <c r="D85"/>
      <c r="E85" s="1233" t="s">
        <v>2812</v>
      </c>
      <c r="F85" s="1145"/>
      <c r="G85" s="1498"/>
      <c r="I85" s="1501" t="s">
        <v>2915</v>
      </c>
      <c r="N85" s="1538"/>
      <c r="R85" s="1552" t="s">
        <v>2424</v>
      </c>
      <c r="S85" s="1506"/>
    </row>
    <row r="86" spans="1:19">
      <c r="A86"/>
      <c r="B86"/>
      <c r="C86"/>
      <c r="D86"/>
      <c r="E86" s="1233" t="s">
        <v>2812</v>
      </c>
      <c r="F86" s="1145"/>
      <c r="H86" s="1499" t="s">
        <v>2425</v>
      </c>
      <c r="N86" s="1586">
        <v>0.8</v>
      </c>
      <c r="O86" s="1503" t="s">
        <v>2426</v>
      </c>
      <c r="R86" s="1552"/>
      <c r="S86" s="1506"/>
    </row>
    <row r="87" spans="1:19">
      <c r="A87"/>
      <c r="B87"/>
      <c r="C87"/>
      <c r="D87"/>
      <c r="E87" s="1233" t="s">
        <v>2812</v>
      </c>
      <c r="F87" s="1145"/>
      <c r="H87" s="1499" t="s">
        <v>2427</v>
      </c>
      <c r="N87" s="1586">
        <v>0</v>
      </c>
      <c r="O87" s="1503" t="s">
        <v>2426</v>
      </c>
      <c r="R87" s="1552"/>
      <c r="S87" s="1506"/>
    </row>
    <row r="88" spans="1:19">
      <c r="A88"/>
      <c r="B88"/>
      <c r="C88"/>
      <c r="D88"/>
      <c r="E88" s="1233" t="s">
        <v>2812</v>
      </c>
      <c r="F88" s="1145"/>
      <c r="H88" s="1499" t="s">
        <v>2428</v>
      </c>
      <c r="N88" s="1586">
        <v>0</v>
      </c>
      <c r="O88" s="1503" t="s">
        <v>2426</v>
      </c>
      <c r="R88" s="1552"/>
      <c r="S88" s="1506"/>
    </row>
    <row r="89" spans="1:19">
      <c r="A89"/>
      <c r="B89"/>
      <c r="C89"/>
      <c r="D89"/>
      <c r="E89" s="1233" t="s">
        <v>2812</v>
      </c>
      <c r="F89" s="1145"/>
      <c r="G89" s="1542"/>
      <c r="H89" s="1560" t="s">
        <v>2429</v>
      </c>
      <c r="I89" s="1541"/>
      <c r="J89" s="1542"/>
      <c r="K89" s="1542"/>
      <c r="L89" s="1542"/>
      <c r="M89" s="1542"/>
      <c r="N89" s="1587">
        <v>0</v>
      </c>
      <c r="O89" s="1545" t="s">
        <v>2426</v>
      </c>
      <c r="P89" s="1542"/>
      <c r="Q89" s="1549"/>
      <c r="R89" s="1552"/>
      <c r="S89" s="1506"/>
    </row>
    <row r="90" spans="1:19">
      <c r="A90"/>
      <c r="B90"/>
      <c r="C90"/>
      <c r="D90"/>
      <c r="E90" s="1233" t="s">
        <v>2812</v>
      </c>
      <c r="F90" s="1145"/>
      <c r="R90" s="1552"/>
      <c r="S90" s="1506"/>
    </row>
    <row r="91" spans="1:19" ht="120">
      <c r="A91"/>
      <c r="B91"/>
      <c r="C91"/>
      <c r="D91"/>
      <c r="E91" s="1233" t="s">
        <v>2812</v>
      </c>
      <c r="F91" s="1145"/>
      <c r="G91" s="1583" t="s">
        <v>2430</v>
      </c>
      <c r="I91" s="1501" t="s">
        <v>2916</v>
      </c>
      <c r="J91" s="1500" t="s">
        <v>2917</v>
      </c>
      <c r="N91" s="1538" t="s">
        <v>2918</v>
      </c>
      <c r="O91" s="1503" t="s">
        <v>2367</v>
      </c>
      <c r="R91" s="1506" t="s">
        <v>2431</v>
      </c>
    </row>
    <row r="92" spans="1:19">
      <c r="A92"/>
      <c r="B92"/>
      <c r="C92"/>
      <c r="D92"/>
      <c r="E92" s="1233" t="s">
        <v>2812</v>
      </c>
      <c r="F92" s="1145"/>
      <c r="G92" s="1583"/>
      <c r="J92" s="1500" t="s">
        <v>2919</v>
      </c>
      <c r="R92" s="1552"/>
      <c r="S92" s="1506"/>
    </row>
    <row r="93" spans="1:19">
      <c r="A93"/>
      <c r="B93"/>
      <c r="C93"/>
      <c r="D93"/>
      <c r="E93" s="1233" t="s">
        <v>2812</v>
      </c>
      <c r="F93" s="1145"/>
      <c r="G93" s="1498" t="s">
        <v>2182</v>
      </c>
      <c r="H93" s="1500"/>
      <c r="J93" s="1500" t="s">
        <v>2919</v>
      </c>
      <c r="N93" s="1588" t="s">
        <v>2670</v>
      </c>
      <c r="R93" s="1552"/>
      <c r="S93" s="1506"/>
    </row>
    <row r="94" spans="1:19">
      <c r="A94"/>
      <c r="B94"/>
      <c r="C94"/>
      <c r="D94"/>
      <c r="E94" s="1233" t="s">
        <v>2812</v>
      </c>
      <c r="F94" s="1145"/>
      <c r="G94" s="1498" t="s">
        <v>2183</v>
      </c>
      <c r="H94" s="1500"/>
      <c r="J94" s="1500" t="s">
        <v>2920</v>
      </c>
      <c r="N94" s="1588" t="s">
        <v>2671</v>
      </c>
      <c r="R94" s="1552"/>
      <c r="S94" s="1506"/>
    </row>
    <row r="95" spans="1:19">
      <c r="A95"/>
      <c r="B95"/>
      <c r="C95"/>
      <c r="D95"/>
      <c r="E95" s="1233" t="s">
        <v>2812</v>
      </c>
      <c r="F95" s="1145"/>
      <c r="G95" s="1498" t="s">
        <v>2184</v>
      </c>
      <c r="H95" s="1500"/>
      <c r="J95" s="1500" t="s">
        <v>2921</v>
      </c>
      <c r="N95" s="1588" t="s">
        <v>2673</v>
      </c>
      <c r="R95" s="1552"/>
      <c r="S95" s="1506"/>
    </row>
    <row r="96" spans="1:19">
      <c r="A96"/>
      <c r="B96"/>
      <c r="C96"/>
      <c r="D96"/>
      <c r="E96" s="1233" t="s">
        <v>2812</v>
      </c>
      <c r="F96" s="1145"/>
      <c r="G96" s="1583"/>
      <c r="R96" s="1552"/>
      <c r="S96" s="1506"/>
    </row>
    <row r="97" spans="1:22">
      <c r="A97"/>
      <c r="B97"/>
      <c r="C97"/>
      <c r="D97"/>
      <c r="E97" s="1233" t="s">
        <v>2812</v>
      </c>
      <c r="F97" s="1145"/>
      <c r="G97" s="1519" t="s">
        <v>2922</v>
      </c>
      <c r="H97" s="1519"/>
      <c r="I97" s="1540"/>
      <c r="J97" s="1589"/>
      <c r="K97" s="1590" t="s">
        <v>2662</v>
      </c>
      <c r="L97" s="1589" t="s">
        <v>2432</v>
      </c>
      <c r="M97" s="1589" t="s">
        <v>2433</v>
      </c>
      <c r="N97" s="1589" t="s">
        <v>2434</v>
      </c>
      <c r="O97" s="1590" t="s">
        <v>2435</v>
      </c>
      <c r="P97" s="1589" t="s">
        <v>2436</v>
      </c>
      <c r="Q97" s="1589" t="s">
        <v>2437</v>
      </c>
      <c r="R97" s="1552"/>
    </row>
    <row r="98" spans="1:22">
      <c r="A98"/>
      <c r="B98"/>
      <c r="C98"/>
      <c r="D98"/>
      <c r="E98" s="1233" t="s">
        <v>2812</v>
      </c>
      <c r="F98" s="1145"/>
      <c r="G98" s="1583"/>
      <c r="H98" s="1583"/>
      <c r="I98" s="1527"/>
      <c r="J98" s="1498"/>
      <c r="K98" s="1498"/>
      <c r="L98" s="1498"/>
      <c r="M98" s="1498"/>
      <c r="N98" s="1498"/>
      <c r="O98" s="1591"/>
      <c r="P98" s="1498"/>
      <c r="Q98" s="1498"/>
      <c r="R98" s="1552"/>
    </row>
    <row r="99" spans="1:22">
      <c r="A99"/>
      <c r="B99"/>
      <c r="C99"/>
      <c r="D99"/>
      <c r="E99" s="1233" t="s">
        <v>2812</v>
      </c>
      <c r="F99" s="1145"/>
      <c r="G99" s="1498" t="s">
        <v>2923</v>
      </c>
      <c r="H99" s="1498" t="s">
        <v>2924</v>
      </c>
      <c r="I99" s="1500"/>
      <c r="O99" s="1500"/>
      <c r="Q99" s="1500"/>
      <c r="R99" s="1552"/>
    </row>
    <row r="100" spans="1:22">
      <c r="A100"/>
      <c r="B100"/>
      <c r="C100"/>
      <c r="D100"/>
      <c r="E100" s="1233" t="s">
        <v>2812</v>
      </c>
      <c r="F100" s="1145"/>
      <c r="G100" s="1498"/>
      <c r="H100" s="1500"/>
      <c r="I100" s="1500"/>
      <c r="O100" s="1500"/>
      <c r="Q100" s="1500"/>
      <c r="R100" s="1552"/>
    </row>
    <row r="101" spans="1:22" ht="45">
      <c r="A101"/>
      <c r="B101"/>
      <c r="C101"/>
      <c r="D101"/>
      <c r="E101" s="1233" t="s">
        <v>2812</v>
      </c>
      <c r="F101" s="1145"/>
      <c r="G101" s="1498" t="s">
        <v>2925</v>
      </c>
      <c r="H101" s="1500"/>
      <c r="I101" s="1501" t="s">
        <v>2926</v>
      </c>
      <c r="J101" s="1500" t="s">
        <v>2927</v>
      </c>
      <c r="N101" s="1592" t="s">
        <v>2439</v>
      </c>
      <c r="O101" s="1593" t="s">
        <v>2440</v>
      </c>
      <c r="Q101" s="1500"/>
      <c r="R101" s="1552"/>
    </row>
    <row r="102" spans="1:22">
      <c r="A102"/>
      <c r="B102"/>
      <c r="C102"/>
      <c r="D102"/>
      <c r="E102" s="1233" t="s">
        <v>2812</v>
      </c>
      <c r="F102" s="1145"/>
      <c r="G102" s="1500" t="s">
        <v>2928</v>
      </c>
      <c r="H102" s="1594" t="s">
        <v>2929</v>
      </c>
      <c r="O102" s="1593" t="s">
        <v>2439</v>
      </c>
      <c r="R102" s="1552"/>
    </row>
    <row r="103" spans="1:22" ht="45">
      <c r="A103"/>
      <c r="B103"/>
      <c r="C103"/>
      <c r="D103"/>
      <c r="E103" s="1233" t="s">
        <v>2812</v>
      </c>
      <c r="F103" s="1145"/>
      <c r="G103" s="1499"/>
      <c r="H103" s="1499" t="s">
        <v>2164</v>
      </c>
      <c r="K103" s="1585"/>
      <c r="L103" s="1585"/>
      <c r="M103" s="1538"/>
      <c r="N103" s="1538"/>
      <c r="O103" s="1595"/>
      <c r="P103" s="1538"/>
      <c r="Q103" s="1538"/>
      <c r="R103" s="1552" t="s">
        <v>2438</v>
      </c>
    </row>
    <row r="104" spans="1:22">
      <c r="A104"/>
      <c r="B104"/>
      <c r="C104"/>
      <c r="D104"/>
      <c r="E104" s="1233" t="s">
        <v>2812</v>
      </c>
      <c r="F104" s="1145"/>
      <c r="G104" s="1499"/>
      <c r="H104" s="1499" t="s">
        <v>2165</v>
      </c>
      <c r="K104" s="1585"/>
      <c r="L104" s="1585"/>
      <c r="M104" s="1538"/>
      <c r="N104" s="1538"/>
      <c r="O104" s="1595"/>
      <c r="P104" s="1538"/>
      <c r="Q104" s="1538"/>
    </row>
    <row r="105" spans="1:22">
      <c r="A105"/>
      <c r="B105"/>
      <c r="C105"/>
      <c r="D105"/>
      <c r="E105" s="1233" t="s">
        <v>2812</v>
      </c>
      <c r="F105" s="1145"/>
      <c r="G105" s="1499"/>
      <c r="H105" s="1499" t="s">
        <v>2166</v>
      </c>
      <c r="K105" s="1585"/>
      <c r="L105" s="1585"/>
      <c r="M105" s="1538"/>
      <c r="N105" s="1538"/>
      <c r="O105" s="1595"/>
      <c r="P105" s="1538"/>
      <c r="Q105" s="1538"/>
    </row>
    <row r="106" spans="1:22">
      <c r="A106"/>
      <c r="B106"/>
      <c r="C106"/>
      <c r="D106"/>
      <c r="E106" s="1233" t="s">
        <v>2812</v>
      </c>
      <c r="F106" s="1145"/>
      <c r="G106" s="1499"/>
      <c r="H106" s="1560" t="s">
        <v>2167</v>
      </c>
      <c r="I106" s="1541"/>
      <c r="J106" s="1542"/>
      <c r="K106" s="1711"/>
      <c r="L106" s="1711"/>
      <c r="M106" s="1530"/>
      <c r="N106" s="1530"/>
      <c r="O106" s="1596"/>
      <c r="P106" s="1530"/>
      <c r="Q106" s="1530"/>
    </row>
    <row r="107" spans="1:22">
      <c r="A107"/>
      <c r="B107"/>
      <c r="C107"/>
      <c r="D107"/>
      <c r="E107" s="1233" t="s">
        <v>2812</v>
      </c>
      <c r="F107" s="1145"/>
      <c r="G107" s="1499"/>
    </row>
    <row r="108" spans="1:22" s="1506" customFormat="1">
      <c r="A108"/>
      <c r="B108"/>
      <c r="C108"/>
      <c r="D108"/>
      <c r="E108" s="1233" t="s">
        <v>2812</v>
      </c>
      <c r="F108" s="1145"/>
      <c r="G108" s="1499" t="s">
        <v>2930</v>
      </c>
      <c r="H108" s="1594" t="s">
        <v>2441</v>
      </c>
      <c r="I108" s="1501"/>
      <c r="J108" s="1500"/>
      <c r="K108" s="1500"/>
      <c r="L108" s="1500"/>
      <c r="M108" s="1500"/>
      <c r="N108" s="1500"/>
      <c r="O108" s="1503"/>
      <c r="P108" s="1500"/>
      <c r="S108" s="1500"/>
      <c r="T108" s="1500"/>
      <c r="U108" s="1500"/>
      <c r="V108" s="1500"/>
    </row>
    <row r="109" spans="1:22" s="1506" customFormat="1">
      <c r="A109"/>
      <c r="B109"/>
      <c r="C109"/>
      <c r="D109"/>
      <c r="E109" s="1233" t="s">
        <v>2812</v>
      </c>
      <c r="F109" s="1145"/>
      <c r="G109" s="1499"/>
      <c r="H109" s="1499" t="s">
        <v>2164</v>
      </c>
      <c r="I109" s="1501"/>
      <c r="J109" s="1500" t="s">
        <v>2442</v>
      </c>
      <c r="K109" s="1585"/>
      <c r="L109" s="1585"/>
      <c r="M109" s="1538"/>
      <c r="N109" s="1538"/>
      <c r="O109" s="1595"/>
      <c r="P109" s="1538"/>
      <c r="Q109" s="1538"/>
      <c r="S109" s="1500"/>
      <c r="T109" s="1500"/>
      <c r="U109" s="1500"/>
      <c r="V109" s="1500"/>
    </row>
    <row r="110" spans="1:22" s="1506" customFormat="1">
      <c r="A110"/>
      <c r="B110"/>
      <c r="C110"/>
      <c r="D110"/>
      <c r="E110" s="1233" t="s">
        <v>2812</v>
      </c>
      <c r="F110" s="1145"/>
      <c r="G110" s="1499"/>
      <c r="H110" s="1499" t="s">
        <v>2165</v>
      </c>
      <c r="I110" s="1501"/>
      <c r="J110" s="1500" t="s">
        <v>2442</v>
      </c>
      <c r="K110" s="1585"/>
      <c r="L110" s="1585"/>
      <c r="M110" s="1538"/>
      <c r="N110" s="1538"/>
      <c r="O110" s="1595"/>
      <c r="P110" s="1538"/>
      <c r="Q110" s="1538"/>
      <c r="S110" s="1500"/>
      <c r="T110" s="1500"/>
      <c r="U110" s="1500"/>
      <c r="V110" s="1500"/>
    </row>
    <row r="111" spans="1:22" s="1506" customFormat="1">
      <c r="A111"/>
      <c r="B111"/>
      <c r="C111"/>
      <c r="D111"/>
      <c r="E111" s="1233" t="s">
        <v>2812</v>
      </c>
      <c r="F111" s="1145"/>
      <c r="G111" s="1499"/>
      <c r="H111" s="1499" t="s">
        <v>2166</v>
      </c>
      <c r="I111" s="1501"/>
      <c r="J111" s="1500" t="s">
        <v>2442</v>
      </c>
      <c r="K111" s="1585"/>
      <c r="L111" s="1585"/>
      <c r="M111" s="1538"/>
      <c r="N111" s="1538"/>
      <c r="O111" s="1595"/>
      <c r="P111" s="1538"/>
      <c r="Q111" s="1538"/>
      <c r="S111" s="1500"/>
      <c r="T111" s="1500"/>
      <c r="U111" s="1500"/>
      <c r="V111" s="1500"/>
    </row>
    <row r="112" spans="1:22" s="1506" customFormat="1">
      <c r="A112"/>
      <c r="B112"/>
      <c r="C112"/>
      <c r="D112"/>
      <c r="E112" s="1233" t="s">
        <v>2812</v>
      </c>
      <c r="F112" s="1145"/>
      <c r="G112" s="1499"/>
      <c r="H112" s="1499" t="s">
        <v>2167</v>
      </c>
      <c r="I112" s="1501"/>
      <c r="J112" s="1500" t="s">
        <v>2442</v>
      </c>
      <c r="K112" s="1585"/>
      <c r="L112" s="1585"/>
      <c r="M112" s="1538"/>
      <c r="N112" s="1538"/>
      <c r="O112" s="1595"/>
      <c r="P112" s="1538"/>
      <c r="Q112" s="1538"/>
      <c r="S112" s="1500"/>
      <c r="T112" s="1500"/>
      <c r="U112" s="1500"/>
      <c r="V112" s="1500"/>
    </row>
    <row r="113" spans="1:22" s="1506" customFormat="1">
      <c r="A113"/>
      <c r="B113"/>
      <c r="C113"/>
      <c r="D113"/>
      <c r="E113" s="1233" t="s">
        <v>2812</v>
      </c>
      <c r="F113" s="1145"/>
      <c r="G113" s="1499"/>
      <c r="H113" s="1796"/>
      <c r="I113" s="1597"/>
      <c r="J113" s="1598"/>
      <c r="K113" s="1598"/>
      <c r="L113" s="1598"/>
      <c r="M113" s="1598"/>
      <c r="N113" s="1598"/>
      <c r="O113" s="1599"/>
      <c r="P113" s="1598"/>
      <c r="Q113" s="1600"/>
      <c r="S113" s="1500"/>
      <c r="T113" s="1500"/>
      <c r="U113" s="1500"/>
      <c r="V113" s="1500"/>
    </row>
    <row r="114" spans="1:22" s="1506" customFormat="1" ht="45">
      <c r="A114"/>
      <c r="B114"/>
      <c r="C114"/>
      <c r="D114"/>
      <c r="E114" s="1233" t="s">
        <v>2812</v>
      </c>
      <c r="F114" s="1145"/>
      <c r="G114" s="1498" t="s">
        <v>2931</v>
      </c>
      <c r="H114" s="1500"/>
      <c r="I114" s="1501" t="s">
        <v>2932</v>
      </c>
      <c r="J114" s="1500" t="s">
        <v>2933</v>
      </c>
      <c r="K114" s="1500"/>
      <c r="L114" s="1500"/>
      <c r="M114" s="1500"/>
      <c r="N114" s="1592" t="s">
        <v>2445</v>
      </c>
      <c r="O114" s="1593" t="s">
        <v>2444</v>
      </c>
      <c r="P114" s="1500"/>
      <c r="S114" s="1500"/>
      <c r="T114" s="1500"/>
      <c r="U114" s="1500"/>
      <c r="V114" s="1500"/>
    </row>
    <row r="115" spans="1:22" s="1506" customFormat="1">
      <c r="A115"/>
      <c r="B115"/>
      <c r="C115"/>
      <c r="D115"/>
      <c r="E115" s="1233" t="s">
        <v>2812</v>
      </c>
      <c r="F115" s="1145"/>
      <c r="G115" s="1500" t="s">
        <v>2934</v>
      </c>
      <c r="H115" s="1594" t="s">
        <v>2443</v>
      </c>
      <c r="I115" s="1501"/>
      <c r="K115" s="1500"/>
      <c r="L115" s="1500"/>
      <c r="M115" s="1500"/>
      <c r="N115" s="1500"/>
      <c r="O115" s="1593" t="s">
        <v>2445</v>
      </c>
      <c r="P115" s="1500"/>
      <c r="S115" s="1500"/>
      <c r="T115" s="1500"/>
      <c r="U115" s="1500"/>
      <c r="V115" s="1500"/>
    </row>
    <row r="116" spans="1:22" s="1506" customFormat="1">
      <c r="A116"/>
      <c r="B116"/>
      <c r="C116"/>
      <c r="D116"/>
      <c r="E116" s="1233" t="s">
        <v>2812</v>
      </c>
      <c r="F116" s="1145"/>
      <c r="G116" s="1499"/>
      <c r="H116" s="1499" t="s">
        <v>2164</v>
      </c>
      <c r="I116" s="1501"/>
      <c r="J116" s="1500"/>
      <c r="K116" s="1585"/>
      <c r="L116" s="1585"/>
      <c r="M116" s="1538"/>
      <c r="N116" s="1538"/>
      <c r="O116" s="1595"/>
      <c r="P116" s="1538"/>
      <c r="Q116" s="1538"/>
      <c r="S116" s="1500"/>
      <c r="T116" s="1500"/>
      <c r="U116" s="1500"/>
      <c r="V116" s="1500"/>
    </row>
    <row r="117" spans="1:22" s="1506" customFormat="1">
      <c r="A117"/>
      <c r="B117"/>
      <c r="C117"/>
      <c r="D117"/>
      <c r="E117" s="1233" t="s">
        <v>2812</v>
      </c>
      <c r="F117" s="1145"/>
      <c r="G117" s="1499"/>
      <c r="H117" s="1499" t="s">
        <v>2165</v>
      </c>
      <c r="I117" s="1501"/>
      <c r="J117" s="1500"/>
      <c r="K117" s="1585"/>
      <c r="L117" s="1585"/>
      <c r="M117" s="1538"/>
      <c r="N117" s="1538"/>
      <c r="O117" s="1595"/>
      <c r="P117" s="1538"/>
      <c r="Q117" s="1538"/>
      <c r="S117" s="1500"/>
      <c r="T117" s="1500"/>
      <c r="U117" s="1500"/>
      <c r="V117" s="1500"/>
    </row>
    <row r="118" spans="1:22" s="1506" customFormat="1">
      <c r="A118"/>
      <c r="B118"/>
      <c r="C118"/>
      <c r="D118"/>
      <c r="E118" s="1233" t="s">
        <v>2812</v>
      </c>
      <c r="F118" s="1145"/>
      <c r="G118" s="1499"/>
      <c r="H118" s="1499" t="s">
        <v>2166</v>
      </c>
      <c r="I118" s="1501"/>
      <c r="J118" s="1500"/>
      <c r="K118" s="1585"/>
      <c r="L118" s="1585"/>
      <c r="M118" s="1538"/>
      <c r="N118" s="1538"/>
      <c r="O118" s="1595"/>
      <c r="P118" s="1538"/>
      <c r="Q118" s="1538"/>
      <c r="S118" s="1500"/>
      <c r="T118" s="1500"/>
      <c r="U118" s="1500"/>
      <c r="V118" s="1500"/>
    </row>
    <row r="119" spans="1:22" s="1506" customFormat="1">
      <c r="A119"/>
      <c r="B119"/>
      <c r="C119"/>
      <c r="D119"/>
      <c r="E119" s="1233" t="s">
        <v>2812</v>
      </c>
      <c r="F119" s="1145"/>
      <c r="G119" s="1499"/>
      <c r="H119" s="1560" t="s">
        <v>2167</v>
      </c>
      <c r="I119" s="1541"/>
      <c r="J119" s="1542"/>
      <c r="K119" s="1711"/>
      <c r="L119" s="1711"/>
      <c r="M119" s="1530"/>
      <c r="N119" s="1530"/>
      <c r="O119" s="1596"/>
      <c r="P119" s="1530"/>
      <c r="Q119" s="1530"/>
      <c r="S119" s="1500"/>
      <c r="T119" s="1500"/>
      <c r="U119" s="1500"/>
      <c r="V119" s="1500"/>
    </row>
    <row r="120" spans="1:22" s="1506" customFormat="1">
      <c r="A120"/>
      <c r="B120"/>
      <c r="C120"/>
      <c r="D120"/>
      <c r="E120" s="1233" t="s">
        <v>2812</v>
      </c>
      <c r="F120" s="1145"/>
      <c r="G120" s="1500"/>
      <c r="H120" s="1499"/>
      <c r="P120" s="1500"/>
      <c r="S120" s="1500"/>
      <c r="T120" s="1500"/>
      <c r="U120" s="1500"/>
      <c r="V120" s="1500"/>
    </row>
    <row r="121" spans="1:22" s="1506" customFormat="1">
      <c r="A121"/>
      <c r="B121"/>
      <c r="C121"/>
      <c r="D121"/>
      <c r="E121" s="1233" t="s">
        <v>2812</v>
      </c>
      <c r="F121" s="1145"/>
      <c r="G121" s="1500" t="s">
        <v>2935</v>
      </c>
      <c r="H121" s="1594" t="s">
        <v>2446</v>
      </c>
      <c r="I121" s="1501"/>
      <c r="J121" s="1500"/>
      <c r="K121" s="1500"/>
      <c r="L121" s="1500"/>
      <c r="M121" s="1500"/>
      <c r="N121" s="1500"/>
      <c r="O121" s="1503"/>
      <c r="P121" s="1500"/>
      <c r="S121" s="1500"/>
      <c r="T121" s="1500"/>
      <c r="U121" s="1500"/>
      <c r="V121" s="1500"/>
    </row>
    <row r="122" spans="1:22" s="1506" customFormat="1">
      <c r="A122"/>
      <c r="B122"/>
      <c r="C122"/>
      <c r="D122"/>
      <c r="E122" s="1233" t="s">
        <v>2812</v>
      </c>
      <c r="F122" s="1145"/>
      <c r="G122" s="1499"/>
      <c r="H122" s="1499" t="s">
        <v>2164</v>
      </c>
      <c r="I122" s="1501"/>
      <c r="J122" s="1500" t="s">
        <v>3015</v>
      </c>
      <c r="K122" s="1585"/>
      <c r="L122" s="1585"/>
      <c r="M122" s="1538"/>
      <c r="N122" s="1538"/>
      <c r="O122" s="1595"/>
      <c r="P122" s="1538"/>
      <c r="Q122" s="1538"/>
      <c r="S122" s="1500"/>
      <c r="T122" s="1500"/>
      <c r="U122" s="1500"/>
      <c r="V122" s="1500"/>
    </row>
    <row r="123" spans="1:22" s="1506" customFormat="1">
      <c r="A123"/>
      <c r="B123"/>
      <c r="C123"/>
      <c r="D123"/>
      <c r="E123" s="1233" t="s">
        <v>2812</v>
      </c>
      <c r="F123" s="1145"/>
      <c r="G123" s="1499"/>
      <c r="H123" s="1499" t="s">
        <v>2165</v>
      </c>
      <c r="I123" s="1501"/>
      <c r="J123" s="1500" t="s">
        <v>3015</v>
      </c>
      <c r="K123" s="1585"/>
      <c r="L123" s="1585"/>
      <c r="M123" s="1538"/>
      <c r="N123" s="1538"/>
      <c r="O123" s="1595"/>
      <c r="P123" s="1538"/>
      <c r="Q123" s="1538"/>
      <c r="S123" s="1500"/>
      <c r="T123" s="1500"/>
      <c r="U123" s="1500"/>
      <c r="V123" s="1500"/>
    </row>
    <row r="124" spans="1:22" s="1506" customFormat="1">
      <c r="A124"/>
      <c r="B124"/>
      <c r="C124"/>
      <c r="D124"/>
      <c r="E124" s="1233" t="s">
        <v>2812</v>
      </c>
      <c r="F124" s="1145"/>
      <c r="G124" s="1499"/>
      <c r="H124" s="1499" t="s">
        <v>2166</v>
      </c>
      <c r="I124" s="1501"/>
      <c r="J124" s="1500" t="s">
        <v>3015</v>
      </c>
      <c r="K124" s="1585"/>
      <c r="L124" s="1585"/>
      <c r="M124" s="1538"/>
      <c r="N124" s="1538"/>
      <c r="O124" s="1595"/>
      <c r="P124" s="1538"/>
      <c r="Q124" s="1538"/>
      <c r="S124" s="1500"/>
      <c r="T124" s="1500"/>
      <c r="U124" s="1500"/>
      <c r="V124" s="1500"/>
    </row>
    <row r="125" spans="1:22" s="1506" customFormat="1" ht="16.5" thickBot="1">
      <c r="A125"/>
      <c r="B125"/>
      <c r="C125"/>
      <c r="D125"/>
      <c r="E125" s="1233" t="s">
        <v>2812</v>
      </c>
      <c r="F125" s="1145"/>
      <c r="G125" s="1601"/>
      <c r="H125" s="1601" t="s">
        <v>2167</v>
      </c>
      <c r="I125" s="1602"/>
      <c r="J125" s="1603" t="s">
        <v>3015</v>
      </c>
      <c r="K125" s="1710"/>
      <c r="L125" s="1710"/>
      <c r="M125" s="1604"/>
      <c r="N125" s="1604"/>
      <c r="O125" s="1605"/>
      <c r="P125" s="1604"/>
      <c r="Q125" s="1604"/>
      <c r="S125" s="1500"/>
      <c r="T125" s="1500"/>
      <c r="U125" s="1500"/>
      <c r="V125" s="1500"/>
    </row>
    <row r="126" spans="1:22">
      <c r="A126"/>
      <c r="B126"/>
      <c r="C126"/>
      <c r="D126"/>
      <c r="E126" s="1233" t="s">
        <v>2812</v>
      </c>
      <c r="F126" s="1145"/>
    </row>
    <row r="127" spans="1:22" s="1506" customFormat="1">
      <c r="A127"/>
      <c r="B127"/>
      <c r="C127"/>
      <c r="D127"/>
      <c r="E127" s="1233" t="s">
        <v>2812</v>
      </c>
      <c r="F127" s="1145"/>
      <c r="G127" s="1606" t="s">
        <v>2936</v>
      </c>
      <c r="H127" s="1498" t="s">
        <v>2937</v>
      </c>
      <c r="I127" s="1500"/>
      <c r="J127" s="1500"/>
      <c r="K127" s="1500"/>
      <c r="L127" s="1500"/>
      <c r="M127" s="1500"/>
      <c r="N127" s="1500"/>
      <c r="O127" s="1500"/>
      <c r="P127" s="1500"/>
      <c r="Q127" s="1500"/>
      <c r="S127" s="1500"/>
      <c r="T127" s="1500"/>
      <c r="U127" s="1500"/>
      <c r="V127" s="1500"/>
    </row>
    <row r="128" spans="1:22" s="1506" customFormat="1">
      <c r="A128"/>
      <c r="B128"/>
      <c r="C128"/>
      <c r="D128"/>
      <c r="E128" s="1233" t="s">
        <v>2812</v>
      </c>
      <c r="F128" s="1145"/>
      <c r="G128" s="1498"/>
      <c r="H128" s="1500"/>
      <c r="I128" s="1500"/>
      <c r="J128" s="1500"/>
      <c r="K128" s="1500"/>
      <c r="L128" s="1500"/>
      <c r="M128" s="1500"/>
      <c r="N128" s="1500"/>
      <c r="O128" s="1500"/>
      <c r="P128" s="1500"/>
      <c r="Q128" s="1500"/>
      <c r="S128" s="1500"/>
      <c r="T128" s="1500"/>
      <c r="U128" s="1500"/>
      <c r="V128" s="1500"/>
    </row>
    <row r="129" spans="1:22" ht="45">
      <c r="A129"/>
      <c r="B129"/>
      <c r="C129"/>
      <c r="D129"/>
      <c r="E129" s="1233" t="s">
        <v>2812</v>
      </c>
      <c r="F129" s="1145"/>
      <c r="G129" s="1498" t="s">
        <v>2925</v>
      </c>
      <c r="H129" s="1500"/>
      <c r="I129" s="1501" t="s">
        <v>2926</v>
      </c>
      <c r="J129" s="1500" t="s">
        <v>2938</v>
      </c>
      <c r="N129" s="1592" t="s">
        <v>2439</v>
      </c>
      <c r="O129" s="1593" t="s">
        <v>2440</v>
      </c>
      <c r="Q129" s="1500"/>
      <c r="R129" s="1552"/>
    </row>
    <row r="130" spans="1:22" s="1506" customFormat="1">
      <c r="A130"/>
      <c r="B130"/>
      <c r="C130"/>
      <c r="D130"/>
      <c r="E130" s="1233" t="s">
        <v>2812</v>
      </c>
      <c r="F130" s="1145"/>
      <c r="G130" s="1500" t="s">
        <v>2939</v>
      </c>
      <c r="H130" s="1594" t="s">
        <v>2929</v>
      </c>
      <c r="I130" s="1501"/>
      <c r="J130" s="1500"/>
      <c r="K130" s="1500"/>
      <c r="L130" s="1500"/>
      <c r="M130" s="1500"/>
      <c r="N130" s="1500"/>
      <c r="O130" s="1593" t="s">
        <v>2439</v>
      </c>
      <c r="P130" s="1500"/>
      <c r="S130" s="1500"/>
      <c r="T130" s="1500"/>
      <c r="U130" s="1500"/>
      <c r="V130" s="1500"/>
    </row>
    <row r="131" spans="1:22" s="1506" customFormat="1">
      <c r="A131"/>
      <c r="B131"/>
      <c r="C131"/>
      <c r="D131"/>
      <c r="E131" s="1233" t="s">
        <v>2812</v>
      </c>
      <c r="F131" s="1145"/>
      <c r="G131" s="1499"/>
      <c r="H131" s="1499" t="s">
        <v>2168</v>
      </c>
      <c r="I131" s="1501"/>
      <c r="J131" s="1500"/>
      <c r="K131" s="1585"/>
      <c r="L131" s="1585"/>
      <c r="M131" s="1538"/>
      <c r="N131" s="1538"/>
      <c r="O131" s="1595"/>
      <c r="P131" s="1538"/>
      <c r="Q131" s="1538"/>
      <c r="S131" s="1500"/>
      <c r="T131" s="1500"/>
      <c r="U131" s="1500"/>
      <c r="V131" s="1500"/>
    </row>
    <row r="132" spans="1:22" s="1506" customFormat="1">
      <c r="A132"/>
      <c r="B132"/>
      <c r="C132"/>
      <c r="D132"/>
      <c r="E132" s="1233" t="s">
        <v>2812</v>
      </c>
      <c r="F132" s="1145"/>
      <c r="G132" s="1499"/>
      <c r="H132" s="1499" t="s">
        <v>2169</v>
      </c>
      <c r="I132" s="1501"/>
      <c r="J132" s="1500"/>
      <c r="K132" s="1585"/>
      <c r="L132" s="1585"/>
      <c r="M132" s="1538"/>
      <c r="N132" s="1538"/>
      <c r="O132" s="1595"/>
      <c r="P132" s="1538"/>
      <c r="Q132" s="1538"/>
      <c r="S132" s="1500"/>
      <c r="T132" s="1500"/>
      <c r="U132" s="1500"/>
      <c r="V132" s="1500"/>
    </row>
    <row r="133" spans="1:22" s="1506" customFormat="1">
      <c r="A133"/>
      <c r="B133"/>
      <c r="C133"/>
      <c r="D133"/>
      <c r="E133" s="1233" t="s">
        <v>2812</v>
      </c>
      <c r="F133" s="1145"/>
      <c r="G133" s="1499"/>
      <c r="H133" s="1499" t="s">
        <v>2170</v>
      </c>
      <c r="I133" s="1501"/>
      <c r="J133" s="1500"/>
      <c r="K133" s="1585"/>
      <c r="L133" s="1585"/>
      <c r="M133" s="1538"/>
      <c r="N133" s="1538"/>
      <c r="O133" s="1595"/>
      <c r="P133" s="1538"/>
      <c r="Q133" s="1538"/>
      <c r="S133" s="1500"/>
      <c r="T133" s="1500"/>
      <c r="U133" s="1500"/>
      <c r="V133" s="1500"/>
    </row>
    <row r="134" spans="1:22" s="1506" customFormat="1">
      <c r="A134"/>
      <c r="B134"/>
      <c r="C134"/>
      <c r="D134"/>
      <c r="E134" s="1233" t="s">
        <v>2812</v>
      </c>
      <c r="F134" s="1145"/>
      <c r="G134" s="1499"/>
      <c r="H134" s="1499" t="s">
        <v>2171</v>
      </c>
      <c r="I134" s="1501"/>
      <c r="J134" s="1500"/>
      <c r="K134" s="1585"/>
      <c r="L134" s="1585"/>
      <c r="M134" s="1538"/>
      <c r="N134" s="1538"/>
      <c r="O134" s="1595"/>
      <c r="P134" s="1538"/>
      <c r="Q134" s="1538"/>
      <c r="S134" s="1500"/>
      <c r="T134" s="1500"/>
      <c r="U134" s="1500"/>
      <c r="V134" s="1500"/>
    </row>
    <row r="135" spans="1:22" s="1506" customFormat="1">
      <c r="A135"/>
      <c r="B135"/>
      <c r="C135"/>
      <c r="D135"/>
      <c r="E135" s="1233" t="s">
        <v>2812</v>
      </c>
      <c r="F135" s="1145"/>
      <c r="G135" s="1499"/>
      <c r="H135" s="1499"/>
      <c r="I135" s="1501"/>
      <c r="J135" s="1500"/>
      <c r="K135" s="1500"/>
      <c r="L135" s="1500"/>
      <c r="M135" s="1500"/>
      <c r="N135" s="1500"/>
      <c r="O135" s="1503"/>
      <c r="P135" s="1500"/>
      <c r="S135" s="1500"/>
      <c r="T135" s="1500"/>
      <c r="U135" s="1500"/>
      <c r="V135" s="1500"/>
    </row>
    <row r="136" spans="1:22" s="1506" customFormat="1">
      <c r="A136"/>
      <c r="B136"/>
      <c r="C136"/>
      <c r="D136"/>
      <c r="E136" s="1233" t="s">
        <v>2812</v>
      </c>
      <c r="F136" s="1145"/>
      <c r="G136" s="1500" t="s">
        <v>2940</v>
      </c>
      <c r="H136" s="1594" t="s">
        <v>2441</v>
      </c>
      <c r="I136" s="1501"/>
      <c r="J136" s="1500"/>
      <c r="K136" s="1500"/>
      <c r="L136" s="1500"/>
      <c r="M136" s="1500"/>
      <c r="N136" s="1500"/>
      <c r="O136" s="1503"/>
      <c r="P136" s="1500"/>
      <c r="S136" s="1500"/>
      <c r="T136" s="1500"/>
      <c r="U136" s="1500"/>
      <c r="V136" s="1500"/>
    </row>
    <row r="137" spans="1:22" s="1506" customFormat="1">
      <c r="A137"/>
      <c r="B137"/>
      <c r="C137"/>
      <c r="D137"/>
      <c r="E137" s="1233" t="s">
        <v>2812</v>
      </c>
      <c r="F137" s="1145"/>
      <c r="G137" s="1499"/>
      <c r="H137" s="1499" t="s">
        <v>2168</v>
      </c>
      <c r="I137" s="1501"/>
      <c r="J137" s="1500" t="s">
        <v>2442</v>
      </c>
      <c r="K137" s="1585"/>
      <c r="L137" s="1585"/>
      <c r="M137" s="1538"/>
      <c r="N137" s="1538"/>
      <c r="O137" s="1595"/>
      <c r="P137" s="1538"/>
      <c r="Q137" s="1538"/>
      <c r="S137" s="1500"/>
      <c r="T137" s="1500"/>
      <c r="U137" s="1500"/>
      <c r="V137" s="1500"/>
    </row>
    <row r="138" spans="1:22" s="1506" customFormat="1">
      <c r="A138"/>
      <c r="B138"/>
      <c r="C138"/>
      <c r="D138"/>
      <c r="E138" s="1233" t="s">
        <v>2812</v>
      </c>
      <c r="F138" s="1145"/>
      <c r="G138" s="1499"/>
      <c r="H138" s="1499" t="s">
        <v>2169</v>
      </c>
      <c r="I138" s="1501"/>
      <c r="J138" s="1500" t="s">
        <v>2442</v>
      </c>
      <c r="K138" s="1585"/>
      <c r="L138" s="1585"/>
      <c r="M138" s="1538"/>
      <c r="N138" s="1538"/>
      <c r="O138" s="1595"/>
      <c r="P138" s="1538"/>
      <c r="Q138" s="1538"/>
      <c r="S138" s="1500"/>
      <c r="T138" s="1500"/>
      <c r="U138" s="1500"/>
      <c r="V138" s="1500"/>
    </row>
    <row r="139" spans="1:22" s="1506" customFormat="1">
      <c r="A139"/>
      <c r="B139"/>
      <c r="C139"/>
      <c r="D139"/>
      <c r="E139" s="1233" t="s">
        <v>2812</v>
      </c>
      <c r="F139" s="1145"/>
      <c r="G139" s="1499"/>
      <c r="H139" s="1499" t="s">
        <v>2170</v>
      </c>
      <c r="I139" s="1501"/>
      <c r="J139" s="1500" t="s">
        <v>2442</v>
      </c>
      <c r="K139" s="1585"/>
      <c r="L139" s="1585"/>
      <c r="M139" s="1538"/>
      <c r="N139" s="1538"/>
      <c r="O139" s="1595"/>
      <c r="P139" s="1538"/>
      <c r="Q139" s="1538"/>
      <c r="S139" s="1500"/>
      <c r="T139" s="1500"/>
      <c r="U139" s="1500"/>
      <c r="V139" s="1500"/>
    </row>
    <row r="140" spans="1:22" s="1506" customFormat="1">
      <c r="A140"/>
      <c r="B140"/>
      <c r="C140"/>
      <c r="D140"/>
      <c r="E140" s="1233" t="s">
        <v>2812</v>
      </c>
      <c r="F140" s="1145"/>
      <c r="G140" s="1499"/>
      <c r="H140" s="1499" t="s">
        <v>2171</v>
      </c>
      <c r="I140" s="1501"/>
      <c r="J140" s="1500" t="s">
        <v>2442</v>
      </c>
      <c r="K140" s="1585"/>
      <c r="L140" s="1585"/>
      <c r="M140" s="1538"/>
      <c r="N140" s="1538"/>
      <c r="O140" s="1595"/>
      <c r="P140" s="1538"/>
      <c r="Q140" s="1538"/>
      <c r="S140" s="1500"/>
      <c r="T140" s="1500"/>
      <c r="U140" s="1500"/>
      <c r="V140" s="1500"/>
    </row>
    <row r="141" spans="1:22" s="1506" customFormat="1">
      <c r="A141"/>
      <c r="B141"/>
      <c r="C141"/>
      <c r="D141"/>
      <c r="E141" s="1233" t="s">
        <v>2812</v>
      </c>
      <c r="F141" s="1145"/>
      <c r="G141" s="1499"/>
      <c r="H141" s="1796"/>
      <c r="I141" s="1597"/>
      <c r="J141" s="1598"/>
      <c r="K141" s="1598"/>
      <c r="L141" s="1598"/>
      <c r="M141" s="1598"/>
      <c r="N141" s="1598"/>
      <c r="O141" s="1599"/>
      <c r="P141" s="1598"/>
      <c r="Q141" s="1600"/>
      <c r="S141" s="1500"/>
      <c r="T141" s="1500"/>
      <c r="U141" s="1500"/>
      <c r="V141" s="1500"/>
    </row>
    <row r="142" spans="1:22" s="1506" customFormat="1" ht="45">
      <c r="A142"/>
      <c r="B142"/>
      <c r="C142"/>
      <c r="D142"/>
      <c r="E142" s="1233" t="s">
        <v>2812</v>
      </c>
      <c r="F142" s="1145"/>
      <c r="G142" s="1498" t="s">
        <v>2931</v>
      </c>
      <c r="H142" s="1500"/>
      <c r="I142" s="1501" t="s">
        <v>2932</v>
      </c>
      <c r="J142" s="1500" t="s">
        <v>2941</v>
      </c>
      <c r="K142" s="1500"/>
      <c r="L142" s="1500"/>
      <c r="M142" s="1500"/>
      <c r="N142" s="1592" t="s">
        <v>2445</v>
      </c>
      <c r="O142" s="1593" t="s">
        <v>2444</v>
      </c>
      <c r="P142" s="1500"/>
      <c r="S142" s="1500"/>
      <c r="T142" s="1500"/>
      <c r="U142" s="1500"/>
      <c r="V142" s="1500"/>
    </row>
    <row r="143" spans="1:22" s="1506" customFormat="1">
      <c r="A143"/>
      <c r="B143"/>
      <c r="C143"/>
      <c r="D143"/>
      <c r="E143" s="1233" t="s">
        <v>2812</v>
      </c>
      <c r="F143" s="1145"/>
      <c r="G143" s="1500" t="s">
        <v>2942</v>
      </c>
      <c r="H143" s="1594" t="s">
        <v>2443</v>
      </c>
      <c r="I143" s="1501"/>
      <c r="K143" s="1500"/>
      <c r="L143" s="1500"/>
      <c r="M143" s="1500"/>
      <c r="N143" s="1500"/>
      <c r="O143" s="1593" t="s">
        <v>2445</v>
      </c>
      <c r="P143" s="1500"/>
      <c r="S143" s="1500"/>
      <c r="T143" s="1500"/>
      <c r="U143" s="1500"/>
      <c r="V143" s="1500"/>
    </row>
    <row r="144" spans="1:22" s="1506" customFormat="1">
      <c r="A144"/>
      <c r="B144"/>
      <c r="C144"/>
      <c r="D144"/>
      <c r="E144" s="1233" t="s">
        <v>2812</v>
      </c>
      <c r="F144" s="1145"/>
      <c r="G144" s="1499"/>
      <c r="H144" s="1499" t="s">
        <v>2168</v>
      </c>
      <c r="I144" s="1501"/>
      <c r="J144" s="1500"/>
      <c r="K144" s="1585"/>
      <c r="L144" s="1585"/>
      <c r="M144" s="1538"/>
      <c r="N144" s="1538"/>
      <c r="O144" s="1595"/>
      <c r="P144" s="1538"/>
      <c r="Q144" s="1538"/>
      <c r="S144" s="1500"/>
      <c r="T144" s="1500"/>
      <c r="U144" s="1500"/>
      <c r="V144" s="1500"/>
    </row>
    <row r="145" spans="1:22" s="1506" customFormat="1">
      <c r="A145"/>
      <c r="B145"/>
      <c r="C145"/>
      <c r="D145"/>
      <c r="E145" s="1233" t="s">
        <v>2812</v>
      </c>
      <c r="F145" s="1145"/>
      <c r="G145" s="1499"/>
      <c r="H145" s="1499" t="s">
        <v>2169</v>
      </c>
      <c r="I145" s="1501"/>
      <c r="J145" s="1500"/>
      <c r="K145" s="1585"/>
      <c r="L145" s="1585"/>
      <c r="M145" s="1538"/>
      <c r="N145" s="1538"/>
      <c r="O145" s="1595"/>
      <c r="P145" s="1538"/>
      <c r="Q145" s="1538"/>
      <c r="S145" s="1500"/>
      <c r="T145" s="1500"/>
      <c r="U145" s="1500"/>
      <c r="V145" s="1500"/>
    </row>
    <row r="146" spans="1:22" s="1506" customFormat="1">
      <c r="A146"/>
      <c r="B146"/>
      <c r="C146"/>
      <c r="D146"/>
      <c r="E146" s="1233" t="s">
        <v>2812</v>
      </c>
      <c r="F146" s="1145"/>
      <c r="G146" s="1499"/>
      <c r="H146" s="1499" t="s">
        <v>2170</v>
      </c>
      <c r="I146" s="1501"/>
      <c r="J146" s="1500"/>
      <c r="K146" s="1585"/>
      <c r="L146" s="1585"/>
      <c r="M146" s="1538"/>
      <c r="N146" s="1538"/>
      <c r="O146" s="1595"/>
      <c r="P146" s="1538"/>
      <c r="Q146" s="1538"/>
      <c r="S146" s="1500"/>
      <c r="T146" s="1500"/>
      <c r="U146" s="1500"/>
      <c r="V146" s="1500"/>
    </row>
    <row r="147" spans="1:22" s="1506" customFormat="1">
      <c r="A147"/>
      <c r="B147"/>
      <c r="C147"/>
      <c r="D147"/>
      <c r="E147" s="1233" t="s">
        <v>2812</v>
      </c>
      <c r="F147" s="1145"/>
      <c r="G147" s="1499"/>
      <c r="H147" s="1499" t="s">
        <v>2171</v>
      </c>
      <c r="I147" s="1501"/>
      <c r="J147" s="1500"/>
      <c r="K147" s="1585"/>
      <c r="L147" s="1585"/>
      <c r="M147" s="1538"/>
      <c r="N147" s="1538"/>
      <c r="O147" s="1595"/>
      <c r="P147" s="1538"/>
      <c r="Q147" s="1538"/>
      <c r="S147" s="1500"/>
      <c r="T147" s="1500"/>
      <c r="U147" s="1500"/>
      <c r="V147" s="1500"/>
    </row>
    <row r="148" spans="1:22" s="1506" customFormat="1">
      <c r="A148"/>
      <c r="B148"/>
      <c r="C148"/>
      <c r="D148"/>
      <c r="E148" s="1233" t="s">
        <v>2812</v>
      </c>
      <c r="F148" s="1145"/>
      <c r="G148" s="1499"/>
      <c r="H148" s="1499"/>
      <c r="I148" s="1501"/>
      <c r="J148" s="1500"/>
      <c r="K148" s="1533"/>
      <c r="L148" s="1533"/>
      <c r="M148" s="1533"/>
      <c r="N148" s="1533"/>
      <c r="O148" s="1536"/>
      <c r="P148" s="1533"/>
      <c r="Q148" s="1533"/>
      <c r="S148" s="1500"/>
      <c r="T148" s="1500"/>
      <c r="U148" s="1500"/>
      <c r="V148" s="1500"/>
    </row>
    <row r="149" spans="1:22" s="1506" customFormat="1">
      <c r="A149"/>
      <c r="B149"/>
      <c r="C149"/>
      <c r="D149"/>
      <c r="E149" s="1233" t="s">
        <v>2812</v>
      </c>
      <c r="F149" s="1145"/>
      <c r="G149" s="1500" t="s">
        <v>2943</v>
      </c>
      <c r="H149" s="1594" t="s">
        <v>2446</v>
      </c>
      <c r="I149" s="1501"/>
      <c r="J149" s="1500"/>
      <c r="K149" s="1500"/>
      <c r="L149" s="1500"/>
      <c r="M149" s="1500"/>
      <c r="N149" s="1500"/>
      <c r="O149" s="1503"/>
      <c r="P149" s="1500"/>
      <c r="S149" s="1500"/>
      <c r="T149" s="1500"/>
      <c r="U149" s="1500"/>
      <c r="V149" s="1500"/>
    </row>
    <row r="150" spans="1:22" s="1506" customFormat="1">
      <c r="A150"/>
      <c r="B150"/>
      <c r="C150"/>
      <c r="D150"/>
      <c r="E150" s="1233" t="s">
        <v>2812</v>
      </c>
      <c r="F150" s="1145"/>
      <c r="G150" s="1499"/>
      <c r="H150" s="1499" t="s">
        <v>2168</v>
      </c>
      <c r="I150" s="1501"/>
      <c r="J150" s="1500" t="s">
        <v>3015</v>
      </c>
      <c r="K150" s="1585"/>
      <c r="L150" s="1585"/>
      <c r="M150" s="1538"/>
      <c r="N150" s="1538"/>
      <c r="O150" s="1595"/>
      <c r="P150" s="1538"/>
      <c r="Q150" s="1538"/>
      <c r="S150" s="1500"/>
      <c r="T150" s="1500"/>
      <c r="U150" s="1500"/>
      <c r="V150" s="1500"/>
    </row>
    <row r="151" spans="1:22" s="1506" customFormat="1">
      <c r="A151"/>
      <c r="B151"/>
      <c r="C151"/>
      <c r="D151"/>
      <c r="E151" s="1233" t="s">
        <v>2812</v>
      </c>
      <c r="F151" s="1145"/>
      <c r="G151" s="1499"/>
      <c r="H151" s="1499" t="s">
        <v>2169</v>
      </c>
      <c r="I151" s="1501"/>
      <c r="J151" s="1500" t="s">
        <v>3015</v>
      </c>
      <c r="K151" s="1585"/>
      <c r="L151" s="1585"/>
      <c r="M151" s="1538"/>
      <c r="N151" s="1538"/>
      <c r="O151" s="1595"/>
      <c r="P151" s="1538"/>
      <c r="Q151" s="1538"/>
      <c r="S151" s="1500"/>
      <c r="T151" s="1500"/>
      <c r="U151" s="1500"/>
      <c r="V151" s="1500"/>
    </row>
    <row r="152" spans="1:22" s="1506" customFormat="1">
      <c r="A152"/>
      <c r="B152"/>
      <c r="C152"/>
      <c r="D152"/>
      <c r="E152" s="1233" t="s">
        <v>2812</v>
      </c>
      <c r="F152" s="1145"/>
      <c r="G152" s="1499"/>
      <c r="H152" s="1499" t="s">
        <v>2170</v>
      </c>
      <c r="I152" s="1501"/>
      <c r="J152" s="1500" t="s">
        <v>3015</v>
      </c>
      <c r="K152" s="1585"/>
      <c r="L152" s="1585"/>
      <c r="M152" s="1538"/>
      <c r="N152" s="1538"/>
      <c r="O152" s="1595"/>
      <c r="P152" s="1538"/>
      <c r="Q152" s="1538"/>
      <c r="S152" s="1500"/>
      <c r="T152" s="1500"/>
      <c r="U152" s="1500"/>
      <c r="V152" s="1500"/>
    </row>
    <row r="153" spans="1:22" s="1506" customFormat="1" ht="16.5" thickBot="1">
      <c r="A153"/>
      <c r="B153"/>
      <c r="C153"/>
      <c r="D153"/>
      <c r="E153" s="1233" t="s">
        <v>2812</v>
      </c>
      <c r="F153" s="1145"/>
      <c r="G153" s="1601"/>
      <c r="H153" s="1601" t="s">
        <v>2171</v>
      </c>
      <c r="I153" s="1602"/>
      <c r="J153" s="1603" t="s">
        <v>3015</v>
      </c>
      <c r="K153" s="1710"/>
      <c r="L153" s="1710"/>
      <c r="M153" s="1604"/>
      <c r="N153" s="1604"/>
      <c r="O153" s="1605"/>
      <c r="P153" s="1604"/>
      <c r="Q153" s="1604"/>
      <c r="S153" s="1500"/>
      <c r="T153" s="1500"/>
      <c r="U153" s="1500"/>
      <c r="V153" s="1500"/>
    </row>
    <row r="154" spans="1:22">
      <c r="A154"/>
      <c r="B154"/>
      <c r="C154"/>
      <c r="D154"/>
      <c r="E154" s="1233" t="s">
        <v>2812</v>
      </c>
      <c r="F154" s="1145"/>
    </row>
    <row r="155" spans="1:22" s="1506" customFormat="1">
      <c r="A155"/>
      <c r="B155"/>
      <c r="C155"/>
      <c r="D155"/>
      <c r="E155" s="1233" t="s">
        <v>2812</v>
      </c>
      <c r="G155" s="1606" t="s">
        <v>2944</v>
      </c>
      <c r="H155" s="1498" t="s">
        <v>2945</v>
      </c>
      <c r="I155" s="1500"/>
      <c r="J155" s="1500"/>
      <c r="K155" s="1500"/>
      <c r="L155" s="1500"/>
      <c r="M155" s="1500"/>
      <c r="N155" s="1500"/>
      <c r="O155" s="1500"/>
      <c r="P155" s="1500"/>
      <c r="Q155" s="1500"/>
      <c r="S155" s="1500"/>
      <c r="T155" s="1500"/>
      <c r="U155" s="1500"/>
      <c r="V155" s="1500"/>
    </row>
    <row r="156" spans="1:22" s="1506" customFormat="1">
      <c r="A156"/>
      <c r="B156"/>
      <c r="C156"/>
      <c r="D156"/>
      <c r="E156" s="1233" t="s">
        <v>2812</v>
      </c>
      <c r="F156" s="1145"/>
      <c r="G156" s="1607" t="s">
        <v>2672</v>
      </c>
      <c r="H156" s="1500"/>
      <c r="I156" s="1500"/>
      <c r="J156" s="1500"/>
      <c r="K156" s="1500"/>
      <c r="L156" s="1500"/>
      <c r="M156" s="1500"/>
      <c r="N156" s="1500"/>
      <c r="O156" s="1500"/>
      <c r="P156" s="1500"/>
      <c r="Q156" s="1500"/>
      <c r="S156" s="1500"/>
      <c r="T156" s="1500"/>
      <c r="U156" s="1500"/>
      <c r="V156" s="1500"/>
    </row>
    <row r="157" spans="1:22" ht="45">
      <c r="A157"/>
      <c r="B157"/>
      <c r="C157"/>
      <c r="D157"/>
      <c r="E157" s="1233" t="s">
        <v>2812</v>
      </c>
      <c r="F157" s="1145"/>
      <c r="G157" s="1498" t="s">
        <v>2925</v>
      </c>
      <c r="H157" s="1500"/>
      <c r="I157" s="1501" t="s">
        <v>2926</v>
      </c>
      <c r="J157" s="1500" t="s">
        <v>2946</v>
      </c>
      <c r="N157" s="1592" t="s">
        <v>2439</v>
      </c>
      <c r="O157" s="1593" t="s">
        <v>2440</v>
      </c>
      <c r="Q157" s="1500"/>
      <c r="R157" s="1552"/>
    </row>
    <row r="158" spans="1:22" s="1506" customFormat="1">
      <c r="A158"/>
      <c r="B158"/>
      <c r="C158"/>
      <c r="D158"/>
      <c r="E158" s="1233" t="s">
        <v>2812</v>
      </c>
      <c r="F158" s="1145"/>
      <c r="G158" s="1500" t="s">
        <v>2947</v>
      </c>
      <c r="H158" s="1594" t="s">
        <v>2929</v>
      </c>
      <c r="I158" s="1501"/>
      <c r="J158" s="1500"/>
      <c r="K158" s="1500"/>
      <c r="L158" s="1500"/>
      <c r="M158" s="1500"/>
      <c r="N158" s="1500"/>
      <c r="O158" s="1593" t="s">
        <v>2439</v>
      </c>
      <c r="P158" s="1500"/>
      <c r="S158" s="1500"/>
      <c r="T158" s="1500"/>
      <c r="U158" s="1500"/>
      <c r="V158" s="1500"/>
    </row>
    <row r="159" spans="1:22" s="1506" customFormat="1">
      <c r="A159"/>
      <c r="B159"/>
      <c r="C159"/>
      <c r="D159"/>
      <c r="E159" s="1233" t="s">
        <v>2812</v>
      </c>
      <c r="F159" s="1145"/>
      <c r="G159" s="1499"/>
      <c r="H159" s="1499" t="s">
        <v>2172</v>
      </c>
      <c r="I159" s="1501"/>
      <c r="J159" s="1500"/>
      <c r="K159" s="1585"/>
      <c r="L159" s="1585"/>
      <c r="M159" s="1538"/>
      <c r="N159" s="1538"/>
      <c r="O159" s="1595"/>
      <c r="P159" s="1538"/>
      <c r="Q159" s="1538"/>
      <c r="S159" s="1500"/>
      <c r="T159" s="1500"/>
      <c r="U159" s="1500"/>
      <c r="V159" s="1500"/>
    </row>
    <row r="160" spans="1:22" s="1506" customFormat="1">
      <c r="A160"/>
      <c r="B160"/>
      <c r="C160"/>
      <c r="D160"/>
      <c r="E160" s="1233" t="s">
        <v>2812</v>
      </c>
      <c r="F160" s="1145"/>
      <c r="G160" s="1499"/>
      <c r="H160" s="1499" t="s">
        <v>2173</v>
      </c>
      <c r="I160" s="1501"/>
      <c r="J160" s="1500"/>
      <c r="K160" s="1585"/>
      <c r="L160" s="1585"/>
      <c r="M160" s="1538"/>
      <c r="N160" s="1538"/>
      <c r="O160" s="1595"/>
      <c r="P160" s="1538"/>
      <c r="Q160" s="1538"/>
      <c r="S160" s="1500"/>
      <c r="T160" s="1500"/>
      <c r="U160" s="1500"/>
      <c r="V160" s="1500"/>
    </row>
    <row r="161" spans="1:22" s="1506" customFormat="1">
      <c r="A161"/>
      <c r="B161"/>
      <c r="C161"/>
      <c r="D161"/>
      <c r="E161" s="1233" t="s">
        <v>2812</v>
      </c>
      <c r="F161" s="1145"/>
      <c r="G161" s="1499"/>
      <c r="H161" s="1499" t="s">
        <v>2174</v>
      </c>
      <c r="I161" s="1501"/>
      <c r="J161" s="1500"/>
      <c r="K161" s="1585"/>
      <c r="L161" s="1585"/>
      <c r="M161" s="1538"/>
      <c r="N161" s="1538"/>
      <c r="O161" s="1595"/>
      <c r="P161" s="1538"/>
      <c r="Q161" s="1538"/>
      <c r="S161" s="1500"/>
      <c r="T161" s="1500"/>
      <c r="U161" s="1500"/>
      <c r="V161" s="1500"/>
    </row>
    <row r="162" spans="1:22" s="1506" customFormat="1">
      <c r="A162"/>
      <c r="B162"/>
      <c r="C162"/>
      <c r="D162"/>
      <c r="E162" s="1233" t="s">
        <v>2812</v>
      </c>
      <c r="F162" s="1145"/>
      <c r="G162" s="1499"/>
      <c r="H162" s="1499" t="s">
        <v>2175</v>
      </c>
      <c r="I162" s="1501"/>
      <c r="J162" s="1500"/>
      <c r="K162" s="1585"/>
      <c r="L162" s="1585"/>
      <c r="M162" s="1538"/>
      <c r="N162" s="1538"/>
      <c r="O162" s="1595"/>
      <c r="P162" s="1538"/>
      <c r="Q162" s="1538"/>
      <c r="S162" s="1500"/>
      <c r="T162" s="1500"/>
      <c r="U162" s="1500"/>
      <c r="V162" s="1500"/>
    </row>
    <row r="163" spans="1:22" s="1506" customFormat="1">
      <c r="A163"/>
      <c r="B163"/>
      <c r="C163"/>
      <c r="D163"/>
      <c r="E163" s="1233" t="s">
        <v>2812</v>
      </c>
      <c r="F163" s="1145"/>
      <c r="G163" s="1499"/>
      <c r="H163" s="1499"/>
      <c r="I163" s="1501"/>
      <c r="J163" s="1500"/>
      <c r="K163" s="1500"/>
      <c r="L163" s="1500"/>
      <c r="M163" s="1500"/>
      <c r="N163" s="1500"/>
      <c r="O163" s="1503"/>
      <c r="P163" s="1500"/>
      <c r="S163" s="1500"/>
      <c r="T163" s="1500"/>
      <c r="U163" s="1500"/>
      <c r="V163" s="1500"/>
    </row>
    <row r="164" spans="1:22" s="1506" customFormat="1">
      <c r="A164"/>
      <c r="B164"/>
      <c r="C164"/>
      <c r="D164"/>
      <c r="E164" s="1233" t="s">
        <v>2812</v>
      </c>
      <c r="F164" s="1145"/>
      <c r="G164" s="1500" t="s">
        <v>2948</v>
      </c>
      <c r="H164" s="1594" t="s">
        <v>2441</v>
      </c>
      <c r="I164" s="1501"/>
      <c r="J164" s="1500"/>
      <c r="K164" s="1500"/>
      <c r="L164" s="1500"/>
      <c r="M164" s="1500"/>
      <c r="N164" s="1500"/>
      <c r="O164" s="1503"/>
      <c r="P164" s="1500"/>
      <c r="S164" s="1500"/>
      <c r="T164" s="1500"/>
      <c r="U164" s="1500"/>
      <c r="V164" s="1500"/>
    </row>
    <row r="165" spans="1:22" s="1506" customFormat="1">
      <c r="A165"/>
      <c r="B165"/>
      <c r="C165"/>
      <c r="D165"/>
      <c r="E165" s="1233" t="s">
        <v>2812</v>
      </c>
      <c r="F165" s="1145"/>
      <c r="G165" s="1499"/>
      <c r="H165" s="1499" t="s">
        <v>2168</v>
      </c>
      <c r="I165" s="1501"/>
      <c r="J165" s="1500" t="s">
        <v>2442</v>
      </c>
      <c r="K165" s="1585"/>
      <c r="L165" s="1585"/>
      <c r="M165" s="1538"/>
      <c r="N165" s="1538"/>
      <c r="O165" s="1595"/>
      <c r="P165" s="1538"/>
      <c r="Q165" s="1538"/>
      <c r="S165" s="1500"/>
      <c r="T165" s="1500"/>
      <c r="U165" s="1500"/>
      <c r="V165" s="1500"/>
    </row>
    <row r="166" spans="1:22" s="1506" customFormat="1">
      <c r="A166"/>
      <c r="B166"/>
      <c r="C166"/>
      <c r="D166"/>
      <c r="E166" s="1233" t="s">
        <v>2812</v>
      </c>
      <c r="F166" s="1145"/>
      <c r="G166" s="1499"/>
      <c r="H166" s="1499" t="s">
        <v>2169</v>
      </c>
      <c r="I166" s="1501"/>
      <c r="J166" s="1500" t="s">
        <v>2442</v>
      </c>
      <c r="K166" s="1585"/>
      <c r="L166" s="1585"/>
      <c r="M166" s="1538"/>
      <c r="N166" s="1538"/>
      <c r="O166" s="1595"/>
      <c r="P166" s="1538"/>
      <c r="Q166" s="1538"/>
      <c r="S166" s="1500"/>
      <c r="T166" s="1500"/>
      <c r="U166" s="1500"/>
      <c r="V166" s="1500"/>
    </row>
    <row r="167" spans="1:22" s="1506" customFormat="1">
      <c r="A167"/>
      <c r="B167"/>
      <c r="C167"/>
      <c r="D167"/>
      <c r="E167" s="1233" t="s">
        <v>2812</v>
      </c>
      <c r="F167" s="1145"/>
      <c r="G167" s="1499"/>
      <c r="H167" s="1499" t="s">
        <v>2170</v>
      </c>
      <c r="I167" s="1501"/>
      <c r="J167" s="1500" t="s">
        <v>2442</v>
      </c>
      <c r="K167" s="1585"/>
      <c r="L167" s="1585"/>
      <c r="M167" s="1538"/>
      <c r="N167" s="1538"/>
      <c r="O167" s="1595"/>
      <c r="P167" s="1538"/>
      <c r="Q167" s="1538"/>
      <c r="S167" s="1500"/>
      <c r="T167" s="1500"/>
      <c r="U167" s="1500"/>
      <c r="V167" s="1500"/>
    </row>
    <row r="168" spans="1:22" s="1506" customFormat="1">
      <c r="A168"/>
      <c r="B168"/>
      <c r="C168"/>
      <c r="D168"/>
      <c r="E168" s="1233" t="s">
        <v>2812</v>
      </c>
      <c r="F168" s="1145"/>
      <c r="G168" s="1499"/>
      <c r="H168" s="1499" t="s">
        <v>2171</v>
      </c>
      <c r="I168" s="1501"/>
      <c r="J168" s="1500" t="s">
        <v>2442</v>
      </c>
      <c r="K168" s="1585"/>
      <c r="L168" s="1585"/>
      <c r="M168" s="1538"/>
      <c r="N168" s="1538"/>
      <c r="O168" s="1595"/>
      <c r="P168" s="1538"/>
      <c r="Q168" s="1538"/>
      <c r="S168" s="1500"/>
      <c r="T168" s="1500"/>
      <c r="U168" s="1500"/>
      <c r="V168" s="1500"/>
    </row>
    <row r="169" spans="1:22" s="1506" customFormat="1">
      <c r="A169"/>
      <c r="B169"/>
      <c r="C169"/>
      <c r="D169"/>
      <c r="E169" s="1233" t="s">
        <v>2812</v>
      </c>
      <c r="F169" s="1145"/>
      <c r="G169" s="1499"/>
      <c r="H169" s="1796"/>
      <c r="I169" s="1597"/>
      <c r="J169" s="1598"/>
      <c r="K169" s="1598"/>
      <c r="L169" s="1598"/>
      <c r="M169" s="1598"/>
      <c r="N169" s="1598"/>
      <c r="O169" s="1599"/>
      <c r="P169" s="1598"/>
      <c r="Q169" s="1600"/>
      <c r="S169" s="1500"/>
      <c r="T169" s="1500"/>
      <c r="U169" s="1500"/>
      <c r="V169" s="1500"/>
    </row>
    <row r="170" spans="1:22" s="1506" customFormat="1" ht="45">
      <c r="A170"/>
      <c r="B170"/>
      <c r="C170"/>
      <c r="D170"/>
      <c r="E170" s="1233" t="s">
        <v>2812</v>
      </c>
      <c r="F170" s="1145"/>
      <c r="G170" s="1498" t="s">
        <v>2931</v>
      </c>
      <c r="H170" s="1500"/>
      <c r="I170" s="1501" t="s">
        <v>2932</v>
      </c>
      <c r="J170" s="1500" t="s">
        <v>2949</v>
      </c>
      <c r="K170" s="1500"/>
      <c r="L170" s="1500"/>
      <c r="M170" s="1500"/>
      <c r="N170" s="1592" t="s">
        <v>2445</v>
      </c>
      <c r="O170" s="1593" t="s">
        <v>2444</v>
      </c>
      <c r="P170" s="1500"/>
      <c r="S170" s="1500"/>
      <c r="T170" s="1500"/>
      <c r="U170" s="1500"/>
      <c r="V170" s="1500"/>
    </row>
    <row r="171" spans="1:22" s="1506" customFormat="1">
      <c r="A171"/>
      <c r="B171"/>
      <c r="C171"/>
      <c r="D171"/>
      <c r="E171" s="1233" t="s">
        <v>2812</v>
      </c>
      <c r="F171" s="1145"/>
      <c r="G171" s="1500" t="s">
        <v>2950</v>
      </c>
      <c r="H171" s="1594" t="s">
        <v>2443</v>
      </c>
      <c r="I171" s="1501"/>
      <c r="K171" s="1500"/>
      <c r="L171" s="1500"/>
      <c r="M171" s="1500"/>
      <c r="N171" s="1500"/>
      <c r="O171" s="1593" t="s">
        <v>2445</v>
      </c>
      <c r="P171" s="1500"/>
      <c r="S171" s="1500"/>
      <c r="T171" s="1500"/>
      <c r="U171" s="1500"/>
      <c r="V171" s="1500"/>
    </row>
    <row r="172" spans="1:22" s="1506" customFormat="1">
      <c r="A172"/>
      <c r="B172"/>
      <c r="C172"/>
      <c r="D172"/>
      <c r="E172" s="1233" t="s">
        <v>2812</v>
      </c>
      <c r="F172" s="1145"/>
      <c r="G172" s="1499"/>
      <c r="H172" s="1499" t="s">
        <v>2168</v>
      </c>
      <c r="I172" s="1501"/>
      <c r="J172" s="1500"/>
      <c r="K172" s="1585"/>
      <c r="L172" s="1585"/>
      <c r="M172" s="1538"/>
      <c r="N172" s="1538"/>
      <c r="O172" s="1595"/>
      <c r="P172" s="1538"/>
      <c r="Q172" s="1538"/>
      <c r="S172" s="1500"/>
      <c r="T172" s="1500"/>
      <c r="U172" s="1500"/>
      <c r="V172" s="1500"/>
    </row>
    <row r="173" spans="1:22" s="1506" customFormat="1">
      <c r="A173"/>
      <c r="B173"/>
      <c r="C173"/>
      <c r="D173"/>
      <c r="E173" s="1233" t="s">
        <v>2812</v>
      </c>
      <c r="F173" s="1145"/>
      <c r="G173" s="1499"/>
      <c r="H173" s="1499" t="s">
        <v>2169</v>
      </c>
      <c r="I173" s="1501"/>
      <c r="J173" s="1500"/>
      <c r="K173" s="1585"/>
      <c r="L173" s="1585"/>
      <c r="M173" s="1538"/>
      <c r="N173" s="1538"/>
      <c r="O173" s="1595"/>
      <c r="P173" s="1538"/>
      <c r="Q173" s="1538"/>
      <c r="S173" s="1500"/>
      <c r="T173" s="1500"/>
      <c r="U173" s="1500"/>
      <c r="V173" s="1500"/>
    </row>
    <row r="174" spans="1:22" s="1506" customFormat="1">
      <c r="A174"/>
      <c r="B174"/>
      <c r="C174"/>
      <c r="D174"/>
      <c r="E174" s="1233" t="s">
        <v>2812</v>
      </c>
      <c r="F174" s="1145"/>
      <c r="G174" s="1499"/>
      <c r="H174" s="1499" t="s">
        <v>2170</v>
      </c>
      <c r="I174" s="1501"/>
      <c r="J174" s="1500"/>
      <c r="K174" s="1585"/>
      <c r="L174" s="1585"/>
      <c r="M174" s="1538"/>
      <c r="N174" s="1538"/>
      <c r="O174" s="1595"/>
      <c r="P174" s="1538"/>
      <c r="Q174" s="1538"/>
      <c r="S174" s="1500"/>
      <c r="T174" s="1500"/>
      <c r="U174" s="1500"/>
      <c r="V174" s="1500"/>
    </row>
    <row r="175" spans="1:22" s="1506" customFormat="1">
      <c r="A175"/>
      <c r="B175"/>
      <c r="C175"/>
      <c r="D175"/>
      <c r="E175" s="1233" t="s">
        <v>2812</v>
      </c>
      <c r="F175" s="1145"/>
      <c r="G175" s="1499"/>
      <c r="H175" s="1499" t="s">
        <v>2171</v>
      </c>
      <c r="I175" s="1501"/>
      <c r="J175" s="1500"/>
      <c r="K175" s="1585"/>
      <c r="L175" s="1585"/>
      <c r="M175" s="1538"/>
      <c r="N175" s="1538"/>
      <c r="O175" s="1595"/>
      <c r="P175" s="1538"/>
      <c r="Q175" s="1538"/>
      <c r="S175" s="1500"/>
      <c r="T175" s="1500"/>
      <c r="U175" s="1500"/>
      <c r="V175" s="1500"/>
    </row>
    <row r="176" spans="1:22" s="1506" customFormat="1">
      <c r="A176"/>
      <c r="B176"/>
      <c r="C176"/>
      <c r="D176"/>
      <c r="E176" s="1233" t="s">
        <v>2812</v>
      </c>
      <c r="F176" s="1145"/>
      <c r="G176" s="1499"/>
      <c r="H176" s="1499"/>
      <c r="I176" s="1501"/>
      <c r="J176" s="1500"/>
      <c r="K176"/>
      <c r="L176"/>
      <c r="M176"/>
      <c r="N176"/>
      <c r="O176"/>
      <c r="P176"/>
      <c r="Q176"/>
      <c r="R176"/>
      <c r="S176"/>
      <c r="T176"/>
      <c r="U176" s="1500"/>
      <c r="V176" s="1500"/>
    </row>
    <row r="177" spans="1:22" s="1506" customFormat="1">
      <c r="A177"/>
      <c r="B177"/>
      <c r="C177"/>
      <c r="D177"/>
      <c r="E177" s="1233" t="s">
        <v>2812</v>
      </c>
      <c r="F177" s="1145"/>
      <c r="G177" s="1500" t="s">
        <v>2951</v>
      </c>
      <c r="H177" s="1594" t="s">
        <v>2446</v>
      </c>
      <c r="I177" s="1501"/>
      <c r="J177" s="1500"/>
      <c r="K177" s="1500"/>
      <c r="L177" s="1500"/>
      <c r="M177" s="1500"/>
      <c r="N177" s="1500"/>
      <c r="O177" s="1503"/>
      <c r="P177" s="1500"/>
      <c r="S177" s="1500"/>
      <c r="T177" s="1500"/>
      <c r="U177" s="1500"/>
      <c r="V177" s="1500"/>
    </row>
    <row r="178" spans="1:22" s="1506" customFormat="1">
      <c r="A178"/>
      <c r="B178"/>
      <c r="C178"/>
      <c r="D178"/>
      <c r="E178" s="1233" t="s">
        <v>2812</v>
      </c>
      <c r="F178" s="1145"/>
      <c r="G178" s="1499"/>
      <c r="H178" s="1499" t="s">
        <v>2168</v>
      </c>
      <c r="I178" s="1501"/>
      <c r="J178" s="1500" t="s">
        <v>3015</v>
      </c>
      <c r="K178" s="1585"/>
      <c r="L178" s="1585"/>
      <c r="M178" s="1538"/>
      <c r="N178" s="1538"/>
      <c r="O178" s="1595"/>
      <c r="P178" s="1538"/>
      <c r="Q178" s="1538"/>
      <c r="S178" s="1500"/>
      <c r="T178" s="1500"/>
      <c r="U178" s="1500"/>
      <c r="V178" s="1500"/>
    </row>
    <row r="179" spans="1:22" s="1506" customFormat="1">
      <c r="A179"/>
      <c r="B179"/>
      <c r="C179"/>
      <c r="D179"/>
      <c r="E179" s="1233" t="s">
        <v>2812</v>
      </c>
      <c r="F179" s="1145"/>
      <c r="G179" s="1499"/>
      <c r="H179" s="1499" t="s">
        <v>2169</v>
      </c>
      <c r="I179" s="1501"/>
      <c r="J179" s="1500" t="s">
        <v>3015</v>
      </c>
      <c r="K179" s="1585"/>
      <c r="L179" s="1585"/>
      <c r="M179" s="1538"/>
      <c r="N179" s="1538"/>
      <c r="O179" s="1595"/>
      <c r="P179" s="1538"/>
      <c r="Q179" s="1538"/>
      <c r="S179" s="1500"/>
      <c r="T179" s="1500"/>
      <c r="U179" s="1500"/>
      <c r="V179" s="1500"/>
    </row>
    <row r="180" spans="1:22" s="1506" customFormat="1">
      <c r="A180"/>
      <c r="B180"/>
      <c r="C180"/>
      <c r="D180"/>
      <c r="E180" s="1233" t="s">
        <v>2812</v>
      </c>
      <c r="F180" s="1145"/>
      <c r="G180" s="1499"/>
      <c r="H180" s="1499" t="s">
        <v>2170</v>
      </c>
      <c r="I180" s="1501"/>
      <c r="J180" s="1500" t="s">
        <v>3015</v>
      </c>
      <c r="K180" s="1585"/>
      <c r="L180" s="1585"/>
      <c r="M180" s="1538"/>
      <c r="N180" s="1538"/>
      <c r="O180" s="1595"/>
      <c r="P180" s="1538"/>
      <c r="Q180" s="1538"/>
      <c r="S180" s="1500"/>
      <c r="T180" s="1500"/>
      <c r="U180" s="1500"/>
      <c r="V180" s="1500"/>
    </row>
    <row r="181" spans="1:22" s="1506" customFormat="1" ht="16.5" thickBot="1">
      <c r="A181"/>
      <c r="B181"/>
      <c r="C181"/>
      <c r="D181"/>
      <c r="E181" s="1233" t="s">
        <v>2812</v>
      </c>
      <c r="F181" s="1145"/>
      <c r="G181" s="1601"/>
      <c r="H181" s="1601" t="s">
        <v>2171</v>
      </c>
      <c r="I181" s="1602"/>
      <c r="J181" s="1603" t="s">
        <v>3015</v>
      </c>
      <c r="K181" s="1710"/>
      <c r="L181" s="1710"/>
      <c r="M181" s="1604"/>
      <c r="N181" s="1604"/>
      <c r="O181" s="1605"/>
      <c r="P181" s="1604"/>
      <c r="Q181" s="1604"/>
      <c r="S181" s="1500"/>
      <c r="T181" s="1500"/>
      <c r="U181" s="1500"/>
      <c r="V181" s="1500"/>
    </row>
    <row r="182" spans="1:22">
      <c r="A182"/>
      <c r="B182"/>
      <c r="C182"/>
      <c r="D182"/>
      <c r="E182" s="1233" t="s">
        <v>2812</v>
      </c>
      <c r="F182" s="1145"/>
    </row>
    <row r="183" spans="1:22" s="1506" customFormat="1">
      <c r="A183"/>
      <c r="B183"/>
      <c r="C183"/>
      <c r="D183"/>
      <c r="E183" s="1233" t="s">
        <v>2812</v>
      </c>
      <c r="F183" s="1145"/>
      <c r="G183" s="1519" t="s">
        <v>2952</v>
      </c>
      <c r="H183" s="1519"/>
      <c r="I183" s="1608"/>
      <c r="J183" s="1589"/>
      <c r="K183" s="1589" t="s">
        <v>2662</v>
      </c>
      <c r="L183" s="1589" t="s">
        <v>2432</v>
      </c>
      <c r="M183" s="1589" t="str">
        <f>M97</f>
        <v>Year 1</v>
      </c>
      <c r="N183" s="1589" t="str">
        <f>N97</f>
        <v>Year 2</v>
      </c>
      <c r="O183" s="1590" t="str">
        <f>O97</f>
        <v>Year 3</v>
      </c>
      <c r="P183" s="1589" t="str">
        <f>P97</f>
        <v>Year 4</v>
      </c>
      <c r="Q183" s="1589" t="str">
        <f>Q97</f>
        <v>Year 5</v>
      </c>
      <c r="S183" s="1500"/>
      <c r="T183" s="1500"/>
      <c r="U183" s="1500"/>
      <c r="V183" s="1500"/>
    </row>
    <row r="184" spans="1:22" s="1506" customFormat="1">
      <c r="A184"/>
      <c r="B184"/>
      <c r="C184"/>
      <c r="D184"/>
      <c r="E184" s="1233" t="s">
        <v>2812</v>
      </c>
      <c r="F184" s="1145"/>
      <c r="G184" s="1583"/>
      <c r="H184" s="1583"/>
      <c r="I184" s="1583"/>
      <c r="J184" s="1498"/>
      <c r="K184" s="1498"/>
      <c r="L184" s="1498"/>
      <c r="M184" s="1498"/>
      <c r="N184" s="1498"/>
      <c r="O184" s="1591"/>
      <c r="P184" s="1498"/>
      <c r="Q184" s="1498"/>
      <c r="S184" s="1500"/>
      <c r="T184" s="1500"/>
      <c r="U184" s="1500"/>
      <c r="V184" s="1500"/>
    </row>
    <row r="185" spans="1:22" s="1506" customFormat="1">
      <c r="A185"/>
      <c r="B185"/>
      <c r="C185"/>
      <c r="D185"/>
      <c r="E185" s="1233" t="s">
        <v>2812</v>
      </c>
      <c r="F185" s="1145"/>
      <c r="G185" s="1583" t="s">
        <v>2953</v>
      </c>
      <c r="H185" s="1609" t="s">
        <v>2954</v>
      </c>
      <c r="I185" s="1609"/>
      <c r="J185" s="1498"/>
      <c r="K185" s="1498"/>
      <c r="L185" s="1498"/>
      <c r="M185" s="1498"/>
      <c r="N185" s="1498"/>
      <c r="O185" s="1591"/>
      <c r="P185" s="1498"/>
      <c r="Q185" s="1498"/>
      <c r="S185" s="1500"/>
      <c r="T185" s="1500"/>
      <c r="U185" s="1500"/>
      <c r="V185" s="1500"/>
    </row>
    <row r="186" spans="1:22" s="1506" customFormat="1">
      <c r="A186"/>
      <c r="B186"/>
      <c r="C186"/>
      <c r="D186"/>
      <c r="E186" s="1233" t="s">
        <v>2812</v>
      </c>
      <c r="F186" s="1145"/>
      <c r="G186" s="1583"/>
      <c r="H186" s="1583"/>
      <c r="I186" s="1501" t="s">
        <v>2955</v>
      </c>
      <c r="J186" s="1500" t="s">
        <v>2956</v>
      </c>
      <c r="K186" s="1498"/>
      <c r="L186" s="1498"/>
      <c r="M186" s="1498"/>
      <c r="N186" s="1592" t="s">
        <v>2957</v>
      </c>
      <c r="O186" s="1500" t="s">
        <v>2958</v>
      </c>
      <c r="P186" s="1498"/>
      <c r="Q186" s="1498"/>
      <c r="S186" s="1500"/>
      <c r="T186" s="1500"/>
      <c r="U186" s="1500"/>
      <c r="V186" s="1500"/>
    </row>
    <row r="187" spans="1:22" s="1506" customFormat="1">
      <c r="A187"/>
      <c r="B187"/>
      <c r="C187"/>
      <c r="D187"/>
      <c r="E187" s="1233" t="s">
        <v>2812</v>
      </c>
      <c r="F187" s="1145"/>
      <c r="H187" s="1583"/>
      <c r="I187" s="1583"/>
      <c r="J187" s="1498"/>
      <c r="K187" s="1498"/>
      <c r="L187" s="1498"/>
      <c r="M187" s="1498"/>
      <c r="O187" s="1500" t="s">
        <v>2959</v>
      </c>
      <c r="P187" s="1498"/>
      <c r="Q187" s="1498"/>
      <c r="S187" s="1500"/>
      <c r="T187" s="1500"/>
      <c r="U187" s="1500"/>
      <c r="V187" s="1500"/>
    </row>
    <row r="188" spans="1:22" s="1506" customFormat="1">
      <c r="A188"/>
      <c r="B188"/>
      <c r="C188"/>
      <c r="D188"/>
      <c r="E188" s="1233" t="s">
        <v>2812</v>
      </c>
      <c r="F188" s="1145"/>
      <c r="G188" s="1506" t="s">
        <v>2960</v>
      </c>
      <c r="H188" s="1594" t="s">
        <v>1831</v>
      </c>
      <c r="I188" s="1501"/>
      <c r="J188" s="1500"/>
      <c r="K188" s="1500"/>
      <c r="L188" s="1500"/>
      <c r="M188" s="1500"/>
      <c r="N188" s="1500"/>
      <c r="O188" s="1503"/>
      <c r="P188" s="1500"/>
      <c r="S188" s="1500"/>
      <c r="T188" s="1500"/>
      <c r="U188" s="1500"/>
      <c r="V188" s="1500"/>
    </row>
    <row r="189" spans="1:22" s="1506" customFormat="1">
      <c r="A189"/>
      <c r="B189"/>
      <c r="C189"/>
      <c r="D189"/>
      <c r="E189" s="1233" t="s">
        <v>2812</v>
      </c>
      <c r="F189" s="1145"/>
      <c r="H189" s="1499" t="s">
        <v>2327</v>
      </c>
      <c r="I189" s="1501"/>
      <c r="J189" s="1500" t="s">
        <v>3016</v>
      </c>
      <c r="K189" s="1585"/>
      <c r="L189" s="1585"/>
      <c r="M189" s="1538"/>
      <c r="N189" s="1538"/>
      <c r="O189" s="1595"/>
      <c r="P189" s="1538"/>
      <c r="Q189" s="1538"/>
      <c r="S189" s="1500"/>
      <c r="T189" s="1500"/>
      <c r="U189" s="1500"/>
      <c r="V189" s="1500"/>
    </row>
    <row r="190" spans="1:22" s="1506" customFormat="1">
      <c r="A190"/>
      <c r="B190"/>
      <c r="C190"/>
      <c r="D190"/>
      <c r="E190" s="1233" t="s">
        <v>2812</v>
      </c>
      <c r="F190" s="1145"/>
      <c r="H190" s="1499" t="s">
        <v>2328</v>
      </c>
      <c r="I190" s="1501"/>
      <c r="J190" s="1500" t="s">
        <v>3016</v>
      </c>
      <c r="K190" s="1585"/>
      <c r="L190" s="1585"/>
      <c r="M190" s="1538"/>
      <c r="N190" s="1538"/>
      <c r="O190" s="1595"/>
      <c r="P190" s="1538"/>
      <c r="Q190" s="1538"/>
      <c r="S190" s="1500"/>
      <c r="T190" s="1500"/>
      <c r="U190" s="1500"/>
      <c r="V190" s="1500"/>
    </row>
    <row r="191" spans="1:22" s="1506" customFormat="1">
      <c r="A191"/>
      <c r="B191"/>
      <c r="C191"/>
      <c r="D191"/>
      <c r="E191" s="1233" t="s">
        <v>2812</v>
      </c>
      <c r="F191" s="1145"/>
      <c r="H191" s="1499" t="s">
        <v>2329</v>
      </c>
      <c r="I191" s="1501"/>
      <c r="J191" s="1500" t="s">
        <v>3016</v>
      </c>
      <c r="K191" s="1585"/>
      <c r="L191" s="1585"/>
      <c r="M191" s="1538"/>
      <c r="N191" s="1538"/>
      <c r="O191" s="1595"/>
      <c r="P191" s="1538"/>
      <c r="Q191" s="1538"/>
      <c r="S191" s="1500"/>
      <c r="T191" s="1500"/>
      <c r="U191" s="1500"/>
      <c r="V191" s="1500"/>
    </row>
    <row r="192" spans="1:22" s="1506" customFormat="1">
      <c r="A192"/>
      <c r="B192"/>
      <c r="C192"/>
      <c r="D192"/>
      <c r="E192" s="1233" t="s">
        <v>2812</v>
      </c>
      <c r="F192" s="1145"/>
      <c r="H192" s="1499" t="s">
        <v>2330</v>
      </c>
      <c r="I192" s="1501"/>
      <c r="J192" s="1500" t="s">
        <v>3016</v>
      </c>
      <c r="K192" s="1585"/>
      <c r="L192" s="1585"/>
      <c r="M192" s="1538"/>
      <c r="N192" s="1538"/>
      <c r="O192" s="1595"/>
      <c r="P192" s="1538"/>
      <c r="Q192" s="1538"/>
      <c r="S192" s="1500"/>
      <c r="T192" s="1500"/>
      <c r="U192" s="1500"/>
      <c r="V192" s="1500"/>
    </row>
    <row r="193" spans="1:22" s="1506" customFormat="1">
      <c r="A193"/>
      <c r="B193"/>
      <c r="C193"/>
      <c r="D193"/>
      <c r="E193" s="1233" t="s">
        <v>2812</v>
      </c>
      <c r="F193" s="1145"/>
      <c r="G193" s="1499"/>
      <c r="H193" s="1500"/>
      <c r="I193" s="1501"/>
      <c r="J193" s="1500"/>
      <c r="K193" s="1500"/>
      <c r="L193" s="1500"/>
      <c r="M193" s="1500"/>
      <c r="N193" s="1500"/>
      <c r="O193" s="1503"/>
      <c r="P193" s="1500"/>
      <c r="S193" s="1500"/>
      <c r="T193" s="1500"/>
      <c r="U193" s="1500"/>
      <c r="V193" s="1500"/>
    </row>
    <row r="194" spans="1:22" s="1506" customFormat="1">
      <c r="A194"/>
      <c r="B194"/>
      <c r="C194"/>
      <c r="D194"/>
      <c r="E194" s="1233" t="s">
        <v>2812</v>
      </c>
      <c r="F194" s="1145"/>
      <c r="G194" s="1506" t="s">
        <v>2961</v>
      </c>
      <c r="H194" s="1499" t="s">
        <v>2338</v>
      </c>
      <c r="J194" s="1500"/>
      <c r="K194" s="1712"/>
      <c r="L194" s="1712"/>
      <c r="M194" s="1538"/>
      <c r="N194" s="1538"/>
      <c r="O194" s="1595"/>
      <c r="P194" s="1538"/>
      <c r="Q194" s="1538"/>
      <c r="S194" s="1500"/>
      <c r="T194" s="1500"/>
      <c r="U194" s="1500"/>
      <c r="V194" s="1500"/>
    </row>
    <row r="195" spans="1:22" s="1506" customFormat="1">
      <c r="A195"/>
      <c r="B195"/>
      <c r="C195"/>
      <c r="D195"/>
      <c r="E195" s="1233" t="s">
        <v>2812</v>
      </c>
      <c r="F195" s="1145"/>
      <c r="H195" s="1610" t="s">
        <v>2339</v>
      </c>
      <c r="K195" s="1712"/>
      <c r="L195" s="1712"/>
      <c r="M195" s="1538"/>
      <c r="N195" s="1538"/>
      <c r="O195" s="1595"/>
      <c r="P195" s="1538"/>
      <c r="Q195" s="1538"/>
      <c r="S195" s="1500"/>
      <c r="T195" s="1500"/>
      <c r="U195" s="1500"/>
      <c r="V195" s="1500"/>
    </row>
    <row r="196" spans="1:22" s="1506" customFormat="1">
      <c r="A196"/>
      <c r="B196"/>
      <c r="C196"/>
      <c r="D196"/>
      <c r="E196" s="1233" t="s">
        <v>2812</v>
      </c>
      <c r="F196" s="1145"/>
      <c r="H196" s="1610" t="s">
        <v>2340</v>
      </c>
      <c r="J196" s="1500"/>
      <c r="K196" s="1712"/>
      <c r="L196" s="1712"/>
      <c r="M196" s="1538"/>
      <c r="N196" s="1538"/>
      <c r="O196" s="1595"/>
      <c r="P196" s="1538"/>
      <c r="Q196" s="1538"/>
      <c r="S196" s="1500"/>
      <c r="T196" s="1500"/>
      <c r="U196" s="1500"/>
      <c r="V196" s="1500"/>
    </row>
    <row r="197" spans="1:22" s="1506" customFormat="1">
      <c r="A197"/>
      <c r="B197"/>
      <c r="C197"/>
      <c r="D197"/>
      <c r="E197" s="1233" t="s">
        <v>2812</v>
      </c>
      <c r="F197" s="1145"/>
      <c r="H197" s="1610" t="s">
        <v>2341</v>
      </c>
      <c r="J197" s="1500"/>
      <c r="K197" s="1712"/>
      <c r="L197" s="1712"/>
      <c r="M197" s="1538"/>
      <c r="N197" s="1538"/>
      <c r="O197" s="1595"/>
      <c r="P197" s="1538"/>
      <c r="Q197" s="1538"/>
      <c r="S197" s="1500"/>
      <c r="T197" s="1500"/>
      <c r="U197" s="1500"/>
      <c r="V197" s="1500"/>
    </row>
    <row r="198" spans="1:22" s="1506" customFormat="1">
      <c r="A198"/>
      <c r="B198"/>
      <c r="C198"/>
      <c r="D198"/>
      <c r="E198" s="1233" t="s">
        <v>2812</v>
      </c>
      <c r="F198" s="1145"/>
      <c r="H198" s="1610" t="s">
        <v>2341</v>
      </c>
      <c r="J198" s="1500"/>
      <c r="K198" s="1712"/>
      <c r="L198" s="1712"/>
      <c r="M198" s="1538"/>
      <c r="N198" s="1538"/>
      <c r="O198" s="1595"/>
      <c r="P198" s="1538"/>
      <c r="Q198" s="1538"/>
      <c r="S198" s="1500"/>
      <c r="T198" s="1500"/>
      <c r="U198" s="1500"/>
      <c r="V198" s="1500"/>
    </row>
    <row r="199" spans="1:22" customFormat="1">
      <c r="E199" s="1233" t="s">
        <v>2812</v>
      </c>
      <c r="F199" s="1145"/>
    </row>
    <row r="200" spans="1:22" s="1506" customFormat="1">
      <c r="A200"/>
      <c r="B200"/>
      <c r="C200"/>
      <c r="D200"/>
      <c r="E200" s="1233" t="s">
        <v>2812</v>
      </c>
      <c r="F200" s="1145"/>
      <c r="G200" s="1606" t="s">
        <v>2962</v>
      </c>
      <c r="H200" s="1609" t="s">
        <v>2963</v>
      </c>
      <c r="I200" s="1609"/>
      <c r="J200" s="1500"/>
      <c r="K200" s="1500"/>
      <c r="L200" s="1500"/>
      <c r="M200" s="1611"/>
      <c r="N200" s="1611"/>
      <c r="O200" s="1612"/>
      <c r="P200" s="1611"/>
      <c r="Q200" s="1611"/>
      <c r="S200" s="1500"/>
      <c r="T200" s="1500"/>
      <c r="U200" s="1500"/>
      <c r="V200" s="1500"/>
    </row>
    <row r="201" spans="1:22" s="1506" customFormat="1">
      <c r="A201"/>
      <c r="B201"/>
      <c r="C201"/>
      <c r="D201"/>
      <c r="E201" s="1233" t="s">
        <v>2812</v>
      </c>
      <c r="F201" s="1145"/>
      <c r="G201" s="1583"/>
      <c r="H201" s="1583"/>
      <c r="I201" s="1501" t="s">
        <v>2955</v>
      </c>
      <c r="J201" s="1500" t="s">
        <v>2964</v>
      </c>
      <c r="K201" s="1498"/>
      <c r="L201" s="1498"/>
      <c r="M201" s="1498"/>
      <c r="N201" s="1592" t="s">
        <v>2965</v>
      </c>
      <c r="O201" s="1500" t="s">
        <v>2966</v>
      </c>
      <c r="P201" s="1498"/>
      <c r="Q201" s="1498"/>
      <c r="S201" s="1500"/>
      <c r="T201" s="1500"/>
      <c r="U201" s="1500"/>
      <c r="V201" s="1500"/>
    </row>
    <row r="202" spans="1:22" s="1506" customFormat="1">
      <c r="A202"/>
      <c r="B202"/>
      <c r="C202"/>
      <c r="D202"/>
      <c r="E202" s="1233" t="s">
        <v>2812</v>
      </c>
      <c r="F202" s="1145"/>
      <c r="H202" s="1583"/>
      <c r="I202" s="1583"/>
      <c r="J202" s="1498"/>
      <c r="K202" s="1498"/>
      <c r="L202" s="1498"/>
      <c r="M202" s="1498"/>
      <c r="O202" s="1500" t="s">
        <v>2965</v>
      </c>
      <c r="P202" s="1498"/>
      <c r="Q202" s="1498"/>
      <c r="S202" s="1500"/>
      <c r="T202" s="1500"/>
      <c r="U202" s="1500"/>
      <c r="V202" s="1500"/>
    </row>
    <row r="203" spans="1:22" s="1506" customFormat="1">
      <c r="A203"/>
      <c r="B203"/>
      <c r="C203"/>
      <c r="D203"/>
      <c r="E203" s="1233" t="s">
        <v>2812</v>
      </c>
      <c r="F203" s="1145"/>
      <c r="G203" s="1506" t="s">
        <v>2967</v>
      </c>
      <c r="H203" s="1594" t="s">
        <v>1844</v>
      </c>
      <c r="J203" s="1500"/>
      <c r="K203" s="1500"/>
      <c r="L203" s="1500"/>
      <c r="M203" s="1500"/>
      <c r="N203" s="1500"/>
      <c r="O203" s="1503"/>
      <c r="P203" s="1500"/>
      <c r="S203" s="1500"/>
      <c r="T203" s="1500"/>
      <c r="U203" s="1500"/>
      <c r="V203" s="1500"/>
    </row>
    <row r="204" spans="1:22" s="1506" customFormat="1">
      <c r="A204"/>
      <c r="B204"/>
      <c r="C204"/>
      <c r="D204"/>
      <c r="E204" s="1233" t="s">
        <v>2812</v>
      </c>
      <c r="F204" s="1145"/>
      <c r="H204" s="1499" t="s">
        <v>2168</v>
      </c>
      <c r="J204" s="1500" t="s">
        <v>3016</v>
      </c>
      <c r="K204" s="1585"/>
      <c r="L204" s="1585"/>
      <c r="M204" s="1538"/>
      <c r="N204" s="1538"/>
      <c r="O204" s="1595"/>
      <c r="P204" s="1538"/>
      <c r="Q204" s="1538"/>
      <c r="S204" s="1500"/>
      <c r="T204" s="1500"/>
      <c r="U204" s="1500"/>
      <c r="V204" s="1500"/>
    </row>
    <row r="205" spans="1:22" s="1506" customFormat="1">
      <c r="A205"/>
      <c r="B205"/>
      <c r="C205"/>
      <c r="D205"/>
      <c r="E205" s="1233" t="s">
        <v>2812</v>
      </c>
      <c r="F205" s="1145"/>
      <c r="H205" s="1499" t="s">
        <v>2169</v>
      </c>
      <c r="J205" s="1500" t="s">
        <v>3016</v>
      </c>
      <c r="K205" s="1585"/>
      <c r="L205" s="1585"/>
      <c r="M205" s="1538"/>
      <c r="N205" s="1538"/>
      <c r="O205" s="1595"/>
      <c r="P205" s="1538"/>
      <c r="Q205" s="1538"/>
      <c r="S205" s="1500"/>
      <c r="T205" s="1500"/>
      <c r="U205" s="1500"/>
      <c r="V205" s="1500"/>
    </row>
    <row r="206" spans="1:22" s="1506" customFormat="1">
      <c r="A206"/>
      <c r="B206"/>
      <c r="C206"/>
      <c r="D206"/>
      <c r="E206" s="1233" t="s">
        <v>2812</v>
      </c>
      <c r="F206" s="1145"/>
      <c r="H206" s="1499" t="s">
        <v>2170</v>
      </c>
      <c r="J206" s="1500" t="s">
        <v>3016</v>
      </c>
      <c r="K206" s="1585"/>
      <c r="L206" s="1585"/>
      <c r="M206" s="1538"/>
      <c r="N206" s="1538"/>
      <c r="O206" s="1595"/>
      <c r="P206" s="1538"/>
      <c r="Q206" s="1538"/>
      <c r="S206" s="1500"/>
      <c r="T206" s="1500"/>
      <c r="U206" s="1500"/>
      <c r="V206" s="1500"/>
    </row>
    <row r="207" spans="1:22" s="1506" customFormat="1">
      <c r="A207"/>
      <c r="B207"/>
      <c r="C207"/>
      <c r="D207"/>
      <c r="E207" s="1233" t="s">
        <v>2812</v>
      </c>
      <c r="F207" s="1145"/>
      <c r="H207" s="1499" t="s">
        <v>2171</v>
      </c>
      <c r="J207" s="1500" t="s">
        <v>3016</v>
      </c>
      <c r="K207" s="1585"/>
      <c r="L207" s="1585"/>
      <c r="M207" s="1538"/>
      <c r="N207" s="1538"/>
      <c r="O207" s="1595"/>
      <c r="P207" s="1538"/>
      <c r="Q207" s="1538"/>
      <c r="S207" s="1500"/>
      <c r="T207" s="1500"/>
      <c r="U207" s="1500"/>
      <c r="V207" s="1500"/>
    </row>
    <row r="208" spans="1:22" s="1506" customFormat="1">
      <c r="A208"/>
      <c r="B208"/>
      <c r="C208"/>
      <c r="D208"/>
      <c r="E208" s="1233" t="s">
        <v>2812</v>
      </c>
      <c r="F208" s="1145"/>
      <c r="H208" s="1499"/>
      <c r="J208" s="1500"/>
      <c r="K208" s="1500"/>
      <c r="L208" s="1500"/>
      <c r="M208" s="1500"/>
      <c r="N208" s="1500"/>
      <c r="O208" s="1503"/>
      <c r="P208" s="1500"/>
      <c r="S208" s="1500"/>
      <c r="T208" s="1500"/>
      <c r="U208" s="1500"/>
      <c r="V208" s="1500"/>
    </row>
    <row r="209" spans="1:22" s="1506" customFormat="1">
      <c r="A209"/>
      <c r="B209"/>
      <c r="C209"/>
      <c r="D209"/>
      <c r="E209" s="1233" t="s">
        <v>2812</v>
      </c>
      <c r="F209" s="1145"/>
      <c r="G209" s="1506" t="s">
        <v>2968</v>
      </c>
      <c r="H209" s="1499" t="s">
        <v>2343</v>
      </c>
      <c r="J209" s="1500"/>
      <c r="K209" s="1585"/>
      <c r="L209" s="1585"/>
      <c r="M209" s="1538"/>
      <c r="N209" s="1538"/>
      <c r="O209" s="1595"/>
      <c r="P209" s="1538"/>
      <c r="Q209" s="1538"/>
      <c r="S209" s="1500"/>
      <c r="T209" s="1500"/>
      <c r="U209" s="1500"/>
      <c r="V209" s="1500"/>
    </row>
    <row r="210" spans="1:22" s="1506" customFormat="1">
      <c r="A210"/>
      <c r="B210"/>
      <c r="C210"/>
      <c r="D210"/>
      <c r="E210" s="1233" t="s">
        <v>2812</v>
      </c>
      <c r="F210" s="1145"/>
      <c r="H210" s="1610" t="s">
        <v>2344</v>
      </c>
      <c r="I210" s="1610"/>
      <c r="J210" s="1500"/>
      <c r="K210" s="1585"/>
      <c r="L210" s="1585"/>
      <c r="M210" s="1538"/>
      <c r="N210" s="1538"/>
      <c r="O210" s="1595"/>
      <c r="P210" s="1538"/>
      <c r="Q210" s="1538"/>
      <c r="S210" s="1500"/>
      <c r="T210" s="1500"/>
      <c r="U210" s="1500"/>
      <c r="V210" s="1500"/>
    </row>
    <row r="211" spans="1:22" s="1506" customFormat="1">
      <c r="A211"/>
      <c r="B211"/>
      <c r="C211"/>
      <c r="D211"/>
      <c r="E211" s="1233" t="s">
        <v>2812</v>
      </c>
      <c r="F211" s="1145"/>
      <c r="H211" s="1610" t="s">
        <v>2345</v>
      </c>
      <c r="I211" s="1610"/>
      <c r="J211" s="1500"/>
      <c r="K211" s="1585"/>
      <c r="L211" s="1585"/>
      <c r="M211" s="1538"/>
      <c r="N211" s="1538"/>
      <c r="O211" s="1595"/>
      <c r="P211" s="1538"/>
      <c r="Q211" s="1538"/>
      <c r="S211" s="1500"/>
      <c r="T211" s="1500"/>
      <c r="U211" s="1500"/>
      <c r="V211" s="1500"/>
    </row>
    <row r="212" spans="1:22" s="1506" customFormat="1">
      <c r="A212"/>
      <c r="B212"/>
      <c r="C212"/>
      <c r="D212"/>
      <c r="E212" s="1233" t="s">
        <v>2812</v>
      </c>
      <c r="F212" s="1145"/>
      <c r="H212" s="1610" t="s">
        <v>2346</v>
      </c>
      <c r="I212" s="1610"/>
      <c r="J212" s="1500"/>
      <c r="K212" s="1585"/>
      <c r="L212" s="1585"/>
      <c r="M212" s="1538"/>
      <c r="N212" s="1538"/>
      <c r="O212" s="1595"/>
      <c r="P212" s="1538"/>
      <c r="Q212" s="1538"/>
      <c r="S212" s="1500"/>
      <c r="T212" s="1500"/>
      <c r="U212" s="1500"/>
      <c r="V212" s="1500"/>
    </row>
    <row r="213" spans="1:22" s="1506" customFormat="1">
      <c r="A213"/>
      <c r="B213"/>
      <c r="C213"/>
      <c r="D213"/>
      <c r="E213" s="1233" t="s">
        <v>2812</v>
      </c>
      <c r="F213" s="1145"/>
      <c r="H213" s="1610" t="s">
        <v>2347</v>
      </c>
      <c r="I213" s="1610"/>
      <c r="J213" s="1500"/>
      <c r="K213" s="1585"/>
      <c r="L213" s="1585"/>
      <c r="M213" s="1538"/>
      <c r="N213" s="1538"/>
      <c r="O213" s="1595"/>
      <c r="P213" s="1538"/>
      <c r="Q213" s="1538"/>
      <c r="S213" s="1500"/>
      <c r="T213" s="1500"/>
      <c r="U213" s="1500"/>
      <c r="V213" s="1500"/>
    </row>
    <row r="214" spans="1:22" s="1506" customFormat="1">
      <c r="A214"/>
      <c r="B214"/>
      <c r="C214"/>
      <c r="D214"/>
      <c r="E214" s="1233" t="s">
        <v>2812</v>
      </c>
      <c r="F214" s="1145"/>
      <c r="H214" s="1500"/>
      <c r="I214" s="1610"/>
      <c r="J214" s="1500"/>
      <c r="K214" s="1585"/>
      <c r="L214" s="1585"/>
      <c r="M214" s="1538"/>
      <c r="N214" s="1538"/>
      <c r="O214" s="1595"/>
      <c r="P214" s="1538"/>
      <c r="Q214" s="1538"/>
      <c r="S214" s="1500"/>
      <c r="T214" s="1500"/>
      <c r="U214" s="1500"/>
      <c r="V214" s="1500"/>
    </row>
    <row r="215" spans="1:22" s="1506" customFormat="1">
      <c r="A215"/>
      <c r="B215"/>
      <c r="C215"/>
      <c r="D215"/>
      <c r="E215" s="1233" t="s">
        <v>2812</v>
      </c>
      <c r="F215" s="1145"/>
      <c r="G215" s="1606" t="s">
        <v>2969</v>
      </c>
      <c r="H215" s="1609" t="s">
        <v>2822</v>
      </c>
      <c r="I215" s="1609"/>
      <c r="J215" s="1500"/>
      <c r="K215" s="1500"/>
      <c r="L215" s="1500"/>
      <c r="M215" s="1500"/>
      <c r="N215" s="1500"/>
      <c r="O215" s="1503"/>
      <c r="P215" s="1500"/>
      <c r="S215" s="1500"/>
      <c r="T215" s="1500"/>
      <c r="U215" s="1500"/>
      <c r="V215" s="1500"/>
    </row>
    <row r="216" spans="1:22" s="1506" customFormat="1">
      <c r="A216"/>
      <c r="B216"/>
      <c r="C216"/>
      <c r="D216"/>
      <c r="E216" s="1233" t="s">
        <v>2812</v>
      </c>
      <c r="F216" s="1145"/>
      <c r="G216" s="1583"/>
      <c r="H216" s="1583"/>
      <c r="I216" s="1501" t="s">
        <v>2955</v>
      </c>
      <c r="J216" s="1500" t="s">
        <v>2970</v>
      </c>
      <c r="K216" s="1498"/>
      <c r="L216" s="1498"/>
      <c r="M216" s="1498"/>
      <c r="N216" s="1592" t="s">
        <v>2971</v>
      </c>
      <c r="O216" s="1500" t="s">
        <v>2972</v>
      </c>
      <c r="P216" s="1498"/>
      <c r="Q216" s="1498"/>
      <c r="S216" s="1500"/>
      <c r="T216" s="1500"/>
      <c r="U216" s="1500"/>
      <c r="V216" s="1500"/>
    </row>
    <row r="217" spans="1:22" s="1506" customFormat="1">
      <c r="A217"/>
      <c r="B217"/>
      <c r="C217"/>
      <c r="D217"/>
      <c r="E217" s="1233" t="s">
        <v>2812</v>
      </c>
      <c r="F217" s="1145"/>
      <c r="H217" s="1583"/>
      <c r="I217" s="1583"/>
      <c r="J217" s="1498"/>
      <c r="K217" s="1498"/>
      <c r="L217" s="1498"/>
      <c r="M217" s="1498"/>
      <c r="O217" s="1500" t="s">
        <v>2971</v>
      </c>
      <c r="P217" s="1498"/>
      <c r="Q217" s="1498"/>
      <c r="S217" s="1500"/>
      <c r="T217" s="1500"/>
      <c r="U217" s="1500"/>
      <c r="V217" s="1500"/>
    </row>
    <row r="218" spans="1:22" s="1506" customFormat="1">
      <c r="A218"/>
      <c r="B218"/>
      <c r="C218"/>
      <c r="D218"/>
      <c r="E218" s="1233" t="s">
        <v>2812</v>
      </c>
      <c r="F218" s="1145"/>
      <c r="G218" s="1506" t="s">
        <v>2973</v>
      </c>
      <c r="H218" s="1594" t="s">
        <v>1845</v>
      </c>
      <c r="J218" s="1500"/>
      <c r="K218" s="1500"/>
      <c r="L218" s="1500"/>
      <c r="M218" s="1500"/>
      <c r="N218" s="1500"/>
      <c r="O218" s="1503"/>
      <c r="P218" s="1500"/>
      <c r="S218" s="1500"/>
      <c r="T218" s="1500"/>
      <c r="U218" s="1500"/>
      <c r="V218" s="1500"/>
    </row>
    <row r="219" spans="1:22" s="1506" customFormat="1">
      <c r="A219"/>
      <c r="B219"/>
      <c r="C219"/>
      <c r="D219"/>
      <c r="E219" s="1233" t="s">
        <v>2812</v>
      </c>
      <c r="F219" s="1145"/>
      <c r="H219" s="1499" t="s">
        <v>2331</v>
      </c>
      <c r="J219" s="1500" t="s">
        <v>3016</v>
      </c>
      <c r="K219" s="1585"/>
      <c r="L219" s="1585"/>
      <c r="M219" s="1538"/>
      <c r="N219" s="1538"/>
      <c r="O219" s="1595"/>
      <c r="P219" s="1538"/>
      <c r="Q219" s="1538"/>
      <c r="S219" s="1500"/>
      <c r="T219" s="1500"/>
      <c r="U219" s="1500"/>
      <c r="V219" s="1500"/>
    </row>
    <row r="220" spans="1:22" s="1506" customFormat="1">
      <c r="A220"/>
      <c r="B220"/>
      <c r="C220"/>
      <c r="D220"/>
      <c r="E220" s="1233" t="s">
        <v>2812</v>
      </c>
      <c r="F220" s="1145"/>
      <c r="H220" s="1499" t="s">
        <v>2332</v>
      </c>
      <c r="J220" s="1500" t="s">
        <v>3016</v>
      </c>
      <c r="K220" s="1585"/>
      <c r="L220" s="1585"/>
      <c r="M220" s="1538"/>
      <c r="N220" s="1538"/>
      <c r="O220" s="1595"/>
      <c r="P220" s="1538"/>
      <c r="Q220" s="1538"/>
      <c r="S220" s="1500"/>
      <c r="T220" s="1500"/>
      <c r="U220" s="1500"/>
      <c r="V220" s="1500"/>
    </row>
    <row r="221" spans="1:22" s="1506" customFormat="1">
      <c r="A221"/>
      <c r="B221"/>
      <c r="C221"/>
      <c r="D221"/>
      <c r="E221" s="1233" t="s">
        <v>2812</v>
      </c>
      <c r="F221" s="1145"/>
      <c r="H221" s="1499" t="s">
        <v>2333</v>
      </c>
      <c r="J221" s="1500" t="s">
        <v>3016</v>
      </c>
      <c r="K221" s="1585"/>
      <c r="L221" s="1585"/>
      <c r="M221" s="1538"/>
      <c r="N221" s="1538"/>
      <c r="O221" s="1595"/>
      <c r="P221" s="1538"/>
      <c r="Q221" s="1538"/>
      <c r="S221" s="1500"/>
      <c r="T221" s="1500"/>
      <c r="U221" s="1500"/>
      <c r="V221" s="1500"/>
    </row>
    <row r="222" spans="1:22" s="1506" customFormat="1">
      <c r="A222"/>
      <c r="B222"/>
      <c r="C222"/>
      <c r="D222"/>
      <c r="E222" s="1233" t="s">
        <v>2812</v>
      </c>
      <c r="F222" s="1145"/>
      <c r="H222" s="1499" t="s">
        <v>2334</v>
      </c>
      <c r="J222" s="1500" t="s">
        <v>3016</v>
      </c>
      <c r="K222" s="1585"/>
      <c r="L222" s="1585"/>
      <c r="M222" s="1538"/>
      <c r="N222" s="1538"/>
      <c r="O222" s="1595"/>
      <c r="P222" s="1538"/>
      <c r="Q222" s="1538"/>
      <c r="S222" s="1500"/>
      <c r="T222" s="1500"/>
      <c r="U222" s="1500"/>
      <c r="V222" s="1500"/>
    </row>
    <row r="223" spans="1:22">
      <c r="A223"/>
      <c r="B223"/>
      <c r="C223"/>
      <c r="D223"/>
      <c r="E223" s="1233" t="s">
        <v>2812</v>
      </c>
      <c r="F223" s="1145"/>
      <c r="H223" s="1500"/>
    </row>
    <row r="224" spans="1:22" s="1506" customFormat="1">
      <c r="A224"/>
      <c r="B224"/>
      <c r="C224"/>
      <c r="D224"/>
      <c r="E224" s="1233" t="s">
        <v>2812</v>
      </c>
      <c r="F224" s="1145"/>
      <c r="G224" s="1506" t="s">
        <v>2974</v>
      </c>
      <c r="H224" s="1499" t="s">
        <v>2348</v>
      </c>
      <c r="J224" s="1500"/>
      <c r="K224" s="1585"/>
      <c r="L224" s="1585"/>
      <c r="M224" s="1538"/>
      <c r="N224" s="1538"/>
      <c r="O224" s="1595"/>
      <c r="P224" s="1538"/>
      <c r="Q224" s="1538"/>
      <c r="S224" s="1500"/>
      <c r="T224" s="1500"/>
      <c r="U224" s="1500"/>
      <c r="V224" s="1500"/>
    </row>
    <row r="225" spans="1:22" s="1506" customFormat="1">
      <c r="A225"/>
      <c r="B225"/>
      <c r="C225"/>
      <c r="D225"/>
      <c r="E225" s="1233" t="s">
        <v>2812</v>
      </c>
      <c r="F225" s="1145"/>
      <c r="H225" s="1610" t="s">
        <v>2349</v>
      </c>
      <c r="J225" s="1500"/>
      <c r="K225" s="1585"/>
      <c r="L225" s="1585"/>
      <c r="M225" s="1538"/>
      <c r="N225" s="1538"/>
      <c r="O225" s="1595"/>
      <c r="P225" s="1538"/>
      <c r="Q225" s="1538"/>
      <c r="S225" s="1500"/>
      <c r="T225" s="1500"/>
      <c r="U225" s="1500"/>
      <c r="V225" s="1500"/>
    </row>
    <row r="226" spans="1:22" s="1506" customFormat="1">
      <c r="A226"/>
      <c r="B226"/>
      <c r="C226"/>
      <c r="D226"/>
      <c r="E226" s="1233" t="s">
        <v>2812</v>
      </c>
      <c r="F226" s="1145"/>
      <c r="H226" s="1610" t="s">
        <v>2350</v>
      </c>
      <c r="J226" s="1500"/>
      <c r="K226" s="1585"/>
      <c r="L226" s="1585"/>
      <c r="M226" s="1538"/>
      <c r="N226" s="1538"/>
      <c r="O226" s="1595"/>
      <c r="P226" s="1538"/>
      <c r="Q226" s="1538"/>
      <c r="S226" s="1500"/>
      <c r="T226" s="1500"/>
      <c r="U226" s="1500"/>
      <c r="V226" s="1500"/>
    </row>
    <row r="227" spans="1:22" s="1506" customFormat="1">
      <c r="A227"/>
      <c r="B227"/>
      <c r="C227"/>
      <c r="D227"/>
      <c r="E227" s="1233" t="s">
        <v>2812</v>
      </c>
      <c r="F227" s="1145"/>
      <c r="H227" s="1610" t="s">
        <v>2351</v>
      </c>
      <c r="J227" s="1500"/>
      <c r="K227" s="1585"/>
      <c r="L227" s="1585"/>
      <c r="M227" s="1538"/>
      <c r="N227" s="1538"/>
      <c r="O227" s="1595"/>
      <c r="P227" s="1538"/>
      <c r="Q227" s="1538"/>
      <c r="S227" s="1500"/>
      <c r="T227" s="1500"/>
      <c r="U227" s="1500"/>
      <c r="V227" s="1500"/>
    </row>
    <row r="228" spans="1:22" s="1506" customFormat="1">
      <c r="A228"/>
      <c r="B228"/>
      <c r="C228"/>
      <c r="D228"/>
      <c r="E228" s="1233" t="s">
        <v>2812</v>
      </c>
      <c r="F228" s="1145"/>
      <c r="H228" s="1610" t="s">
        <v>2352</v>
      </c>
      <c r="J228" s="1500"/>
      <c r="K228" s="1585"/>
      <c r="L228" s="1585"/>
      <c r="M228" s="1538"/>
      <c r="N228" s="1538"/>
      <c r="O228" s="1595"/>
      <c r="P228" s="1538"/>
      <c r="Q228" s="1538"/>
      <c r="S228" s="1500"/>
      <c r="T228" s="1500"/>
      <c r="U228" s="1500"/>
      <c r="V228" s="1500"/>
    </row>
    <row r="229" spans="1:22">
      <c r="A229"/>
      <c r="B229"/>
      <c r="C229"/>
      <c r="D229"/>
      <c r="E229" s="1233" t="s">
        <v>2812</v>
      </c>
      <c r="F229" s="1145"/>
    </row>
    <row r="230" spans="1:22" s="1506" customFormat="1">
      <c r="A230"/>
      <c r="B230"/>
      <c r="C230"/>
      <c r="D230"/>
      <c r="E230" s="1233" t="s">
        <v>2812</v>
      </c>
      <c r="F230" s="1513">
        <f>F59+1</f>
        <v>3</v>
      </c>
      <c r="G230" s="1514"/>
      <c r="H230" s="1513" t="s">
        <v>1813</v>
      </c>
      <c r="I230" s="1613"/>
      <c r="J230" s="1514"/>
      <c r="K230" s="1514"/>
      <c r="L230" s="1514"/>
      <c r="M230" s="1514"/>
      <c r="N230" s="1514"/>
      <c r="O230" s="1516"/>
      <c r="P230" s="1514"/>
      <c r="Q230" s="1517"/>
      <c r="S230" s="1500"/>
      <c r="T230" s="1500"/>
      <c r="U230" s="1500"/>
      <c r="V230" s="1500"/>
    </row>
    <row r="231" spans="1:22" s="1506" customFormat="1" ht="51" customHeight="1">
      <c r="A231"/>
      <c r="B231"/>
      <c r="C231"/>
      <c r="D231"/>
      <c r="E231" s="1233" t="s">
        <v>2812</v>
      </c>
      <c r="F231" s="1145"/>
      <c r="G231" s="1614"/>
      <c r="H231" s="1797"/>
      <c r="I231" s="1501" t="s">
        <v>2975</v>
      </c>
      <c r="J231" s="1614"/>
      <c r="K231" s="1614"/>
      <c r="L231" s="1614"/>
      <c r="M231" s="1614"/>
      <c r="N231" s="1614"/>
      <c r="O231" s="1615"/>
      <c r="P231" s="1614"/>
      <c r="Q231" s="1616"/>
      <c r="S231" s="1500"/>
      <c r="T231" s="1500"/>
      <c r="U231" s="1500"/>
      <c r="V231" s="1500"/>
    </row>
    <row r="232" spans="1:22" s="1506" customFormat="1">
      <c r="A232"/>
      <c r="B232"/>
      <c r="C232"/>
      <c r="D232"/>
      <c r="E232" s="1233" t="s">
        <v>2812</v>
      </c>
      <c r="F232" s="1145"/>
      <c r="G232" s="1614"/>
      <c r="H232" s="1797"/>
      <c r="I232" s="1583"/>
      <c r="J232" s="1533" t="s">
        <v>2976</v>
      </c>
      <c r="K232" s="1614"/>
      <c r="L232" s="1614"/>
      <c r="M232" s="1614"/>
      <c r="N232" s="1614"/>
      <c r="O232" s="1615"/>
      <c r="P232" s="1614"/>
      <c r="Q232" s="1616"/>
      <c r="S232" s="1500"/>
      <c r="T232" s="1500"/>
      <c r="U232" s="1500"/>
      <c r="V232" s="1500"/>
    </row>
    <row r="233" spans="1:22" s="1506" customFormat="1">
      <c r="A233"/>
      <c r="B233"/>
      <c r="C233"/>
      <c r="D233"/>
      <c r="E233" s="1233" t="s">
        <v>2812</v>
      </c>
      <c r="F233" s="1145"/>
      <c r="G233" s="1594" t="s">
        <v>1813</v>
      </c>
      <c r="H233" s="1499"/>
      <c r="I233" s="1501"/>
      <c r="L233" s="1617" t="s">
        <v>2432</v>
      </c>
      <c r="M233" s="1617" t="str">
        <f>M183</f>
        <v>Year 1</v>
      </c>
      <c r="N233" s="1617" t="str">
        <f>N183</f>
        <v>Year 2</v>
      </c>
      <c r="O233" s="1617" t="str">
        <f>O183</f>
        <v>Year 3</v>
      </c>
      <c r="P233" s="1617" t="str">
        <f>P183</f>
        <v>Year 4</v>
      </c>
      <c r="Q233" s="1617" t="str">
        <f>Q183</f>
        <v>Year 5</v>
      </c>
      <c r="S233" s="1500"/>
      <c r="T233" s="1500"/>
      <c r="U233" s="1500"/>
      <c r="V233" s="1500"/>
    </row>
    <row r="234" spans="1:22" s="1506" customFormat="1">
      <c r="A234"/>
      <c r="B234"/>
      <c r="C234"/>
      <c r="D234"/>
      <c r="E234" s="1233" t="s">
        <v>2812</v>
      </c>
      <c r="F234" s="1145"/>
      <c r="G234" s="1499"/>
      <c r="H234" s="1499" t="s">
        <v>2164</v>
      </c>
      <c r="I234" s="1618" t="s">
        <v>2426</v>
      </c>
      <c r="L234" s="1586">
        <v>0.3</v>
      </c>
      <c r="M234" s="1586">
        <v>0.3</v>
      </c>
      <c r="N234" s="1586">
        <v>0.3</v>
      </c>
      <c r="O234" s="1586">
        <v>0.3</v>
      </c>
      <c r="P234" s="1586">
        <v>0.3</v>
      </c>
      <c r="Q234" s="1586">
        <v>0.3</v>
      </c>
      <c r="S234" s="1500"/>
      <c r="T234" s="1500"/>
      <c r="U234" s="1500"/>
      <c r="V234" s="1500"/>
    </row>
    <row r="235" spans="1:22" s="1506" customFormat="1">
      <c r="A235"/>
      <c r="B235"/>
      <c r="C235"/>
      <c r="D235"/>
      <c r="E235" s="1233" t="s">
        <v>2812</v>
      </c>
      <c r="F235" s="1145"/>
      <c r="G235" s="1499"/>
      <c r="H235" s="1499" t="s">
        <v>2165</v>
      </c>
      <c r="I235" s="1618" t="s">
        <v>2426</v>
      </c>
      <c r="L235" s="1586">
        <v>0.3</v>
      </c>
      <c r="M235" s="1586">
        <v>0.3</v>
      </c>
      <c r="N235" s="1586">
        <v>0.3</v>
      </c>
      <c r="O235" s="1586">
        <v>0.3</v>
      </c>
      <c r="P235" s="1586">
        <v>0.3</v>
      </c>
      <c r="Q235" s="1586">
        <v>0.3</v>
      </c>
      <c r="S235" s="1500"/>
      <c r="T235" s="1500"/>
      <c r="U235" s="1500"/>
      <c r="V235" s="1500"/>
    </row>
    <row r="236" spans="1:22" s="1506" customFormat="1">
      <c r="A236"/>
      <c r="B236"/>
      <c r="C236"/>
      <c r="D236"/>
      <c r="E236" s="1233" t="s">
        <v>2812</v>
      </c>
      <c r="F236" s="1145"/>
      <c r="G236" s="1499"/>
      <c r="H236" s="1499" t="s">
        <v>2166</v>
      </c>
      <c r="I236" s="1618" t="s">
        <v>2426</v>
      </c>
      <c r="L236" s="1586">
        <v>0.3</v>
      </c>
      <c r="M236" s="1586">
        <v>0.3</v>
      </c>
      <c r="N236" s="1586">
        <v>0.3</v>
      </c>
      <c r="O236" s="1586">
        <v>0.3</v>
      </c>
      <c r="P236" s="1586">
        <v>0.3</v>
      </c>
      <c r="Q236" s="1586">
        <v>0.3</v>
      </c>
      <c r="S236" s="1500"/>
      <c r="T236" s="1500"/>
      <c r="U236" s="1500"/>
      <c r="V236" s="1500"/>
    </row>
    <row r="237" spans="1:22" s="1506" customFormat="1">
      <c r="A237"/>
      <c r="B237"/>
      <c r="C237"/>
      <c r="D237"/>
      <c r="E237" s="1233" t="s">
        <v>2812</v>
      </c>
      <c r="F237" s="1145"/>
      <c r="G237" s="1499"/>
      <c r="H237" s="1499" t="s">
        <v>2167</v>
      </c>
      <c r="I237" s="1618" t="s">
        <v>2426</v>
      </c>
      <c r="L237" s="1586">
        <v>0.3</v>
      </c>
      <c r="M237" s="1586">
        <v>0.3</v>
      </c>
      <c r="N237" s="1586">
        <v>0.3</v>
      </c>
      <c r="O237" s="1586">
        <v>0.3</v>
      </c>
      <c r="P237" s="1586">
        <v>0.3</v>
      </c>
      <c r="Q237" s="1586">
        <v>0.3</v>
      </c>
      <c r="S237" s="1500"/>
      <c r="T237" s="1500"/>
      <c r="U237" s="1500"/>
      <c r="V237" s="1500"/>
    </row>
    <row r="238" spans="1:22" s="1506" customFormat="1">
      <c r="A238"/>
      <c r="B238"/>
      <c r="C238"/>
      <c r="D238"/>
      <c r="E238" s="1233" t="s">
        <v>2812</v>
      </c>
      <c r="F238" s="1145"/>
      <c r="G238" s="1499"/>
      <c r="H238" s="1499" t="s">
        <v>2168</v>
      </c>
      <c r="I238" s="1618" t="s">
        <v>2426</v>
      </c>
      <c r="L238" s="1586">
        <v>0.3</v>
      </c>
      <c r="M238" s="1586">
        <v>0.3</v>
      </c>
      <c r="N238" s="1586">
        <v>0.3</v>
      </c>
      <c r="O238" s="1586">
        <v>0.3</v>
      </c>
      <c r="P238" s="1586">
        <v>0.3</v>
      </c>
      <c r="Q238" s="1586">
        <v>0.3</v>
      </c>
      <c r="S238" s="1500"/>
      <c r="T238" s="1500"/>
      <c r="U238" s="1500"/>
      <c r="V238" s="1500"/>
    </row>
    <row r="239" spans="1:22" s="1506" customFormat="1">
      <c r="A239"/>
      <c r="B239"/>
      <c r="C239"/>
      <c r="D239"/>
      <c r="E239" s="1233" t="s">
        <v>2812</v>
      </c>
      <c r="F239" s="1145"/>
      <c r="G239" s="1499"/>
      <c r="H239" s="1499" t="s">
        <v>2169</v>
      </c>
      <c r="I239" s="1618" t="s">
        <v>2426</v>
      </c>
      <c r="L239" s="1586">
        <v>0.3</v>
      </c>
      <c r="M239" s="1586">
        <v>0.3</v>
      </c>
      <c r="N239" s="1586">
        <v>0.3</v>
      </c>
      <c r="O239" s="1586">
        <v>0.3</v>
      </c>
      <c r="P239" s="1586">
        <v>0.3</v>
      </c>
      <c r="Q239" s="1586">
        <v>0.3</v>
      </c>
      <c r="S239" s="1500"/>
      <c r="T239" s="1500"/>
      <c r="U239" s="1500"/>
      <c r="V239" s="1500"/>
    </row>
    <row r="240" spans="1:22" s="1506" customFormat="1">
      <c r="A240"/>
      <c r="B240"/>
      <c r="C240"/>
      <c r="D240"/>
      <c r="E240" s="1233" t="s">
        <v>2812</v>
      </c>
      <c r="F240" s="1145"/>
      <c r="G240" s="1499"/>
      <c r="H240" s="1499" t="s">
        <v>2170</v>
      </c>
      <c r="I240" s="1618" t="s">
        <v>2426</v>
      </c>
      <c r="L240" s="1586">
        <v>0.3</v>
      </c>
      <c r="M240" s="1586">
        <v>0.3</v>
      </c>
      <c r="N240" s="1586">
        <v>0.3</v>
      </c>
      <c r="O240" s="1586">
        <v>0.3</v>
      </c>
      <c r="P240" s="1586">
        <v>0.3</v>
      </c>
      <c r="Q240" s="1586">
        <v>0.3</v>
      </c>
      <c r="S240" s="1500"/>
      <c r="T240" s="1500"/>
      <c r="U240" s="1500"/>
      <c r="V240" s="1500"/>
    </row>
    <row r="241" spans="1:22" s="1506" customFormat="1">
      <c r="A241"/>
      <c r="B241"/>
      <c r="C241"/>
      <c r="D241"/>
      <c r="E241" s="1233" t="s">
        <v>2812</v>
      </c>
      <c r="F241" s="1145"/>
      <c r="G241" s="1499"/>
      <c r="H241" s="1499" t="s">
        <v>2171</v>
      </c>
      <c r="I241" s="1618" t="s">
        <v>2426</v>
      </c>
      <c r="L241" s="1586">
        <v>0.3</v>
      </c>
      <c r="M241" s="1586">
        <v>0.3</v>
      </c>
      <c r="N241" s="1586">
        <v>0.3</v>
      </c>
      <c r="O241" s="1586">
        <v>0.3</v>
      </c>
      <c r="P241" s="1586">
        <v>0.3</v>
      </c>
      <c r="Q241" s="1586">
        <v>0.3</v>
      </c>
      <c r="S241" s="1500"/>
      <c r="T241" s="1500"/>
      <c r="U241" s="1500"/>
      <c r="V241" s="1500"/>
    </row>
    <row r="242" spans="1:22" s="1506" customFormat="1">
      <c r="A242"/>
      <c r="B242"/>
      <c r="C242"/>
      <c r="D242"/>
      <c r="E242" s="1233" t="s">
        <v>2812</v>
      </c>
      <c r="F242" s="1145"/>
      <c r="G242" s="1499"/>
      <c r="H242" s="1499" t="s">
        <v>2172</v>
      </c>
      <c r="I242" s="1618" t="s">
        <v>2426</v>
      </c>
      <c r="L242" s="1586">
        <v>0.3</v>
      </c>
      <c r="M242" s="1586">
        <v>0.3</v>
      </c>
      <c r="N242" s="1586">
        <v>0.3</v>
      </c>
      <c r="O242" s="1586">
        <v>0.3</v>
      </c>
      <c r="P242" s="1586">
        <v>0.3</v>
      </c>
      <c r="Q242" s="1586">
        <v>0.3</v>
      </c>
      <c r="S242" s="1500"/>
      <c r="T242" s="1500"/>
      <c r="U242" s="1500"/>
      <c r="V242" s="1500"/>
    </row>
    <row r="243" spans="1:22" s="1506" customFormat="1">
      <c r="A243"/>
      <c r="B243"/>
      <c r="C243"/>
      <c r="D243"/>
      <c r="E243" s="1233" t="s">
        <v>2812</v>
      </c>
      <c r="F243" s="1145"/>
      <c r="G243" s="1499"/>
      <c r="H243" s="1499" t="s">
        <v>2173</v>
      </c>
      <c r="I243" s="1618" t="s">
        <v>2426</v>
      </c>
      <c r="L243" s="1586">
        <v>0.3</v>
      </c>
      <c r="M243" s="1586">
        <v>0.3</v>
      </c>
      <c r="N243" s="1586">
        <v>0.3</v>
      </c>
      <c r="O243" s="1586">
        <v>0.3</v>
      </c>
      <c r="P243" s="1586">
        <v>0.3</v>
      </c>
      <c r="Q243" s="1586">
        <v>0.3</v>
      </c>
      <c r="S243" s="1500"/>
      <c r="T243" s="1500"/>
      <c r="U243" s="1500"/>
      <c r="V243" s="1500"/>
    </row>
    <row r="244" spans="1:22" s="1506" customFormat="1">
      <c r="A244"/>
      <c r="B244"/>
      <c r="C244"/>
      <c r="D244"/>
      <c r="E244" s="1233" t="s">
        <v>2812</v>
      </c>
      <c r="F244" s="1145"/>
      <c r="G244" s="1499"/>
      <c r="H244" s="1499" t="s">
        <v>2174</v>
      </c>
      <c r="I244" s="1618" t="s">
        <v>2426</v>
      </c>
      <c r="L244" s="1586">
        <v>0.3</v>
      </c>
      <c r="M244" s="1586">
        <v>0.3</v>
      </c>
      <c r="N244" s="1586">
        <v>0.3</v>
      </c>
      <c r="O244" s="1586">
        <v>0.3</v>
      </c>
      <c r="P244" s="1586">
        <v>0.3</v>
      </c>
      <c r="Q244" s="1586">
        <v>0.3</v>
      </c>
      <c r="S244" s="1500"/>
      <c r="T244" s="1500"/>
      <c r="U244" s="1500"/>
      <c r="V244" s="1500"/>
    </row>
    <row r="245" spans="1:22" s="1506" customFormat="1">
      <c r="A245"/>
      <c r="B245"/>
      <c r="C245"/>
      <c r="D245"/>
      <c r="E245" s="1233" t="s">
        <v>2812</v>
      </c>
      <c r="F245" s="1145"/>
      <c r="G245" s="1499"/>
      <c r="H245" s="1499" t="s">
        <v>2175</v>
      </c>
      <c r="I245" s="1618" t="s">
        <v>2426</v>
      </c>
      <c r="L245" s="1586">
        <v>0.3</v>
      </c>
      <c r="M245" s="1586">
        <v>0.3</v>
      </c>
      <c r="N245" s="1586">
        <v>0.3</v>
      </c>
      <c r="O245" s="1586">
        <v>0.3</v>
      </c>
      <c r="P245" s="1586">
        <v>0.3</v>
      </c>
      <c r="Q245" s="1586">
        <v>0.3</v>
      </c>
      <c r="S245" s="1500"/>
      <c r="T245" s="1500"/>
      <c r="U245" s="1500"/>
      <c r="V245" s="1500"/>
    </row>
    <row r="246" spans="1:22">
      <c r="A246"/>
      <c r="B246"/>
      <c r="C246"/>
      <c r="D246"/>
      <c r="E246" s="1233" t="s">
        <v>2812</v>
      </c>
      <c r="F246" s="1145"/>
    </row>
    <row r="247" spans="1:22" s="1506" customFormat="1">
      <c r="A247"/>
      <c r="B247"/>
      <c r="C247"/>
      <c r="D247"/>
      <c r="E247" s="1233" t="s">
        <v>2812</v>
      </c>
      <c r="F247" s="1513">
        <f>F230+1</f>
        <v>4</v>
      </c>
      <c r="G247" s="1514"/>
      <c r="H247" s="1513" t="s">
        <v>2258</v>
      </c>
      <c r="I247" s="1613"/>
      <c r="J247" s="1514"/>
      <c r="K247" s="1514"/>
      <c r="L247" s="1514"/>
      <c r="M247" s="1514"/>
      <c r="N247" s="1514"/>
      <c r="O247" s="1516"/>
      <c r="P247" s="1514"/>
      <c r="Q247" s="1517"/>
      <c r="S247" s="1500"/>
      <c r="T247" s="1500"/>
      <c r="U247" s="1500"/>
      <c r="V247" s="1500"/>
    </row>
    <row r="248" spans="1:22" s="1506" customFormat="1">
      <c r="A248"/>
      <c r="B248"/>
      <c r="C248"/>
      <c r="D248"/>
      <c r="E248" s="1233" t="s">
        <v>2812</v>
      </c>
      <c r="F248" s="1145"/>
      <c r="G248" s="1500"/>
      <c r="H248" s="1500"/>
      <c r="I248" s="1500" t="s">
        <v>3020</v>
      </c>
      <c r="J248" s="1500"/>
      <c r="K248" s="1500"/>
      <c r="L248" s="1500"/>
      <c r="M248" s="1500"/>
      <c r="N248" s="1500"/>
      <c r="O248" s="1640" t="s">
        <v>3017</v>
      </c>
      <c r="P248" s="1500"/>
      <c r="Q248" s="1500"/>
      <c r="S248" s="1500"/>
      <c r="T248" s="1500"/>
      <c r="U248" s="1500"/>
      <c r="V248" s="1500"/>
    </row>
    <row r="249" spans="1:22" s="1506" customFormat="1">
      <c r="A249"/>
      <c r="B249"/>
      <c r="C249"/>
      <c r="D249"/>
      <c r="E249" s="1233" t="s">
        <v>2812</v>
      </c>
      <c r="F249" s="1145"/>
      <c r="G249" s="1500"/>
      <c r="H249" s="1500"/>
      <c r="I249" s="1500"/>
      <c r="J249" s="1500"/>
      <c r="K249" s="1500"/>
      <c r="L249" s="1500"/>
      <c r="M249" s="1500"/>
      <c r="N249" s="1500"/>
      <c r="O249" s="1500"/>
      <c r="P249" s="1500"/>
      <c r="Q249" s="1500"/>
      <c r="S249" s="1500"/>
      <c r="T249" s="1500"/>
      <c r="U249" s="1500"/>
      <c r="V249" s="1500"/>
    </row>
    <row r="250" spans="1:22">
      <c r="A250"/>
      <c r="B250"/>
      <c r="C250"/>
      <c r="D250"/>
      <c r="E250" s="1233" t="s">
        <v>2812</v>
      </c>
      <c r="F250" s="1145"/>
      <c r="H250" s="1500"/>
      <c r="I250" s="1500" t="s">
        <v>2447</v>
      </c>
      <c r="O250" s="1500"/>
      <c r="Q250" s="1500"/>
    </row>
    <row r="251" spans="1:22">
      <c r="A251"/>
      <c r="B251"/>
      <c r="C251"/>
      <c r="D251"/>
      <c r="E251" s="1233" t="s">
        <v>2812</v>
      </c>
      <c r="F251" s="1145"/>
      <c r="G251" s="1542"/>
      <c r="H251" s="1542"/>
      <c r="I251" s="1542" t="s">
        <v>2448</v>
      </c>
      <c r="J251" s="1542"/>
      <c r="K251" s="1542"/>
      <c r="L251" s="1542"/>
      <c r="M251" s="1542"/>
      <c r="N251" s="1542"/>
      <c r="O251" s="1542"/>
      <c r="P251" s="1542"/>
      <c r="Q251" s="1542"/>
    </row>
    <row r="252" spans="1:22">
      <c r="A252"/>
      <c r="B252"/>
      <c r="C252"/>
      <c r="D252"/>
      <c r="E252" s="1233" t="s">
        <v>2812</v>
      </c>
      <c r="F252" s="1145"/>
      <c r="H252" s="1500"/>
      <c r="I252" s="1500"/>
      <c r="O252" s="1500"/>
      <c r="Q252" s="1500"/>
    </row>
    <row r="253" spans="1:22">
      <c r="A253"/>
      <c r="B253"/>
      <c r="C253"/>
      <c r="D253"/>
      <c r="E253" s="1233" t="s">
        <v>2812</v>
      </c>
      <c r="F253" s="1145"/>
      <c r="G253" s="1498" t="s">
        <v>2449</v>
      </c>
      <c r="H253" s="1500"/>
      <c r="O253" s="1500"/>
      <c r="Q253" s="1500"/>
    </row>
    <row r="254" spans="1:22">
      <c r="A254"/>
      <c r="B254"/>
      <c r="C254"/>
      <c r="D254"/>
      <c r="E254" s="1233" t="s">
        <v>2812</v>
      </c>
      <c r="F254" s="1145"/>
      <c r="G254" s="1510" t="s">
        <v>1821</v>
      </c>
      <c r="J254" s="1500" t="s">
        <v>3019</v>
      </c>
      <c r="K254" s="1617" t="s">
        <v>2662</v>
      </c>
      <c r="L254" s="1617" t="str">
        <f t="shared" ref="L254:Q254" si="0">L233</f>
        <v>Current Year</v>
      </c>
      <c r="M254" s="1617" t="str">
        <f t="shared" si="0"/>
        <v>Year 1</v>
      </c>
      <c r="N254" s="1617" t="str">
        <f t="shared" si="0"/>
        <v>Year 2</v>
      </c>
      <c r="O254" s="1617" t="str">
        <f t="shared" si="0"/>
        <v>Year 3</v>
      </c>
      <c r="P254" s="1617" t="str">
        <f t="shared" si="0"/>
        <v>Year 4</v>
      </c>
      <c r="Q254" s="1617" t="str">
        <f t="shared" si="0"/>
        <v>Year 5</v>
      </c>
    </row>
    <row r="255" spans="1:22">
      <c r="A255"/>
      <c r="B255"/>
      <c r="C255"/>
      <c r="D255"/>
      <c r="E255" s="1233" t="s">
        <v>2812</v>
      </c>
      <c r="F255" s="1145"/>
      <c r="H255" s="1500" t="s">
        <v>3168</v>
      </c>
      <c r="K255" s="1538">
        <v>5000</v>
      </c>
      <c r="L255" s="1538">
        <v>5000</v>
      </c>
      <c r="M255" s="1538">
        <v>5000</v>
      </c>
      <c r="N255" s="1538">
        <v>5000</v>
      </c>
      <c r="O255" s="1538">
        <v>5000</v>
      </c>
      <c r="P255" s="1538">
        <v>5000</v>
      </c>
      <c r="Q255" s="1538">
        <v>5000</v>
      </c>
      <c r="R255" s="1500" t="s">
        <v>2450</v>
      </c>
    </row>
    <row r="256" spans="1:22">
      <c r="A256"/>
      <c r="B256"/>
      <c r="C256"/>
      <c r="D256"/>
      <c r="E256" s="1233" t="s">
        <v>2812</v>
      </c>
      <c r="F256" s="1145"/>
      <c r="H256" s="1500" t="s">
        <v>2451</v>
      </c>
      <c r="K256" s="1538">
        <v>5000</v>
      </c>
      <c r="L256" s="1538">
        <v>5000</v>
      </c>
      <c r="M256" s="1538">
        <v>5000</v>
      </c>
      <c r="N256" s="1538">
        <v>5000</v>
      </c>
      <c r="O256" s="1538">
        <v>5000</v>
      </c>
      <c r="P256" s="1538">
        <v>5000</v>
      </c>
      <c r="Q256" s="1538">
        <v>5000</v>
      </c>
    </row>
    <row r="257" spans="1:18">
      <c r="A257"/>
      <c r="B257"/>
      <c r="C257"/>
      <c r="D257"/>
      <c r="E257" s="1233" t="s">
        <v>2812</v>
      </c>
      <c r="F257" s="1145"/>
      <c r="H257" s="1500" t="s">
        <v>2452</v>
      </c>
      <c r="K257" s="1538">
        <v>5000</v>
      </c>
      <c r="L257" s="1538">
        <v>5000</v>
      </c>
      <c r="M257" s="1538">
        <v>5000</v>
      </c>
      <c r="N257" s="1538">
        <v>5000</v>
      </c>
      <c r="O257" s="1538">
        <v>5000</v>
      </c>
      <c r="P257" s="1538">
        <v>5000</v>
      </c>
      <c r="Q257" s="1538">
        <v>5000</v>
      </c>
    </row>
    <row r="258" spans="1:18">
      <c r="A258"/>
      <c r="B258"/>
      <c r="C258"/>
      <c r="D258"/>
      <c r="E258" s="1233" t="s">
        <v>2812</v>
      </c>
      <c r="F258" s="1145"/>
      <c r="H258" s="1500" t="s">
        <v>1825</v>
      </c>
      <c r="K258" s="1538">
        <v>5000</v>
      </c>
      <c r="L258" s="1538">
        <v>5000</v>
      </c>
      <c r="M258" s="1538">
        <v>5000</v>
      </c>
      <c r="N258" s="1538">
        <v>5000</v>
      </c>
      <c r="O258" s="1538">
        <v>5000</v>
      </c>
      <c r="P258" s="1538">
        <v>5000</v>
      </c>
      <c r="Q258" s="1538">
        <v>5000</v>
      </c>
    </row>
    <row r="259" spans="1:18">
      <c r="A259"/>
      <c r="B259"/>
      <c r="C259"/>
      <c r="D259"/>
      <c r="E259" s="1233" t="s">
        <v>2812</v>
      </c>
      <c r="F259" s="1145"/>
      <c r="H259" s="1500" t="s">
        <v>1826</v>
      </c>
      <c r="K259" s="1538">
        <v>5000</v>
      </c>
      <c r="L259" s="1538">
        <v>5000</v>
      </c>
      <c r="M259" s="1538">
        <v>5000</v>
      </c>
      <c r="N259" s="1538">
        <v>5000</v>
      </c>
      <c r="O259" s="1538">
        <v>5000</v>
      </c>
      <c r="P259" s="1538">
        <v>5000</v>
      </c>
      <c r="Q259" s="1538">
        <v>5000</v>
      </c>
    </row>
    <row r="260" spans="1:18">
      <c r="A260"/>
      <c r="B260"/>
      <c r="C260"/>
      <c r="D260"/>
      <c r="E260" s="1233"/>
      <c r="F260" s="1145"/>
      <c r="H260" s="1500" t="s">
        <v>3171</v>
      </c>
      <c r="K260" s="1538">
        <v>5000</v>
      </c>
      <c r="L260" s="1538">
        <v>5000</v>
      </c>
      <c r="M260" s="1538">
        <v>5000</v>
      </c>
      <c r="N260" s="1538">
        <v>5000</v>
      </c>
      <c r="O260" s="1538">
        <v>5000</v>
      </c>
      <c r="P260" s="1538">
        <v>5000</v>
      </c>
      <c r="Q260" s="1538">
        <v>5000</v>
      </c>
    </row>
    <row r="261" spans="1:18">
      <c r="A261"/>
      <c r="B261"/>
      <c r="C261"/>
      <c r="D261"/>
      <c r="E261" s="1233" t="s">
        <v>2812</v>
      </c>
      <c r="F261" s="1145"/>
      <c r="H261" s="1500" t="s">
        <v>3169</v>
      </c>
      <c r="K261" s="1538">
        <v>5000</v>
      </c>
      <c r="L261" s="1538">
        <v>5000</v>
      </c>
      <c r="M261" s="1538">
        <v>5000</v>
      </c>
      <c r="N261" s="1538">
        <v>5000</v>
      </c>
      <c r="O261" s="1538">
        <v>5000</v>
      </c>
      <c r="P261" s="1538">
        <v>5000</v>
      </c>
      <c r="Q261" s="1538">
        <v>5000</v>
      </c>
    </row>
    <row r="262" spans="1:18">
      <c r="A262"/>
      <c r="B262"/>
      <c r="C262"/>
      <c r="D262"/>
      <c r="E262" s="1233"/>
      <c r="F262" s="1145"/>
      <c r="H262" s="1500" t="s">
        <v>3170</v>
      </c>
      <c r="K262" s="1538">
        <v>5000</v>
      </c>
      <c r="L262" s="1538">
        <v>5000</v>
      </c>
      <c r="M262" s="1538">
        <v>5000</v>
      </c>
      <c r="N262" s="1538">
        <v>5000</v>
      </c>
      <c r="O262" s="1538">
        <v>5000</v>
      </c>
      <c r="P262" s="1538">
        <v>5000</v>
      </c>
      <c r="Q262" s="1538">
        <v>5000</v>
      </c>
    </row>
    <row r="263" spans="1:18">
      <c r="A263"/>
      <c r="B263"/>
      <c r="C263"/>
      <c r="D263"/>
      <c r="E263" s="1233" t="s">
        <v>2812</v>
      </c>
      <c r="F263" s="1145"/>
      <c r="H263" s="1500" t="s">
        <v>2977</v>
      </c>
      <c r="K263" s="1538">
        <v>5000</v>
      </c>
      <c r="L263" s="1538">
        <v>5000</v>
      </c>
      <c r="M263" s="1538">
        <v>5000</v>
      </c>
      <c r="N263" s="1538">
        <v>5000</v>
      </c>
      <c r="O263" s="1538">
        <v>5000</v>
      </c>
      <c r="P263" s="1538">
        <v>5000</v>
      </c>
      <c r="Q263" s="1538">
        <v>5000</v>
      </c>
    </row>
    <row r="264" spans="1:18">
      <c r="A264"/>
      <c r="B264"/>
      <c r="C264"/>
      <c r="D264"/>
      <c r="E264" s="1233" t="s">
        <v>2812</v>
      </c>
      <c r="F264" s="1145"/>
      <c r="H264" s="1499" t="s">
        <v>1886</v>
      </c>
      <c r="K264" s="1538">
        <v>5000</v>
      </c>
      <c r="L264" s="1538">
        <v>5000</v>
      </c>
      <c r="M264" s="1538">
        <v>5000</v>
      </c>
      <c r="N264" s="1538">
        <v>5000</v>
      </c>
      <c r="O264" s="1538">
        <v>5000</v>
      </c>
      <c r="P264" s="1538">
        <v>5000</v>
      </c>
      <c r="Q264" s="1538">
        <v>5000</v>
      </c>
    </row>
    <row r="265" spans="1:18">
      <c r="A265"/>
      <c r="B265"/>
      <c r="C265"/>
      <c r="D265"/>
      <c r="E265" s="1233" t="s">
        <v>2812</v>
      </c>
      <c r="F265" s="1145"/>
      <c r="G265" s="1542"/>
      <c r="H265" s="1560" t="s">
        <v>1887</v>
      </c>
      <c r="I265" s="1541"/>
      <c r="J265" s="1541"/>
      <c r="K265" s="1530">
        <v>5000</v>
      </c>
      <c r="L265" s="1530">
        <v>5000</v>
      </c>
      <c r="M265" s="1530">
        <v>5000</v>
      </c>
      <c r="N265" s="1530">
        <v>5000</v>
      </c>
      <c r="O265" s="1530">
        <v>5000</v>
      </c>
      <c r="P265" s="1530">
        <v>5000</v>
      </c>
      <c r="Q265" s="1530">
        <v>5000</v>
      </c>
    </row>
    <row r="266" spans="1:18" ht="90">
      <c r="A266"/>
      <c r="B266"/>
      <c r="C266"/>
      <c r="D266"/>
      <c r="E266" s="1233" t="s">
        <v>2812</v>
      </c>
      <c r="F266" s="1145"/>
      <c r="G266" s="1643"/>
      <c r="H266" s="1798" t="s">
        <v>1564</v>
      </c>
      <c r="I266" s="1644" t="s">
        <v>3021</v>
      </c>
      <c r="J266" s="1644" t="s">
        <v>3022</v>
      </c>
      <c r="K266" s="1645">
        <v>200000</v>
      </c>
      <c r="L266" s="1645">
        <v>200000</v>
      </c>
      <c r="M266" s="1645">
        <v>200000</v>
      </c>
      <c r="N266" s="1645">
        <v>200000</v>
      </c>
      <c r="O266" s="1645">
        <v>200000</v>
      </c>
      <c r="P266" s="1645">
        <v>200000</v>
      </c>
      <c r="Q266" s="1645">
        <v>200000</v>
      </c>
    </row>
    <row r="267" spans="1:18">
      <c r="A267"/>
      <c r="B267"/>
      <c r="C267"/>
      <c r="D267"/>
      <c r="E267" s="1233" t="s">
        <v>2812</v>
      </c>
      <c r="F267" s="1145"/>
      <c r="H267" s="1500"/>
      <c r="I267" s="1500"/>
      <c r="O267" s="1500"/>
      <c r="Q267" s="1500"/>
    </row>
    <row r="268" spans="1:18">
      <c r="A268"/>
      <c r="B268"/>
      <c r="C268"/>
      <c r="D268"/>
      <c r="E268" s="1233" t="s">
        <v>2812</v>
      </c>
      <c r="F268" s="1145"/>
      <c r="G268" s="1498" t="s">
        <v>2453</v>
      </c>
      <c r="H268" s="1500"/>
      <c r="I268" s="1619" t="s">
        <v>2454</v>
      </c>
      <c r="M268" s="1823" t="s">
        <v>3018</v>
      </c>
      <c r="N268" s="1823"/>
      <c r="O268" s="1823"/>
      <c r="P268" s="1823"/>
      <c r="Q268" s="1823"/>
      <c r="R268" s="1500"/>
    </row>
    <row r="269" spans="1:18">
      <c r="A269"/>
      <c r="B269"/>
      <c r="C269"/>
      <c r="D269"/>
      <c r="E269" s="1233" t="s">
        <v>2812</v>
      </c>
      <c r="F269" s="1145"/>
      <c r="G269" s="1510" t="s">
        <v>1821</v>
      </c>
      <c r="I269" s="1621" t="s">
        <v>2455</v>
      </c>
      <c r="J269" s="1500" t="s">
        <v>2978</v>
      </c>
      <c r="K269" s="1617" t="s">
        <v>2662</v>
      </c>
      <c r="L269" s="1617" t="str">
        <f t="shared" ref="L269:Q269" si="1">L233</f>
        <v>Current Year</v>
      </c>
      <c r="M269" s="1617" t="str">
        <f t="shared" si="1"/>
        <v>Year 1</v>
      </c>
      <c r="N269" s="1617" t="str">
        <f t="shared" si="1"/>
        <v>Year 2</v>
      </c>
      <c r="O269" s="1617" t="str">
        <f t="shared" si="1"/>
        <v>Year 3</v>
      </c>
      <c r="P269" s="1617" t="str">
        <f t="shared" si="1"/>
        <v>Year 4</v>
      </c>
      <c r="Q269" s="1617" t="str">
        <f t="shared" si="1"/>
        <v>Year 5</v>
      </c>
      <c r="R269" s="1500"/>
    </row>
    <row r="270" spans="1:18">
      <c r="A270"/>
      <c r="B270"/>
      <c r="C270"/>
      <c r="D270"/>
      <c r="E270" s="1233" t="s">
        <v>2812</v>
      </c>
      <c r="F270" s="1145"/>
      <c r="H270" s="1500" t="str">
        <f>H255</f>
        <v>Staff cost</v>
      </c>
      <c r="I270" s="1622" t="s">
        <v>2456</v>
      </c>
      <c r="K270" s="1538">
        <v>5000</v>
      </c>
      <c r="L270" s="1538">
        <v>5000</v>
      </c>
      <c r="M270" s="1586">
        <v>0.02</v>
      </c>
      <c r="N270" s="1586">
        <v>0.02</v>
      </c>
      <c r="O270" s="1586">
        <v>0.02</v>
      </c>
      <c r="P270" s="1586">
        <v>0.02</v>
      </c>
      <c r="Q270" s="1586">
        <v>0.02</v>
      </c>
      <c r="R270" s="1500"/>
    </row>
    <row r="271" spans="1:18">
      <c r="A271"/>
      <c r="B271"/>
      <c r="C271"/>
      <c r="D271"/>
      <c r="E271" s="1233" t="s">
        <v>2812</v>
      </c>
      <c r="F271" s="1145"/>
      <c r="H271" s="1500" t="str">
        <f t="shared" ref="H271:H280" si="2">H256</f>
        <v>Staff Commission (if any)</v>
      </c>
      <c r="I271" s="1622" t="s">
        <v>2456</v>
      </c>
      <c r="K271" s="1538">
        <v>5000</v>
      </c>
      <c r="L271" s="1538">
        <v>5000</v>
      </c>
      <c r="M271" s="1586">
        <v>0.02</v>
      </c>
      <c r="N271" s="1586">
        <v>0.02</v>
      </c>
      <c r="O271" s="1586">
        <v>0.02</v>
      </c>
      <c r="P271" s="1586">
        <v>0.02</v>
      </c>
      <c r="Q271" s="1586">
        <v>0.02</v>
      </c>
      <c r="R271" s="1500"/>
    </row>
    <row r="272" spans="1:18">
      <c r="A272"/>
      <c r="B272"/>
      <c r="C272"/>
      <c r="D272"/>
      <c r="E272" s="1233" t="s">
        <v>2812</v>
      </c>
      <c r="F272" s="1145"/>
      <c r="H272" s="1500" t="str">
        <f t="shared" si="2"/>
        <v>Rent expense</v>
      </c>
      <c r="I272" s="1622" t="s">
        <v>2456</v>
      </c>
      <c r="K272" s="1538">
        <v>5000</v>
      </c>
      <c r="L272" s="1538">
        <v>5000</v>
      </c>
      <c r="M272" s="1586">
        <v>0.02</v>
      </c>
      <c r="N272" s="1586">
        <v>0.02</v>
      </c>
      <c r="O272" s="1586">
        <v>0.02</v>
      </c>
      <c r="P272" s="1586">
        <v>0.02</v>
      </c>
      <c r="Q272" s="1586">
        <v>0.02</v>
      </c>
      <c r="R272" s="1500"/>
    </row>
    <row r="273" spans="1:18">
      <c r="A273"/>
      <c r="B273"/>
      <c r="C273"/>
      <c r="D273"/>
      <c r="E273" s="1233" t="s">
        <v>2812</v>
      </c>
      <c r="F273" s="1145"/>
      <c r="H273" s="1500" t="str">
        <f t="shared" si="2"/>
        <v>Legal and professional fee</v>
      </c>
      <c r="I273" s="1622" t="s">
        <v>2456</v>
      </c>
      <c r="K273" s="1538">
        <v>5000</v>
      </c>
      <c r="L273" s="1538">
        <v>5000</v>
      </c>
      <c r="M273" s="1586">
        <v>0.02</v>
      </c>
      <c r="N273" s="1586">
        <v>0.02</v>
      </c>
      <c r="O273" s="1586">
        <v>0.02</v>
      </c>
      <c r="P273" s="1586">
        <v>0.02</v>
      </c>
      <c r="Q273" s="1586">
        <v>0.02</v>
      </c>
      <c r="R273" s="1500"/>
    </row>
    <row r="274" spans="1:18">
      <c r="A274"/>
      <c r="B274"/>
      <c r="C274"/>
      <c r="D274"/>
      <c r="E274" s="1233" t="s">
        <v>2812</v>
      </c>
      <c r="F274" s="1145"/>
      <c r="H274" s="1500" t="str">
        <f t="shared" si="2"/>
        <v>Travelling &amp; communication</v>
      </c>
      <c r="I274" s="1622" t="s">
        <v>2456</v>
      </c>
      <c r="K274" s="1538">
        <v>5000</v>
      </c>
      <c r="L274" s="1538">
        <v>5000</v>
      </c>
      <c r="M274" s="1586">
        <v>0.02</v>
      </c>
      <c r="N274" s="1586">
        <v>0.02</v>
      </c>
      <c r="O274" s="1586">
        <v>0.02</v>
      </c>
      <c r="P274" s="1586">
        <v>0.02</v>
      </c>
      <c r="Q274" s="1586">
        <v>0.02</v>
      </c>
      <c r="R274" s="1500"/>
    </row>
    <row r="275" spans="1:18">
      <c r="A275"/>
      <c r="B275"/>
      <c r="C275"/>
      <c r="D275"/>
      <c r="E275" s="1233"/>
      <c r="F275" s="1145"/>
      <c r="H275" s="1500" t="str">
        <f t="shared" si="2"/>
        <v>Marketing &amp; PR cost</v>
      </c>
      <c r="I275" s="1622" t="s">
        <v>2456</v>
      </c>
      <c r="K275" s="1538">
        <v>5000</v>
      </c>
      <c r="L275" s="1538">
        <v>5000</v>
      </c>
      <c r="M275" s="1586">
        <v>0.02</v>
      </c>
      <c r="N275" s="1586">
        <v>0.02</v>
      </c>
      <c r="O275" s="1586">
        <v>0.02</v>
      </c>
      <c r="P275" s="1586">
        <v>0.02</v>
      </c>
      <c r="Q275" s="1586">
        <v>0.02</v>
      </c>
      <c r="R275" s="1500"/>
    </row>
    <row r="276" spans="1:18">
      <c r="A276"/>
      <c r="B276"/>
      <c r="C276"/>
      <c r="D276"/>
      <c r="E276" s="1233"/>
      <c r="F276" s="1145"/>
      <c r="H276" s="1500" t="str">
        <f t="shared" si="2"/>
        <v>Office &amp; sundry expenses</v>
      </c>
      <c r="I276" s="1622" t="s">
        <v>2456</v>
      </c>
      <c r="K276" s="1538">
        <v>5000</v>
      </c>
      <c r="L276" s="1538">
        <v>5000</v>
      </c>
      <c r="M276" s="1586">
        <v>0.02</v>
      </c>
      <c r="N276" s="1586">
        <v>0.02</v>
      </c>
      <c r="O276" s="1586">
        <v>0.02</v>
      </c>
      <c r="P276" s="1586">
        <v>0.02</v>
      </c>
      <c r="Q276" s="1586">
        <v>0.02</v>
      </c>
      <c r="R276" s="1500"/>
    </row>
    <row r="277" spans="1:18">
      <c r="A277"/>
      <c r="B277"/>
      <c r="C277"/>
      <c r="D277"/>
      <c r="E277" s="1233" t="s">
        <v>2812</v>
      </c>
      <c r="F277" s="1145"/>
      <c r="H277" s="1500" t="str">
        <f t="shared" si="2"/>
        <v>Printing &amp; Stationery</v>
      </c>
      <c r="I277" s="1622" t="s">
        <v>2456</v>
      </c>
      <c r="K277" s="1538">
        <v>5000</v>
      </c>
      <c r="L277" s="1538">
        <v>5000</v>
      </c>
      <c r="M277" s="1586">
        <v>0.02</v>
      </c>
      <c r="N277" s="1586">
        <v>0.02</v>
      </c>
      <c r="O277" s="1586">
        <v>0.02</v>
      </c>
      <c r="P277" s="1586">
        <v>0.02</v>
      </c>
      <c r="Q277" s="1586">
        <v>0.02</v>
      </c>
      <c r="R277" s="1500"/>
    </row>
    <row r="278" spans="1:18">
      <c r="A278"/>
      <c r="B278"/>
      <c r="C278"/>
      <c r="D278"/>
      <c r="E278" s="1233" t="s">
        <v>2812</v>
      </c>
      <c r="F278" s="1145"/>
      <c r="H278" s="1500" t="str">
        <f t="shared" si="2"/>
        <v>Utilities</v>
      </c>
      <c r="I278" s="1622" t="s">
        <v>2456</v>
      </c>
      <c r="K278" s="1538">
        <v>5000</v>
      </c>
      <c r="L278" s="1538">
        <v>5000</v>
      </c>
      <c r="M278" s="1586">
        <v>0.02</v>
      </c>
      <c r="N278" s="1586">
        <v>0.02</v>
      </c>
      <c r="O278" s="1586">
        <v>0.02</v>
      </c>
      <c r="P278" s="1586">
        <v>0.02</v>
      </c>
      <c r="Q278" s="1586">
        <v>0.02</v>
      </c>
      <c r="R278" s="1500"/>
    </row>
    <row r="279" spans="1:18">
      <c r="A279"/>
      <c r="B279"/>
      <c r="C279"/>
      <c r="D279"/>
      <c r="E279" s="1233" t="s">
        <v>2812</v>
      </c>
      <c r="F279" s="1145"/>
      <c r="H279" s="1500" t="str">
        <f t="shared" si="2"/>
        <v>Finance cost - Interest</v>
      </c>
      <c r="I279" s="1622" t="s">
        <v>2456</v>
      </c>
      <c r="K279" s="1538">
        <v>5000</v>
      </c>
      <c r="L279" s="1538">
        <v>5000</v>
      </c>
      <c r="M279" s="1586">
        <v>0.02</v>
      </c>
      <c r="N279" s="1586">
        <v>0.02</v>
      </c>
      <c r="O279" s="1586">
        <v>0.02</v>
      </c>
      <c r="P279" s="1586">
        <v>0.02</v>
      </c>
      <c r="Q279" s="1586">
        <v>0.02</v>
      </c>
      <c r="R279" s="1500"/>
    </row>
    <row r="280" spans="1:18">
      <c r="A280"/>
      <c r="B280"/>
      <c r="C280"/>
      <c r="D280"/>
      <c r="E280" s="1233" t="s">
        <v>2812</v>
      </c>
      <c r="F280" s="1145"/>
      <c r="H280" s="1500" t="str">
        <f t="shared" si="2"/>
        <v>Bank Charges</v>
      </c>
      <c r="I280" s="1622" t="s">
        <v>2456</v>
      </c>
      <c r="K280" s="1538">
        <v>5000</v>
      </c>
      <c r="L280" s="1538">
        <v>5000</v>
      </c>
      <c r="M280" s="1586">
        <v>0.02</v>
      </c>
      <c r="N280" s="1586">
        <v>0.02</v>
      </c>
      <c r="O280" s="1586">
        <v>0.02</v>
      </c>
      <c r="P280" s="1586">
        <v>0.02</v>
      </c>
      <c r="Q280" s="1586">
        <v>0.02</v>
      </c>
      <c r="R280" s="1500"/>
    </row>
    <row r="281" spans="1:18" ht="90">
      <c r="A281"/>
      <c r="B281"/>
      <c r="C281"/>
      <c r="D281"/>
      <c r="E281" s="1233" t="s">
        <v>2812</v>
      </c>
      <c r="F281" s="1145"/>
      <c r="G281" s="1643"/>
      <c r="H281" s="1798" t="s">
        <v>1564</v>
      </c>
      <c r="I281" s="1644" t="s">
        <v>3023</v>
      </c>
      <c r="J281" s="1644" t="s">
        <v>3022</v>
      </c>
      <c r="K281" s="1645">
        <v>200000</v>
      </c>
      <c r="L281" s="1645">
        <v>200000</v>
      </c>
      <c r="M281" s="1646">
        <v>0.02</v>
      </c>
      <c r="N281" s="1647">
        <v>0.02</v>
      </c>
      <c r="O281" s="1647">
        <v>0.02</v>
      </c>
      <c r="P281" s="1647">
        <v>0.02</v>
      </c>
      <c r="Q281" s="1647">
        <v>0.02</v>
      </c>
    </row>
    <row r="282" spans="1:18">
      <c r="A282"/>
      <c r="B282"/>
      <c r="C282"/>
      <c r="D282"/>
      <c r="E282" s="1233" t="s">
        <v>2812</v>
      </c>
      <c r="F282" s="1145"/>
    </row>
    <row r="283" spans="1:18">
      <c r="A283"/>
      <c r="B283"/>
      <c r="C283"/>
      <c r="D283"/>
      <c r="E283" s="1233" t="s">
        <v>2812</v>
      </c>
      <c r="F283" s="1513">
        <f>F247+1</f>
        <v>5</v>
      </c>
      <c r="G283" s="1514"/>
      <c r="H283" s="1513" t="s">
        <v>1976</v>
      </c>
      <c r="I283" s="1623"/>
      <c r="J283" s="1514"/>
      <c r="K283" s="1514"/>
      <c r="L283" s="1514"/>
      <c r="M283" s="1514"/>
      <c r="N283" s="1514"/>
      <c r="O283" s="1516"/>
      <c r="P283" s="1514"/>
      <c r="Q283" s="1514"/>
      <c r="R283" s="1500"/>
    </row>
    <row r="284" spans="1:18" ht="120">
      <c r="A284"/>
      <c r="B284"/>
      <c r="C284"/>
      <c r="D284"/>
      <c r="E284" s="1233" t="s">
        <v>2812</v>
      </c>
      <c r="F284" s="1145"/>
      <c r="H284" s="1500"/>
      <c r="I284" s="1506" t="s">
        <v>2979</v>
      </c>
      <c r="J284" s="1500" t="s">
        <v>2980</v>
      </c>
      <c r="K284" s="1631" t="s">
        <v>2365</v>
      </c>
      <c r="Q284" s="1500"/>
      <c r="R284" s="1500"/>
    </row>
    <row r="285" spans="1:18">
      <c r="A285"/>
      <c r="B285"/>
      <c r="C285"/>
      <c r="D285"/>
      <c r="E285" s="1233" t="s">
        <v>2812</v>
      </c>
      <c r="F285" s="1145"/>
      <c r="H285" s="1500"/>
      <c r="I285" s="1500"/>
      <c r="Q285" s="1500"/>
      <c r="R285" s="1500"/>
    </row>
    <row r="286" spans="1:18">
      <c r="A286"/>
      <c r="B286"/>
      <c r="C286"/>
      <c r="D286"/>
      <c r="E286" s="1233" t="s">
        <v>2812</v>
      </c>
      <c r="F286" s="1145"/>
      <c r="G286" s="1498" t="s">
        <v>2457</v>
      </c>
      <c r="H286" s="1500"/>
      <c r="I286" s="1500"/>
      <c r="K286" s="1510" t="s">
        <v>1975</v>
      </c>
      <c r="L286" s="1510" t="s">
        <v>2432</v>
      </c>
      <c r="M286" s="1510" t="str">
        <f>M269</f>
        <v>Year 1</v>
      </c>
      <c r="N286" s="1510" t="str">
        <f>N269</f>
        <v>Year 2</v>
      </c>
      <c r="O286" s="1617" t="str">
        <f>O269</f>
        <v>Year 3</v>
      </c>
      <c r="P286" s="1510" t="str">
        <f>P269</f>
        <v>Year 4</v>
      </c>
      <c r="Q286" s="1510" t="str">
        <f>Q269</f>
        <v>Year 5</v>
      </c>
      <c r="R286" s="1500"/>
    </row>
    <row r="287" spans="1:18" ht="45">
      <c r="A287"/>
      <c r="B287"/>
      <c r="C287"/>
      <c r="D287"/>
      <c r="E287" s="1233" t="s">
        <v>2812</v>
      </c>
      <c r="F287" s="1145"/>
      <c r="H287" s="1499" t="s">
        <v>2039</v>
      </c>
      <c r="I287" s="1501" t="s">
        <v>2458</v>
      </c>
      <c r="K287" s="1585"/>
      <c r="L287" s="1585"/>
      <c r="M287" s="1585"/>
      <c r="N287" s="1585"/>
      <c r="O287" s="1624"/>
      <c r="P287" s="1585"/>
      <c r="Q287" s="1625"/>
      <c r="R287" s="1552" t="s">
        <v>2459</v>
      </c>
    </row>
    <row r="288" spans="1:18" ht="30">
      <c r="A288"/>
      <c r="B288"/>
      <c r="C288"/>
      <c r="D288"/>
      <c r="E288" s="1233" t="s">
        <v>2812</v>
      </c>
      <c r="F288" s="1145"/>
      <c r="H288" s="1500" t="s">
        <v>2040</v>
      </c>
      <c r="I288" s="1501" t="s">
        <v>2460</v>
      </c>
      <c r="K288" s="1585"/>
      <c r="L288" s="1585"/>
      <c r="M288" s="1585"/>
      <c r="N288" s="1585"/>
      <c r="O288" s="1624"/>
      <c r="P288" s="1585"/>
      <c r="Q288" s="1625"/>
    </row>
    <row r="289" spans="1:18" ht="30">
      <c r="A289"/>
      <c r="B289"/>
      <c r="C289"/>
      <c r="D289"/>
      <c r="E289" s="1233" t="s">
        <v>2812</v>
      </c>
      <c r="F289" s="1145"/>
      <c r="H289" s="1500" t="s">
        <v>2041</v>
      </c>
      <c r="I289" s="1501" t="s">
        <v>2461</v>
      </c>
      <c r="K289" s="1585"/>
      <c r="L289" s="1585"/>
      <c r="M289" s="1585"/>
      <c r="N289" s="1585"/>
      <c r="O289" s="1624"/>
      <c r="P289" s="1585"/>
      <c r="Q289" s="1625"/>
    </row>
    <row r="290" spans="1:18">
      <c r="A290"/>
      <c r="B290"/>
      <c r="C290"/>
      <c r="D290"/>
      <c r="E290" s="1233" t="s">
        <v>2812</v>
      </c>
      <c r="F290" s="1145"/>
      <c r="H290" s="1500" t="s">
        <v>2042</v>
      </c>
      <c r="I290" s="1501" t="s">
        <v>2462</v>
      </c>
      <c r="K290" s="1585"/>
      <c r="L290" s="1585"/>
      <c r="M290" s="1585"/>
      <c r="N290" s="1585"/>
      <c r="O290" s="1624"/>
      <c r="P290" s="1585"/>
      <c r="Q290" s="1625"/>
    </row>
    <row r="291" spans="1:18">
      <c r="A291"/>
      <c r="B291"/>
      <c r="C291"/>
      <c r="D291"/>
      <c r="E291" s="1233" t="s">
        <v>2812</v>
      </c>
      <c r="F291" s="1145"/>
    </row>
    <row r="292" spans="1:18">
      <c r="A292"/>
      <c r="B292"/>
      <c r="C292"/>
      <c r="D292"/>
      <c r="E292" s="1233" t="s">
        <v>2812</v>
      </c>
      <c r="F292" s="1145"/>
      <c r="G292" s="1498" t="s">
        <v>2463</v>
      </c>
      <c r="K292" s="1585"/>
      <c r="L292" s="1585"/>
      <c r="M292" s="1585"/>
      <c r="N292" s="1585"/>
      <c r="O292" s="1624"/>
      <c r="P292" s="1585"/>
      <c r="Q292" s="1625"/>
    </row>
    <row r="293" spans="1:18">
      <c r="A293"/>
      <c r="B293"/>
      <c r="C293"/>
      <c r="D293"/>
      <c r="E293" s="1233" t="s">
        <v>2812</v>
      </c>
      <c r="F293" s="1145"/>
      <c r="G293" s="1498"/>
      <c r="K293" s="1499"/>
      <c r="L293" s="1499"/>
      <c r="M293" s="1501"/>
      <c r="N293" s="1501"/>
      <c r="O293" s="1581"/>
      <c r="P293" s="1501"/>
      <c r="Q293" s="1501"/>
    </row>
    <row r="294" spans="1:18">
      <c r="A294"/>
      <c r="B294"/>
      <c r="C294"/>
      <c r="D294"/>
      <c r="E294" s="1233" t="s">
        <v>2812</v>
      </c>
      <c r="F294" s="1145"/>
      <c r="G294" s="1498" t="s">
        <v>2464</v>
      </c>
      <c r="I294" s="1501" t="s">
        <v>2465</v>
      </c>
      <c r="J294" s="1500" t="s">
        <v>2981</v>
      </c>
      <c r="K294" s="1585"/>
      <c r="L294" s="1585"/>
      <c r="M294" s="1585"/>
      <c r="N294" s="1585"/>
      <c r="O294" s="1624"/>
      <c r="P294" s="1585"/>
      <c r="Q294" s="1625"/>
    </row>
    <row r="295" spans="1:18">
      <c r="A295"/>
      <c r="B295"/>
      <c r="C295"/>
      <c r="D295"/>
      <c r="E295" s="1233" t="s">
        <v>2812</v>
      </c>
      <c r="F295" s="1145"/>
    </row>
    <row r="296" spans="1:18">
      <c r="A296"/>
      <c r="B296"/>
      <c r="C296"/>
      <c r="D296"/>
      <c r="E296" s="1233" t="s">
        <v>2812</v>
      </c>
      <c r="F296" s="1513">
        <f>F283+1</f>
        <v>6</v>
      </c>
      <c r="G296" s="1514"/>
      <c r="H296" s="1513" t="s">
        <v>2466</v>
      </c>
      <c r="I296" s="1613"/>
      <c r="J296" s="1514"/>
      <c r="K296" s="1514"/>
      <c r="L296" s="1514"/>
      <c r="M296" s="1514"/>
      <c r="N296" s="1514"/>
      <c r="O296" s="1516"/>
      <c r="P296" s="1514"/>
      <c r="Q296" s="1517"/>
    </row>
    <row r="297" spans="1:18" ht="120">
      <c r="A297"/>
      <c r="B297"/>
      <c r="C297"/>
      <c r="D297"/>
      <c r="E297" s="1233" t="s">
        <v>2812</v>
      </c>
      <c r="F297" s="1145"/>
      <c r="H297" s="1791"/>
      <c r="I297" s="1525" t="s">
        <v>2982</v>
      </c>
      <c r="J297" s="1626"/>
      <c r="K297" s="1626"/>
      <c r="L297" s="1626"/>
      <c r="M297" s="1626"/>
      <c r="N297" s="1626"/>
      <c r="O297" s="1620"/>
      <c r="P297" s="1626"/>
      <c r="Q297" s="1627"/>
    </row>
    <row r="298" spans="1:18">
      <c r="A298"/>
      <c r="B298"/>
      <c r="C298"/>
      <c r="D298"/>
      <c r="E298" s="1233" t="s">
        <v>2812</v>
      </c>
      <c r="F298" s="1145"/>
    </row>
    <row r="299" spans="1:18">
      <c r="A299"/>
      <c r="B299"/>
      <c r="C299"/>
      <c r="D299"/>
      <c r="E299" s="1233" t="s">
        <v>2812</v>
      </c>
      <c r="F299" s="1145"/>
      <c r="H299" s="1583" t="s">
        <v>1526</v>
      </c>
      <c r="L299" s="1510" t="str">
        <f>L254</f>
        <v>Current Year</v>
      </c>
      <c r="M299" s="1510" t="str">
        <f t="shared" ref="M299:Q299" si="3">M254</f>
        <v>Year 1</v>
      </c>
      <c r="N299" s="1510" t="str">
        <f t="shared" si="3"/>
        <v>Year 2</v>
      </c>
      <c r="O299" s="1617" t="str">
        <f t="shared" si="3"/>
        <v>Year 3</v>
      </c>
      <c r="P299" s="1510" t="str">
        <f t="shared" si="3"/>
        <v>Year 4</v>
      </c>
      <c r="Q299" s="1628" t="str">
        <f t="shared" si="3"/>
        <v>Year 5</v>
      </c>
    </row>
    <row r="300" spans="1:18" ht="30">
      <c r="A300"/>
      <c r="B300"/>
      <c r="C300"/>
      <c r="D300"/>
      <c r="E300" s="1233" t="s">
        <v>2812</v>
      </c>
      <c r="F300" s="1145"/>
      <c r="H300" s="1499" t="s">
        <v>2467</v>
      </c>
      <c r="I300" s="1501" t="s">
        <v>2468</v>
      </c>
      <c r="L300" s="1585">
        <v>-20</v>
      </c>
      <c r="M300" s="1585">
        <v>-20</v>
      </c>
      <c r="N300" s="1585">
        <v>-20</v>
      </c>
      <c r="O300" s="1585">
        <v>-20</v>
      </c>
      <c r="P300" s="1585">
        <v>-20</v>
      </c>
      <c r="Q300" s="1585">
        <v>-20</v>
      </c>
      <c r="R300" s="1552" t="s">
        <v>2469</v>
      </c>
    </row>
    <row r="301" spans="1:18">
      <c r="A301"/>
      <c r="B301"/>
      <c r="C301"/>
      <c r="D301"/>
      <c r="E301" s="1233" t="s">
        <v>2812</v>
      </c>
      <c r="F301" s="1145"/>
      <c r="H301" s="1499" t="s">
        <v>2470</v>
      </c>
      <c r="I301" s="1499" t="s">
        <v>2471</v>
      </c>
      <c r="L301" s="1585"/>
      <c r="M301" s="1585"/>
      <c r="N301" s="1585"/>
      <c r="O301" s="1624"/>
      <c r="P301" s="1585"/>
      <c r="Q301" s="1585"/>
      <c r="R301" s="1552" t="s">
        <v>2469</v>
      </c>
    </row>
    <row r="302" spans="1:18">
      <c r="A302"/>
      <c r="B302"/>
      <c r="C302"/>
      <c r="D302"/>
      <c r="E302" s="1233" t="s">
        <v>2812</v>
      </c>
      <c r="F302" s="1145"/>
      <c r="H302" s="1499" t="s">
        <v>2472</v>
      </c>
      <c r="I302" s="1499" t="s">
        <v>2473</v>
      </c>
      <c r="L302" s="1585"/>
      <c r="M302" s="1585"/>
      <c r="N302" s="1585"/>
      <c r="O302" s="1624"/>
      <c r="P302" s="1585"/>
      <c r="Q302" s="1585"/>
      <c r="R302" s="1552" t="s">
        <v>2469</v>
      </c>
    </row>
    <row r="303" spans="1:18">
      <c r="A303"/>
      <c r="B303"/>
      <c r="C303"/>
      <c r="D303"/>
      <c r="E303" s="1233" t="s">
        <v>2812</v>
      </c>
      <c r="F303" s="1145"/>
      <c r="H303" s="1499" t="s">
        <v>2474</v>
      </c>
      <c r="I303" s="1499" t="s">
        <v>2475</v>
      </c>
      <c r="L303" s="1585"/>
      <c r="M303" s="1585"/>
      <c r="N303" s="1585"/>
      <c r="O303" s="1624"/>
      <c r="P303" s="1585"/>
      <c r="Q303" s="1585"/>
      <c r="R303" s="1552" t="s">
        <v>2469</v>
      </c>
    </row>
    <row r="304" spans="1:18">
      <c r="A304"/>
      <c r="B304"/>
      <c r="C304"/>
      <c r="D304"/>
      <c r="E304" s="1233" t="s">
        <v>2812</v>
      </c>
      <c r="F304" s="1145"/>
      <c r="I304" s="1583"/>
      <c r="Q304" s="1500"/>
    </row>
    <row r="305" spans="1:22">
      <c r="A305"/>
      <c r="B305"/>
      <c r="C305"/>
      <c r="D305"/>
      <c r="E305" s="1233" t="s">
        <v>2812</v>
      </c>
      <c r="F305" s="1145"/>
      <c r="H305" s="1583" t="s">
        <v>1903</v>
      </c>
      <c r="I305" s="1583"/>
      <c r="Q305" s="1500"/>
    </row>
    <row r="306" spans="1:22" ht="45">
      <c r="A306"/>
      <c r="B306"/>
      <c r="C306"/>
      <c r="D306"/>
      <c r="E306" s="1233" t="s">
        <v>2812</v>
      </c>
      <c r="F306" s="1145"/>
      <c r="H306" s="1499" t="s">
        <v>2476</v>
      </c>
      <c r="I306" s="1501" t="s">
        <v>2477</v>
      </c>
      <c r="L306" s="1585">
        <v>-40</v>
      </c>
      <c r="M306" s="1585">
        <v>-40</v>
      </c>
      <c r="N306" s="1585">
        <v>-40</v>
      </c>
      <c r="O306" s="1585">
        <v>-40</v>
      </c>
      <c r="P306" s="1585">
        <v>-40</v>
      </c>
      <c r="Q306" s="1585">
        <v>-40</v>
      </c>
      <c r="R306" s="1552" t="s">
        <v>2469</v>
      </c>
    </row>
    <row r="307" spans="1:22">
      <c r="A307"/>
      <c r="B307"/>
      <c r="C307"/>
      <c r="D307"/>
      <c r="E307" s="1233" t="s">
        <v>2812</v>
      </c>
      <c r="F307" s="1145"/>
      <c r="H307" s="1499" t="s">
        <v>2478</v>
      </c>
      <c r="I307" s="1501" t="s">
        <v>2479</v>
      </c>
      <c r="L307" s="1585"/>
      <c r="M307" s="1585"/>
      <c r="N307" s="1585"/>
      <c r="O307" s="1624"/>
      <c r="P307" s="1585"/>
      <c r="Q307" s="1585"/>
      <c r="R307" s="1552" t="s">
        <v>2469</v>
      </c>
    </row>
    <row r="308" spans="1:22">
      <c r="A308"/>
      <c r="B308"/>
      <c r="C308"/>
      <c r="D308"/>
      <c r="E308" s="1233" t="s">
        <v>2812</v>
      </c>
      <c r="F308" s="1145"/>
      <c r="H308" s="1499" t="s">
        <v>2480</v>
      </c>
      <c r="I308" s="1499" t="s">
        <v>2481</v>
      </c>
      <c r="L308" s="1585"/>
      <c r="M308" s="1585"/>
      <c r="N308" s="1585"/>
      <c r="O308" s="1624"/>
      <c r="P308" s="1585"/>
      <c r="Q308" s="1585"/>
      <c r="R308" s="1552" t="s">
        <v>2469</v>
      </c>
    </row>
    <row r="309" spans="1:22">
      <c r="A309"/>
      <c r="B309"/>
      <c r="C309"/>
      <c r="D309"/>
      <c r="E309" s="1233" t="s">
        <v>2812</v>
      </c>
      <c r="F309" s="1145"/>
      <c r="H309" s="1499" t="s">
        <v>2482</v>
      </c>
      <c r="I309" s="1499" t="s">
        <v>2483</v>
      </c>
      <c r="L309" s="1585"/>
      <c r="M309" s="1585"/>
      <c r="N309" s="1585"/>
      <c r="O309" s="1624"/>
      <c r="P309" s="1585"/>
      <c r="Q309" s="1585"/>
      <c r="R309" s="1552" t="s">
        <v>2469</v>
      </c>
    </row>
    <row r="310" spans="1:22">
      <c r="A310"/>
      <c r="B310"/>
      <c r="C310"/>
      <c r="D310"/>
      <c r="E310" s="1233" t="s">
        <v>2812</v>
      </c>
      <c r="F310" s="1145"/>
      <c r="H310" s="1499" t="s">
        <v>2484</v>
      </c>
      <c r="I310" s="1499" t="s">
        <v>2485</v>
      </c>
      <c r="L310" s="1585"/>
      <c r="M310" s="1585"/>
      <c r="N310" s="1585"/>
      <c r="O310" s="1624"/>
      <c r="P310" s="1585"/>
      <c r="Q310" s="1585"/>
    </row>
    <row r="311" spans="1:22">
      <c r="A311"/>
      <c r="B311"/>
      <c r="C311"/>
      <c r="D311"/>
      <c r="E311" s="1233" t="s">
        <v>2812</v>
      </c>
      <c r="F311" s="1145"/>
      <c r="I311" s="1583"/>
    </row>
    <row r="312" spans="1:22">
      <c r="A312"/>
      <c r="B312"/>
      <c r="C312"/>
      <c r="D312"/>
      <c r="E312" s="1233" t="s">
        <v>2812</v>
      </c>
      <c r="F312" s="1145"/>
    </row>
    <row r="313" spans="1:22">
      <c r="A313"/>
      <c r="B313"/>
      <c r="C313"/>
      <c r="D313"/>
      <c r="E313" s="1233" t="s">
        <v>2812</v>
      </c>
      <c r="F313" s="1145"/>
      <c r="H313" s="1799" t="s">
        <v>2486</v>
      </c>
      <c r="I313" s="1499" t="s">
        <v>2487</v>
      </c>
    </row>
    <row r="314" spans="1:22">
      <c r="A314"/>
      <c r="B314"/>
      <c r="C314"/>
      <c r="D314"/>
      <c r="E314" s="1233" t="s">
        <v>2812</v>
      </c>
      <c r="F314" s="1145"/>
    </row>
    <row r="315" spans="1:22">
      <c r="A315"/>
      <c r="B315"/>
      <c r="C315"/>
      <c r="D315"/>
      <c r="E315" s="1233" t="s">
        <v>2812</v>
      </c>
      <c r="F315" s="1145"/>
      <c r="H315" s="1583" t="s">
        <v>1526</v>
      </c>
      <c r="L315" s="1510" t="str">
        <f>L299</f>
        <v>Current Year</v>
      </c>
      <c r="M315" s="1510" t="str">
        <f t="shared" ref="M315:Q315" si="4">M299</f>
        <v>Year 1</v>
      </c>
      <c r="N315" s="1510" t="str">
        <f t="shared" si="4"/>
        <v>Year 2</v>
      </c>
      <c r="O315" s="1617" t="str">
        <f t="shared" si="4"/>
        <v>Year 3</v>
      </c>
      <c r="P315" s="1510" t="str">
        <f t="shared" si="4"/>
        <v>Year 4</v>
      </c>
      <c r="Q315" s="1628" t="str">
        <f t="shared" si="4"/>
        <v>Year 5</v>
      </c>
    </row>
    <row r="316" spans="1:22" ht="30">
      <c r="A316"/>
      <c r="B316"/>
      <c r="C316"/>
      <c r="D316"/>
      <c r="E316" s="1233" t="s">
        <v>2812</v>
      </c>
      <c r="F316" s="1145"/>
      <c r="H316" s="1499" t="s">
        <v>2467</v>
      </c>
      <c r="L316" s="1585">
        <v>60</v>
      </c>
      <c r="M316" s="1585">
        <v>60</v>
      </c>
      <c r="N316" s="1585">
        <v>60</v>
      </c>
      <c r="O316" s="1585">
        <v>60</v>
      </c>
      <c r="P316" s="1585">
        <v>60</v>
      </c>
      <c r="Q316" s="1585">
        <v>60</v>
      </c>
      <c r="R316" s="1552" t="s">
        <v>2488</v>
      </c>
    </row>
    <row r="317" spans="1:22">
      <c r="A317"/>
      <c r="B317"/>
      <c r="C317"/>
      <c r="D317"/>
      <c r="E317" s="1233" t="s">
        <v>2812</v>
      </c>
      <c r="F317" s="1145"/>
      <c r="H317" s="1499" t="s">
        <v>2470</v>
      </c>
      <c r="I317" s="1499"/>
      <c r="L317" s="1585">
        <v>45</v>
      </c>
      <c r="M317" s="1585">
        <v>45</v>
      </c>
      <c r="N317" s="1585">
        <v>45</v>
      </c>
      <c r="O317" s="1585">
        <v>45</v>
      </c>
      <c r="P317" s="1585">
        <v>45</v>
      </c>
      <c r="Q317" s="1585">
        <v>45</v>
      </c>
      <c r="R317" s="1500" t="s">
        <v>2489</v>
      </c>
    </row>
    <row r="318" spans="1:22">
      <c r="A318"/>
      <c r="B318"/>
      <c r="C318"/>
      <c r="D318"/>
      <c r="E318" s="1233" t="s">
        <v>2812</v>
      </c>
      <c r="F318" s="1145"/>
      <c r="H318" s="1499" t="s">
        <v>2472</v>
      </c>
      <c r="I318" s="1499"/>
      <c r="L318" s="1585">
        <v>60</v>
      </c>
      <c r="M318" s="1585">
        <v>60</v>
      </c>
      <c r="N318" s="1585">
        <v>60</v>
      </c>
      <c r="O318" s="1585">
        <v>60</v>
      </c>
      <c r="P318" s="1585">
        <v>60</v>
      </c>
      <c r="Q318" s="1585">
        <v>60</v>
      </c>
    </row>
    <row r="319" spans="1:22">
      <c r="A319"/>
      <c r="B319"/>
      <c r="C319"/>
      <c r="D319"/>
      <c r="E319" s="1233" t="s">
        <v>2812</v>
      </c>
      <c r="F319" s="1145"/>
      <c r="H319" s="1499" t="s">
        <v>2474</v>
      </c>
      <c r="I319" s="1499"/>
      <c r="L319" s="1585">
        <v>30</v>
      </c>
      <c r="M319" s="1585">
        <v>30</v>
      </c>
      <c r="N319" s="1585">
        <v>30</v>
      </c>
      <c r="O319" s="1585">
        <v>30</v>
      </c>
      <c r="P319" s="1585">
        <v>30</v>
      </c>
      <c r="Q319" s="1585">
        <v>30</v>
      </c>
    </row>
    <row r="320" spans="1:22" s="1506" customFormat="1">
      <c r="A320"/>
      <c r="B320"/>
      <c r="C320"/>
      <c r="D320"/>
      <c r="E320" s="1233" t="s">
        <v>2812</v>
      </c>
      <c r="F320" s="1145"/>
      <c r="G320" s="1500"/>
      <c r="H320" s="1499"/>
      <c r="I320" s="1583"/>
      <c r="L320" s="1500"/>
      <c r="M320" s="1500"/>
      <c r="N320" s="1500"/>
      <c r="O320" s="1503"/>
      <c r="P320" s="1500"/>
      <c r="Q320" s="1500"/>
      <c r="S320" s="1500"/>
      <c r="T320" s="1500"/>
      <c r="U320" s="1500"/>
      <c r="V320" s="1500"/>
    </row>
    <row r="321" spans="1:23" s="1506" customFormat="1">
      <c r="A321"/>
      <c r="B321"/>
      <c r="C321"/>
      <c r="D321"/>
      <c r="E321" s="1233" t="s">
        <v>2812</v>
      </c>
      <c r="F321" s="1145"/>
      <c r="G321" s="1500"/>
      <c r="H321" s="1583" t="s">
        <v>1903</v>
      </c>
      <c r="I321" s="1583"/>
      <c r="L321" s="1500"/>
      <c r="M321" s="1500"/>
      <c r="N321" s="1500"/>
      <c r="O321" s="1503"/>
      <c r="P321" s="1500"/>
      <c r="Q321" s="1500"/>
      <c r="S321" s="1500"/>
      <c r="T321" s="1500"/>
      <c r="U321" s="1500"/>
      <c r="V321" s="1500"/>
    </row>
    <row r="322" spans="1:23" s="1506" customFormat="1">
      <c r="A322"/>
      <c r="B322"/>
      <c r="C322"/>
      <c r="D322"/>
      <c r="E322" s="1233" t="s">
        <v>2812</v>
      </c>
      <c r="F322" s="1145"/>
      <c r="G322" s="1500"/>
      <c r="H322" s="1499" t="s">
        <v>2476</v>
      </c>
      <c r="I322" s="1501"/>
      <c r="L322" s="1585">
        <v>45</v>
      </c>
      <c r="M322" s="1585">
        <v>45</v>
      </c>
      <c r="N322" s="1585">
        <v>45</v>
      </c>
      <c r="O322" s="1585">
        <v>45</v>
      </c>
      <c r="P322" s="1585">
        <v>45</v>
      </c>
      <c r="Q322" s="1585">
        <v>45</v>
      </c>
      <c r="S322" s="1500"/>
      <c r="T322" s="1500"/>
      <c r="U322" s="1500"/>
      <c r="V322" s="1500"/>
    </row>
    <row r="323" spans="1:23" s="1506" customFormat="1">
      <c r="A323"/>
      <c r="B323"/>
      <c r="C323"/>
      <c r="D323"/>
      <c r="E323" s="1233" t="s">
        <v>2812</v>
      </c>
      <c r="F323" s="1145"/>
      <c r="G323" s="1500"/>
      <c r="H323" s="1499" t="s">
        <v>2478</v>
      </c>
      <c r="I323" s="1501"/>
      <c r="L323" s="1585">
        <v>30</v>
      </c>
      <c r="M323" s="1585">
        <v>30</v>
      </c>
      <c r="N323" s="1585">
        <v>30</v>
      </c>
      <c r="O323" s="1585">
        <v>30</v>
      </c>
      <c r="P323" s="1585">
        <v>30</v>
      </c>
      <c r="Q323" s="1585">
        <v>30</v>
      </c>
      <c r="S323" s="1500"/>
      <c r="T323" s="1500"/>
      <c r="U323" s="1500"/>
      <c r="V323" s="1500"/>
    </row>
    <row r="324" spans="1:23" s="1506" customFormat="1">
      <c r="A324"/>
      <c r="B324"/>
      <c r="C324"/>
      <c r="D324"/>
      <c r="E324" s="1233" t="s">
        <v>2812</v>
      </c>
      <c r="F324" s="1145"/>
      <c r="G324" s="1500"/>
      <c r="H324" s="1499" t="s">
        <v>2480</v>
      </c>
      <c r="I324" s="1499"/>
      <c r="L324" s="1585">
        <v>45</v>
      </c>
      <c r="M324" s="1585">
        <v>45</v>
      </c>
      <c r="N324" s="1585">
        <v>45</v>
      </c>
      <c r="O324" s="1585">
        <v>45</v>
      </c>
      <c r="P324" s="1585">
        <v>45</v>
      </c>
      <c r="Q324" s="1585">
        <v>45</v>
      </c>
      <c r="S324" s="1500"/>
      <c r="T324" s="1500"/>
      <c r="U324" s="1500"/>
      <c r="V324" s="1500"/>
    </row>
    <row r="325" spans="1:23" s="1506" customFormat="1">
      <c r="A325"/>
      <c r="B325"/>
      <c r="C325"/>
      <c r="D325"/>
      <c r="E325" s="1233" t="s">
        <v>2812</v>
      </c>
      <c r="F325" s="1145"/>
      <c r="G325" s="1500"/>
      <c r="H325" s="1499" t="s">
        <v>2482</v>
      </c>
      <c r="I325" s="1499"/>
      <c r="L325" s="1585">
        <v>365</v>
      </c>
      <c r="M325" s="1585">
        <v>365</v>
      </c>
      <c r="N325" s="1585">
        <v>365</v>
      </c>
      <c r="O325" s="1585">
        <v>365</v>
      </c>
      <c r="P325" s="1585">
        <v>365</v>
      </c>
      <c r="Q325" s="1585">
        <v>365</v>
      </c>
      <c r="S325" s="1500"/>
      <c r="T325" s="1500"/>
      <c r="U325" s="1500"/>
      <c r="V325" s="1500"/>
    </row>
    <row r="326" spans="1:23" s="1506" customFormat="1">
      <c r="A326"/>
      <c r="B326"/>
      <c r="C326"/>
      <c r="D326"/>
      <c r="E326" s="1233" t="s">
        <v>2812</v>
      </c>
      <c r="F326" s="1145"/>
      <c r="G326" s="1500"/>
      <c r="H326" s="1499" t="s">
        <v>2484</v>
      </c>
      <c r="I326" s="1499"/>
      <c r="L326" s="1585">
        <v>30</v>
      </c>
      <c r="M326" s="1585">
        <v>30</v>
      </c>
      <c r="N326" s="1585">
        <v>30</v>
      </c>
      <c r="O326" s="1585">
        <v>30</v>
      </c>
      <c r="P326" s="1585">
        <v>30</v>
      </c>
      <c r="Q326" s="1585">
        <v>30</v>
      </c>
      <c r="S326" s="1500"/>
      <c r="T326" s="1500"/>
      <c r="U326" s="1500"/>
      <c r="V326" s="1500"/>
    </row>
    <row r="327" spans="1:23">
      <c r="A327"/>
      <c r="B327"/>
      <c r="C327"/>
      <c r="D327"/>
      <c r="E327" s="1233" t="s">
        <v>2812</v>
      </c>
      <c r="F327" s="1145"/>
    </row>
    <row r="328" spans="1:23">
      <c r="A328"/>
      <c r="B328"/>
      <c r="C328"/>
      <c r="D328"/>
      <c r="E328" s="1233" t="s">
        <v>2812</v>
      </c>
      <c r="F328" s="1513">
        <v>7</v>
      </c>
      <c r="G328" s="1514"/>
      <c r="H328" s="1513" t="s">
        <v>2668</v>
      </c>
      <c r="I328" s="1613"/>
      <c r="J328" s="1514"/>
      <c r="K328" s="1514"/>
      <c r="L328" s="1514"/>
      <c r="M328" s="1514"/>
      <c r="N328" s="1514"/>
      <c r="O328" s="1516"/>
      <c r="P328" s="1514"/>
      <c r="Q328" s="1517"/>
    </row>
    <row r="329" spans="1:23">
      <c r="A329"/>
      <c r="B329"/>
      <c r="C329"/>
      <c r="D329"/>
      <c r="E329" s="1233" t="s">
        <v>2812</v>
      </c>
      <c r="F329" s="1145"/>
    </row>
    <row r="330" spans="1:23" ht="30">
      <c r="A330"/>
      <c r="B330"/>
      <c r="C330"/>
      <c r="D330"/>
      <c r="E330" s="1233" t="s">
        <v>2812</v>
      </c>
      <c r="F330" s="1145"/>
      <c r="H330" s="1583" t="s">
        <v>2186</v>
      </c>
      <c r="I330" s="1501" t="s">
        <v>2983</v>
      </c>
      <c r="J330" s="1500" t="s">
        <v>2984</v>
      </c>
      <c r="L330" s="1585">
        <v>45</v>
      </c>
    </row>
    <row r="331" spans="1:23">
      <c r="A331"/>
      <c r="B331"/>
      <c r="C331"/>
      <c r="D331"/>
      <c r="E331" s="1233" t="s">
        <v>2812</v>
      </c>
      <c r="F331" s="1145"/>
      <c r="H331" s="1583"/>
      <c r="L331" s="1585"/>
    </row>
    <row r="332" spans="1:23" ht="75">
      <c r="A332"/>
      <c r="B332"/>
      <c r="C332"/>
      <c r="D332"/>
      <c r="E332" s="1233" t="s">
        <v>2812</v>
      </c>
      <c r="F332" s="1145"/>
      <c r="H332" s="1583" t="s">
        <v>2669</v>
      </c>
      <c r="I332" s="1501" t="s">
        <v>2985</v>
      </c>
      <c r="M332" s="1510" t="s">
        <v>3024</v>
      </c>
    </row>
    <row r="333" spans="1:23" s="1506" customFormat="1">
      <c r="A333"/>
      <c r="B333"/>
      <c r="C333"/>
      <c r="D333"/>
      <c r="E333" s="1233" t="s">
        <v>2812</v>
      </c>
      <c r="F333" s="1499"/>
      <c r="G333" s="1629" t="s">
        <v>2685</v>
      </c>
      <c r="H333" s="1583"/>
      <c r="I333" s="1501" t="s">
        <v>2684</v>
      </c>
      <c r="J333" s="1500" t="s">
        <v>2986</v>
      </c>
      <c r="K333" s="1500"/>
      <c r="L333" s="1585" t="s">
        <v>2686</v>
      </c>
      <c r="M333" s="1585">
        <v>50</v>
      </c>
      <c r="N333" s="1500"/>
      <c r="O333" s="1503"/>
      <c r="P333" s="1500"/>
      <c r="S333" s="1500"/>
      <c r="T333" s="1500"/>
      <c r="U333" s="1500"/>
      <c r="V333" s="1500"/>
      <c r="W333" s="1500"/>
    </row>
    <row r="334" spans="1:23" s="1506" customFormat="1">
      <c r="A334"/>
      <c r="B334"/>
      <c r="C334"/>
      <c r="D334"/>
      <c r="E334" s="1233" t="s">
        <v>2812</v>
      </c>
      <c r="F334" s="1499"/>
      <c r="G334" s="1629" t="s">
        <v>2686</v>
      </c>
      <c r="H334" s="1583"/>
      <c r="I334" s="1501" t="s">
        <v>2683</v>
      </c>
      <c r="J334" s="1500" t="s">
        <v>2987</v>
      </c>
      <c r="K334" s="1500"/>
      <c r="L334" s="1585" t="s">
        <v>2685</v>
      </c>
      <c r="M334" s="1585">
        <v>30</v>
      </c>
      <c r="N334" s="1500"/>
      <c r="O334" s="1503"/>
      <c r="P334" s="1500"/>
      <c r="S334" s="1500"/>
      <c r="T334" s="1500"/>
      <c r="U334" s="1500"/>
      <c r="V334" s="1500"/>
      <c r="W334" s="1500"/>
    </row>
    <row r="335" spans="1:23" s="1506" customFormat="1">
      <c r="A335"/>
      <c r="B335"/>
      <c r="C335"/>
      <c r="D335"/>
      <c r="E335" s="1233" t="s">
        <v>2812</v>
      </c>
      <c r="F335" s="1145"/>
      <c r="G335" s="1500"/>
      <c r="H335" s="1583"/>
      <c r="I335" s="1501"/>
      <c r="J335" s="1500"/>
      <c r="K335" s="1500"/>
      <c r="L335" s="1500"/>
      <c r="M335" s="1500"/>
      <c r="N335" s="1500"/>
      <c r="O335" s="1503"/>
      <c r="P335" s="1500"/>
      <c r="S335" s="1500"/>
      <c r="T335" s="1500"/>
      <c r="U335" s="1500"/>
      <c r="V335" s="1500"/>
      <c r="W335" s="1500"/>
    </row>
    <row r="336" spans="1:23" s="1506" customFormat="1" ht="30">
      <c r="A336"/>
      <c r="B336"/>
      <c r="C336"/>
      <c r="D336"/>
      <c r="E336" s="1233" t="s">
        <v>2812</v>
      </c>
      <c r="F336" s="1145"/>
      <c r="G336" s="1500"/>
      <c r="H336" s="1583" t="s">
        <v>2681</v>
      </c>
      <c r="I336" s="1501" t="s">
        <v>2682</v>
      </c>
      <c r="J336" s="1500" t="s">
        <v>2984</v>
      </c>
      <c r="K336" s="1500"/>
      <c r="L336" s="1585">
        <v>45</v>
      </c>
      <c r="M336" s="1500"/>
      <c r="N336" s="1500"/>
      <c r="O336" s="1503"/>
      <c r="P336" s="1500"/>
      <c r="S336" s="1500"/>
      <c r="T336" s="1500"/>
      <c r="U336" s="1500"/>
      <c r="V336" s="1500"/>
      <c r="W336" s="1500"/>
    </row>
    <row r="337" spans="1:23" s="1506" customFormat="1">
      <c r="A337"/>
      <c r="B337"/>
      <c r="C337"/>
      <c r="D337"/>
      <c r="E337" s="1233" t="s">
        <v>2812</v>
      </c>
      <c r="F337" s="1145"/>
      <c r="G337" s="1500"/>
      <c r="H337" s="1499"/>
      <c r="I337" s="1501"/>
      <c r="J337" s="1500"/>
      <c r="K337" s="1500"/>
      <c r="L337" s="1500"/>
      <c r="M337" s="1500"/>
      <c r="N337" s="1500"/>
      <c r="O337" s="1503"/>
      <c r="P337" s="1500"/>
      <c r="S337" s="1500"/>
      <c r="T337" s="1500"/>
      <c r="U337" s="1500"/>
      <c r="V337" s="1500"/>
      <c r="W337" s="1500"/>
    </row>
    <row r="338" spans="1:23" s="1506" customFormat="1">
      <c r="A338"/>
      <c r="B338"/>
      <c r="C338"/>
      <c r="D338"/>
      <c r="E338" s="1233" t="s">
        <v>2812</v>
      </c>
      <c r="F338" s="1513">
        <v>8</v>
      </c>
      <c r="G338" s="1514"/>
      <c r="H338" s="1513" t="s">
        <v>2834</v>
      </c>
      <c r="I338" s="1613"/>
      <c r="J338" s="1514"/>
      <c r="K338" s="1514"/>
      <c r="L338" s="1514"/>
      <c r="M338" s="1514"/>
      <c r="N338" s="1514"/>
      <c r="O338" s="1516"/>
      <c r="P338" s="1514"/>
      <c r="Q338" s="1517"/>
      <c r="S338" s="1500"/>
      <c r="T338" s="1500"/>
      <c r="U338" s="1500"/>
      <c r="V338" s="1500"/>
      <c r="W338" s="1500"/>
    </row>
    <row r="339" spans="1:23" s="1506" customFormat="1">
      <c r="A339"/>
      <c r="B339"/>
      <c r="C339"/>
      <c r="D339"/>
      <c r="E339" s="1233" t="s">
        <v>2812</v>
      </c>
      <c r="F339" s="1145"/>
      <c r="G339" s="1500"/>
      <c r="H339" s="1499"/>
      <c r="I339" s="1501"/>
      <c r="J339" s="1500"/>
      <c r="K339" s="1500"/>
      <c r="L339" s="1500"/>
      <c r="M339" s="1500"/>
      <c r="N339" s="1500"/>
      <c r="O339" s="1503"/>
      <c r="P339" s="1500"/>
      <c r="S339" s="1500"/>
      <c r="T339" s="1500"/>
      <c r="U339" s="1500"/>
      <c r="V339" s="1500"/>
      <c r="W339" s="1500"/>
    </row>
    <row r="340" spans="1:23" s="1506" customFormat="1" ht="30">
      <c r="A340"/>
      <c r="B340"/>
      <c r="C340"/>
      <c r="D340"/>
      <c r="E340" s="1233" t="s">
        <v>2812</v>
      </c>
      <c r="F340" s="1145"/>
      <c r="G340" s="1500"/>
      <c r="H340" s="1583" t="s">
        <v>2864</v>
      </c>
      <c r="I340" s="1630" t="s">
        <v>2869</v>
      </c>
      <c r="J340" s="72"/>
      <c r="K340" s="1500"/>
      <c r="L340" s="1631" t="s">
        <v>1359</v>
      </c>
      <c r="M340" s="1500"/>
      <c r="N340" s="1500"/>
      <c r="O340" s="1503"/>
      <c r="P340" s="1500"/>
      <c r="S340" s="1500"/>
      <c r="T340" s="1500"/>
      <c r="U340" s="1500"/>
      <c r="V340" s="1500"/>
      <c r="W340" s="1500"/>
    </row>
    <row r="341" spans="1:23" s="1506" customFormat="1">
      <c r="A341"/>
      <c r="B341"/>
      <c r="C341"/>
      <c r="D341"/>
      <c r="E341" s="1233" t="s">
        <v>2812</v>
      </c>
      <c r="F341" s="1145"/>
      <c r="G341" s="1500"/>
      <c r="H341" s="1583" t="s">
        <v>2865</v>
      </c>
      <c r="I341" s="1632" t="s">
        <v>2862</v>
      </c>
      <c r="J341" s="72"/>
      <c r="K341" s="1500"/>
      <c r="L341" s="1631" t="s">
        <v>1359</v>
      </c>
      <c r="M341" s="1500"/>
      <c r="N341" s="1500"/>
      <c r="O341" s="1503"/>
      <c r="P341" s="1500"/>
      <c r="S341" s="1500"/>
      <c r="T341" s="1500"/>
      <c r="U341" s="1500"/>
      <c r="V341" s="1500"/>
      <c r="W341" s="1500"/>
    </row>
    <row r="342" spans="1:23" s="1506" customFormat="1" ht="45">
      <c r="A342"/>
      <c r="B342"/>
      <c r="C342"/>
      <c r="D342"/>
      <c r="E342" s="1233" t="s">
        <v>2812</v>
      </c>
      <c r="F342" s="1145"/>
      <c r="G342" s="1500"/>
      <c r="H342" s="1583" t="s">
        <v>2837</v>
      </c>
      <c r="I342" s="1630" t="s">
        <v>2988</v>
      </c>
      <c r="J342" s="72"/>
      <c r="K342" s="1500"/>
      <c r="L342" s="1631" t="s">
        <v>1359</v>
      </c>
      <c r="M342" s="1500"/>
      <c r="N342" s="1500"/>
      <c r="O342" s="1503"/>
      <c r="P342" s="1500"/>
      <c r="S342" s="1500"/>
      <c r="T342" s="1500"/>
      <c r="U342" s="1500"/>
      <c r="V342" s="1500"/>
      <c r="W342" s="1500"/>
    </row>
    <row r="343" spans="1:23" s="1506" customFormat="1">
      <c r="A343"/>
      <c r="B343"/>
      <c r="C343"/>
      <c r="D343"/>
      <c r="E343" s="1233" t="s">
        <v>2812</v>
      </c>
      <c r="F343" s="1145"/>
      <c r="G343" s="1500"/>
      <c r="H343" s="1583" t="s">
        <v>2866</v>
      </c>
      <c r="I343" s="1632" t="s">
        <v>2863</v>
      </c>
      <c r="J343" s="72"/>
      <c r="K343" s="1500"/>
      <c r="L343" s="1631" t="s">
        <v>1359</v>
      </c>
      <c r="M343" s="1500"/>
      <c r="N343" s="1500"/>
      <c r="O343" s="1503"/>
      <c r="P343" s="1500"/>
      <c r="S343" s="1500"/>
      <c r="T343" s="1500"/>
      <c r="U343" s="1500"/>
      <c r="V343" s="1500"/>
      <c r="W343" s="1500"/>
    </row>
    <row r="344" spans="1:23" s="1506" customFormat="1">
      <c r="A344"/>
      <c r="B344"/>
      <c r="C344"/>
      <c r="D344"/>
      <c r="E344" s="1233" t="s">
        <v>2812</v>
      </c>
      <c r="F344" s="1145"/>
      <c r="G344" s="1500"/>
      <c r="H344" s="1583" t="s">
        <v>2867</v>
      </c>
      <c r="I344" s="1145" t="s">
        <v>2868</v>
      </c>
      <c r="J344" s="63"/>
      <c r="K344" s="1500"/>
      <c r="L344" s="1631" t="s">
        <v>1359</v>
      </c>
      <c r="M344" s="1500"/>
      <c r="N344" s="1500"/>
      <c r="O344" s="1503"/>
      <c r="P344" s="1500"/>
      <c r="S344" s="1500"/>
      <c r="T344" s="1500"/>
      <c r="U344" s="1500"/>
      <c r="V344" s="1500"/>
      <c r="W344" s="1500"/>
    </row>
    <row r="345" spans="1:23" s="1506" customFormat="1">
      <c r="A345"/>
      <c r="B345"/>
      <c r="C345"/>
      <c r="D345"/>
      <c r="E345" s="1233" t="s">
        <v>2812</v>
      </c>
      <c r="F345" s="1145"/>
      <c r="G345" s="1500"/>
      <c r="H345" s="1583" t="s">
        <v>2989</v>
      </c>
      <c r="I345" s="1501" t="s">
        <v>2990</v>
      </c>
      <c r="J345" s="1500"/>
      <c r="K345" s="1500"/>
      <c r="L345" s="1631" t="s">
        <v>1359</v>
      </c>
      <c r="M345" s="1500"/>
      <c r="N345" s="1500"/>
      <c r="O345" s="1503"/>
      <c r="P345" s="1500"/>
      <c r="S345" s="1500"/>
      <c r="T345" s="1500"/>
      <c r="U345" s="1500"/>
      <c r="V345" s="1500"/>
      <c r="W345" s="1500"/>
    </row>
    <row r="346" spans="1:23" s="1506" customFormat="1">
      <c r="A346"/>
      <c r="B346"/>
      <c r="C346"/>
      <c r="D346"/>
      <c r="E346"/>
      <c r="F346" s="1499"/>
      <c r="G346" s="1500"/>
      <c r="H346" s="1583"/>
      <c r="I346" s="1501"/>
      <c r="J346" s="1500"/>
      <c r="K346" s="1500"/>
      <c r="L346" s="1500"/>
      <c r="M346" s="1500"/>
      <c r="N346" s="1500"/>
      <c r="O346" s="1503"/>
      <c r="P346" s="1500"/>
      <c r="S346" s="1500"/>
      <c r="T346" s="1500"/>
      <c r="U346" s="1500"/>
      <c r="V346" s="1500"/>
      <c r="W346" s="1500"/>
    </row>
    <row r="347" spans="1:23" s="1506" customFormat="1">
      <c r="A347" s="1500"/>
      <c r="B347" s="1500"/>
      <c r="C347" s="1500"/>
      <c r="D347" s="1500"/>
      <c r="E347"/>
      <c r="F347" s="1499"/>
      <c r="G347" s="1500"/>
      <c r="H347" s="1583"/>
      <c r="I347" s="1501"/>
      <c r="J347" s="1500"/>
      <c r="K347" s="1500"/>
      <c r="L347" s="1500"/>
      <c r="M347" s="1500"/>
      <c r="N347" s="1500"/>
      <c r="O347" s="1503"/>
      <c r="P347" s="1500"/>
      <c r="S347" s="1500"/>
      <c r="T347" s="1500"/>
      <c r="U347" s="1500"/>
      <c r="V347" s="1500"/>
      <c r="W347" s="1500"/>
    </row>
    <row r="348" spans="1:23" s="1506" customFormat="1">
      <c r="A348" s="1500"/>
      <c r="B348" s="1500"/>
      <c r="C348" s="1500"/>
      <c r="D348" s="1500"/>
      <c r="E348"/>
      <c r="F348" s="1499"/>
      <c r="G348" s="1500"/>
      <c r="H348" s="1583"/>
      <c r="I348" s="1501"/>
      <c r="J348" s="1500"/>
      <c r="K348" s="1500"/>
      <c r="L348" s="1500"/>
      <c r="M348" s="1500"/>
      <c r="N348" s="1500"/>
      <c r="O348" s="1503"/>
      <c r="P348" s="1500"/>
      <c r="S348" s="1500"/>
      <c r="T348" s="1500"/>
      <c r="U348" s="1500"/>
      <c r="V348" s="1500"/>
      <c r="W348" s="1500"/>
    </row>
  </sheetData>
  <mergeCells count="2">
    <mergeCell ref="I13:Q13"/>
    <mergeCell ref="M268:Q268"/>
  </mergeCells>
  <dataValidations count="18">
    <dataValidation type="list" allowBlank="1" showInputMessage="1" showErrorMessage="1" sqref="N21 N46 N56 N70 N78" xr:uid="{B4E86AD1-8A0B-4900-8DC8-142D1105FA0A}">
      <formula1>$Q$21:$Q$22</formula1>
    </dataValidation>
    <dataValidation type="list" allowBlank="1" showInputMessage="1" showErrorMessage="1" sqref="N101 N157 N129" xr:uid="{246D56BF-A843-4B3D-BBCC-7D8CBE11A082}">
      <formula1>$O$101:$O$102</formula1>
    </dataValidation>
    <dataValidation type="list" allowBlank="1" showInputMessage="1" showErrorMessage="1" sqref="N114 N170 N142" xr:uid="{C7516771-9A6D-4D59-AB0C-8913AB3C147A}">
      <formula1>$O$114:$O$115</formula1>
    </dataValidation>
    <dataValidation type="list" allowBlank="1" showInputMessage="1" showErrorMessage="1" sqref="N35" xr:uid="{DB6D7862-EF3B-4F55-AA42-5CDB74FD7810}">
      <formula1>"Units,000s,million"</formula1>
    </dataValidation>
    <dataValidation type="list" allowBlank="1" showInputMessage="1" showErrorMessage="1" sqref="N63" xr:uid="{0E16ACB9-512A-47B3-878A-E3C05E08497F}">
      <formula1>"Product/Service, Major Clients, Regions of Operation, Other, Mix (Not recommended)"</formula1>
    </dataValidation>
    <dataValidation type="list" allowBlank="1" showInputMessage="1" showErrorMessage="1" sqref="N91" xr:uid="{788AB166-4AA0-4CF4-B40B-0FA271BCCF39}">
      <formula1>"Yes, No, I have price &amp; volume data for some business lines"</formula1>
    </dataValidation>
    <dataValidation type="list" allowBlank="1" showInputMessage="1" showErrorMessage="1" sqref="N93" xr:uid="{D96361FB-4960-4271-9ACE-460275026EB6}">
      <formula1>$A$99:$A$99</formula1>
    </dataValidation>
    <dataValidation type="list" allowBlank="1" showInputMessage="1" showErrorMessage="1" sqref="N186" xr:uid="{BA28511E-A367-4BB0-80F5-D1BBF32F14DA}">
      <formula1>$O$186:$O$187</formula1>
    </dataValidation>
    <dataValidation type="list" allowBlank="1" showInputMessage="1" showErrorMessage="1" sqref="N15" xr:uid="{F186EEAA-FFA8-416E-95DD-36E653C875C7}">
      <formula1>"Management, Investor, Consultant, Other"</formula1>
    </dataValidation>
    <dataValidation type="list" allowBlank="1" showInputMessage="1" showErrorMessage="1" sqref="N41" xr:uid="{41DF4076-8101-4C64-8533-02DCDA8C4058}">
      <formula1>"Service Provider, Investor, Agent/Broker, Estate Owner, Manufacturer, Distributor, Wholesaler, Retailer, Other"</formula1>
    </dataValidation>
    <dataValidation type="list" allowBlank="1" showInputMessage="1" showErrorMessage="1" sqref="N201" xr:uid="{B72515DA-470E-46CF-8735-185CD4176AFA}">
      <formula1>$O$201:$O$202</formula1>
    </dataValidation>
    <dataValidation type="list" allowBlank="1" showInputMessage="1" showErrorMessage="1" sqref="N216" xr:uid="{62BDCDFD-6A2A-4E93-B1DC-8FA6240CF2EE}">
      <formula1>$O$216:$O$217</formula1>
    </dataValidation>
    <dataValidation type="list" allowBlank="1" showInputMessage="1" showErrorMessage="1" sqref="L340:L345" xr:uid="{C5BAFE80-97AF-4257-ABBD-6732658339AE}">
      <formula1>"Yes, No"</formula1>
    </dataValidation>
    <dataValidation type="list" allowBlank="1" showInputMessage="1" showErrorMessage="1" sqref="N94" xr:uid="{6570251E-C060-4F0C-9E40-31FCB0E2ACC2}">
      <formula1>$A$127:$A$130</formula1>
    </dataValidation>
    <dataValidation type="list" allowBlank="1" showInputMessage="1" showErrorMessage="1" sqref="N95" xr:uid="{E49BCE0B-9010-4457-9337-FD5E9DD31AD4}">
      <formula1>$F$155:$F$158</formula1>
    </dataValidation>
    <dataValidation type="list" allowBlank="1" showInputMessage="1" showErrorMessage="1" sqref="L333:L334" xr:uid="{07E582B2-A0DB-49AB-97E8-9AC7D35CD4A8}">
      <formula1>$G$333:$G$334</formula1>
    </dataValidation>
    <dataValidation type="list" allowBlank="1" showInputMessage="1" showErrorMessage="1" sqref="O248" xr:uid="{BE3BB508-21CA-4120-A0B0-47B4EE9554EF}">
      <formula1>"Option 1, Option 2"</formula1>
    </dataValidation>
    <dataValidation type="list" allowBlank="1" showInputMessage="1" showErrorMessage="1" sqref="K284" xr:uid="{DBBAB71A-C557-4053-9148-2C5AC76B1398}">
      <formula1>"A,B,C"</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1C4BAA5-0262-4FFE-8256-60E270B4FDD5}">
          <x14:formula1>
            <xm:f>'Industry Beta'!$A$3:$A$98</xm:f>
          </x14:formula1>
          <xm:sqref>N39 N47</xm:sqref>
        </x14:dataValidation>
        <x14:dataValidation type="list" allowBlank="1" showInputMessage="1" showErrorMessage="1" xr:uid="{39280F5C-0CB6-4CE3-9C62-90D928441F5F}">
          <x14:formula1>
            <xm:f>Tax!$A$5:$A$168</xm:f>
          </x14:formula1>
          <xm:sqref>N43:N44 N51:N52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3C978-FC33-4BF7-B98C-9B2870ADC4FB}">
  <sheetPr>
    <tabColor rgb="FF00CCE2"/>
  </sheetPr>
  <dimension ref="A2:S281"/>
  <sheetViews>
    <sheetView showGridLines="0" tabSelected="1" zoomScale="110" zoomScaleNormal="110" workbookViewId="0">
      <pane ySplit="8" topLeftCell="A9" activePane="bottomLeft" state="frozen"/>
      <selection activeCell="H21" sqref="H21"/>
      <selection pane="bottomLeft" activeCell="P296" sqref="P296"/>
    </sheetView>
  </sheetViews>
  <sheetFormatPr defaultColWidth="0" defaultRowHeight="11.25"/>
  <cols>
    <col min="1" max="2" width="2.6640625" style="63" customWidth="1"/>
    <col min="3" max="3" width="25" style="63" bestFit="1" customWidth="1"/>
    <col min="4" max="4" width="14.109375" style="63" bestFit="1" customWidth="1"/>
    <col min="5" max="5" width="26.44140625" style="63" bestFit="1" customWidth="1"/>
    <col min="6" max="6" width="6.88671875" style="63" customWidth="1"/>
    <col min="7" max="18" width="8.6640625" style="63" customWidth="1"/>
    <col min="19" max="19" width="0" style="63" hidden="1" customWidth="1"/>
    <col min="20" max="16384" width="8.6640625" style="63" hidden="1"/>
  </cols>
  <sheetData>
    <row r="2" spans="1:18">
      <c r="B2" s="62" t="s">
        <v>2224</v>
      </c>
    </row>
    <row r="3" spans="1:18">
      <c r="B3" s="64" t="str">
        <f>project.title&amp;" as at "&amp;TEXT(valuation.date,"mmmm d, yyy")</f>
        <v>Lazure Worldwide FZCO - Self Valuation using DCF Method, Transaction Multiples Method, &amp; Market Multiples Method as at September 30, 2024</v>
      </c>
    </row>
    <row r="4" spans="1:18">
      <c r="B4" s="65" t="s">
        <v>1979</v>
      </c>
    </row>
    <row r="5" spans="1:18" ht="12" thickBot="1">
      <c r="B5" s="66"/>
      <c r="C5" s="66"/>
      <c r="D5" s="66"/>
      <c r="E5" s="66"/>
      <c r="F5" s="66"/>
      <c r="G5" s="66"/>
      <c r="H5" s="66"/>
      <c r="I5" s="66"/>
      <c r="J5" s="66"/>
      <c r="K5" s="66"/>
      <c r="L5" s="66"/>
      <c r="M5" s="66"/>
      <c r="N5" s="66"/>
      <c r="O5" s="66"/>
      <c r="P5" s="66"/>
      <c r="Q5" s="66"/>
    </row>
    <row r="6" spans="1:18" ht="12" thickTop="1"/>
    <row r="7" spans="1:18">
      <c r="A7" s="1783" t="s">
        <v>106</v>
      </c>
      <c r="C7" s="67" t="str">
        <f>IS_Calcs!C7</f>
        <v>All amounts in INR 'Units</v>
      </c>
      <c r="D7" s="68"/>
      <c r="E7" s="68"/>
      <c r="F7" s="68"/>
      <c r="G7" s="69" t="s">
        <v>1865</v>
      </c>
      <c r="H7" s="69" t="str">
        <f>IS_Calcs!I7</f>
        <v>FY22</v>
      </c>
      <c r="I7" s="69" t="str">
        <f>IS_Calcs!J7</f>
        <v>FY23</v>
      </c>
      <c r="J7" s="69" t="str">
        <f>IS_Calcs!K7</f>
        <v>YTD24</v>
      </c>
      <c r="K7" s="69" t="str">
        <f>IS_Calcs!L7</f>
        <v>YTG24</v>
      </c>
      <c r="L7" s="69" t="str">
        <f>IS_Calcs!M7</f>
        <v>FY24</v>
      </c>
      <c r="M7" s="69" t="str">
        <f>IS_Calcs!N7</f>
        <v>FY25</v>
      </c>
      <c r="N7" s="69" t="str">
        <f>IS_Calcs!O7</f>
        <v>FY26</v>
      </c>
      <c r="O7" s="69" t="str">
        <f>IS_Calcs!P7</f>
        <v>FY27</v>
      </c>
      <c r="P7" s="69" t="str">
        <f>IS_Calcs!Q7</f>
        <v>FY28</v>
      </c>
      <c r="Q7" s="70" t="str">
        <f>IS_Calcs!R7</f>
        <v>FY29</v>
      </c>
    </row>
    <row r="8" spans="1:18" ht="15.75">
      <c r="A8" s="1783" t="s">
        <v>1359</v>
      </c>
      <c r="C8" s="68"/>
      <c r="D8" s="68"/>
      <c r="E8" s="68"/>
      <c r="F8" s="68"/>
      <c r="G8" s="68"/>
      <c r="H8" s="69" t="str">
        <f>IS_Calcs!I8</f>
        <v>Actual</v>
      </c>
      <c r="I8" s="69" t="str">
        <f>IS_Calcs!J8</f>
        <v>Actual</v>
      </c>
      <c r="J8" s="69" t="str">
        <f>IS_Calcs!K8</f>
        <v>Actual</v>
      </c>
      <c r="K8" s="69" t="str">
        <f>IS_Calcs!L8</f>
        <v>Estimate</v>
      </c>
      <c r="L8" s="69" t="str">
        <f>IS_Calcs!M8</f>
        <v>Estimate</v>
      </c>
      <c r="M8" s="69" t="str">
        <f>IS_Calcs!N8</f>
        <v>Estimate</v>
      </c>
      <c r="N8" s="69" t="str">
        <f>IS_Calcs!O8</f>
        <v>Forecast</v>
      </c>
      <c r="O8" s="69" t="str">
        <f>IS_Calcs!P8</f>
        <v>Forecast</v>
      </c>
      <c r="P8" s="69" t="str">
        <f>IS_Calcs!Q8</f>
        <v>Forecast</v>
      </c>
      <c r="Q8" s="69" t="str">
        <f>IS_Calcs!R8</f>
        <v>Forecast</v>
      </c>
      <c r="R8" s="71"/>
    </row>
    <row r="10" spans="1:18">
      <c r="C10" s="95" t="s">
        <v>2502</v>
      </c>
      <c r="D10" s="97" t="s">
        <v>3010</v>
      </c>
      <c r="E10" s="97" t="s">
        <v>2508</v>
      </c>
      <c r="F10" s="96" t="s">
        <v>6</v>
      </c>
    </row>
    <row r="11" spans="1:18">
      <c r="C11" s="63" t="s">
        <v>2504</v>
      </c>
      <c r="D11" s="1636"/>
      <c r="E11" s="1637" t="str">
        <f>IF(D15=I53,"Yes",IF(D15=I54,"Yes","No"))</f>
        <v>No</v>
      </c>
      <c r="F11" s="63" t="str">
        <f>IF(E11="Yes",C11&amp;", ","")</f>
        <v/>
      </c>
    </row>
    <row r="12" spans="1:18">
      <c r="C12" s="63" t="s">
        <v>2505</v>
      </c>
      <c r="D12" s="1636"/>
      <c r="E12" s="1637" t="str">
        <f>IF(D14="Yes",IF(D15=I49,"Yes",IF(D15=I50,"Yes","No")),"No")</f>
        <v>No</v>
      </c>
      <c r="F12" s="63" t="str">
        <f>IF(E12="Yes",C12&amp;", ","")</f>
        <v/>
      </c>
    </row>
    <row r="13" spans="1:18">
      <c r="C13" s="63" t="s">
        <v>2503</v>
      </c>
      <c r="D13" s="1636"/>
      <c r="E13" s="1637" t="str">
        <f>IF(D14="Yes",IF(D15=I51,"Yes",IF(D15=I52,"Yes","No")),"No")</f>
        <v>Yes</v>
      </c>
      <c r="F13" s="63" t="str">
        <f>IF(E13="Yes",C13&amp;", ","")</f>
        <v xml:space="preserve">DCF Method, </v>
      </c>
    </row>
    <row r="14" spans="1:18">
      <c r="C14" s="1784" t="s">
        <v>2507</v>
      </c>
      <c r="D14" s="1636" t="str">
        <f>Form!N8</f>
        <v>Yes</v>
      </c>
      <c r="E14" s="1638" t="s">
        <v>106</v>
      </c>
      <c r="F14" s="63" t="str">
        <f>IF(E14="Yes",C14&amp;", ","")</f>
        <v xml:space="preserve">Transaction Multiples Method, </v>
      </c>
    </row>
    <row r="15" spans="1:18">
      <c r="C15" s="63" t="s">
        <v>2506</v>
      </c>
      <c r="D15" s="1636" t="str">
        <f>Form!N9</f>
        <v>Growth</v>
      </c>
      <c r="E15" s="1638" t="s">
        <v>106</v>
      </c>
      <c r="F15" s="63" t="str">
        <f>IF(E15="Yes","&amp; "&amp;C15,"")</f>
        <v>&amp; Market Multiples Method</v>
      </c>
    </row>
    <row r="17" spans="3:8">
      <c r="C17" s="95" t="s">
        <v>1809</v>
      </c>
      <c r="D17" s="95" t="s">
        <v>99</v>
      </c>
      <c r="E17" s="96" t="s">
        <v>6</v>
      </c>
    </row>
    <row r="18" spans="3:8">
      <c r="C18" s="72" t="s">
        <v>2304</v>
      </c>
      <c r="D18" s="72"/>
      <c r="E18" s="1290" t="str">
        <f>Form!N15</f>
        <v>Consultant</v>
      </c>
    </row>
    <row r="19" spans="3:8">
      <c r="C19" s="72" t="s">
        <v>2493</v>
      </c>
      <c r="D19" s="72" t="s">
        <v>2490</v>
      </c>
      <c r="E19" s="1401" t="str">
        <f>Form!N16</f>
        <v>Hazel Lighting India</v>
      </c>
      <c r="G19" s="1713" t="str">
        <f>client.name.long</f>
        <v>Hazel Lighting India</v>
      </c>
      <c r="H19" s="63" t="s">
        <v>2741</v>
      </c>
    </row>
    <row r="20" spans="3:8">
      <c r="C20" s="72" t="s">
        <v>2305</v>
      </c>
      <c r="D20" s="72" t="s">
        <v>2495</v>
      </c>
      <c r="E20" s="1401" t="str">
        <f>Form!N17</f>
        <v>Samina Burhani</v>
      </c>
    </row>
    <row r="21" spans="3:8">
      <c r="C21" s="72" t="s">
        <v>2496</v>
      </c>
      <c r="D21" s="72" t="s">
        <v>2497</v>
      </c>
      <c r="E21" s="1290" t="str">
        <f>Form!O18</f>
        <v>Management Valuation</v>
      </c>
    </row>
    <row r="22" spans="3:8" ht="15">
      <c r="C22" s="72"/>
      <c r="D22" s="72"/>
      <c r="E22"/>
    </row>
    <row r="23" spans="3:8" ht="15">
      <c r="C23" s="72"/>
      <c r="D23" s="72"/>
      <c r="E23"/>
    </row>
    <row r="24" spans="3:8">
      <c r="C24" s="72" t="str">
        <f>Cover!D6</f>
        <v>Subject Company Name:</v>
      </c>
      <c r="D24" s="72" t="s">
        <v>2500</v>
      </c>
      <c r="E24" s="1290" t="str">
        <f>Form!N22</f>
        <v>Lazure Worldwide FZCO</v>
      </c>
      <c r="G24" s="1713" t="str">
        <f>subject.name</f>
        <v>Lazure Worldwide FZCO</v>
      </c>
    </row>
    <row r="25" spans="3:8">
      <c r="C25" s="72" t="s">
        <v>2498</v>
      </c>
      <c r="D25" s="72" t="s">
        <v>2501</v>
      </c>
      <c r="E25" s="1290" t="str">
        <f>Form!N23</f>
        <v>Lazure</v>
      </c>
    </row>
    <row r="26" spans="3:8">
      <c r="C26" s="72" t="s">
        <v>117</v>
      </c>
      <c r="D26" s="72" t="s">
        <v>118</v>
      </c>
      <c r="E26" s="1236" t="str">
        <f>subject.name&amp;" - Self Valuation using "&amp;G26</f>
        <v>Lazure Worldwide FZCO - Self Valuation using DCF Method, Transaction Multiples Method, &amp; Market Multiples Method</v>
      </c>
      <c r="G26" s="295" t="str">
        <f>F13&amp;F11&amp;F12&amp;F14&amp;F15</f>
        <v>DCF Method, Transaction Multiples Method, &amp; Market Multiples Method</v>
      </c>
    </row>
    <row r="28" spans="3:8">
      <c r="C28" s="95" t="s">
        <v>98</v>
      </c>
      <c r="D28" s="95" t="s">
        <v>99</v>
      </c>
      <c r="E28" s="1304" t="s">
        <v>6</v>
      </c>
    </row>
    <row r="29" spans="3:8">
      <c r="C29" s="72" t="s">
        <v>100</v>
      </c>
      <c r="D29" s="72" t="s">
        <v>101</v>
      </c>
      <c r="E29" s="1305">
        <f>Form!val.date</f>
        <v>45565</v>
      </c>
    </row>
    <row r="30" spans="3:8">
      <c r="C30" s="72" t="s">
        <v>102</v>
      </c>
      <c r="D30" s="72" t="s">
        <v>103</v>
      </c>
      <c r="E30" s="1305">
        <f>Form!N27</f>
        <v>45657</v>
      </c>
    </row>
    <row r="31" spans="3:8">
      <c r="C31" s="73" t="s">
        <v>104</v>
      </c>
      <c r="D31" s="73" t="s">
        <v>105</v>
      </c>
      <c r="E31" s="1308" t="s">
        <v>106</v>
      </c>
    </row>
    <row r="32" spans="3:8">
      <c r="C32" s="72" t="s">
        <v>107</v>
      </c>
      <c r="D32" s="72" t="s">
        <v>108</v>
      </c>
      <c r="E32" s="1306">
        <f>12-ytd.months</f>
        <v>3</v>
      </c>
    </row>
    <row r="33" spans="3:7">
      <c r="C33" s="72" t="s">
        <v>2146</v>
      </c>
      <c r="D33" s="72" t="s">
        <v>2145</v>
      </c>
      <c r="E33" s="1307">
        <f>Form!N28</f>
        <v>9</v>
      </c>
    </row>
    <row r="34" spans="3:7">
      <c r="C34" s="72" t="s">
        <v>109</v>
      </c>
      <c r="D34" s="72" t="s">
        <v>110</v>
      </c>
      <c r="E34" s="1308" t="str">
        <f>"Valuation Date:  "&amp;TEXT(valuation.date,"mmmm d, yyy")</f>
        <v>Valuation Date:  September 30, 2024</v>
      </c>
    </row>
    <row r="35" spans="3:7">
      <c r="C35" s="72"/>
      <c r="D35" s="72"/>
      <c r="E35" s="1308" t="str">
        <f>TEXT(valuation.date,"mmmm d, yyy")</f>
        <v>September 30, 2024</v>
      </c>
    </row>
    <row r="36" spans="3:7">
      <c r="C36" s="74" t="s">
        <v>2149</v>
      </c>
      <c r="D36" s="74" t="s">
        <v>2150</v>
      </c>
      <c r="E36" s="1309" t="str">
        <f>Form!N30</f>
        <v>Catch Up Approach</v>
      </c>
      <c r="G36" s="75" t="s">
        <v>2154</v>
      </c>
    </row>
    <row r="37" spans="3:7">
      <c r="C37" s="74"/>
      <c r="D37" s="74"/>
      <c r="E37" s="74"/>
      <c r="G37" s="76" t="s">
        <v>2151</v>
      </c>
    </row>
    <row r="38" spans="3:7">
      <c r="C38" s="77" t="s">
        <v>2152</v>
      </c>
      <c r="D38" s="74"/>
      <c r="E38" s="74"/>
      <c r="G38" s="75" t="s">
        <v>2179</v>
      </c>
    </row>
    <row r="39" spans="3:7">
      <c r="C39" s="74" t="s">
        <v>2154</v>
      </c>
      <c r="D39" s="74" t="s">
        <v>2155</v>
      </c>
      <c r="E39" s="78">
        <f>(1/ytd.months)*(stub.period)</f>
        <v>0.33333333333333331</v>
      </c>
    </row>
    <row r="40" spans="3:7">
      <c r="C40" s="72" t="s">
        <v>2151</v>
      </c>
      <c r="D40" s="72" t="s">
        <v>2153</v>
      </c>
      <c r="E40" s="92">
        <f>stub.period/12</f>
        <v>0.25</v>
      </c>
    </row>
    <row r="41" spans="3:7">
      <c r="C41" s="72"/>
      <c r="D41" s="72"/>
      <c r="E41" s="72"/>
    </row>
    <row r="42" spans="3:7">
      <c r="C42" s="95" t="s">
        <v>111</v>
      </c>
      <c r="D42" s="95" t="s">
        <v>99</v>
      </c>
      <c r="E42" s="96" t="s">
        <v>6</v>
      </c>
    </row>
    <row r="43" spans="3:7">
      <c r="C43" s="72" t="s">
        <v>2309</v>
      </c>
      <c r="D43" s="72" t="s">
        <v>112</v>
      </c>
      <c r="E43" s="1290" t="s">
        <v>1772</v>
      </c>
    </row>
    <row r="44" spans="3:7">
      <c r="C44" s="72" t="s">
        <v>2389</v>
      </c>
      <c r="D44" s="72" t="s">
        <v>2991</v>
      </c>
      <c r="E44" s="1290" t="str">
        <f>Form!N34</f>
        <v>AED</v>
      </c>
    </row>
    <row r="45" spans="3:7">
      <c r="C45" s="72" t="s">
        <v>2311</v>
      </c>
      <c r="D45" s="72" t="s">
        <v>114</v>
      </c>
      <c r="E45" s="1290" t="str">
        <f>Form!N35</f>
        <v>Units</v>
      </c>
      <c r="F45" s="63" t="str">
        <f>IF(currency.denomination="000s","K",IF(currency.denomination="millions","Mn",""))</f>
        <v/>
      </c>
    </row>
    <row r="46" spans="3:7">
      <c r="C46" s="72" t="s">
        <v>115</v>
      </c>
      <c r="D46" s="72" t="s">
        <v>116</v>
      </c>
      <c r="E46" s="72" t="str">
        <f>IF(currency.denomination="0s",currency.type,CONCATENATE(currency.type," ","'"&amp;currency.denomination))</f>
        <v>INR 'Units</v>
      </c>
    </row>
    <row r="47" spans="3:7">
      <c r="C47" s="74"/>
      <c r="D47" s="74"/>
      <c r="E47" s="74"/>
    </row>
    <row r="48" spans="3:7">
      <c r="C48" s="95" t="s">
        <v>2312</v>
      </c>
      <c r="D48" s="95"/>
      <c r="E48" s="96"/>
    </row>
    <row r="49" spans="3:11" customFormat="1" ht="15">
      <c r="C49" s="74" t="s">
        <v>2661</v>
      </c>
      <c r="D49" s="74"/>
      <c r="E49" s="1311">
        <f>Form!N38</f>
        <v>50000</v>
      </c>
      <c r="F49" s="63"/>
      <c r="G49" s="63"/>
      <c r="H49" s="1398" t="str">
        <f>IF($E$50=I49,"Newly incorporated",IF($E$50=I50,"Start-up",IF($E$50=I51,"Growing",IF($E$50=I52,"Growing",IF($E$50=I53,"Grown to maturity",IF($E$50=I54,"Saturated/Declining",0))))))</f>
        <v>Growing</v>
      </c>
      <c r="I49" s="1639" t="s">
        <v>2992</v>
      </c>
      <c r="J49" s="1397"/>
      <c r="K49" s="63"/>
    </row>
    <row r="50" spans="3:11" customFormat="1" ht="15">
      <c r="C50" s="74" t="s">
        <v>2322</v>
      </c>
      <c r="D50" s="74"/>
      <c r="E50" s="1302" t="str">
        <f>D15</f>
        <v>Growth</v>
      </c>
      <c r="F50" s="63"/>
      <c r="G50" s="63"/>
      <c r="H50" s="63"/>
      <c r="I50" s="1639" t="s">
        <v>2993</v>
      </c>
      <c r="J50" s="1397"/>
      <c r="K50" s="63"/>
    </row>
    <row r="51" spans="3:11" customFormat="1" ht="15">
      <c r="I51" s="1639" t="s">
        <v>2413</v>
      </c>
      <c r="J51" s="1397"/>
      <c r="K51" s="63"/>
    </row>
    <row r="52" spans="3:11">
      <c r="C52" s="74" t="s">
        <v>2313</v>
      </c>
      <c r="D52" s="74" t="s">
        <v>2314</v>
      </c>
      <c r="E52" s="1310" t="str">
        <f>Form!N39</f>
        <v>Electrical Equipment</v>
      </c>
      <c r="F52" s="63" t="s">
        <v>2315</v>
      </c>
      <c r="I52" s="1639" t="s">
        <v>2994</v>
      </c>
      <c r="J52" s="1397"/>
    </row>
    <row r="53" spans="3:11">
      <c r="C53" s="74" t="s">
        <v>2995</v>
      </c>
      <c r="D53" s="74" t="s">
        <v>2996</v>
      </c>
      <c r="E53" s="1310" t="str">
        <f>Form!N40</f>
        <v>Project Lighting</v>
      </c>
      <c r="I53" s="1639" t="s">
        <v>2997</v>
      </c>
      <c r="J53" s="1397"/>
    </row>
    <row r="54" spans="3:11">
      <c r="C54" s="74" t="s">
        <v>2320</v>
      </c>
      <c r="D54" s="74" t="s">
        <v>2325</v>
      </c>
      <c r="E54" s="1310" t="str">
        <f>Form!N41</f>
        <v>Service Provider</v>
      </c>
      <c r="I54" s="1639" t="s">
        <v>2739</v>
      </c>
      <c r="J54" s="1397"/>
    </row>
    <row r="55" spans="3:11">
      <c r="C55" s="74" t="s">
        <v>3012</v>
      </c>
      <c r="D55" s="74" t="s">
        <v>3013</v>
      </c>
      <c r="E55" s="1310" t="str">
        <f>Form!N42</f>
        <v xml:space="preserve">project lighting manufacturer for B2B </v>
      </c>
      <c r="K55" s="1635"/>
    </row>
    <row r="56" spans="3:11">
      <c r="C56" s="74" t="s">
        <v>2318</v>
      </c>
      <c r="D56" s="74" t="s">
        <v>2319</v>
      </c>
      <c r="E56" s="1310" t="str">
        <f>Form!N43</f>
        <v>India</v>
      </c>
      <c r="F56" s="63" t="s">
        <v>2647</v>
      </c>
    </row>
    <row r="57" spans="3:11">
      <c r="C57" s="74"/>
      <c r="D57" s="74"/>
      <c r="E57" s="74"/>
    </row>
    <row r="58" spans="3:11" s="1635" customFormat="1">
      <c r="C58" s="1634" t="s">
        <v>2998</v>
      </c>
      <c r="D58" s="1634" t="s">
        <v>2999</v>
      </c>
      <c r="E58" s="1634" t="s">
        <v>3000</v>
      </c>
    </row>
    <row r="59" spans="3:11" s="1635" customFormat="1">
      <c r="C59" s="74" t="s">
        <v>3001</v>
      </c>
      <c r="D59" s="1785" t="s">
        <v>175</v>
      </c>
      <c r="E59" s="1786">
        <v>0.1</v>
      </c>
    </row>
    <row r="60" spans="3:11" s="1635" customFormat="1">
      <c r="C60" s="74" t="s">
        <v>3002</v>
      </c>
      <c r="D60" s="1785" t="s">
        <v>1742</v>
      </c>
      <c r="E60" s="1786">
        <v>0.06</v>
      </c>
    </row>
    <row r="61" spans="3:11" s="1635" customFormat="1">
      <c r="C61" s="74" t="s">
        <v>3003</v>
      </c>
      <c r="D61" s="1785" t="s">
        <v>194</v>
      </c>
      <c r="E61" s="1786">
        <v>0.04</v>
      </c>
    </row>
    <row r="62" spans="3:11">
      <c r="C62" s="74"/>
      <c r="D62" s="74"/>
      <c r="E62" s="74"/>
      <c r="J62" s="1639"/>
    </row>
    <row r="63" spans="3:11">
      <c r="C63" s="74" t="s">
        <v>2316</v>
      </c>
      <c r="D63" s="74" t="s">
        <v>2323</v>
      </c>
      <c r="E63" s="1310" t="str">
        <f>Form!N47</f>
        <v>Electrical Equipment</v>
      </c>
      <c r="F63" s="63" t="s">
        <v>2315</v>
      </c>
      <c r="J63" s="1639"/>
      <c r="K63" s="1639"/>
    </row>
    <row r="64" spans="3:11">
      <c r="C64" s="74" t="s">
        <v>3004</v>
      </c>
      <c r="D64" s="74" t="s">
        <v>3005</v>
      </c>
      <c r="E64" s="1310" t="str">
        <f>Form!N48</f>
        <v>Lighting products</v>
      </c>
      <c r="J64" s="1639"/>
      <c r="K64" s="1639"/>
    </row>
    <row r="65" spans="3:11">
      <c r="C65" s="74" t="s">
        <v>2321</v>
      </c>
      <c r="D65" s="74" t="s">
        <v>2326</v>
      </c>
      <c r="E65" s="1310" t="str">
        <f>Form!N49</f>
        <v>Distributor</v>
      </c>
      <c r="J65" s="1639"/>
    </row>
    <row r="66" spans="3:11">
      <c r="C66" s="74" t="s">
        <v>3006</v>
      </c>
      <c r="D66" s="74" t="s">
        <v>3007</v>
      </c>
      <c r="E66" s="1310" t="str">
        <f>Form!N50</f>
        <v>Lighting product distribution to project specifiers</v>
      </c>
      <c r="J66" s="1639"/>
      <c r="K66" s="1639"/>
    </row>
    <row r="67" spans="3:11">
      <c r="C67" s="74" t="s">
        <v>2317</v>
      </c>
      <c r="D67" s="74" t="s">
        <v>2324</v>
      </c>
      <c r="E67" s="1310" t="str">
        <f>Form!N51</f>
        <v>India</v>
      </c>
      <c r="F67" s="63" t="s">
        <v>2647</v>
      </c>
      <c r="J67" s="1639"/>
      <c r="K67" s="1639"/>
    </row>
    <row r="68" spans="3:11">
      <c r="C68" s="1263" t="s">
        <v>2540</v>
      </c>
      <c r="D68" s="1263" t="s">
        <v>2648</v>
      </c>
      <c r="E68" s="1272">
        <v>0.5</v>
      </c>
      <c r="J68" s="1639"/>
    </row>
    <row r="69" spans="3:11">
      <c r="C69" s="74"/>
      <c r="D69" s="74"/>
      <c r="E69" s="74"/>
      <c r="J69" s="1639"/>
      <c r="K69" s="1635"/>
    </row>
    <row r="70" spans="3:11">
      <c r="C70" s="1634" t="s">
        <v>3008</v>
      </c>
      <c r="D70" s="1634" t="s">
        <v>2999</v>
      </c>
      <c r="E70" s="1634" t="s">
        <v>3000</v>
      </c>
      <c r="J70" s="1639"/>
      <c r="K70" s="1635"/>
    </row>
    <row r="71" spans="3:11">
      <c r="C71" s="74" t="s">
        <v>3001</v>
      </c>
      <c r="D71" s="1785" t="s">
        <v>175</v>
      </c>
      <c r="E71" s="1786">
        <v>0.1</v>
      </c>
      <c r="J71" s="1639"/>
      <c r="K71" s="1635"/>
    </row>
    <row r="72" spans="3:11">
      <c r="C72" s="74" t="s">
        <v>3002</v>
      </c>
      <c r="D72" s="1785" t="s">
        <v>171</v>
      </c>
      <c r="E72" s="1786">
        <v>0.05</v>
      </c>
      <c r="J72" s="1635"/>
      <c r="K72" s="1635"/>
    </row>
    <row r="73" spans="3:11">
      <c r="C73" s="74" t="s">
        <v>3003</v>
      </c>
      <c r="D73" s="1785" t="s">
        <v>194</v>
      </c>
      <c r="E73" s="1786">
        <v>0.04</v>
      </c>
    </row>
    <row r="74" spans="3:11">
      <c r="C74" s="74"/>
      <c r="D74" s="74"/>
      <c r="E74" s="74"/>
    </row>
    <row r="75" spans="3:11">
      <c r="C75" s="95" t="s">
        <v>1876</v>
      </c>
      <c r="D75" s="95"/>
      <c r="E75" s="96"/>
    </row>
    <row r="76" spans="3:11">
      <c r="C76" s="79" t="s">
        <v>1831</v>
      </c>
      <c r="D76" s="1289" t="str">
        <f>Form!N63</f>
        <v>Product/Service</v>
      </c>
      <c r="E76" s="80" t="s">
        <v>1879</v>
      </c>
    </row>
    <row r="77" spans="3:11">
      <c r="C77" s="72" t="s">
        <v>1872</v>
      </c>
      <c r="D77" s="81"/>
      <c r="E77" s="1302" t="str">
        <f>Form!N65</f>
        <v>Residential lighting</v>
      </c>
    </row>
    <row r="78" spans="3:11">
      <c r="C78" s="72" t="s">
        <v>1873</v>
      </c>
      <c r="D78" s="81"/>
      <c r="E78" s="1302" t="str">
        <f>Form!N66</f>
        <v>Hotels &amp; Hospitals</v>
      </c>
    </row>
    <row r="79" spans="3:11">
      <c r="C79" s="72" t="s">
        <v>1874</v>
      </c>
      <c r="D79" s="81"/>
      <c r="E79" s="1302" t="str">
        <f>Form!N67</f>
        <v>Government &amp; Infrastructure</v>
      </c>
    </row>
    <row r="80" spans="3:11">
      <c r="C80" s="72" t="s">
        <v>1875</v>
      </c>
      <c r="D80" s="81"/>
      <c r="E80" s="1302" t="str">
        <f>Form!N68</f>
        <v>Distributorship</v>
      </c>
    </row>
    <row r="81" spans="3:11">
      <c r="C81" s="79" t="s">
        <v>1877</v>
      </c>
    </row>
    <row r="82" spans="3:11">
      <c r="C82" s="72" t="s">
        <v>1872</v>
      </c>
      <c r="D82" s="81"/>
      <c r="E82" s="1302" t="str">
        <f>Form!N73</f>
        <v>UAE &amp; Oman projects</v>
      </c>
    </row>
    <row r="83" spans="3:11">
      <c r="C83" s="72" t="s">
        <v>1873</v>
      </c>
      <c r="D83" s="81"/>
      <c r="E83" s="1302" t="str">
        <f>Form!N74</f>
        <v>NA</v>
      </c>
    </row>
    <row r="84" spans="3:11">
      <c r="C84" s="72" t="s">
        <v>1874</v>
      </c>
      <c r="D84" s="81"/>
      <c r="E84" s="1302" t="str">
        <f>Form!N75</f>
        <v>NA</v>
      </c>
    </row>
    <row r="85" spans="3:11">
      <c r="C85" s="72" t="s">
        <v>1875</v>
      </c>
      <c r="D85" s="81"/>
      <c r="E85" s="1302" t="str">
        <f>Form!N76</f>
        <v>NA</v>
      </c>
    </row>
    <row r="86" spans="3:11">
      <c r="C86" s="79" t="s">
        <v>1878</v>
      </c>
    </row>
    <row r="87" spans="3:11">
      <c r="C87" s="72" t="s">
        <v>1872</v>
      </c>
      <c r="D87" s="81"/>
      <c r="E87" s="1302" t="str">
        <f>Form!N81</f>
        <v>Product contracts by specifiers</v>
      </c>
    </row>
    <row r="88" spans="3:11">
      <c r="C88" s="72" t="s">
        <v>1873</v>
      </c>
      <c r="D88" s="81"/>
      <c r="E88" s="1302" t="str">
        <f>Form!N82</f>
        <v>NA</v>
      </c>
    </row>
    <row r="89" spans="3:11">
      <c r="C89" s="72" t="s">
        <v>1874</v>
      </c>
      <c r="D89" s="81"/>
      <c r="E89" s="1302" t="str">
        <f>Form!N83</f>
        <v>NA</v>
      </c>
    </row>
    <row r="90" spans="3:11">
      <c r="C90" s="72" t="s">
        <v>1875</v>
      </c>
      <c r="D90" s="81"/>
      <c r="E90" s="1302" t="str">
        <f>Form!N84</f>
        <v>NA</v>
      </c>
    </row>
    <row r="92" spans="3:11">
      <c r="C92" s="63" t="s">
        <v>2148</v>
      </c>
      <c r="D92" s="1367"/>
      <c r="E92" s="1237" t="str">
        <f>E87</f>
        <v>Product contracts by specifiers</v>
      </c>
      <c r="K92" s="1342">
        <f>Form!N86</f>
        <v>0.8</v>
      </c>
    </row>
    <row r="93" spans="3:11">
      <c r="D93" s="1367"/>
      <c r="E93" s="1237" t="str">
        <f>E88</f>
        <v>NA</v>
      </c>
      <c r="K93" s="1342">
        <f>Form!N87</f>
        <v>0</v>
      </c>
    </row>
    <row r="94" spans="3:11">
      <c r="D94" s="1367"/>
      <c r="E94" s="1237" t="str">
        <f>E89</f>
        <v>NA</v>
      </c>
      <c r="K94" s="1342">
        <f>Form!N88</f>
        <v>0</v>
      </c>
    </row>
    <row r="95" spans="3:11">
      <c r="D95" s="1367"/>
      <c r="E95" s="1237" t="str">
        <f>E90</f>
        <v>NA</v>
      </c>
      <c r="K95" s="1342">
        <f>Form!N89</f>
        <v>0</v>
      </c>
    </row>
    <row r="97" spans="2:17">
      <c r="C97" s="95" t="s">
        <v>2190</v>
      </c>
      <c r="D97" s="95"/>
      <c r="E97" s="96"/>
      <c r="F97" s="96"/>
      <c r="G97" s="96"/>
      <c r="H97" s="96"/>
      <c r="I97" s="96"/>
      <c r="J97" s="96"/>
      <c r="K97" s="96"/>
      <c r="L97" s="96"/>
      <c r="M97" s="96"/>
      <c r="N97" s="96"/>
      <c r="O97" s="96"/>
      <c r="P97" s="96"/>
      <c r="Q97" s="96"/>
    </row>
    <row r="98" spans="2:17" customFormat="1" ht="15">
      <c r="B98" s="63"/>
      <c r="C98" s="1234" t="s">
        <v>2335</v>
      </c>
    </row>
    <row r="99" spans="2:17" ht="15">
      <c r="C99" s="82" t="s">
        <v>1881</v>
      </c>
      <c r="J99"/>
      <c r="M99" s="63" t="s">
        <v>2191</v>
      </c>
    </row>
    <row r="100" spans="2:17" ht="15">
      <c r="C100" s="63" t="s">
        <v>2164</v>
      </c>
      <c r="J100" s="1303">
        <v>50</v>
      </c>
      <c r="K100"/>
      <c r="L100" s="1303">
        <v>50</v>
      </c>
      <c r="M100" s="1313">
        <v>0.05</v>
      </c>
      <c r="N100" s="1313">
        <v>0.05</v>
      </c>
      <c r="O100" s="1313">
        <v>0.05</v>
      </c>
      <c r="P100" s="1313">
        <v>0.05</v>
      </c>
      <c r="Q100" s="1313">
        <v>0.05</v>
      </c>
    </row>
    <row r="101" spans="2:17" ht="15">
      <c r="C101" s="63" t="s">
        <v>2165</v>
      </c>
      <c r="J101" s="1303">
        <v>20</v>
      </c>
      <c r="K101"/>
      <c r="L101" s="1303">
        <v>20</v>
      </c>
      <c r="M101" s="1313">
        <v>0.03</v>
      </c>
      <c r="N101" s="1313">
        <v>0.03</v>
      </c>
      <c r="O101" s="1313">
        <v>0.03</v>
      </c>
      <c r="P101" s="1313">
        <v>0.03</v>
      </c>
      <c r="Q101" s="1313">
        <v>0.03</v>
      </c>
    </row>
    <row r="102" spans="2:17" ht="15">
      <c r="C102" s="63" t="s">
        <v>2166</v>
      </c>
      <c r="J102" s="1303">
        <v>30</v>
      </c>
      <c r="K102"/>
      <c r="L102" s="1303">
        <v>30</v>
      </c>
      <c r="M102" s="1313">
        <v>0.03</v>
      </c>
      <c r="N102" s="1313">
        <v>0.03</v>
      </c>
      <c r="O102" s="1313">
        <v>0.03</v>
      </c>
      <c r="P102" s="1313">
        <v>0.03</v>
      </c>
      <c r="Q102" s="1313">
        <v>0.03</v>
      </c>
    </row>
    <row r="103" spans="2:17" ht="15">
      <c r="C103" s="63" t="s">
        <v>2167</v>
      </c>
      <c r="J103" s="1303">
        <v>30</v>
      </c>
      <c r="K103"/>
      <c r="L103" s="1303">
        <v>30</v>
      </c>
      <c r="M103" s="1313">
        <v>0.03</v>
      </c>
      <c r="N103" s="1313">
        <v>0.03</v>
      </c>
      <c r="O103" s="1313">
        <v>0.03</v>
      </c>
      <c r="P103" s="1313">
        <v>0.03</v>
      </c>
      <c r="Q103" s="1313">
        <v>0.03</v>
      </c>
    </row>
    <row r="104" spans="2:17" ht="15">
      <c r="C104" s="63" t="s">
        <v>2168</v>
      </c>
      <c r="J104"/>
      <c r="K104"/>
      <c r="L104" s="1303">
        <v>30</v>
      </c>
      <c r="M104" s="1313">
        <v>0.03</v>
      </c>
      <c r="N104" s="1313">
        <v>0.03</v>
      </c>
      <c r="O104" s="1313">
        <v>0.03</v>
      </c>
      <c r="P104" s="1313">
        <v>0.03</v>
      </c>
      <c r="Q104" s="1313">
        <v>0.03</v>
      </c>
    </row>
    <row r="105" spans="2:17" ht="15">
      <c r="C105" s="63" t="s">
        <v>2169</v>
      </c>
      <c r="J105"/>
      <c r="K105"/>
      <c r="L105" s="1303">
        <v>30</v>
      </c>
      <c r="M105" s="1313">
        <v>0.03</v>
      </c>
      <c r="N105" s="1313">
        <v>0.03</v>
      </c>
      <c r="O105" s="1313">
        <v>0.03</v>
      </c>
      <c r="P105" s="1313">
        <v>0.03</v>
      </c>
      <c r="Q105" s="1313">
        <v>0.03</v>
      </c>
    </row>
    <row r="106" spans="2:17" ht="15">
      <c r="C106" s="63" t="s">
        <v>2170</v>
      </c>
      <c r="J106"/>
      <c r="K106"/>
      <c r="L106" s="1303">
        <v>30</v>
      </c>
      <c r="M106" s="1313">
        <v>0.03</v>
      </c>
      <c r="N106" s="1313">
        <v>0.03</v>
      </c>
      <c r="O106" s="1313">
        <v>0.03</v>
      </c>
      <c r="P106" s="1313">
        <v>0.03</v>
      </c>
      <c r="Q106" s="1313">
        <v>0.03</v>
      </c>
    </row>
    <row r="107" spans="2:17" ht="15">
      <c r="C107" s="63" t="s">
        <v>2171</v>
      </c>
      <c r="J107"/>
      <c r="K107"/>
      <c r="L107" s="1303">
        <v>30</v>
      </c>
      <c r="M107" s="1313">
        <v>0.03</v>
      </c>
      <c r="N107" s="1313">
        <v>0.03</v>
      </c>
      <c r="O107" s="1313">
        <v>0.03</v>
      </c>
      <c r="P107" s="1313">
        <v>0.03</v>
      </c>
      <c r="Q107" s="1313">
        <v>0.03</v>
      </c>
    </row>
    <row r="108" spans="2:17" ht="15">
      <c r="C108" s="63" t="s">
        <v>2172</v>
      </c>
      <c r="J108"/>
      <c r="K108"/>
      <c r="L108" s="1303">
        <v>30</v>
      </c>
      <c r="M108" s="1313">
        <v>0.03</v>
      </c>
      <c r="N108" s="1313">
        <v>0.03</v>
      </c>
      <c r="O108" s="1313">
        <v>0.03</v>
      </c>
      <c r="P108" s="1313">
        <v>0.03</v>
      </c>
      <c r="Q108" s="1313">
        <v>0.03</v>
      </c>
    </row>
    <row r="109" spans="2:17" ht="15">
      <c r="C109" s="63" t="s">
        <v>2173</v>
      </c>
      <c r="J109"/>
      <c r="K109"/>
      <c r="L109" s="1303">
        <v>30</v>
      </c>
      <c r="M109" s="1313">
        <v>0.03</v>
      </c>
      <c r="N109" s="1313">
        <v>0.03</v>
      </c>
      <c r="O109" s="1313">
        <v>0.03</v>
      </c>
      <c r="P109" s="1313">
        <v>0.03</v>
      </c>
      <c r="Q109" s="1313">
        <v>0.03</v>
      </c>
    </row>
    <row r="110" spans="2:17" ht="15">
      <c r="C110" s="63" t="s">
        <v>2174</v>
      </c>
      <c r="J110"/>
      <c r="K110"/>
      <c r="L110" s="1303">
        <v>30</v>
      </c>
      <c r="M110" s="1313">
        <v>0.03</v>
      </c>
      <c r="N110" s="1313">
        <v>0.03</v>
      </c>
      <c r="O110" s="1313">
        <v>0.03</v>
      </c>
      <c r="P110" s="1313">
        <v>0.03</v>
      </c>
      <c r="Q110" s="1313">
        <v>0.03</v>
      </c>
    </row>
    <row r="111" spans="2:17" ht="15">
      <c r="C111" s="63" t="s">
        <v>2175</v>
      </c>
      <c r="J111"/>
      <c r="K111"/>
      <c r="L111" s="1303">
        <v>30</v>
      </c>
      <c r="M111" s="1313">
        <v>0.03</v>
      </c>
      <c r="N111" s="1313">
        <v>0.03</v>
      </c>
      <c r="O111" s="1313">
        <v>0.03</v>
      </c>
      <c r="P111" s="1313">
        <v>0.03</v>
      </c>
      <c r="Q111" s="1313">
        <v>0.03</v>
      </c>
    </row>
    <row r="112" spans="2:17" ht="15">
      <c r="J112"/>
      <c r="K112"/>
    </row>
    <row r="113" spans="3:17" ht="15">
      <c r="C113" s="82" t="s">
        <v>1815</v>
      </c>
      <c r="J113"/>
      <c r="K113"/>
      <c r="M113" s="63" t="s">
        <v>2192</v>
      </c>
    </row>
    <row r="114" spans="3:17">
      <c r="C114" s="63" t="s">
        <v>2164</v>
      </c>
      <c r="J114" s="1303">
        <v>100</v>
      </c>
      <c r="L114" s="1303">
        <v>100</v>
      </c>
      <c r="M114" s="1313">
        <v>0.03</v>
      </c>
      <c r="N114" s="1313">
        <v>0.03</v>
      </c>
      <c r="O114" s="1313">
        <v>0.03</v>
      </c>
      <c r="P114" s="1313">
        <v>0.03</v>
      </c>
      <c r="Q114" s="1313">
        <v>0.03</v>
      </c>
    </row>
    <row r="115" spans="3:17">
      <c r="C115" s="63" t="s">
        <v>2165</v>
      </c>
      <c r="J115" s="1303">
        <v>200</v>
      </c>
      <c r="L115" s="1303">
        <v>200</v>
      </c>
      <c r="M115" s="1313">
        <v>0.03</v>
      </c>
      <c r="N115" s="1313">
        <v>0.03</v>
      </c>
      <c r="O115" s="1313">
        <v>0.03</v>
      </c>
      <c r="P115" s="1313">
        <v>0.03</v>
      </c>
      <c r="Q115" s="1313">
        <v>0.03</v>
      </c>
    </row>
    <row r="116" spans="3:17">
      <c r="C116" s="63" t="s">
        <v>2166</v>
      </c>
      <c r="J116" s="1303">
        <v>100</v>
      </c>
      <c r="L116" s="1303">
        <v>100</v>
      </c>
      <c r="M116" s="1313">
        <v>0.03</v>
      </c>
      <c r="N116" s="1313">
        <v>0.03</v>
      </c>
      <c r="O116" s="1313">
        <v>0.03</v>
      </c>
      <c r="P116" s="1313">
        <v>0.03</v>
      </c>
      <c r="Q116" s="1313">
        <v>0.03</v>
      </c>
    </row>
    <row r="117" spans="3:17">
      <c r="C117" s="63" t="s">
        <v>2167</v>
      </c>
      <c r="J117" s="1303">
        <v>200</v>
      </c>
      <c r="L117" s="1303">
        <v>200</v>
      </c>
      <c r="M117" s="1313">
        <v>0.03</v>
      </c>
      <c r="N117" s="1313">
        <v>0.03</v>
      </c>
      <c r="O117" s="1313">
        <v>0.03</v>
      </c>
      <c r="P117" s="1313">
        <v>0.03</v>
      </c>
      <c r="Q117" s="1313">
        <v>0.03</v>
      </c>
    </row>
    <row r="118" spans="3:17" ht="15">
      <c r="C118" s="63" t="s">
        <v>2168</v>
      </c>
      <c r="I118"/>
      <c r="J118"/>
      <c r="L118" s="1303">
        <v>100</v>
      </c>
      <c r="M118" s="1313">
        <v>0.03</v>
      </c>
      <c r="N118" s="1313">
        <v>0.03</v>
      </c>
      <c r="O118" s="1313">
        <v>0.03</v>
      </c>
      <c r="P118" s="1313">
        <v>0.03</v>
      </c>
      <c r="Q118" s="1313">
        <v>0.03</v>
      </c>
    </row>
    <row r="119" spans="3:17" ht="15">
      <c r="C119" s="63" t="s">
        <v>2169</v>
      </c>
      <c r="I119"/>
      <c r="J119"/>
      <c r="L119" s="1303">
        <v>200</v>
      </c>
      <c r="M119" s="1313">
        <v>0.03</v>
      </c>
      <c r="N119" s="1313">
        <v>0.03</v>
      </c>
      <c r="O119" s="1313">
        <v>0.03</v>
      </c>
      <c r="P119" s="1313">
        <v>0.03</v>
      </c>
      <c r="Q119" s="1313">
        <v>0.03</v>
      </c>
    </row>
    <row r="120" spans="3:17" ht="15">
      <c r="C120" s="63" t="s">
        <v>2170</v>
      </c>
      <c r="I120"/>
      <c r="J120"/>
      <c r="L120" s="1303">
        <v>100</v>
      </c>
      <c r="M120" s="1313">
        <v>0.03</v>
      </c>
      <c r="N120" s="1313">
        <v>0.03</v>
      </c>
      <c r="O120" s="1313">
        <v>0.03</v>
      </c>
      <c r="P120" s="1313">
        <v>0.03</v>
      </c>
      <c r="Q120" s="1313">
        <v>0.03</v>
      </c>
    </row>
    <row r="121" spans="3:17" ht="15">
      <c r="C121" s="63" t="s">
        <v>2171</v>
      </c>
      <c r="I121"/>
      <c r="J121"/>
      <c r="L121" s="1303">
        <v>200</v>
      </c>
      <c r="M121" s="1313">
        <v>0.03</v>
      </c>
      <c r="N121" s="1313">
        <v>0.03</v>
      </c>
      <c r="O121" s="1313">
        <v>0.03</v>
      </c>
      <c r="P121" s="1313">
        <v>0.03</v>
      </c>
      <c r="Q121" s="1313">
        <v>0.03</v>
      </c>
    </row>
    <row r="122" spans="3:17" ht="15">
      <c r="C122" s="63" t="s">
        <v>2172</v>
      </c>
      <c r="I122"/>
      <c r="J122"/>
      <c r="L122" s="1303">
        <v>100</v>
      </c>
      <c r="M122" s="1313">
        <v>0.03</v>
      </c>
      <c r="N122" s="1313">
        <v>0.03</v>
      </c>
      <c r="O122" s="1313">
        <v>0.03</v>
      </c>
      <c r="P122" s="1313">
        <v>0.03</v>
      </c>
      <c r="Q122" s="1313">
        <v>0.03</v>
      </c>
    </row>
    <row r="123" spans="3:17" ht="15">
      <c r="C123" s="63" t="s">
        <v>2173</v>
      </c>
      <c r="I123"/>
      <c r="J123"/>
      <c r="L123" s="1303">
        <v>200</v>
      </c>
      <c r="M123" s="1313">
        <v>0.03</v>
      </c>
      <c r="N123" s="1313">
        <v>0.03</v>
      </c>
      <c r="O123" s="1313">
        <v>0.03</v>
      </c>
      <c r="P123" s="1313">
        <v>0.03</v>
      </c>
      <c r="Q123" s="1313">
        <v>0.03</v>
      </c>
    </row>
    <row r="124" spans="3:17" ht="15">
      <c r="C124" s="63" t="s">
        <v>2174</v>
      </c>
      <c r="I124"/>
      <c r="J124"/>
      <c r="L124" s="1303">
        <v>100</v>
      </c>
      <c r="M124" s="1313">
        <v>0.03</v>
      </c>
      <c r="N124" s="1313">
        <v>0.03</v>
      </c>
      <c r="O124" s="1313">
        <v>0.03</v>
      </c>
      <c r="P124" s="1313">
        <v>0.03</v>
      </c>
      <c r="Q124" s="1313">
        <v>0.03</v>
      </c>
    </row>
    <row r="125" spans="3:17" ht="15">
      <c r="C125" s="63" t="s">
        <v>2175</v>
      </c>
      <c r="I125"/>
      <c r="J125"/>
      <c r="L125" s="1303">
        <v>200</v>
      </c>
      <c r="M125" s="1313">
        <v>0.03</v>
      </c>
      <c r="N125" s="1313">
        <v>0.03</v>
      </c>
      <c r="O125" s="1313">
        <v>0.03</v>
      </c>
      <c r="P125" s="1313">
        <v>0.03</v>
      </c>
      <c r="Q125" s="1313">
        <v>0.03</v>
      </c>
    </row>
    <row r="127" spans="3:17">
      <c r="C127" s="1234" t="s">
        <v>2336</v>
      </c>
    </row>
    <row r="128" spans="3:17">
      <c r="C128" s="80" t="s">
        <v>1831</v>
      </c>
      <c r="L128" s="83"/>
    </row>
    <row r="129" spans="3:17">
      <c r="C129" s="63" t="s">
        <v>2327</v>
      </c>
      <c r="E129" s="76" t="str">
        <f>currency.heading1</f>
        <v>INR 'Units</v>
      </c>
      <c r="J129" s="1303">
        <v>20000</v>
      </c>
      <c r="L129" s="1303">
        <v>20000</v>
      </c>
      <c r="M129" s="1303">
        <v>20000</v>
      </c>
      <c r="N129" s="1303">
        <v>20000</v>
      </c>
      <c r="O129" s="1303">
        <v>20000</v>
      </c>
      <c r="P129" s="1303">
        <v>20000</v>
      </c>
      <c r="Q129" s="1303">
        <v>20000</v>
      </c>
    </row>
    <row r="130" spans="3:17">
      <c r="C130" s="63" t="s">
        <v>2328</v>
      </c>
      <c r="E130" s="76" t="str">
        <f>currency.heading1</f>
        <v>INR 'Units</v>
      </c>
      <c r="J130" s="1303">
        <v>50000</v>
      </c>
      <c r="L130" s="1303">
        <v>50000</v>
      </c>
      <c r="M130" s="1303">
        <v>50000</v>
      </c>
      <c r="N130" s="1303">
        <v>50000</v>
      </c>
      <c r="O130" s="1303">
        <v>50000</v>
      </c>
      <c r="P130" s="1303">
        <v>50000</v>
      </c>
      <c r="Q130" s="1303">
        <v>50000</v>
      </c>
    </row>
    <row r="131" spans="3:17">
      <c r="C131" s="63" t="s">
        <v>2329</v>
      </c>
      <c r="E131" s="76" t="str">
        <f>currency.heading1</f>
        <v>INR 'Units</v>
      </c>
      <c r="J131" s="1303">
        <v>10000</v>
      </c>
      <c r="L131" s="1303">
        <v>10000</v>
      </c>
      <c r="M131" s="1303">
        <v>10000</v>
      </c>
      <c r="N131" s="1303">
        <v>10000</v>
      </c>
      <c r="O131" s="1303">
        <v>10000</v>
      </c>
      <c r="P131" s="1303">
        <v>10000</v>
      </c>
      <c r="Q131" s="1303">
        <v>10000</v>
      </c>
    </row>
    <row r="132" spans="3:17">
      <c r="C132" s="63" t="s">
        <v>2330</v>
      </c>
      <c r="E132" s="76" t="str">
        <f>currency.heading1</f>
        <v>INR 'Units</v>
      </c>
      <c r="J132" s="1303">
        <v>12000</v>
      </c>
      <c r="L132" s="1303">
        <v>12000</v>
      </c>
      <c r="M132" s="1303">
        <v>12000</v>
      </c>
      <c r="N132" s="1303">
        <v>12000</v>
      </c>
      <c r="O132" s="1303">
        <v>12000</v>
      </c>
      <c r="P132" s="1303">
        <v>12000</v>
      </c>
      <c r="Q132" s="1303">
        <v>12000</v>
      </c>
    </row>
    <row r="133" spans="3:17">
      <c r="E133" s="76"/>
    </row>
    <row r="134" spans="3:17">
      <c r="C134" s="80" t="s">
        <v>1844</v>
      </c>
      <c r="E134" s="76"/>
      <c r="L134" s="83"/>
      <c r="M134" s="83"/>
      <c r="N134" s="83"/>
      <c r="O134" s="83"/>
      <c r="P134" s="83"/>
      <c r="Q134" s="83"/>
    </row>
    <row r="135" spans="3:17" ht="15">
      <c r="C135" s="63" t="s">
        <v>2168</v>
      </c>
      <c r="E135" s="76" t="str">
        <f>currency.heading1</f>
        <v>INR 'Units</v>
      </c>
      <c r="I135"/>
      <c r="J135"/>
      <c r="L135" s="1303">
        <v>15000</v>
      </c>
      <c r="M135" s="1303">
        <v>15000</v>
      </c>
      <c r="N135" s="1303">
        <v>15000</v>
      </c>
      <c r="O135" s="1303">
        <v>15000</v>
      </c>
      <c r="P135" s="1303">
        <v>15000</v>
      </c>
      <c r="Q135" s="1303">
        <v>15000</v>
      </c>
    </row>
    <row r="136" spans="3:17" ht="15">
      <c r="C136" s="63" t="s">
        <v>2169</v>
      </c>
      <c r="E136" s="76" t="str">
        <f>currency.heading1</f>
        <v>INR 'Units</v>
      </c>
      <c r="I136"/>
      <c r="J136"/>
      <c r="L136" s="1303">
        <v>15000</v>
      </c>
      <c r="M136" s="1303">
        <v>15000</v>
      </c>
      <c r="N136" s="1303">
        <v>15000</v>
      </c>
      <c r="O136" s="1303">
        <v>15000</v>
      </c>
      <c r="P136" s="1303">
        <v>15000</v>
      </c>
      <c r="Q136" s="1303">
        <v>15000</v>
      </c>
    </row>
    <row r="137" spans="3:17" ht="15">
      <c r="C137" s="63" t="s">
        <v>2170</v>
      </c>
      <c r="E137" s="76" t="str">
        <f>currency.heading1</f>
        <v>INR 'Units</v>
      </c>
      <c r="I137"/>
      <c r="J137"/>
      <c r="L137" s="1303">
        <v>15000</v>
      </c>
      <c r="M137" s="1303">
        <v>15000</v>
      </c>
      <c r="N137" s="1303">
        <v>15000</v>
      </c>
      <c r="O137" s="1303">
        <v>15000</v>
      </c>
      <c r="P137" s="1303">
        <v>15000</v>
      </c>
      <c r="Q137" s="1303">
        <v>15000</v>
      </c>
    </row>
    <row r="138" spans="3:17" ht="15">
      <c r="C138" s="63" t="s">
        <v>2171</v>
      </c>
      <c r="E138" s="76" t="str">
        <f>currency.heading1</f>
        <v>INR 'Units</v>
      </c>
      <c r="I138"/>
      <c r="J138"/>
      <c r="L138" s="1303">
        <v>15000</v>
      </c>
      <c r="M138" s="1303">
        <v>15000</v>
      </c>
      <c r="N138" s="1303">
        <v>15000</v>
      </c>
      <c r="O138" s="1303">
        <v>15000</v>
      </c>
      <c r="P138" s="1303">
        <v>15000</v>
      </c>
      <c r="Q138" s="1303">
        <v>15000</v>
      </c>
    </row>
    <row r="139" spans="3:17" ht="15">
      <c r="E139" s="76"/>
      <c r="I139"/>
      <c r="J139"/>
    </row>
    <row r="140" spans="3:17" ht="15">
      <c r="C140" s="80" t="s">
        <v>1845</v>
      </c>
      <c r="E140" s="76"/>
      <c r="I140"/>
      <c r="J140"/>
      <c r="L140" s="83"/>
      <c r="M140" s="83"/>
      <c r="N140" s="83"/>
      <c r="O140" s="83"/>
      <c r="P140" s="83"/>
      <c r="Q140" s="83"/>
    </row>
    <row r="141" spans="3:17" ht="15">
      <c r="C141" s="63" t="s">
        <v>2331</v>
      </c>
      <c r="E141" s="76" t="str">
        <f>currency.heading1</f>
        <v>INR 'Units</v>
      </c>
      <c r="I141"/>
      <c r="J141"/>
      <c r="L141" s="1303">
        <v>20000</v>
      </c>
      <c r="M141" s="1303">
        <v>20000</v>
      </c>
      <c r="N141" s="1303">
        <v>20000</v>
      </c>
      <c r="O141" s="1303">
        <v>20000</v>
      </c>
      <c r="P141" s="1303">
        <v>20000</v>
      </c>
      <c r="Q141" s="1303">
        <v>20000</v>
      </c>
    </row>
    <row r="142" spans="3:17" ht="15">
      <c r="C142" s="63" t="s">
        <v>2332</v>
      </c>
      <c r="E142" s="76" t="str">
        <f>currency.heading1</f>
        <v>INR 'Units</v>
      </c>
      <c r="I142"/>
      <c r="J142"/>
      <c r="L142" s="1303">
        <v>50000</v>
      </c>
      <c r="M142" s="1303">
        <v>50000</v>
      </c>
      <c r="N142" s="1303">
        <v>50000</v>
      </c>
      <c r="O142" s="1303">
        <v>50000</v>
      </c>
      <c r="P142" s="1303">
        <v>50000</v>
      </c>
      <c r="Q142" s="1303">
        <v>50000</v>
      </c>
    </row>
    <row r="143" spans="3:17" ht="15">
      <c r="C143" s="63" t="s">
        <v>2333</v>
      </c>
      <c r="E143" s="76" t="str">
        <f>currency.heading1</f>
        <v>INR 'Units</v>
      </c>
      <c r="I143"/>
      <c r="J143"/>
      <c r="L143" s="1303">
        <v>10000</v>
      </c>
      <c r="M143" s="1303">
        <v>10000</v>
      </c>
      <c r="N143" s="1303">
        <v>10000</v>
      </c>
      <c r="O143" s="1303">
        <v>10000</v>
      </c>
      <c r="P143" s="1303">
        <v>10000</v>
      </c>
      <c r="Q143" s="1303">
        <v>10000</v>
      </c>
    </row>
    <row r="144" spans="3:17" ht="15">
      <c r="C144" s="63" t="s">
        <v>2334</v>
      </c>
      <c r="E144" s="76" t="str">
        <f>currency.heading1</f>
        <v>INR 'Units</v>
      </c>
      <c r="I144"/>
      <c r="J144"/>
      <c r="L144" s="1303">
        <v>12000</v>
      </c>
      <c r="M144" s="1303">
        <v>12000</v>
      </c>
      <c r="N144" s="1303">
        <v>12000</v>
      </c>
      <c r="O144" s="1303">
        <v>12000</v>
      </c>
      <c r="P144" s="1303">
        <v>12000</v>
      </c>
      <c r="Q144" s="1303">
        <v>12000</v>
      </c>
    </row>
    <row r="145" spans="2:17">
      <c r="E145" s="76"/>
    </row>
    <row r="146" spans="2:17">
      <c r="C146" s="1234" t="s">
        <v>2337</v>
      </c>
    </row>
    <row r="147" spans="2:17">
      <c r="B147" s="80" t="s">
        <v>2338</v>
      </c>
      <c r="E147" s="76" t="str">
        <f>currency.heading1</f>
        <v>INR 'Units</v>
      </c>
      <c r="H147" s="1235"/>
      <c r="I147" s="1235"/>
      <c r="J147" s="1303">
        <v>95000</v>
      </c>
      <c r="L147" s="1303">
        <v>95000</v>
      </c>
      <c r="M147" s="1303">
        <v>105000</v>
      </c>
      <c r="N147" s="1303">
        <v>120000</v>
      </c>
      <c r="O147" s="1303">
        <v>120000</v>
      </c>
      <c r="P147" s="1303">
        <v>120000</v>
      </c>
      <c r="Q147" s="1303">
        <v>120000</v>
      </c>
    </row>
    <row r="148" spans="2:17">
      <c r="B148" s="80"/>
      <c r="C148" s="76" t="s">
        <v>2339</v>
      </c>
      <c r="H148" s="1235"/>
      <c r="I148" s="1235"/>
      <c r="J148" s="1314">
        <v>0.2</v>
      </c>
      <c r="L148" s="1314">
        <v>0.2</v>
      </c>
      <c r="M148" s="1314">
        <v>0.2</v>
      </c>
      <c r="N148" s="1314">
        <v>0.2</v>
      </c>
      <c r="O148" s="1314">
        <v>0.2</v>
      </c>
      <c r="P148" s="1314">
        <v>0.2</v>
      </c>
      <c r="Q148" s="1314">
        <v>0.2</v>
      </c>
    </row>
    <row r="149" spans="2:17">
      <c r="B149" s="80"/>
      <c r="C149" s="76" t="s">
        <v>2340</v>
      </c>
      <c r="H149" s="1235"/>
      <c r="I149" s="1235"/>
      <c r="J149" s="1314">
        <v>0.1</v>
      </c>
      <c r="L149" s="1314">
        <v>0.1</v>
      </c>
      <c r="M149" s="1314">
        <v>0.1</v>
      </c>
      <c r="N149" s="1314">
        <v>0.1</v>
      </c>
      <c r="O149" s="1314">
        <v>0.1</v>
      </c>
      <c r="P149" s="1314">
        <v>0.1</v>
      </c>
      <c r="Q149" s="1314">
        <v>0.1</v>
      </c>
    </row>
    <row r="150" spans="2:17">
      <c r="B150" s="80"/>
      <c r="C150" s="76" t="s">
        <v>2341</v>
      </c>
      <c r="H150" s="1235"/>
      <c r="I150" s="1235"/>
      <c r="J150" s="1314">
        <v>0.3</v>
      </c>
      <c r="L150" s="1314">
        <v>0.3</v>
      </c>
      <c r="M150" s="1314">
        <v>0.3</v>
      </c>
      <c r="N150" s="1314">
        <v>0.3</v>
      </c>
      <c r="O150" s="1314">
        <v>0.3</v>
      </c>
      <c r="P150" s="1314">
        <v>0.3</v>
      </c>
      <c r="Q150" s="1314">
        <v>0.3</v>
      </c>
    </row>
    <row r="151" spans="2:17">
      <c r="B151" s="80"/>
      <c r="C151" s="76" t="s">
        <v>2342</v>
      </c>
      <c r="H151" s="1235"/>
      <c r="I151" s="1235"/>
      <c r="J151" s="1314">
        <v>0.4</v>
      </c>
      <c r="L151" s="1314">
        <v>0.4</v>
      </c>
      <c r="M151" s="1314">
        <v>0.4</v>
      </c>
      <c r="N151" s="1314">
        <v>0.4</v>
      </c>
      <c r="O151" s="1314">
        <v>0.4</v>
      </c>
      <c r="P151" s="1314">
        <v>0.4</v>
      </c>
      <c r="Q151" s="1314">
        <v>0.4</v>
      </c>
    </row>
    <row r="152" spans="2:17">
      <c r="B152" s="80"/>
      <c r="C152" s="76"/>
      <c r="H152" s="1235"/>
      <c r="I152" s="1235"/>
      <c r="L152" s="1235"/>
      <c r="M152" s="1235"/>
      <c r="N152" s="1235"/>
      <c r="O152" s="1235"/>
      <c r="P152" s="1235"/>
      <c r="Q152" s="1235"/>
    </row>
    <row r="153" spans="2:17" ht="15">
      <c r="B153" s="80" t="s">
        <v>2343</v>
      </c>
      <c r="C153" s="76"/>
      <c r="E153" s="76" t="str">
        <f>currency.heading1</f>
        <v>INR 'Units</v>
      </c>
      <c r="H153" s="1235"/>
      <c r="I153"/>
      <c r="J153"/>
      <c r="L153" s="1303">
        <v>95000</v>
      </c>
      <c r="M153" s="1303">
        <v>105000</v>
      </c>
      <c r="N153" s="1303">
        <v>120000</v>
      </c>
      <c r="O153" s="1303">
        <v>120000</v>
      </c>
      <c r="P153" s="1303">
        <v>120000</v>
      </c>
      <c r="Q153" s="1303">
        <v>120000</v>
      </c>
    </row>
    <row r="154" spans="2:17" ht="15">
      <c r="B154" s="80"/>
      <c r="C154" s="76" t="s">
        <v>2344</v>
      </c>
      <c r="H154" s="1235"/>
      <c r="I154"/>
      <c r="J154"/>
      <c r="L154" s="1314">
        <v>0.2</v>
      </c>
      <c r="M154" s="1314">
        <v>0.2</v>
      </c>
      <c r="N154" s="1314">
        <v>0.2</v>
      </c>
      <c r="O154" s="1314">
        <v>0.2</v>
      </c>
      <c r="P154" s="1314">
        <v>0.2</v>
      </c>
      <c r="Q154" s="1314">
        <v>0.2</v>
      </c>
    </row>
    <row r="155" spans="2:17" ht="15">
      <c r="B155" s="80"/>
      <c r="C155" s="76" t="s">
        <v>2345</v>
      </c>
      <c r="H155" s="1235"/>
      <c r="I155"/>
      <c r="J155"/>
      <c r="L155" s="1314">
        <v>0.1</v>
      </c>
      <c r="M155" s="1314">
        <v>0.1</v>
      </c>
      <c r="N155" s="1314">
        <v>0.1</v>
      </c>
      <c r="O155" s="1314">
        <v>0.1</v>
      </c>
      <c r="P155" s="1314">
        <v>0.1</v>
      </c>
      <c r="Q155" s="1314">
        <v>0.1</v>
      </c>
    </row>
    <row r="156" spans="2:17" ht="15">
      <c r="B156" s="80"/>
      <c r="C156" s="76" t="s">
        <v>2346</v>
      </c>
      <c r="H156" s="1235"/>
      <c r="I156"/>
      <c r="J156"/>
      <c r="L156" s="1314">
        <v>0.3</v>
      </c>
      <c r="M156" s="1314">
        <v>0.3</v>
      </c>
      <c r="N156" s="1314">
        <v>0.3</v>
      </c>
      <c r="O156" s="1314">
        <v>0.3</v>
      </c>
      <c r="P156" s="1314">
        <v>0.3</v>
      </c>
      <c r="Q156" s="1314">
        <v>0.3</v>
      </c>
    </row>
    <row r="157" spans="2:17" ht="15">
      <c r="B157" s="80"/>
      <c r="C157" s="76" t="s">
        <v>2347</v>
      </c>
      <c r="H157" s="1235"/>
      <c r="I157"/>
      <c r="J157"/>
      <c r="L157" s="1314">
        <v>0.4</v>
      </c>
      <c r="M157" s="1314">
        <v>0.4</v>
      </c>
      <c r="N157" s="1314">
        <v>0.4</v>
      </c>
      <c r="O157" s="1314">
        <v>0.4</v>
      </c>
      <c r="P157" s="1314">
        <v>0.4</v>
      </c>
      <c r="Q157" s="1314">
        <v>0.4</v>
      </c>
    </row>
    <row r="158" spans="2:17" ht="15">
      <c r="B158" s="80"/>
      <c r="C158" s="76"/>
      <c r="H158" s="1235"/>
      <c r="I158"/>
      <c r="J158"/>
      <c r="L158" s="1235"/>
      <c r="M158" s="1235"/>
      <c r="N158" s="1235"/>
      <c r="O158" s="1235"/>
      <c r="P158" s="1235"/>
      <c r="Q158" s="1235"/>
    </row>
    <row r="159" spans="2:17" ht="15">
      <c r="B159" s="80" t="s">
        <v>2348</v>
      </c>
      <c r="C159" s="76"/>
      <c r="E159" s="76" t="str">
        <f>currency.heading1</f>
        <v>INR 'Units</v>
      </c>
      <c r="H159" s="1235"/>
      <c r="I159"/>
      <c r="J159"/>
      <c r="L159" s="1303">
        <v>95000</v>
      </c>
      <c r="M159" s="1303">
        <v>105000</v>
      </c>
      <c r="N159" s="1303">
        <v>120000</v>
      </c>
      <c r="O159" s="1303">
        <v>120000</v>
      </c>
      <c r="P159" s="1303">
        <v>120000</v>
      </c>
      <c r="Q159" s="1303">
        <v>120000</v>
      </c>
    </row>
    <row r="160" spans="2:17" ht="15">
      <c r="B160" s="80"/>
      <c r="C160" s="76" t="s">
        <v>2349</v>
      </c>
      <c r="H160" s="1235"/>
      <c r="I160"/>
      <c r="J160"/>
      <c r="L160" s="1314">
        <v>0.2</v>
      </c>
      <c r="M160" s="1314">
        <v>0.2</v>
      </c>
      <c r="N160" s="1314">
        <v>0.2</v>
      </c>
      <c r="O160" s="1314">
        <v>0.2</v>
      </c>
      <c r="P160" s="1314">
        <v>0.2</v>
      </c>
      <c r="Q160" s="1314">
        <v>0.2</v>
      </c>
    </row>
    <row r="161" spans="2:17" ht="15">
      <c r="B161" s="80"/>
      <c r="C161" s="76" t="s">
        <v>2350</v>
      </c>
      <c r="H161" s="1235"/>
      <c r="I161"/>
      <c r="J161"/>
      <c r="L161" s="1314">
        <v>0.1</v>
      </c>
      <c r="M161" s="1314">
        <v>0.1</v>
      </c>
      <c r="N161" s="1314">
        <v>0.1</v>
      </c>
      <c r="O161" s="1314">
        <v>0.1</v>
      </c>
      <c r="P161" s="1314">
        <v>0.1</v>
      </c>
      <c r="Q161" s="1314">
        <v>0.1</v>
      </c>
    </row>
    <row r="162" spans="2:17" ht="15">
      <c r="B162" s="80"/>
      <c r="C162" s="76" t="s">
        <v>2351</v>
      </c>
      <c r="H162" s="1235"/>
      <c r="I162"/>
      <c r="J162"/>
      <c r="L162" s="1314">
        <v>0.3</v>
      </c>
      <c r="M162" s="1314">
        <v>0.3</v>
      </c>
      <c r="N162" s="1314">
        <v>0.3</v>
      </c>
      <c r="O162" s="1314">
        <v>0.3</v>
      </c>
      <c r="P162" s="1314">
        <v>0.3</v>
      </c>
      <c r="Q162" s="1314">
        <v>0.3</v>
      </c>
    </row>
    <row r="163" spans="2:17" ht="15">
      <c r="B163" s="80"/>
      <c r="C163" s="76" t="s">
        <v>2352</v>
      </c>
      <c r="H163" s="1235"/>
      <c r="I163"/>
      <c r="J163"/>
      <c r="L163" s="1314">
        <v>0.4</v>
      </c>
      <c r="M163" s="1314">
        <v>0.4</v>
      </c>
      <c r="N163" s="1314">
        <v>0.4</v>
      </c>
      <c r="O163" s="1314">
        <v>0.4</v>
      </c>
      <c r="P163" s="1314">
        <v>0.4</v>
      </c>
      <c r="Q163" s="1314">
        <v>0.4</v>
      </c>
    </row>
    <row r="164" spans="2:17">
      <c r="B164" s="80"/>
      <c r="C164" s="76"/>
    </row>
    <row r="165" spans="2:17">
      <c r="C165" s="97" t="s">
        <v>2195</v>
      </c>
      <c r="D165" s="95"/>
      <c r="E165" s="96"/>
      <c r="F165" s="96"/>
      <c r="G165" s="96"/>
      <c r="H165" s="96"/>
      <c r="I165" s="96"/>
      <c r="J165" s="96"/>
      <c r="K165" s="96"/>
      <c r="L165" s="96"/>
      <c r="M165" s="96"/>
      <c r="N165" s="96"/>
      <c r="O165" s="96"/>
      <c r="P165" s="96"/>
      <c r="Q165" s="96"/>
    </row>
    <row r="166" spans="2:17">
      <c r="C166" s="84" t="s">
        <v>2353</v>
      </c>
    </row>
    <row r="167" spans="2:17">
      <c r="C167" s="85" t="s">
        <v>2164</v>
      </c>
      <c r="K167" s="708"/>
      <c r="L167" s="1315">
        <v>0.7</v>
      </c>
      <c r="M167" s="1315">
        <v>0.7</v>
      </c>
      <c r="N167" s="1315">
        <v>0.7</v>
      </c>
      <c r="O167" s="1315">
        <v>0.7</v>
      </c>
      <c r="P167" s="1315">
        <v>0.7</v>
      </c>
      <c r="Q167" s="1315">
        <v>0.7</v>
      </c>
    </row>
    <row r="168" spans="2:17">
      <c r="C168" s="85" t="s">
        <v>2165</v>
      </c>
      <c r="K168" s="708"/>
      <c r="L168" s="1315">
        <v>0.7</v>
      </c>
      <c r="M168" s="1315">
        <v>0.7</v>
      </c>
      <c r="N168" s="1315">
        <v>0.7</v>
      </c>
      <c r="O168" s="1315">
        <v>0.7</v>
      </c>
      <c r="P168" s="1315">
        <v>0.7</v>
      </c>
      <c r="Q168" s="1315">
        <v>0.7</v>
      </c>
    </row>
    <row r="169" spans="2:17">
      <c r="C169" s="85" t="s">
        <v>2166</v>
      </c>
      <c r="K169" s="708"/>
      <c r="L169" s="1315">
        <v>0.7</v>
      </c>
      <c r="M169" s="1315">
        <v>0.7</v>
      </c>
      <c r="N169" s="1315">
        <v>0.7</v>
      </c>
      <c r="O169" s="1315">
        <v>0.7</v>
      </c>
      <c r="P169" s="1315">
        <v>0.7</v>
      </c>
      <c r="Q169" s="1315">
        <v>0.7</v>
      </c>
    </row>
    <row r="170" spans="2:17">
      <c r="C170" s="85" t="s">
        <v>2167</v>
      </c>
      <c r="K170" s="708"/>
      <c r="L170" s="1315">
        <v>0.7</v>
      </c>
      <c r="M170" s="1315">
        <v>0.7</v>
      </c>
      <c r="N170" s="1315">
        <v>0.7</v>
      </c>
      <c r="O170" s="1315">
        <v>0.7</v>
      </c>
      <c r="P170" s="1315">
        <v>0.7</v>
      </c>
      <c r="Q170" s="1315">
        <v>0.7</v>
      </c>
    </row>
    <row r="171" spans="2:17">
      <c r="C171" s="85" t="s">
        <v>2168</v>
      </c>
      <c r="K171" s="708"/>
      <c r="L171" s="1315">
        <v>0.7</v>
      </c>
      <c r="M171" s="1315">
        <v>0.7</v>
      </c>
      <c r="N171" s="1315">
        <v>0.7</v>
      </c>
      <c r="O171" s="1315">
        <v>0.7</v>
      </c>
      <c r="P171" s="1315">
        <v>0.7</v>
      </c>
      <c r="Q171" s="1315">
        <v>0.7</v>
      </c>
    </row>
    <row r="172" spans="2:17">
      <c r="C172" s="85" t="s">
        <v>2169</v>
      </c>
      <c r="K172" s="708"/>
      <c r="L172" s="1315">
        <v>0.7</v>
      </c>
      <c r="M172" s="1315">
        <v>0.7</v>
      </c>
      <c r="N172" s="1315">
        <v>0.7</v>
      </c>
      <c r="O172" s="1315">
        <v>0.7</v>
      </c>
      <c r="P172" s="1315">
        <v>0.7</v>
      </c>
      <c r="Q172" s="1315">
        <v>0.7</v>
      </c>
    </row>
    <row r="173" spans="2:17">
      <c r="C173" s="85" t="s">
        <v>2170</v>
      </c>
      <c r="K173" s="708"/>
      <c r="L173" s="1315">
        <v>0.7</v>
      </c>
      <c r="M173" s="1315">
        <v>0.7</v>
      </c>
      <c r="N173" s="1315">
        <v>0.7</v>
      </c>
      <c r="O173" s="1315">
        <v>0.7</v>
      </c>
      <c r="P173" s="1315">
        <v>0.7</v>
      </c>
      <c r="Q173" s="1315">
        <v>0.7</v>
      </c>
    </row>
    <row r="174" spans="2:17">
      <c r="C174" s="85" t="s">
        <v>2171</v>
      </c>
      <c r="K174" s="708"/>
      <c r="L174" s="1315">
        <v>0.7</v>
      </c>
      <c r="M174" s="1315">
        <v>0.7</v>
      </c>
      <c r="N174" s="1315">
        <v>0.7</v>
      </c>
      <c r="O174" s="1315">
        <v>0.7</v>
      </c>
      <c r="P174" s="1315">
        <v>0.7</v>
      </c>
      <c r="Q174" s="1315">
        <v>0.7</v>
      </c>
    </row>
    <row r="175" spans="2:17">
      <c r="C175" s="85" t="s">
        <v>2172</v>
      </c>
      <c r="K175" s="708"/>
      <c r="L175" s="1315">
        <v>0.7</v>
      </c>
      <c r="M175" s="1315">
        <v>0.7</v>
      </c>
      <c r="N175" s="1315">
        <v>0.7</v>
      </c>
      <c r="O175" s="1315">
        <v>0.7</v>
      </c>
      <c r="P175" s="1315">
        <v>0.7</v>
      </c>
      <c r="Q175" s="1315">
        <v>0.7</v>
      </c>
    </row>
    <row r="176" spans="2:17">
      <c r="C176" s="85" t="s">
        <v>2173</v>
      </c>
      <c r="K176" s="708"/>
      <c r="L176" s="1315">
        <v>0.7</v>
      </c>
      <c r="M176" s="1315">
        <v>0.7</v>
      </c>
      <c r="N176" s="1315">
        <v>0.7</v>
      </c>
      <c r="O176" s="1315">
        <v>0.7</v>
      </c>
      <c r="P176" s="1315">
        <v>0.7</v>
      </c>
      <c r="Q176" s="1315">
        <v>0.7</v>
      </c>
    </row>
    <row r="177" spans="3:17">
      <c r="C177" s="85" t="s">
        <v>2174</v>
      </c>
      <c r="K177" s="708"/>
      <c r="L177" s="1315">
        <v>0.7</v>
      </c>
      <c r="M177" s="1315">
        <v>0.7</v>
      </c>
      <c r="N177" s="1315">
        <v>0.7</v>
      </c>
      <c r="O177" s="1315">
        <v>0.7</v>
      </c>
      <c r="P177" s="1315">
        <v>0.7</v>
      </c>
      <c r="Q177" s="1315">
        <v>0.7</v>
      </c>
    </row>
    <row r="178" spans="3:17">
      <c r="C178" s="85" t="s">
        <v>2175</v>
      </c>
      <c r="K178" s="708"/>
      <c r="L178" s="1315">
        <v>0.7</v>
      </c>
      <c r="M178" s="1315">
        <v>0.7</v>
      </c>
      <c r="N178" s="1315">
        <v>0.7</v>
      </c>
      <c r="O178" s="1315">
        <v>0.7</v>
      </c>
      <c r="P178" s="1315">
        <v>0.7</v>
      </c>
      <c r="Q178" s="1315">
        <v>0.7</v>
      </c>
    </row>
    <row r="180" spans="3:17">
      <c r="C180" s="84" t="s">
        <v>2194</v>
      </c>
      <c r="L180" s="83"/>
    </row>
    <row r="181" spans="3:17">
      <c r="C181" s="1340" t="s">
        <v>2674</v>
      </c>
      <c r="D181" s="1339" t="str">
        <f>IF(E181="Option 1","Selected","Unselected")</f>
        <v>Selected</v>
      </c>
      <c r="E181" s="1289" t="str">
        <f>Form!O248</f>
        <v>Option 1</v>
      </c>
      <c r="L181" s="83"/>
    </row>
    <row r="182" spans="3:17">
      <c r="C182" s="63" t="s">
        <v>3168</v>
      </c>
      <c r="E182" s="76" t="str">
        <f t="shared" ref="E182:E193" si="0">currency.heading1</f>
        <v>INR 'Units</v>
      </c>
      <c r="F182" s="1787"/>
      <c r="J182" s="1303">
        <f>Form!K255</f>
        <v>5000</v>
      </c>
      <c r="L182" s="1303">
        <f>Form!L255</f>
        <v>5000</v>
      </c>
      <c r="M182" s="1303">
        <f>Form!M255</f>
        <v>5000</v>
      </c>
      <c r="N182" s="1303">
        <f>Form!N255</f>
        <v>5000</v>
      </c>
      <c r="O182" s="1303">
        <f>Form!O255</f>
        <v>5000</v>
      </c>
      <c r="P182" s="1303">
        <f>Form!P255</f>
        <v>5000</v>
      </c>
      <c r="Q182" s="1303">
        <f>Form!Q255</f>
        <v>5000</v>
      </c>
    </row>
    <row r="183" spans="3:17">
      <c r="C183" s="63" t="s">
        <v>3173</v>
      </c>
      <c r="E183" s="76" t="str">
        <f t="shared" si="0"/>
        <v>INR 'Units</v>
      </c>
      <c r="F183" s="1787"/>
      <c r="J183" s="1303">
        <f>Form!K256</f>
        <v>5000</v>
      </c>
      <c r="L183" s="1303">
        <f>Form!L256</f>
        <v>5000</v>
      </c>
      <c r="M183" s="1303">
        <f>Form!M256</f>
        <v>5000</v>
      </c>
      <c r="N183" s="1303">
        <f>Form!N256</f>
        <v>5000</v>
      </c>
      <c r="O183" s="1303">
        <f>Form!O256</f>
        <v>5000</v>
      </c>
      <c r="P183" s="1303">
        <f>Form!P256</f>
        <v>5000</v>
      </c>
      <c r="Q183" s="1303">
        <f>Form!Q256</f>
        <v>5000</v>
      </c>
    </row>
    <row r="184" spans="3:17">
      <c r="C184" s="63" t="s">
        <v>1824</v>
      </c>
      <c r="E184" s="76" t="str">
        <f t="shared" si="0"/>
        <v>INR 'Units</v>
      </c>
      <c r="F184" s="1787"/>
      <c r="J184" s="1303">
        <f>Form!K257</f>
        <v>5000</v>
      </c>
      <c r="L184" s="1303">
        <f>Form!L257</f>
        <v>5000</v>
      </c>
      <c r="M184" s="1303">
        <f>Form!M257</f>
        <v>5000</v>
      </c>
      <c r="N184" s="1303">
        <f>Form!N257</f>
        <v>5000</v>
      </c>
      <c r="O184" s="1303">
        <f>Form!O257</f>
        <v>5000</v>
      </c>
      <c r="P184" s="1303">
        <f>Form!P257</f>
        <v>5000</v>
      </c>
      <c r="Q184" s="1303">
        <f>Form!Q257</f>
        <v>5000</v>
      </c>
    </row>
    <row r="185" spans="3:17">
      <c r="C185" s="63" t="s">
        <v>1825</v>
      </c>
      <c r="E185" s="76" t="str">
        <f t="shared" si="0"/>
        <v>INR 'Units</v>
      </c>
      <c r="F185" s="1787"/>
      <c r="J185" s="1303">
        <f>Form!K258</f>
        <v>5000</v>
      </c>
      <c r="L185" s="1303">
        <f>Form!L258</f>
        <v>5000</v>
      </c>
      <c r="M185" s="1303">
        <f>Form!M258</f>
        <v>5000</v>
      </c>
      <c r="N185" s="1303">
        <f>Form!N258</f>
        <v>5000</v>
      </c>
      <c r="O185" s="1303">
        <f>Form!O258</f>
        <v>5000</v>
      </c>
      <c r="P185" s="1303">
        <f>Form!P258</f>
        <v>5000</v>
      </c>
      <c r="Q185" s="1303">
        <f>Form!Q258</f>
        <v>5000</v>
      </c>
    </row>
    <row r="186" spans="3:17">
      <c r="C186" s="63" t="s">
        <v>1826</v>
      </c>
      <c r="E186" s="76" t="str">
        <f t="shared" si="0"/>
        <v>INR 'Units</v>
      </c>
      <c r="F186" s="1787"/>
      <c r="J186" s="1303">
        <f>Form!K259</f>
        <v>5000</v>
      </c>
      <c r="L186" s="1303">
        <f>Form!L259</f>
        <v>5000</v>
      </c>
      <c r="M186" s="1303">
        <f>Form!M259</f>
        <v>5000</v>
      </c>
      <c r="N186" s="1303">
        <f>Form!N259</f>
        <v>5000</v>
      </c>
      <c r="O186" s="1303">
        <f>Form!O259</f>
        <v>5000</v>
      </c>
      <c r="P186" s="1303">
        <f>Form!P259</f>
        <v>5000</v>
      </c>
      <c r="Q186" s="1303">
        <f>Form!Q259</f>
        <v>5000</v>
      </c>
    </row>
    <row r="187" spans="3:17">
      <c r="C187" s="63" t="s">
        <v>3171</v>
      </c>
      <c r="E187" s="76" t="str">
        <f t="shared" si="0"/>
        <v>INR 'Units</v>
      </c>
      <c r="F187" s="1787"/>
      <c r="J187" s="1303">
        <f>Form!K260</f>
        <v>5000</v>
      </c>
      <c r="L187" s="1303">
        <f>Form!L260</f>
        <v>5000</v>
      </c>
      <c r="M187" s="1303">
        <f>Form!M260</f>
        <v>5000</v>
      </c>
      <c r="N187" s="1303">
        <f>Form!N260</f>
        <v>5000</v>
      </c>
      <c r="O187" s="1303">
        <f>Form!O260</f>
        <v>5000</v>
      </c>
      <c r="P187" s="1303">
        <f>Form!P260</f>
        <v>5000</v>
      </c>
      <c r="Q187" s="1303">
        <f>Form!Q260</f>
        <v>5000</v>
      </c>
    </row>
    <row r="188" spans="3:17">
      <c r="C188" s="63" t="s">
        <v>3169</v>
      </c>
      <c r="E188" s="76" t="str">
        <f t="shared" si="0"/>
        <v>INR 'Units</v>
      </c>
      <c r="F188" s="1787"/>
      <c r="J188" s="1303">
        <f>Form!K261</f>
        <v>5000</v>
      </c>
      <c r="L188" s="1303">
        <f>Form!L261</f>
        <v>5000</v>
      </c>
      <c r="M188" s="1303">
        <f>Form!M261</f>
        <v>5000</v>
      </c>
      <c r="N188" s="1303">
        <f>Form!N261</f>
        <v>5000</v>
      </c>
      <c r="O188" s="1303">
        <f>Form!O261</f>
        <v>5000</v>
      </c>
      <c r="P188" s="1303">
        <f>Form!P261</f>
        <v>5000</v>
      </c>
      <c r="Q188" s="1303">
        <f>Form!Q261</f>
        <v>5000</v>
      </c>
    </row>
    <row r="189" spans="3:17">
      <c r="C189" s="1787" t="s">
        <v>3170</v>
      </c>
      <c r="E189" s="76" t="str">
        <f t="shared" si="0"/>
        <v>INR 'Units</v>
      </c>
      <c r="F189" s="1787"/>
      <c r="J189" s="1303">
        <f>Form!K262</f>
        <v>5000</v>
      </c>
      <c r="L189" s="1303">
        <f>Form!L262</f>
        <v>5000</v>
      </c>
      <c r="M189" s="1303">
        <f>Form!M262</f>
        <v>5000</v>
      </c>
      <c r="N189" s="1303">
        <f>Form!N262</f>
        <v>5000</v>
      </c>
      <c r="O189" s="1303">
        <f>Form!O262</f>
        <v>5000</v>
      </c>
      <c r="P189" s="1303">
        <f>Form!P262</f>
        <v>5000</v>
      </c>
      <c r="Q189" s="1303">
        <f>Form!Q262</f>
        <v>5000</v>
      </c>
    </row>
    <row r="190" spans="3:17">
      <c r="C190" s="63" t="s">
        <v>2977</v>
      </c>
      <c r="E190" s="76" t="str">
        <f t="shared" si="0"/>
        <v>INR 'Units</v>
      </c>
      <c r="F190" s="1787"/>
      <c r="J190" s="1303">
        <f>Form!K263</f>
        <v>5000</v>
      </c>
      <c r="L190" s="1303">
        <f>Form!L263</f>
        <v>5000</v>
      </c>
      <c r="M190" s="1303">
        <f>Form!M263</f>
        <v>5000</v>
      </c>
      <c r="N190" s="1303">
        <f>Form!N263</f>
        <v>5000</v>
      </c>
      <c r="O190" s="1303">
        <f>Form!O263</f>
        <v>5000</v>
      </c>
      <c r="P190" s="1303">
        <f>Form!P263</f>
        <v>5000</v>
      </c>
      <c r="Q190" s="1303">
        <f>Form!Q263</f>
        <v>5000</v>
      </c>
    </row>
    <row r="191" spans="3:17">
      <c r="C191" s="63" t="s">
        <v>1886</v>
      </c>
      <c r="E191" s="76" t="str">
        <f t="shared" si="0"/>
        <v>INR 'Units</v>
      </c>
      <c r="F191" s="1787"/>
      <c r="J191" s="1303">
        <f>Form!K264</f>
        <v>5000</v>
      </c>
      <c r="L191" s="1303">
        <f>Form!L264</f>
        <v>5000</v>
      </c>
      <c r="M191" s="1303">
        <f>Form!M264</f>
        <v>5000</v>
      </c>
      <c r="N191" s="1303">
        <f>Form!N264</f>
        <v>5000</v>
      </c>
      <c r="O191" s="1303">
        <f>Form!O264</f>
        <v>5000</v>
      </c>
      <c r="P191" s="1303">
        <f>Form!P264</f>
        <v>5000</v>
      </c>
      <c r="Q191" s="1303">
        <f>Form!Q264</f>
        <v>5000</v>
      </c>
    </row>
    <row r="192" spans="3:17">
      <c r="C192" s="63" t="s">
        <v>1887</v>
      </c>
      <c r="E192" s="76" t="str">
        <f t="shared" si="0"/>
        <v>INR 'Units</v>
      </c>
      <c r="F192" s="1788"/>
      <c r="J192" s="1303">
        <f>Form!K265</f>
        <v>5000</v>
      </c>
      <c r="L192" s="1303">
        <f>Form!L265</f>
        <v>5000</v>
      </c>
      <c r="M192" s="1303">
        <f>Form!M265</f>
        <v>5000</v>
      </c>
      <c r="N192" s="1303">
        <f>Form!N265</f>
        <v>5000</v>
      </c>
      <c r="O192" s="1303">
        <f>Form!O265</f>
        <v>5000</v>
      </c>
      <c r="P192" s="1303">
        <f>Form!P265</f>
        <v>5000</v>
      </c>
      <c r="Q192" s="1303">
        <f>Form!Q265</f>
        <v>5000</v>
      </c>
    </row>
    <row r="193" spans="3:17">
      <c r="C193" s="63" t="s">
        <v>1564</v>
      </c>
      <c r="D193" s="1648" t="str">
        <f>IF(SUM(L193:Q193)&gt;0,"On","Off")</f>
        <v>On</v>
      </c>
      <c r="E193" s="76" t="str">
        <f t="shared" si="0"/>
        <v>INR 'Units</v>
      </c>
      <c r="F193" s="1788"/>
      <c r="J193" s="1303">
        <f>Form!K266</f>
        <v>200000</v>
      </c>
      <c r="L193" s="1303">
        <f>Form!L266</f>
        <v>200000</v>
      </c>
      <c r="M193" s="1303">
        <f>Form!M266</f>
        <v>200000</v>
      </c>
      <c r="N193" s="1303">
        <f>Form!N266</f>
        <v>200000</v>
      </c>
      <c r="O193" s="1303">
        <f>Form!O266</f>
        <v>200000</v>
      </c>
      <c r="P193" s="1303">
        <f>Form!P266</f>
        <v>200000</v>
      </c>
      <c r="Q193" s="1303">
        <f>Form!Q266</f>
        <v>200000</v>
      </c>
    </row>
    <row r="194" spans="3:17">
      <c r="C194" s="63" t="s">
        <v>97</v>
      </c>
    </row>
    <row r="195" spans="3:17">
      <c r="C195" s="82" t="s">
        <v>2675</v>
      </c>
      <c r="D195" s="1339" t="str">
        <f>IF(D181="No","Selected","Unselected")</f>
        <v>Unselected</v>
      </c>
      <c r="E195" s="1641" t="s">
        <v>2456</v>
      </c>
      <c r="L195" s="80" t="str">
        <f>E190</f>
        <v>INR 'Units</v>
      </c>
      <c r="M195" s="80" t="s">
        <v>2663</v>
      </c>
    </row>
    <row r="196" spans="3:17">
      <c r="C196" s="63" t="str">
        <f>C182</f>
        <v>Staff cost</v>
      </c>
      <c r="E196" s="1642" t="str">
        <f>Form!I270</f>
        <v>Fixed/Variable</v>
      </c>
      <c r="J196" s="1319">
        <f>Form!K270</f>
        <v>5000</v>
      </c>
      <c r="L196" s="1319">
        <f>Form!L270</f>
        <v>5000</v>
      </c>
      <c r="M196" s="1317">
        <f>Form!M270</f>
        <v>0.02</v>
      </c>
      <c r="N196" s="1317">
        <f>Form!N270</f>
        <v>0.02</v>
      </c>
      <c r="O196" s="1317">
        <f>Form!O270</f>
        <v>0.02</v>
      </c>
      <c r="P196" s="1317">
        <f>Form!P270</f>
        <v>0.02</v>
      </c>
      <c r="Q196" s="1317">
        <f>Form!Q270</f>
        <v>0.02</v>
      </c>
    </row>
    <row r="197" spans="3:17">
      <c r="C197" s="63" t="str">
        <f t="shared" ref="C197:C207" si="1">C183</f>
        <v>Sales Commission</v>
      </c>
      <c r="E197" s="1642" t="str">
        <f>Form!I271</f>
        <v>Fixed/Variable</v>
      </c>
      <c r="J197" s="1319">
        <f>Form!K271</f>
        <v>5000</v>
      </c>
      <c r="L197" s="1319">
        <f>Form!L271</f>
        <v>5000</v>
      </c>
      <c r="M197" s="1317">
        <f>Form!M271</f>
        <v>0.02</v>
      </c>
      <c r="N197" s="1317">
        <f>Form!N271</f>
        <v>0.02</v>
      </c>
      <c r="O197" s="1317">
        <f>Form!O271</f>
        <v>0.02</v>
      </c>
      <c r="P197" s="1317">
        <f>Form!P271</f>
        <v>0.02</v>
      </c>
      <c r="Q197" s="1317">
        <f>Form!Q271</f>
        <v>0.02</v>
      </c>
    </row>
    <row r="198" spans="3:17">
      <c r="C198" s="63" t="str">
        <f t="shared" si="1"/>
        <v>Rent</v>
      </c>
      <c r="E198" s="1642" t="str">
        <f>Form!I272</f>
        <v>Fixed/Variable</v>
      </c>
      <c r="J198" s="1319">
        <f>Form!K272</f>
        <v>5000</v>
      </c>
      <c r="L198" s="1319">
        <f>Form!L272</f>
        <v>5000</v>
      </c>
      <c r="M198" s="1317">
        <f>Form!M272</f>
        <v>0.02</v>
      </c>
      <c r="N198" s="1317">
        <f>Form!N272</f>
        <v>0.02</v>
      </c>
      <c r="O198" s="1317">
        <f>Form!O272</f>
        <v>0.02</v>
      </c>
      <c r="P198" s="1317">
        <f>Form!P272</f>
        <v>0.02</v>
      </c>
      <c r="Q198" s="1317">
        <f>Form!Q272</f>
        <v>0.02</v>
      </c>
    </row>
    <row r="199" spans="3:17">
      <c r="C199" s="63" t="str">
        <f t="shared" si="1"/>
        <v>Legal and professional fee</v>
      </c>
      <c r="E199" s="1642" t="str">
        <f>Form!I273</f>
        <v>Fixed/Variable</v>
      </c>
      <c r="J199" s="1319">
        <f>Form!K273</f>
        <v>5000</v>
      </c>
      <c r="L199" s="1319">
        <f>Form!L273</f>
        <v>5000</v>
      </c>
      <c r="M199" s="1317">
        <f>Form!M273</f>
        <v>0.02</v>
      </c>
      <c r="N199" s="1317">
        <f>Form!N273</f>
        <v>0.02</v>
      </c>
      <c r="O199" s="1317">
        <f>Form!O273</f>
        <v>0.02</v>
      </c>
      <c r="P199" s="1317">
        <f>Form!P273</f>
        <v>0.02</v>
      </c>
      <c r="Q199" s="1317">
        <f>Form!Q273</f>
        <v>0.02</v>
      </c>
    </row>
    <row r="200" spans="3:17">
      <c r="C200" s="63" t="str">
        <f t="shared" si="1"/>
        <v>Travelling &amp; communication</v>
      </c>
      <c r="E200" s="1642" t="str">
        <f>Form!I274</f>
        <v>Fixed/Variable</v>
      </c>
      <c r="J200" s="1319">
        <f>Form!K274</f>
        <v>5000</v>
      </c>
      <c r="L200" s="1319">
        <f>Form!L274</f>
        <v>5000</v>
      </c>
      <c r="M200" s="1317">
        <f>Form!M274</f>
        <v>0.02</v>
      </c>
      <c r="N200" s="1317">
        <f>Form!N274</f>
        <v>0.02</v>
      </c>
      <c r="O200" s="1317">
        <f>Form!O274</f>
        <v>0.02</v>
      </c>
      <c r="P200" s="1317">
        <f>Form!P274</f>
        <v>0.02</v>
      </c>
      <c r="Q200" s="1317">
        <f>Form!Q274</f>
        <v>0.02</v>
      </c>
    </row>
    <row r="201" spans="3:17">
      <c r="C201" s="63" t="str">
        <f t="shared" si="1"/>
        <v>Marketing &amp; PR cost</v>
      </c>
      <c r="E201" s="1642" t="str">
        <f>Form!I275</f>
        <v>Fixed/Variable</v>
      </c>
      <c r="J201" s="1319">
        <f>Form!K275</f>
        <v>5000</v>
      </c>
      <c r="L201" s="1319">
        <f>Form!L275</f>
        <v>5000</v>
      </c>
      <c r="M201" s="1317">
        <f>Form!M275</f>
        <v>0.02</v>
      </c>
      <c r="N201" s="1317">
        <f>Form!N275</f>
        <v>0.02</v>
      </c>
      <c r="O201" s="1317">
        <f>Form!O275</f>
        <v>0.02</v>
      </c>
      <c r="P201" s="1317">
        <f>Form!P275</f>
        <v>0.02</v>
      </c>
      <c r="Q201" s="1317">
        <f>Form!Q275</f>
        <v>0.02</v>
      </c>
    </row>
    <row r="202" spans="3:17">
      <c r="C202" s="63" t="str">
        <f t="shared" si="1"/>
        <v>Office &amp; sundry expenses</v>
      </c>
      <c r="E202" s="1642" t="str">
        <f>Form!I277</f>
        <v>Fixed/Variable</v>
      </c>
      <c r="J202" s="1319">
        <f>Form!K277</f>
        <v>5000</v>
      </c>
      <c r="L202" s="1319">
        <f>Form!L277</f>
        <v>5000</v>
      </c>
      <c r="M202" s="1317">
        <f>Form!M277</f>
        <v>0.02</v>
      </c>
      <c r="N202" s="1317">
        <f>Form!N277</f>
        <v>0.02</v>
      </c>
      <c r="O202" s="1317">
        <f>Form!O277</f>
        <v>0.02</v>
      </c>
      <c r="P202" s="1317">
        <f>Form!P277</f>
        <v>0.02</v>
      </c>
      <c r="Q202" s="1317">
        <f>Form!Q277</f>
        <v>0.02</v>
      </c>
    </row>
    <row r="203" spans="3:17">
      <c r="C203" s="63" t="str">
        <f t="shared" si="1"/>
        <v>Printing &amp; Stationery</v>
      </c>
      <c r="E203" s="1642" t="str">
        <f>Form!I278</f>
        <v>Fixed/Variable</v>
      </c>
      <c r="J203" s="1319">
        <f>Form!K278</f>
        <v>5000</v>
      </c>
      <c r="L203" s="1319">
        <f>Form!L278</f>
        <v>5000</v>
      </c>
      <c r="M203" s="1317">
        <f>Form!M278</f>
        <v>0.02</v>
      </c>
      <c r="N203" s="1317">
        <f>Form!N278</f>
        <v>0.02</v>
      </c>
      <c r="O203" s="1317">
        <f>Form!O278</f>
        <v>0.02</v>
      </c>
      <c r="P203" s="1317">
        <f>Form!P278</f>
        <v>0.02</v>
      </c>
      <c r="Q203" s="1317">
        <f>Form!Q278</f>
        <v>0.02</v>
      </c>
    </row>
    <row r="204" spans="3:17">
      <c r="C204" s="63" t="str">
        <f t="shared" si="1"/>
        <v>Utilities</v>
      </c>
      <c r="E204" s="1642" t="str">
        <f>Form!I278</f>
        <v>Fixed/Variable</v>
      </c>
      <c r="J204" s="1319">
        <f>Form!K278</f>
        <v>5000</v>
      </c>
      <c r="L204" s="1319">
        <f>Form!L278</f>
        <v>5000</v>
      </c>
      <c r="M204" s="1317">
        <f>Form!M278</f>
        <v>0.02</v>
      </c>
      <c r="N204" s="1317">
        <f>Form!N278</f>
        <v>0.02</v>
      </c>
      <c r="O204" s="1317">
        <f>Form!O278</f>
        <v>0.02</v>
      </c>
      <c r="P204" s="1317">
        <f>Form!P278</f>
        <v>0.02</v>
      </c>
      <c r="Q204" s="1317">
        <f>Form!Q278</f>
        <v>0.02</v>
      </c>
    </row>
    <row r="205" spans="3:17">
      <c r="C205" s="63" t="str">
        <f t="shared" si="1"/>
        <v>Finance cost - Interest</v>
      </c>
      <c r="E205" s="1642" t="str">
        <f>Form!I279</f>
        <v>Fixed/Variable</v>
      </c>
      <c r="J205" s="1319">
        <f>Form!K279</f>
        <v>5000</v>
      </c>
      <c r="L205" s="1319">
        <f>Form!L279</f>
        <v>5000</v>
      </c>
      <c r="M205" s="1317">
        <f>Form!M279</f>
        <v>0.02</v>
      </c>
      <c r="N205" s="1317">
        <f>Form!N279</f>
        <v>0.02</v>
      </c>
      <c r="O205" s="1317">
        <f>Form!O279</f>
        <v>0.02</v>
      </c>
      <c r="P205" s="1317">
        <f>Form!P279</f>
        <v>0.02</v>
      </c>
      <c r="Q205" s="1317">
        <f>Form!Q279</f>
        <v>0.02</v>
      </c>
    </row>
    <row r="206" spans="3:17">
      <c r="C206" s="63" t="str">
        <f t="shared" si="1"/>
        <v>Bank Charges</v>
      </c>
      <c r="E206" s="1642" t="str">
        <f>Form!I280</f>
        <v>Fixed/Variable</v>
      </c>
      <c r="J206" s="1319">
        <f>Form!K280</f>
        <v>5000</v>
      </c>
      <c r="L206" s="1319">
        <f>Form!L280</f>
        <v>5000</v>
      </c>
      <c r="M206" s="1317">
        <f>Form!M280</f>
        <v>0.02</v>
      </c>
      <c r="N206" s="1317">
        <f>Form!N280</f>
        <v>0.02</v>
      </c>
      <c r="O206" s="1317">
        <f>Form!O280</f>
        <v>0.02</v>
      </c>
      <c r="P206" s="1317">
        <f>Form!P280</f>
        <v>0.02</v>
      </c>
      <c r="Q206" s="1317">
        <f>Form!Q280</f>
        <v>0.02</v>
      </c>
    </row>
    <row r="207" spans="3:17">
      <c r="C207" s="63" t="str">
        <f t="shared" si="1"/>
        <v>Total Operating Expenses</v>
      </c>
      <c r="D207" s="1648" t="str">
        <f>IF(L207&gt;0,"On","Off")</f>
        <v>On</v>
      </c>
      <c r="E207" s="1642"/>
      <c r="J207" s="1319">
        <f>Form!K281</f>
        <v>200000</v>
      </c>
      <c r="L207" s="1319">
        <f>Form!L281</f>
        <v>200000</v>
      </c>
      <c r="M207" s="1317">
        <f>Form!M281</f>
        <v>0.02</v>
      </c>
      <c r="N207" s="1317">
        <f>Form!N281</f>
        <v>0.02</v>
      </c>
      <c r="O207" s="1317">
        <f>Form!O281</f>
        <v>0.02</v>
      </c>
      <c r="P207" s="1317">
        <f>Form!P281</f>
        <v>0.02</v>
      </c>
      <c r="Q207" s="1317">
        <f>Form!Q281</f>
        <v>0.02</v>
      </c>
    </row>
    <row r="209" spans="3:17">
      <c r="C209" s="97" t="s">
        <v>1974</v>
      </c>
      <c r="D209" s="97"/>
      <c r="E209" s="1324"/>
      <c r="F209" s="1324"/>
      <c r="G209" s="1324"/>
      <c r="H209" s="1324"/>
      <c r="I209" s="1324"/>
      <c r="J209" s="1324"/>
      <c r="K209" s="1324"/>
      <c r="L209" s="1324"/>
      <c r="M209" s="1324"/>
      <c r="N209" s="1324"/>
      <c r="O209" s="1324"/>
      <c r="P209" s="1324"/>
      <c r="Q209" s="1324"/>
    </row>
    <row r="210" spans="3:17">
      <c r="C210" s="1325"/>
      <c r="D210" s="86"/>
      <c r="E210" s="1326"/>
    </row>
    <row r="211" spans="3:17">
      <c r="C211" s="1321" t="s">
        <v>2664</v>
      </c>
      <c r="D211" s="1322"/>
      <c r="E211" s="1323"/>
      <c r="F211" s="708"/>
      <c r="G211" s="708"/>
      <c r="H211" s="708"/>
      <c r="I211" s="708"/>
      <c r="J211" s="63" t="str">
        <f>Form!K284</f>
        <v>B</v>
      </c>
    </row>
    <row r="212" spans="3:17">
      <c r="C212" s="1327" t="s">
        <v>2039</v>
      </c>
      <c r="D212" s="86"/>
      <c r="E212" s="1328"/>
    </row>
    <row r="213" spans="3:17">
      <c r="C213" s="72" t="s">
        <v>1975</v>
      </c>
      <c r="D213" s="86"/>
      <c r="J213" s="1302">
        <v>20000</v>
      </c>
    </row>
    <row r="214" spans="3:17">
      <c r="C214" s="72" t="s">
        <v>2137</v>
      </c>
      <c r="D214" s="86"/>
      <c r="E214" s="90"/>
      <c r="K214" s="1337"/>
      <c r="L214" s="1302">
        <v>10000</v>
      </c>
      <c r="M214" s="1302">
        <v>15000</v>
      </c>
      <c r="N214" s="1302">
        <v>15000</v>
      </c>
      <c r="O214" s="1302">
        <v>15000</v>
      </c>
      <c r="P214" s="1302">
        <v>15000</v>
      </c>
      <c r="Q214" s="1302">
        <v>15000</v>
      </c>
    </row>
    <row r="215" spans="3:17">
      <c r="C215" s="79" t="s">
        <v>2040</v>
      </c>
      <c r="D215" s="86"/>
      <c r="E215" s="1320"/>
      <c r="L215" s="90"/>
      <c r="M215" s="90"/>
      <c r="N215" s="90"/>
      <c r="O215" s="90"/>
      <c r="P215" s="90"/>
      <c r="Q215" s="90"/>
    </row>
    <row r="216" spans="3:17">
      <c r="C216" s="72" t="s">
        <v>1975</v>
      </c>
      <c r="D216" s="86"/>
      <c r="J216" s="1302">
        <v>13000</v>
      </c>
      <c r="L216" s="90"/>
      <c r="M216" s="90"/>
      <c r="N216" s="90"/>
      <c r="O216" s="90"/>
      <c r="P216" s="90"/>
      <c r="Q216" s="90"/>
    </row>
    <row r="217" spans="3:17">
      <c r="C217" s="72" t="s">
        <v>2137</v>
      </c>
      <c r="D217" s="86"/>
      <c r="E217" s="90"/>
      <c r="K217" s="1337"/>
      <c r="L217" s="1302">
        <v>2000</v>
      </c>
      <c r="M217" s="1302">
        <v>2000</v>
      </c>
      <c r="N217" s="1302">
        <v>2000</v>
      </c>
      <c r="O217" s="1302">
        <v>2000</v>
      </c>
      <c r="P217" s="1302">
        <v>2000</v>
      </c>
      <c r="Q217" s="1302">
        <v>2000</v>
      </c>
    </row>
    <row r="218" spans="3:17">
      <c r="C218" s="79" t="s">
        <v>2041</v>
      </c>
      <c r="D218" s="86"/>
      <c r="E218" s="1320"/>
    </row>
    <row r="219" spans="3:17">
      <c r="C219" s="72" t="s">
        <v>1975</v>
      </c>
      <c r="D219" s="86"/>
      <c r="J219" s="1302">
        <v>20000</v>
      </c>
    </row>
    <row r="220" spans="3:17">
      <c r="C220" s="72" t="s">
        <v>2137</v>
      </c>
      <c r="D220" s="86"/>
      <c r="K220" s="1337"/>
      <c r="L220" s="1302">
        <v>10000</v>
      </c>
      <c r="M220" s="1302">
        <v>15000</v>
      </c>
      <c r="N220" s="1302">
        <v>15000</v>
      </c>
      <c r="O220" s="1302">
        <v>15000</v>
      </c>
      <c r="P220" s="1302">
        <v>15000</v>
      </c>
      <c r="Q220" s="1302">
        <v>15000</v>
      </c>
    </row>
    <row r="221" spans="3:17">
      <c r="C221" s="79" t="s">
        <v>2042</v>
      </c>
      <c r="D221" s="86"/>
    </row>
    <row r="222" spans="3:17">
      <c r="C222" s="72" t="s">
        <v>1975</v>
      </c>
      <c r="D222" s="86"/>
      <c r="J222" s="1302">
        <v>13000</v>
      </c>
    </row>
    <row r="223" spans="3:17">
      <c r="C223" s="72" t="s">
        <v>2137</v>
      </c>
      <c r="D223" s="86"/>
      <c r="E223" s="90"/>
      <c r="K223" s="1337"/>
      <c r="L223" s="1302">
        <v>2000</v>
      </c>
      <c r="M223" s="1302">
        <v>2000</v>
      </c>
      <c r="N223" s="1302">
        <v>2000</v>
      </c>
      <c r="O223" s="1302">
        <v>2000</v>
      </c>
      <c r="P223" s="1302">
        <v>2000</v>
      </c>
      <c r="Q223" s="1302">
        <v>2000</v>
      </c>
    </row>
    <row r="225" spans="3:17">
      <c r="C225" s="1321" t="s">
        <v>2665</v>
      </c>
      <c r="D225" s="1322"/>
      <c r="E225" s="1323"/>
      <c r="F225" s="708"/>
      <c r="G225" s="708"/>
      <c r="H225" s="708"/>
      <c r="I225" s="708"/>
      <c r="J225" s="1289">
        <v>120000</v>
      </c>
      <c r="K225" s="708"/>
      <c r="L225" s="1302">
        <v>15000</v>
      </c>
      <c r="M225" s="1302">
        <v>50000</v>
      </c>
      <c r="N225" s="1302">
        <v>50000</v>
      </c>
      <c r="O225" s="1302">
        <v>50000</v>
      </c>
      <c r="P225" s="1302">
        <v>50000</v>
      </c>
      <c r="Q225" s="1302">
        <v>50000</v>
      </c>
    </row>
    <row r="226" spans="3:17">
      <c r="M226" s="1318"/>
      <c r="N226" s="1318"/>
      <c r="O226" s="1318"/>
      <c r="P226" s="1318"/>
      <c r="Q226" s="1318"/>
    </row>
    <row r="227" spans="3:17">
      <c r="C227" s="1321" t="s">
        <v>2666</v>
      </c>
      <c r="D227" s="1322"/>
      <c r="E227" s="1323"/>
      <c r="F227" s="708"/>
      <c r="G227" s="708"/>
      <c r="H227" s="708"/>
      <c r="I227" s="708"/>
      <c r="J227" s="1315">
        <v>0.05</v>
      </c>
      <c r="K227" s="1338"/>
      <c r="L227" s="1315">
        <v>0.05</v>
      </c>
      <c r="M227" s="1315">
        <v>0.05</v>
      </c>
      <c r="N227" s="1315">
        <v>0.05</v>
      </c>
      <c r="O227" s="1315">
        <v>0.05</v>
      </c>
      <c r="P227" s="1315">
        <v>0.05</v>
      </c>
      <c r="Q227" s="1315">
        <v>0.05</v>
      </c>
    </row>
    <row r="228" spans="3:17">
      <c r="M228" s="1318"/>
      <c r="N228" s="1318"/>
      <c r="O228" s="1318"/>
      <c r="P228" s="1318"/>
      <c r="Q228" s="1318"/>
    </row>
    <row r="229" spans="3:17">
      <c r="C229" s="97" t="s">
        <v>2283</v>
      </c>
      <c r="D229" s="97"/>
      <c r="E229" s="1324"/>
      <c r="F229" s="1324"/>
      <c r="G229" s="1324"/>
      <c r="H229" s="1324"/>
      <c r="I229" s="1324"/>
      <c r="J229" s="1324"/>
      <c r="K229" s="1324"/>
      <c r="L229" s="1324"/>
      <c r="M229" s="1324"/>
      <c r="N229" s="1324"/>
      <c r="O229" s="1324"/>
      <c r="P229" s="1324"/>
      <c r="Q229" s="1324"/>
    </row>
    <row r="230" spans="3:17">
      <c r="M230" s="1318"/>
      <c r="N230" s="1318"/>
      <c r="O230" s="1318"/>
      <c r="P230" s="1318"/>
      <c r="Q230" s="1318"/>
    </row>
    <row r="231" spans="3:17">
      <c r="C231" s="1330" t="s">
        <v>1526</v>
      </c>
      <c r="E231" s="1289" t="s">
        <v>3026</v>
      </c>
      <c r="M231" s="1318"/>
      <c r="N231" s="1318"/>
      <c r="O231" s="1318"/>
      <c r="P231" s="1318"/>
      <c r="Q231" s="1318"/>
    </row>
    <row r="232" spans="3:17">
      <c r="C232" s="1329" t="s">
        <v>2467</v>
      </c>
      <c r="L232" s="1289">
        <f>Form!L300</f>
        <v>-20</v>
      </c>
      <c r="M232" s="1289">
        <f>Form!M300</f>
        <v>-20</v>
      </c>
      <c r="N232" s="1289">
        <f>Form!N300</f>
        <v>-20</v>
      </c>
      <c r="O232" s="1289">
        <f>Form!O300</f>
        <v>-20</v>
      </c>
      <c r="P232" s="1289">
        <f>Form!P300</f>
        <v>-20</v>
      </c>
      <c r="Q232" s="1289">
        <f>Form!Q300</f>
        <v>-20</v>
      </c>
    </row>
    <row r="233" spans="3:17">
      <c r="C233" s="1329" t="s">
        <v>2470</v>
      </c>
      <c r="L233" s="1289">
        <v>40</v>
      </c>
      <c r="M233" s="1289">
        <v>40</v>
      </c>
      <c r="N233" s="1289">
        <v>40</v>
      </c>
      <c r="O233" s="1289">
        <v>40</v>
      </c>
      <c r="P233" s="1289">
        <v>40</v>
      </c>
      <c r="Q233" s="1289">
        <v>40</v>
      </c>
    </row>
    <row r="234" spans="3:17">
      <c r="C234" s="1329" t="s">
        <v>2472</v>
      </c>
      <c r="L234" s="1289">
        <v>27</v>
      </c>
      <c r="M234" s="1289">
        <v>27</v>
      </c>
      <c r="N234" s="1289">
        <v>27</v>
      </c>
      <c r="O234" s="1289">
        <v>27</v>
      </c>
      <c r="P234" s="1289">
        <v>27</v>
      </c>
      <c r="Q234" s="1289">
        <v>27</v>
      </c>
    </row>
    <row r="235" spans="3:17">
      <c r="C235" s="1329" t="s">
        <v>2474</v>
      </c>
      <c r="L235" s="1289">
        <v>30</v>
      </c>
      <c r="M235" s="1289">
        <v>30</v>
      </c>
      <c r="N235" s="1289">
        <v>30</v>
      </c>
      <c r="O235" s="1289">
        <v>30</v>
      </c>
      <c r="P235" s="1289">
        <v>30</v>
      </c>
      <c r="Q235" s="1289">
        <v>30</v>
      </c>
    </row>
    <row r="236" spans="3:17">
      <c r="C236" s="1330" t="s">
        <v>1903</v>
      </c>
      <c r="M236" s="1318"/>
      <c r="N236" s="1318"/>
      <c r="O236" s="1318"/>
      <c r="P236" s="1318"/>
      <c r="Q236" s="1318"/>
    </row>
    <row r="237" spans="3:17">
      <c r="C237" s="1329" t="s">
        <v>2476</v>
      </c>
      <c r="L237" s="1289">
        <f>Form!L306</f>
        <v>-40</v>
      </c>
      <c r="M237" s="1289">
        <f>Form!M306</f>
        <v>-40</v>
      </c>
      <c r="N237" s="1289">
        <f>Form!N306</f>
        <v>-40</v>
      </c>
      <c r="O237" s="1289">
        <f>Form!O306</f>
        <v>-40</v>
      </c>
      <c r="P237" s="1289">
        <f>Form!P306</f>
        <v>-40</v>
      </c>
      <c r="Q237" s="1289">
        <f>Form!Q306</f>
        <v>-40</v>
      </c>
    </row>
    <row r="238" spans="3:17">
      <c r="C238" s="1329" t="s">
        <v>2478</v>
      </c>
      <c r="L238" s="1289">
        <v>40</v>
      </c>
      <c r="M238" s="1289">
        <v>40</v>
      </c>
      <c r="N238" s="1289">
        <v>40</v>
      </c>
      <c r="O238" s="1289">
        <v>40</v>
      </c>
      <c r="P238" s="1289">
        <v>40</v>
      </c>
      <c r="Q238" s="1289">
        <v>40</v>
      </c>
    </row>
    <row r="239" spans="3:17">
      <c r="C239" s="1329" t="s">
        <v>2480</v>
      </c>
      <c r="L239" s="1289">
        <v>27</v>
      </c>
      <c r="M239" s="1289">
        <v>27</v>
      </c>
      <c r="N239" s="1289">
        <v>27</v>
      </c>
      <c r="O239" s="1289">
        <v>27</v>
      </c>
      <c r="P239" s="1289">
        <v>27</v>
      </c>
      <c r="Q239" s="1289">
        <v>27</v>
      </c>
    </row>
    <row r="240" spans="3:17">
      <c r="C240" s="1329" t="s">
        <v>2482</v>
      </c>
      <c r="L240" s="1289">
        <v>30</v>
      </c>
      <c r="M240" s="1289">
        <v>30</v>
      </c>
      <c r="N240" s="1289">
        <v>30</v>
      </c>
      <c r="O240" s="1289">
        <v>30</v>
      </c>
      <c r="P240" s="1289">
        <v>30</v>
      </c>
      <c r="Q240" s="1289">
        <v>30</v>
      </c>
    </row>
    <row r="241" spans="3:17">
      <c r="C241" s="1329" t="s">
        <v>2484</v>
      </c>
      <c r="L241" s="1289">
        <v>10</v>
      </c>
      <c r="M241" s="1289">
        <f>Form!M310</f>
        <v>0</v>
      </c>
      <c r="N241" s="1289">
        <f>Form!N310</f>
        <v>0</v>
      </c>
      <c r="O241" s="1289">
        <f>Form!O310</f>
        <v>0</v>
      </c>
      <c r="P241" s="1289">
        <f>Form!P310</f>
        <v>0</v>
      </c>
      <c r="Q241" s="1289">
        <f>Form!Q310</f>
        <v>0</v>
      </c>
    </row>
    <row r="242" spans="3:17">
      <c r="M242" s="1318"/>
      <c r="N242" s="1318"/>
      <c r="O242" s="1318"/>
      <c r="P242" s="1318"/>
      <c r="Q242" s="1318"/>
    </row>
    <row r="243" spans="3:17">
      <c r="C243" s="95" t="s">
        <v>119</v>
      </c>
      <c r="D243" s="95" t="s">
        <v>99</v>
      </c>
      <c r="E243" s="96" t="s">
        <v>6</v>
      </c>
      <c r="M243" s="1318"/>
      <c r="N243" s="1318"/>
      <c r="O243" s="1318"/>
      <c r="P243" s="1318"/>
      <c r="Q243" s="1318"/>
    </row>
    <row r="244" spans="3:17" customFormat="1" ht="15"/>
    <row r="245" spans="3:17">
      <c r="C245" s="72" t="s">
        <v>120</v>
      </c>
      <c r="D245" s="72" t="s">
        <v>121</v>
      </c>
      <c r="E245" s="87">
        <v>0.02</v>
      </c>
    </row>
    <row r="246" spans="3:17">
      <c r="C246" s="72" t="s">
        <v>2544</v>
      </c>
      <c r="D246" s="72" t="s">
        <v>122</v>
      </c>
      <c r="E246" s="1368">
        <v>0.09</v>
      </c>
    </row>
    <row r="247" spans="3:17">
      <c r="C247" s="72" t="s">
        <v>1947</v>
      </c>
      <c r="D247" s="72" t="s">
        <v>123</v>
      </c>
      <c r="E247" s="87">
        <v>0.03</v>
      </c>
    </row>
    <row r="248" spans="3:17">
      <c r="C248" s="72" t="s">
        <v>1963</v>
      </c>
      <c r="D248" s="72" t="s">
        <v>1964</v>
      </c>
      <c r="E248" s="88">
        <v>0</v>
      </c>
    </row>
    <row r="249" spans="3:17">
      <c r="C249" s="72" t="s">
        <v>1948</v>
      </c>
      <c r="D249" s="72" t="s">
        <v>124</v>
      </c>
      <c r="E249" s="88">
        <v>0</v>
      </c>
    </row>
    <row r="250" spans="3:17">
      <c r="C250" s="72" t="s">
        <v>2667</v>
      </c>
      <c r="D250" s="72" t="s">
        <v>1965</v>
      </c>
      <c r="E250" s="88">
        <v>0</v>
      </c>
    </row>
    <row r="251" spans="3:17">
      <c r="C251" s="72" t="s">
        <v>1966</v>
      </c>
      <c r="D251" s="72" t="s">
        <v>1967</v>
      </c>
      <c r="E251" s="1649"/>
    </row>
    <row r="252" spans="3:17">
      <c r="C252" s="72" t="s">
        <v>1968</v>
      </c>
      <c r="D252" s="72" t="s">
        <v>1969</v>
      </c>
      <c r="E252" s="1649"/>
    </row>
    <row r="253" spans="3:17">
      <c r="C253" s="72" t="s">
        <v>1970</v>
      </c>
      <c r="D253" s="72" t="s">
        <v>1971</v>
      </c>
      <c r="E253" s="1649">
        <f>WACC!D25</f>
        <v>0.12698399999999999</v>
      </c>
    </row>
    <row r="254" spans="3:17">
      <c r="C254" s="72" t="s">
        <v>1972</v>
      </c>
      <c r="D254" s="72" t="s">
        <v>1973</v>
      </c>
      <c r="E254" s="87">
        <v>0.5</v>
      </c>
    </row>
    <row r="256" spans="3:17">
      <c r="C256" s="82" t="s">
        <v>2185</v>
      </c>
    </row>
    <row r="257" spans="3:5">
      <c r="C257" s="63" t="s">
        <v>2186</v>
      </c>
      <c r="E257" s="1633">
        <f>Form!L330</f>
        <v>45</v>
      </c>
    </row>
    <row r="258" spans="3:5">
      <c r="C258" s="63" t="s">
        <v>2187</v>
      </c>
      <c r="E258" s="1633">
        <f>Form!M333-Form!M334+Form!L336</f>
        <v>65</v>
      </c>
    </row>
    <row r="260" spans="3:5">
      <c r="C260" s="63" t="s">
        <v>2510</v>
      </c>
      <c r="E260" s="87">
        <v>0.05</v>
      </c>
    </row>
    <row r="263" spans="3:5">
      <c r="C263" s="95" t="s">
        <v>2034</v>
      </c>
      <c r="D263" s="95"/>
      <c r="E263" s="96"/>
    </row>
    <row r="264" spans="3:5">
      <c r="C264" s="63" t="s">
        <v>2035</v>
      </c>
      <c r="E264" s="89">
        <v>45241</v>
      </c>
    </row>
    <row r="265" spans="3:5">
      <c r="C265" s="63" t="s">
        <v>1380</v>
      </c>
      <c r="D265" s="90" t="s">
        <v>2038</v>
      </c>
      <c r="E265" s="91">
        <v>1</v>
      </c>
    </row>
    <row r="266" spans="3:5">
      <c r="C266" s="63" t="s">
        <v>113</v>
      </c>
      <c r="E266" s="91">
        <v>3.6749999999999998</v>
      </c>
    </row>
    <row r="267" spans="3:5">
      <c r="C267" s="63" t="s">
        <v>207</v>
      </c>
      <c r="E267" s="91">
        <v>0.79</v>
      </c>
    </row>
    <row r="268" spans="3:5">
      <c r="C268" s="63" t="s">
        <v>1770</v>
      </c>
      <c r="E268" s="91">
        <v>0.91</v>
      </c>
    </row>
    <row r="269" spans="3:5">
      <c r="C269" s="63" t="s">
        <v>1782</v>
      </c>
      <c r="E269" s="91">
        <v>3.75</v>
      </c>
    </row>
    <row r="270" spans="3:5">
      <c r="C270" s="63" t="s">
        <v>1773</v>
      </c>
      <c r="E270" s="91">
        <v>1.37</v>
      </c>
    </row>
    <row r="271" spans="3:5">
      <c r="C271" s="63" t="s">
        <v>1772</v>
      </c>
      <c r="E271" s="91">
        <v>83.34</v>
      </c>
    </row>
    <row r="273" spans="3:5">
      <c r="C273" s="95" t="s">
        <v>2834</v>
      </c>
      <c r="D273" s="95" t="s">
        <v>99</v>
      </c>
      <c r="E273" s="96" t="s">
        <v>6</v>
      </c>
    </row>
    <row r="274" spans="3:5">
      <c r="C274" s="72" t="s">
        <v>2843</v>
      </c>
      <c r="D274" s="72"/>
      <c r="E274" s="1650" t="str">
        <f>Form!L340</f>
        <v>No</v>
      </c>
    </row>
    <row r="275" spans="3:5">
      <c r="C275" s="72" t="s">
        <v>2835</v>
      </c>
      <c r="D275" s="72" t="s">
        <v>2836</v>
      </c>
      <c r="E275" s="1650" t="str">
        <f>Form!L341</f>
        <v>No</v>
      </c>
    </row>
    <row r="276" spans="3:5">
      <c r="C276" s="72" t="s">
        <v>2837</v>
      </c>
      <c r="D276" s="72" t="s">
        <v>2842</v>
      </c>
      <c r="E276" s="1650" t="str">
        <f>Form!L342</f>
        <v>No</v>
      </c>
    </row>
    <row r="277" spans="3:5">
      <c r="C277" s="72" t="s">
        <v>2838</v>
      </c>
      <c r="D277" s="72" t="s">
        <v>2841</v>
      </c>
      <c r="E277" s="1650" t="str">
        <f>Form!L343</f>
        <v>No</v>
      </c>
    </row>
    <row r="278" spans="3:5">
      <c r="C278" s="63" t="s">
        <v>2839</v>
      </c>
      <c r="D278" s="63" t="s">
        <v>2840</v>
      </c>
      <c r="E278" s="1650" t="str">
        <f>Form!L344</f>
        <v>No</v>
      </c>
    </row>
    <row r="279" spans="3:5">
      <c r="C279" s="63" t="s">
        <v>2989</v>
      </c>
      <c r="E279" s="1650" t="str">
        <f>Form!L345</f>
        <v>No</v>
      </c>
    </row>
    <row r="280" spans="3:5">
      <c r="C280" s="63" t="s">
        <v>3009</v>
      </c>
      <c r="E280" s="131" t="str">
        <f>IF(SUM(E59:E61,E71:E73,E68)=0,"No","Yes")</f>
        <v>Yes</v>
      </c>
    </row>
    <row r="281" spans="3:5">
      <c r="C281" s="63" t="s">
        <v>3025</v>
      </c>
      <c r="E281" s="131" t="str">
        <f>IF(E12="Yes","Yes","No")</f>
        <v>No</v>
      </c>
    </row>
  </sheetData>
  <dataValidations count="5">
    <dataValidation type="list" allowBlank="1" showInputMessage="1" showErrorMessage="1" sqref="E31" xr:uid="{00000000-0002-0000-0300-000003000000}">
      <formula1>"Yes, No"</formula1>
    </dataValidation>
    <dataValidation type="list" allowBlank="1" showInputMessage="1" showErrorMessage="1" sqref="D12:D14" xr:uid="{52A8C5BF-7490-42C3-8B76-0FFCDEA7E8F8}">
      <formula1>$A$7:$A$8</formula1>
    </dataValidation>
    <dataValidation type="list" allowBlank="1" showInputMessage="1" showErrorMessage="1" sqref="D11" xr:uid="{12C14871-9078-4F16-9532-00CA8922DA4B}">
      <formula1>$B$5:$B$8</formula1>
    </dataValidation>
    <dataValidation type="list" allowBlank="1" showInputMessage="1" showErrorMessage="1" sqref="D15" xr:uid="{4524D226-1E5E-4E05-AB33-FC04B6134670}">
      <formula1>$I$49:$I$54</formula1>
    </dataValidation>
    <dataValidation type="list" allowBlank="1" showInputMessage="1" showErrorMessage="1" sqref="E231" xr:uid="{562AFC3F-D653-461F-9254-F4B914B1E9D7}">
      <formula1>"Benchmark Rates, Provided Rates"</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963D3-B77E-4CDB-A674-9C8C7375F9DC}">
  <dimension ref="A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defaultColWidth="0" defaultRowHeight="11.25"/>
  <cols>
    <col min="1" max="3" width="2.109375" style="63" customWidth="1"/>
    <col min="4" max="4" width="18.109375" style="63" bestFit="1" customWidth="1"/>
    <col min="5" max="6" width="8.6640625" style="63" hidden="1" customWidth="1"/>
    <col min="7" max="7" width="6.5546875" style="1346" bestFit="1" customWidth="1"/>
    <col min="8" max="12" width="8.6640625" style="63" customWidth="1"/>
    <col min="13" max="16384" width="8.6640625" style="63" hidden="1"/>
  </cols>
  <sheetData>
    <row r="2" spans="2:19">
      <c r="B2" s="62" t="str">
        <f>Inputs!B2</f>
        <v>Valify - UAE Valuation Services</v>
      </c>
    </row>
    <row r="3" spans="2:19">
      <c r="B3" s="64" t="str">
        <f>project.title</f>
        <v>Lazure Worldwide FZCO - Self Valuation using DCF Method, Transaction Multiples Method, &amp; Market Multiples Method</v>
      </c>
    </row>
    <row r="4" spans="2:19">
      <c r="B4" s="65" t="s">
        <v>2680</v>
      </c>
    </row>
    <row r="5" spans="2:19" ht="5.0999999999999996" customHeight="1" thickBot="1">
      <c r="B5" s="66"/>
      <c r="C5" s="66"/>
      <c r="D5" s="66"/>
      <c r="E5" s="66"/>
      <c r="F5" s="66"/>
      <c r="G5" s="1347"/>
      <c r="H5" s="66"/>
      <c r="I5" s="66"/>
      <c r="J5" s="66"/>
      <c r="K5" s="66"/>
      <c r="L5" s="66"/>
      <c r="M5" s="66"/>
      <c r="N5" s="66"/>
      <c r="O5" s="66"/>
      <c r="P5" s="66"/>
      <c r="Q5" s="66"/>
      <c r="R5" s="66"/>
      <c r="S5" s="66"/>
    </row>
    <row r="6" spans="2:19" ht="12" thickTop="1"/>
    <row r="7" spans="2:19">
      <c r="H7" s="105" t="s">
        <v>2689</v>
      </c>
      <c r="I7" s="105" t="s">
        <v>2679</v>
      </c>
      <c r="J7" s="105" t="s">
        <v>2678</v>
      </c>
      <c r="K7" s="105"/>
    </row>
    <row r="8" spans="2:19">
      <c r="H8" s="69" t="s">
        <v>2690</v>
      </c>
      <c r="I8" s="69" t="str">
        <f>IS_Calcs!I7</f>
        <v>FY22</v>
      </c>
      <c r="J8" s="69" t="str">
        <f>IS_Calcs!J7</f>
        <v>FY23</v>
      </c>
      <c r="K8" s="69" t="str">
        <f>IS_Calcs!K7</f>
        <v>YTD24</v>
      </c>
    </row>
    <row r="9" spans="2:19">
      <c r="G9" s="1345" t="s">
        <v>2361</v>
      </c>
      <c r="H9" s="69" t="s">
        <v>2691</v>
      </c>
      <c r="I9" s="69" t="s">
        <v>2691</v>
      </c>
      <c r="J9" s="69" t="s">
        <v>2691</v>
      </c>
      <c r="K9" s="69" t="str">
        <f>IS_Calcs!K8</f>
        <v>Actual</v>
      </c>
    </row>
    <row r="10" spans="2:19">
      <c r="B10" s="1357" t="s">
        <v>1882</v>
      </c>
      <c r="C10" s="1049"/>
      <c r="D10" s="1049"/>
      <c r="E10" s="1049"/>
      <c r="F10" s="1049"/>
      <c r="G10" s="1358"/>
      <c r="H10" s="94"/>
      <c r="I10" s="94"/>
      <c r="J10" s="94"/>
      <c r="K10" s="94"/>
    </row>
    <row r="11" spans="2:19">
      <c r="C11" s="63" t="str">
        <f>IS!C23</f>
        <v>Revenues</v>
      </c>
    </row>
    <row r="12" spans="2:19">
      <c r="C12" s="80" t="str">
        <f>IS_Calcs!C17</f>
        <v>Price/Average Price per unit</v>
      </c>
    </row>
    <row r="13" spans="2:19">
      <c r="D13" s="63" t="str">
        <f>IS_Calcs!D18</f>
        <v>Existing: Residential lighting</v>
      </c>
      <c r="G13" s="1346" t="str">
        <f>currency.type</f>
        <v>INR</v>
      </c>
      <c r="H13" s="1237"/>
      <c r="I13" s="1237"/>
      <c r="J13" s="1237"/>
      <c r="K13" s="1237"/>
    </row>
    <row r="14" spans="2:19">
      <c r="D14" s="63" t="str">
        <f>IS_Calcs!D19</f>
        <v>Existing: Hotels &amp; Hospitals</v>
      </c>
      <c r="G14" s="1346" t="str">
        <f>currency.type</f>
        <v>INR</v>
      </c>
      <c r="H14" s="1237"/>
      <c r="I14" s="1237"/>
      <c r="J14" s="1237"/>
      <c r="K14" s="1237"/>
    </row>
    <row r="15" spans="2:19">
      <c r="D15" s="63" t="str">
        <f>IS_Calcs!D20</f>
        <v>Existing: Government &amp; Infrastructure</v>
      </c>
      <c r="G15" s="1346" t="str">
        <f>currency.type</f>
        <v>INR</v>
      </c>
      <c r="H15" s="1237"/>
      <c r="I15" s="1237"/>
      <c r="J15" s="1237"/>
      <c r="K15" s="1237"/>
    </row>
    <row r="16" spans="2:19">
      <c r="D16" s="63" t="str">
        <f>IS_Calcs!D21</f>
        <v>Existing: Distributorship</v>
      </c>
      <c r="G16" s="1346" t="str">
        <f>currency.type</f>
        <v>INR</v>
      </c>
      <c r="H16" s="1237"/>
      <c r="I16" s="1237"/>
      <c r="J16" s="1237"/>
      <c r="K16" s="1237"/>
    </row>
    <row r="18" spans="3:11">
      <c r="C18" s="80" t="str">
        <f>IS_Calcs!C31</f>
        <v>Sales Volumes</v>
      </c>
    </row>
    <row r="19" spans="3:11">
      <c r="D19" s="63" t="str">
        <f>IS_Calcs!D32</f>
        <v>Existing: Residential lighting</v>
      </c>
      <c r="G19" s="1346" t="s">
        <v>2687</v>
      </c>
      <c r="H19" s="1237"/>
      <c r="I19" s="1237"/>
      <c r="J19" s="1237"/>
      <c r="K19" s="1237"/>
    </row>
    <row r="20" spans="3:11">
      <c r="D20" s="63" t="str">
        <f>IS_Calcs!D33</f>
        <v>Existing: Hotels &amp; Hospitals</v>
      </c>
      <c r="G20" s="1346" t="s">
        <v>2687</v>
      </c>
      <c r="H20" s="1237"/>
      <c r="I20" s="1237"/>
      <c r="J20" s="1237"/>
      <c r="K20" s="1237"/>
    </row>
    <row r="21" spans="3:11">
      <c r="D21" s="63" t="str">
        <f>IS_Calcs!D34</f>
        <v>Existing: Government &amp; Infrastructure</v>
      </c>
      <c r="G21" s="1346" t="s">
        <v>2687</v>
      </c>
      <c r="H21" s="1237"/>
      <c r="I21" s="1237"/>
      <c r="J21" s="1237"/>
      <c r="K21" s="1237"/>
    </row>
    <row r="22" spans="3:11">
      <c r="D22" s="63" t="str">
        <f>IS_Calcs!D35</f>
        <v>Existing: Distributorship</v>
      </c>
      <c r="G22" s="1346" t="s">
        <v>2687</v>
      </c>
      <c r="H22" s="1237"/>
      <c r="I22" s="1237"/>
      <c r="J22" s="1237"/>
      <c r="K22" s="1237"/>
    </row>
    <row r="24" spans="3:11">
      <c r="C24" s="80" t="str">
        <f>IS_Calcs!C45</f>
        <v>Existing Revenue</v>
      </c>
    </row>
    <row r="25" spans="3:11">
      <c r="C25" s="63" t="str">
        <f>IS_Calcs!C46</f>
        <v>Residential lighting Revenue</v>
      </c>
      <c r="G25" s="1346" t="str">
        <f>currency.heading1</f>
        <v>INR 'Units</v>
      </c>
      <c r="H25" s="1237"/>
      <c r="I25" s="1237"/>
      <c r="J25" s="1237"/>
      <c r="K25" s="1237"/>
    </row>
    <row r="26" spans="3:11">
      <c r="C26" s="63" t="str">
        <f>IS_Calcs!C47</f>
        <v>Hotels &amp; Hospitals Revenue</v>
      </c>
      <c r="G26" s="1346" t="str">
        <f>currency.heading1</f>
        <v>INR 'Units</v>
      </c>
      <c r="H26" s="1237"/>
      <c r="I26" s="1237"/>
      <c r="J26" s="1237"/>
      <c r="K26" s="1237"/>
    </row>
    <row r="27" spans="3:11">
      <c r="C27" s="63" t="str">
        <f>IS_Calcs!C48</f>
        <v>Government &amp; Infrastructure Revenue</v>
      </c>
      <c r="G27" s="1346" t="str">
        <f>currency.heading1</f>
        <v>INR 'Units</v>
      </c>
      <c r="H27" s="1237"/>
      <c r="I27" s="1237"/>
      <c r="J27" s="1237"/>
      <c r="K27" s="1237"/>
    </row>
    <row r="28" spans="3:11">
      <c r="C28" s="63" t="str">
        <f>IS_Calcs!C49</f>
        <v>Distributorship Revenue</v>
      </c>
      <c r="G28" s="1346" t="str">
        <f>currency.heading1</f>
        <v>INR 'Units</v>
      </c>
      <c r="H28" s="1237"/>
      <c r="I28" s="1237"/>
      <c r="J28" s="1237"/>
      <c r="K28" s="1237"/>
    </row>
    <row r="30" spans="3:11">
      <c r="C30" s="63" t="s">
        <v>2353</v>
      </c>
    </row>
    <row r="31" spans="3:11">
      <c r="D31" s="63" t="str">
        <f>IS!D26</f>
        <v>Existing: Residential lighting</v>
      </c>
      <c r="G31" s="1346" t="s">
        <v>2426</v>
      </c>
      <c r="H31" s="1715">
        <v>0.3</v>
      </c>
      <c r="I31" s="1715">
        <v>0.3</v>
      </c>
      <c r="J31" s="1715">
        <v>0.3</v>
      </c>
      <c r="K31" s="1715">
        <v>0.3</v>
      </c>
    </row>
    <row r="32" spans="3:11">
      <c r="D32" s="63" t="str">
        <f>IS!D27</f>
        <v>Existing: Hotels &amp; Hospitals</v>
      </c>
      <c r="G32" s="1346" t="s">
        <v>2426</v>
      </c>
      <c r="H32" s="1715">
        <v>0.3</v>
      </c>
      <c r="I32" s="1715">
        <v>0.3</v>
      </c>
      <c r="J32" s="1715">
        <v>0.3</v>
      </c>
      <c r="K32" s="1715">
        <v>0.3</v>
      </c>
    </row>
    <row r="33" spans="3:11">
      <c r="D33" s="63" t="str">
        <f>IS!D28</f>
        <v>Existing: Government &amp; Infrastructure</v>
      </c>
      <c r="G33" s="1346" t="s">
        <v>2426</v>
      </c>
      <c r="H33" s="1715">
        <v>0.3</v>
      </c>
      <c r="I33" s="1715">
        <v>0.3</v>
      </c>
      <c r="J33" s="1715">
        <v>0.3</v>
      </c>
      <c r="K33" s="1715">
        <v>0.3</v>
      </c>
    </row>
    <row r="34" spans="3:11">
      <c r="D34" s="63" t="str">
        <f>IS!D29</f>
        <v>Existing: Distributorship</v>
      </c>
      <c r="G34" s="1346" t="s">
        <v>2426</v>
      </c>
      <c r="H34" s="1715">
        <v>0.3</v>
      </c>
      <c r="I34" s="1715">
        <v>0.3</v>
      </c>
      <c r="J34" s="1715">
        <v>0.3</v>
      </c>
      <c r="K34" s="1715">
        <v>0.3</v>
      </c>
    </row>
    <row r="36" spans="3:11">
      <c r="C36" s="63" t="str">
        <f>IS!C42</f>
        <v>Operating Expenses:</v>
      </c>
    </row>
    <row r="37" spans="3:11">
      <c r="D37" s="63" t="str">
        <f>Inputs!C182</f>
        <v>Staff cost</v>
      </c>
      <c r="G37" s="1346" t="str">
        <f t="shared" ref="G37:G45" si="0">currency.heading1</f>
        <v>INR 'Units</v>
      </c>
      <c r="H37" s="1237"/>
      <c r="I37" s="1237"/>
      <c r="J37" s="1237"/>
      <c r="K37" s="1237"/>
    </row>
    <row r="38" spans="3:11">
      <c r="D38" s="63" t="str">
        <f>Inputs!C183</f>
        <v>Sales Commission</v>
      </c>
      <c r="G38" s="1346" t="str">
        <f t="shared" si="0"/>
        <v>INR 'Units</v>
      </c>
      <c r="H38" s="1237"/>
      <c r="I38" s="1237"/>
      <c r="J38" s="1237"/>
      <c r="K38" s="1237"/>
    </row>
    <row r="39" spans="3:11">
      <c r="D39" s="63" t="str">
        <f>Inputs!C184</f>
        <v>Rent</v>
      </c>
      <c r="G39" s="1346" t="str">
        <f t="shared" si="0"/>
        <v>INR 'Units</v>
      </c>
      <c r="H39" s="1237"/>
      <c r="I39" s="1237"/>
      <c r="J39" s="1237"/>
      <c r="K39" s="1237"/>
    </row>
    <row r="40" spans="3:11">
      <c r="D40" s="63" t="str">
        <f>Inputs!C185</f>
        <v>Legal and professional fee</v>
      </c>
      <c r="G40" s="1346" t="str">
        <f t="shared" si="0"/>
        <v>INR 'Units</v>
      </c>
      <c r="H40" s="1237"/>
      <c r="I40" s="1237"/>
      <c r="J40" s="1237"/>
      <c r="K40" s="1237"/>
    </row>
    <row r="41" spans="3:11">
      <c r="D41" s="63" t="str">
        <f>Inputs!C186</f>
        <v>Travelling &amp; communication</v>
      </c>
      <c r="G41" s="1346" t="str">
        <f t="shared" si="0"/>
        <v>INR 'Units</v>
      </c>
      <c r="H41" s="1237"/>
      <c r="I41" s="1237"/>
      <c r="J41" s="1237"/>
      <c r="K41" s="1237"/>
    </row>
    <row r="42" spans="3:11">
      <c r="D42" s="63" t="str">
        <f>Inputs!C187</f>
        <v>Marketing &amp; PR cost</v>
      </c>
      <c r="H42" s="1237"/>
      <c r="I42" s="1237"/>
      <c r="J42" s="1237"/>
      <c r="K42" s="1237"/>
    </row>
    <row r="43" spans="3:11">
      <c r="D43" s="63" t="str">
        <f>Inputs!C188</f>
        <v>Office &amp; sundry expenses</v>
      </c>
      <c r="H43" s="1237"/>
      <c r="I43" s="1237"/>
      <c r="J43" s="1237"/>
      <c r="K43" s="1237"/>
    </row>
    <row r="44" spans="3:11">
      <c r="D44" s="63" t="str">
        <f>Inputs!C189</f>
        <v>Printing &amp; Stationery</v>
      </c>
      <c r="G44" s="1346" t="str">
        <f t="shared" si="0"/>
        <v>INR 'Units</v>
      </c>
      <c r="H44" s="1237"/>
      <c r="I44" s="1237"/>
      <c r="J44" s="1237"/>
      <c r="K44" s="1237"/>
    </row>
    <row r="45" spans="3:11">
      <c r="D45" s="63" t="str">
        <f>Inputs!C190</f>
        <v>Utilities</v>
      </c>
      <c r="G45" s="1346" t="str">
        <f t="shared" si="0"/>
        <v>INR 'Units</v>
      </c>
      <c r="H45" s="1237"/>
      <c r="I45" s="1237"/>
      <c r="J45" s="1237"/>
      <c r="K45" s="1237"/>
    </row>
    <row r="46" spans="3:11">
      <c r="C46" s="684" t="str">
        <f>IS!C52</f>
        <v>Total Operating Expenses</v>
      </c>
      <c r="D46" s="684"/>
      <c r="E46" s="684"/>
      <c r="F46" s="684"/>
      <c r="G46" s="1355"/>
      <c r="H46" s="1356"/>
      <c r="I46" s="1356">
        <f>SUM(I37:I45)</f>
        <v>0</v>
      </c>
      <c r="J46" s="1356">
        <f t="shared" ref="J46:K46" si="1">SUM(J37:J45)</f>
        <v>0</v>
      </c>
      <c r="K46" s="1356">
        <f t="shared" si="1"/>
        <v>0</v>
      </c>
    </row>
    <row r="48" spans="3:11">
      <c r="D48" s="63" t="e">
        <f>IS!#REF!</f>
        <v>#REF!</v>
      </c>
      <c r="G48" s="1346" t="str">
        <f>currency.heading1</f>
        <v>INR 'Units</v>
      </c>
      <c r="H48" s="1237"/>
      <c r="I48" s="1237"/>
      <c r="J48" s="1237"/>
      <c r="K48" s="1237"/>
    </row>
    <row r="49" spans="2:11">
      <c r="D49" s="63" t="e">
        <f>IS!#REF!</f>
        <v>#REF!</v>
      </c>
      <c r="G49" s="1346" t="str">
        <f>currency.heading1</f>
        <v>INR 'Units</v>
      </c>
      <c r="H49" s="1237"/>
      <c r="I49" s="1237"/>
      <c r="J49" s="1237"/>
      <c r="K49" s="1237"/>
    </row>
    <row r="51" spans="2:11">
      <c r="D51" s="63" t="str">
        <f>IS!D56</f>
        <v>Depreciation &amp; Amortisation</v>
      </c>
      <c r="G51" s="1346" t="str">
        <f>currency.heading1</f>
        <v>INR 'Units</v>
      </c>
      <c r="H51" s="1237"/>
      <c r="I51" s="1237"/>
      <c r="J51" s="1237"/>
      <c r="K51" s="1237"/>
    </row>
    <row r="52" spans="2:11">
      <c r="D52" s="63" t="s">
        <v>2692</v>
      </c>
      <c r="G52" s="1346" t="str">
        <f>currency.heading1</f>
        <v>INR 'Units</v>
      </c>
      <c r="H52" s="1237"/>
      <c r="I52" s="1237"/>
      <c r="J52" s="1237"/>
      <c r="K52" s="1237"/>
    </row>
    <row r="53" spans="2:11">
      <c r="D53" s="63" t="s">
        <v>1887</v>
      </c>
      <c r="G53" s="1346" t="str">
        <f>currency.heading1</f>
        <v>INR 'Units</v>
      </c>
      <c r="H53" s="1237"/>
      <c r="I53" s="1237"/>
      <c r="J53" s="1237"/>
      <c r="K53" s="1237"/>
    </row>
    <row r="54" spans="2:11">
      <c r="D54" s="63" t="str">
        <f>IS!D62</f>
        <v>Tax Expense</v>
      </c>
      <c r="G54" s="1346" t="str">
        <f>currency.heading1</f>
        <v>INR 'Units</v>
      </c>
      <c r="H54" s="1237"/>
      <c r="I54" s="1237"/>
      <c r="J54" s="1237"/>
      <c r="K54" s="1237"/>
    </row>
    <row r="56" spans="2:11">
      <c r="B56" s="1357" t="s">
        <v>1884</v>
      </c>
      <c r="C56" s="1049"/>
      <c r="D56" s="1049"/>
      <c r="E56" s="1049"/>
      <c r="F56" s="1049"/>
      <c r="G56" s="1358"/>
      <c r="H56" s="94"/>
      <c r="I56" s="94"/>
      <c r="J56" s="94"/>
      <c r="K56" s="94"/>
    </row>
    <row r="58" spans="2:11">
      <c r="B58" s="295" t="s">
        <v>2688</v>
      </c>
    </row>
    <row r="59" spans="2:11">
      <c r="C59" s="82" t="str">
        <f>BS_Calc!C18</f>
        <v>Current Assets</v>
      </c>
    </row>
    <row r="60" spans="2:11">
      <c r="D60" s="638" t="str">
        <f>BS_Calc!C19</f>
        <v>Trade Receivables Days</v>
      </c>
      <c r="G60" s="1346" t="str">
        <f>currency.heading1</f>
        <v>INR 'Units</v>
      </c>
      <c r="H60" s="1237"/>
      <c r="I60" s="1237"/>
      <c r="J60" s="1237"/>
      <c r="K60" s="1237"/>
    </row>
    <row r="61" spans="2:11">
      <c r="D61" s="638" t="str">
        <f>BS_Calc!C20</f>
        <v>Advances to Suppliers</v>
      </c>
      <c r="G61" s="1346" t="str">
        <f>currency.heading1</f>
        <v>INR 'Units</v>
      </c>
      <c r="H61" s="1237"/>
      <c r="I61" s="1237"/>
      <c r="J61" s="1237"/>
      <c r="K61" s="1237"/>
    </row>
    <row r="62" spans="2:11">
      <c r="D62" s="638" t="str">
        <f>BS_Calc!C21</f>
        <v>Other Receivables Days</v>
      </c>
      <c r="G62" s="1346" t="str">
        <f>currency.heading1</f>
        <v>INR 'Units</v>
      </c>
      <c r="H62" s="1237"/>
      <c r="I62" s="1237"/>
      <c r="J62" s="1237"/>
      <c r="K62" s="1237"/>
    </row>
    <row r="63" spans="2:11">
      <c r="D63" s="638" t="str">
        <f>BS_Calc!C22</f>
        <v xml:space="preserve">Inventory Days </v>
      </c>
      <c r="G63" s="1346" t="str">
        <f>currency.heading1</f>
        <v>INR 'Units</v>
      </c>
      <c r="H63" s="1237"/>
      <c r="I63" s="1237"/>
      <c r="J63" s="1237"/>
      <c r="K63" s="1237"/>
    </row>
    <row r="64" spans="2:11">
      <c r="D64" s="638" t="str">
        <f>BS_Calc!C23</f>
        <v xml:space="preserve">Prepaid Expenses &amp; Other Days </v>
      </c>
      <c r="G64" s="1346" t="str">
        <f>currency.heading1</f>
        <v>INR 'Units</v>
      </c>
      <c r="H64" s="1237"/>
      <c r="I64" s="1237"/>
      <c r="J64" s="1237"/>
      <c r="K64" s="1237"/>
    </row>
    <row r="65" spans="2:11">
      <c r="C65" s="638"/>
    </row>
    <row r="66" spans="2:11">
      <c r="C66" s="82" t="str">
        <f>BS_Calc!C25</f>
        <v>Current Liabilities</v>
      </c>
    </row>
    <row r="67" spans="2:11">
      <c r="D67" s="638" t="str">
        <f>BS_Calc!C26</f>
        <v xml:space="preserve">Trade Payables Days </v>
      </c>
      <c r="G67" s="1346" t="str">
        <f t="shared" ref="G67:G72" si="2">currency.heading1</f>
        <v>INR 'Units</v>
      </c>
      <c r="H67" s="1237"/>
      <c r="I67" s="1237"/>
      <c r="J67" s="1237"/>
      <c r="K67" s="1237"/>
    </row>
    <row r="68" spans="2:11">
      <c r="D68" s="638" t="str">
        <f>BS_Calc!C27</f>
        <v>Advances from Customers</v>
      </c>
      <c r="G68" s="1346" t="str">
        <f t="shared" si="2"/>
        <v>INR 'Units</v>
      </c>
      <c r="H68" s="1237"/>
      <c r="I68" s="1237"/>
      <c r="J68" s="1237"/>
      <c r="K68" s="1237"/>
    </row>
    <row r="69" spans="2:11">
      <c r="D69" s="638" t="str">
        <f>BS_Calc!C28</f>
        <v>Salaries Payable</v>
      </c>
      <c r="G69" s="1346" t="str">
        <f t="shared" si="2"/>
        <v>INR 'Units</v>
      </c>
      <c r="H69" s="1237"/>
      <c r="I69" s="1237"/>
      <c r="J69" s="1237"/>
      <c r="K69" s="1237"/>
    </row>
    <row r="70" spans="2:11">
      <c r="D70" s="638" t="str">
        <f>BS_Calc!C29</f>
        <v xml:space="preserve">Accrued Expenses Days </v>
      </c>
      <c r="G70" s="1346" t="str">
        <f t="shared" si="2"/>
        <v>INR 'Units</v>
      </c>
      <c r="H70" s="1237"/>
      <c r="I70" s="1237"/>
      <c r="J70" s="1237"/>
      <c r="K70" s="1237"/>
    </row>
    <row r="71" spans="2:11">
      <c r="D71" s="638" t="str">
        <f>BS_Calc!C30</f>
        <v xml:space="preserve">Tax Payables Days </v>
      </c>
      <c r="G71" s="1346" t="str">
        <f t="shared" si="2"/>
        <v>INR 'Units</v>
      </c>
      <c r="H71" s="1237"/>
      <c r="I71" s="1237"/>
      <c r="J71" s="1237"/>
      <c r="K71" s="1237"/>
    </row>
    <row r="72" spans="2:11">
      <c r="D72" s="638" t="str">
        <f>BS_Calc!C31</f>
        <v xml:space="preserve">Other Payables Days </v>
      </c>
      <c r="G72" s="1346" t="str">
        <f t="shared" si="2"/>
        <v>INR 'Units</v>
      </c>
      <c r="H72" s="1237"/>
      <c r="I72" s="1237"/>
      <c r="J72" s="1237"/>
      <c r="K72" s="1237"/>
    </row>
    <row r="74" spans="2:11">
      <c r="B74" s="295" t="s">
        <v>2282</v>
      </c>
      <c r="G74" s="1346" t="str">
        <f>currency.heading1</f>
        <v>INR 'Units</v>
      </c>
      <c r="H74" s="1237"/>
      <c r="I74" s="1237"/>
      <c r="J74" s="1237"/>
      <c r="K74" s="123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1E4BD-37DF-4CD7-B9FF-9BB41D7D18D1}">
  <dimension ref="B2:G31"/>
  <sheetViews>
    <sheetView topLeftCell="A18" workbookViewId="0">
      <selection activeCell="B32" sqref="B32"/>
    </sheetView>
  </sheetViews>
  <sheetFormatPr defaultRowHeight="15"/>
  <cols>
    <col min="2" max="2" width="54.88671875" bestFit="1" customWidth="1"/>
  </cols>
  <sheetData>
    <row r="2" spans="2:7">
      <c r="B2" s="1233" t="s">
        <v>2303</v>
      </c>
      <c r="G2" s="1403" t="s">
        <v>2746</v>
      </c>
    </row>
    <row r="3" spans="2:7">
      <c r="G3" s="1233" t="s">
        <v>2747</v>
      </c>
    </row>
    <row r="4" spans="2:7">
      <c r="B4" s="1233" t="s">
        <v>2304</v>
      </c>
      <c r="G4" s="1233" t="s">
        <v>2748</v>
      </c>
    </row>
    <row r="5" spans="2:7">
      <c r="B5" s="1233" t="s">
        <v>2305</v>
      </c>
      <c r="G5" s="1233" t="s">
        <v>2749</v>
      </c>
    </row>
    <row r="6" spans="2:7">
      <c r="B6" s="1233" t="s">
        <v>2306</v>
      </c>
    </row>
    <row r="7" spans="2:7">
      <c r="B7" s="1233" t="s">
        <v>2307</v>
      </c>
      <c r="D7" s="1651" t="s">
        <v>3027</v>
      </c>
      <c r="E7" s="1651" t="s">
        <v>3028</v>
      </c>
      <c r="F7" s="1652" t="s">
        <v>2426</v>
      </c>
      <c r="G7" s="1651" t="s">
        <v>3029</v>
      </c>
    </row>
    <row r="8" spans="2:7">
      <c r="D8" s="1653" t="s">
        <v>3030</v>
      </c>
      <c r="E8" s="1654">
        <v>3</v>
      </c>
      <c r="F8" s="1655" t="e">
        <f>MROUND(E8/$F$20,0.01)</f>
        <v>#DIV/0!</v>
      </c>
      <c r="G8" s="1656" t="e">
        <f>F8</f>
        <v>#DIV/0!</v>
      </c>
    </row>
    <row r="9" spans="2:7">
      <c r="B9" s="1233" t="s">
        <v>2308</v>
      </c>
      <c r="D9" s="1653" t="s">
        <v>3031</v>
      </c>
      <c r="E9" s="1654">
        <v>30</v>
      </c>
      <c r="F9" s="1655" t="e">
        <f t="shared" ref="F9:F16" si="0">MROUND(E9/$F$20,0.01)</f>
        <v>#DIV/0!</v>
      </c>
      <c r="G9" s="1656" t="e">
        <f>G8+F9</f>
        <v>#DIV/0!</v>
      </c>
    </row>
    <row r="10" spans="2:7">
      <c r="D10" s="1653" t="s">
        <v>3032</v>
      </c>
      <c r="E10" s="1654">
        <v>13</v>
      </c>
      <c r="F10" s="1655" t="e">
        <f t="shared" si="0"/>
        <v>#DIV/0!</v>
      </c>
      <c r="G10" s="1656" t="e">
        <f t="shared" ref="G10:G16" si="1">G9+F10</f>
        <v>#DIV/0!</v>
      </c>
    </row>
    <row r="11" spans="2:7">
      <c r="B11" s="1233" t="s">
        <v>2310</v>
      </c>
      <c r="D11" s="1653" t="s">
        <v>3033</v>
      </c>
      <c r="E11" s="1654">
        <v>1</v>
      </c>
      <c r="F11" s="1655" t="e">
        <f t="shared" si="0"/>
        <v>#DIV/0!</v>
      </c>
      <c r="G11" s="1656" t="e">
        <f t="shared" si="1"/>
        <v>#DIV/0!</v>
      </c>
    </row>
    <row r="12" spans="2:7">
      <c r="D12" s="1657" t="s">
        <v>3034</v>
      </c>
      <c r="E12" s="1654">
        <v>2</v>
      </c>
      <c r="F12" s="1655" t="e">
        <f t="shared" si="0"/>
        <v>#DIV/0!</v>
      </c>
      <c r="G12" s="1656" t="e">
        <f t="shared" si="1"/>
        <v>#DIV/0!</v>
      </c>
    </row>
    <row r="13" spans="2:7">
      <c r="D13" s="1658" t="s">
        <v>3035</v>
      </c>
      <c r="E13" s="1654">
        <v>2</v>
      </c>
      <c r="F13" s="1655" t="e">
        <f t="shared" si="0"/>
        <v>#DIV/0!</v>
      </c>
      <c r="G13" s="1656" t="e">
        <f t="shared" si="1"/>
        <v>#DIV/0!</v>
      </c>
    </row>
    <row r="14" spans="2:7">
      <c r="B14" s="1403" t="s">
        <v>2807</v>
      </c>
      <c r="D14" s="1658" t="s">
        <v>3036</v>
      </c>
      <c r="E14" s="1654">
        <v>2</v>
      </c>
      <c r="F14" s="1655" t="e">
        <f t="shared" si="0"/>
        <v>#DIV/0!</v>
      </c>
      <c r="G14" s="1656" t="e">
        <f t="shared" si="1"/>
        <v>#DIV/0!</v>
      </c>
    </row>
    <row r="15" spans="2:7" ht="38.25">
      <c r="B15" s="1233" t="s">
        <v>2808</v>
      </c>
      <c r="D15" s="1658" t="s">
        <v>3037</v>
      </c>
      <c r="E15" s="1654">
        <v>3</v>
      </c>
      <c r="F15" s="1655" t="e">
        <f t="shared" si="0"/>
        <v>#DIV/0!</v>
      </c>
      <c r="G15" s="1656" t="e">
        <f t="shared" si="1"/>
        <v>#DIV/0!</v>
      </c>
    </row>
    <row r="16" spans="2:7">
      <c r="D16" s="1653" t="s">
        <v>3038</v>
      </c>
      <c r="E16" s="1654">
        <v>6</v>
      </c>
      <c r="F16" s="1655" t="e">
        <f t="shared" si="0"/>
        <v>#DIV/0!</v>
      </c>
      <c r="G16" s="1656" t="e">
        <f t="shared" si="1"/>
        <v>#DIV/0!</v>
      </c>
    </row>
    <row r="17" spans="2:7">
      <c r="B17" s="1403" t="s">
        <v>2849</v>
      </c>
      <c r="D17" s="1659"/>
      <c r="E17" s="1660">
        <f>SUM(E8:E16)</f>
        <v>62</v>
      </c>
      <c r="F17" s="1661" t="e">
        <f>SUM(F8:F16)</f>
        <v>#DIV/0!</v>
      </c>
      <c r="G17" s="1659"/>
    </row>
    <row r="18" spans="2:7">
      <c r="B18" s="1233" t="s">
        <v>2850</v>
      </c>
    </row>
    <row r="19" spans="2:7">
      <c r="B19" s="1233" t="s">
        <v>2851</v>
      </c>
    </row>
    <row r="20" spans="2:7">
      <c r="B20" s="1233" t="s">
        <v>2853</v>
      </c>
    </row>
    <row r="21" spans="2:7">
      <c r="B21" s="1233" t="s">
        <v>2855</v>
      </c>
    </row>
    <row r="22" spans="2:7">
      <c r="B22" s="1233" t="s">
        <v>2857</v>
      </c>
    </row>
    <row r="23" spans="2:7">
      <c r="B23" s="1233" t="s">
        <v>2859</v>
      </c>
    </row>
    <row r="24" spans="2:7">
      <c r="B24" s="1233" t="s">
        <v>2860</v>
      </c>
    </row>
    <row r="27" spans="2:7">
      <c r="B27" s="1233" t="s">
        <v>3172</v>
      </c>
    </row>
    <row r="28" spans="2:7">
      <c r="B28" s="1233" t="s">
        <v>3174</v>
      </c>
    </row>
    <row r="29" spans="2:7">
      <c r="B29" s="1233" t="s">
        <v>3175</v>
      </c>
    </row>
    <row r="30" spans="2:7">
      <c r="B30" s="1233" t="s">
        <v>3176</v>
      </c>
    </row>
    <row r="31" spans="2:7">
      <c r="B31" s="1233" t="s">
        <v>3177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5A5AD-695A-4313-A69D-B8908C29C2B5}">
  <sheetPr>
    <tabColor rgb="FFD7EEF1"/>
  </sheetPr>
  <dimension ref="A1:I32"/>
  <sheetViews>
    <sheetView showGridLines="0" workbookViewId="0">
      <selection activeCell="D7" sqref="D7"/>
    </sheetView>
  </sheetViews>
  <sheetFormatPr defaultColWidth="0" defaultRowHeight="0" customHeight="1" zeroHeight="1"/>
  <cols>
    <col min="1" max="1" width="2.21875" style="71" customWidth="1"/>
    <col min="2" max="3" width="1.6640625" style="71" customWidth="1"/>
    <col min="4" max="9" width="8.6640625" style="71" customWidth="1"/>
    <col min="10" max="16384" width="8.6640625" style="71" hidden="1"/>
  </cols>
  <sheetData>
    <row r="1" spans="2:9" ht="15" customHeight="1"/>
    <row r="2" spans="2:9" ht="15.75">
      <c r="B2" s="62" t="s">
        <v>2228</v>
      </c>
      <c r="C2" s="63"/>
      <c r="D2" s="63"/>
      <c r="E2" s="63"/>
    </row>
    <row r="3" spans="2:9" ht="15.75">
      <c r="B3" s="64" t="str">
        <f>Inputs!B3</f>
        <v>Lazure Worldwide FZCO - Self Valuation using DCF Method, Transaction Multiples Method, &amp; Market Multiples Method as at September 30, 2024</v>
      </c>
      <c r="C3" s="63"/>
      <c r="D3" s="63"/>
      <c r="E3" s="63"/>
    </row>
    <row r="4" spans="2:9" ht="15.75">
      <c r="B4" s="101" t="s">
        <v>1978</v>
      </c>
      <c r="C4" s="63"/>
      <c r="D4" s="63"/>
      <c r="E4" s="63"/>
    </row>
    <row r="5" spans="2:9" ht="5.0999999999999996" customHeight="1" thickBot="1">
      <c r="B5" s="99"/>
      <c r="C5" s="66"/>
      <c r="D5" s="66"/>
      <c r="E5" s="66"/>
      <c r="F5" s="100"/>
      <c r="G5" s="100"/>
      <c r="H5" s="100"/>
      <c r="I5" s="100"/>
    </row>
    <row r="6" spans="2:9" ht="16.5" thickTop="1">
      <c r="B6" s="63"/>
      <c r="C6" s="63"/>
      <c r="D6" s="63"/>
      <c r="E6" s="63"/>
    </row>
    <row r="7" spans="2:9" ht="15.75">
      <c r="B7" s="63"/>
      <c r="C7" s="63"/>
      <c r="D7" s="62" t="s">
        <v>1817</v>
      </c>
      <c r="E7" s="63"/>
    </row>
    <row r="8" spans="2:9" ht="15.75"/>
    <row r="9" spans="2:9" ht="15.75"/>
    <row r="10" spans="2:9" ht="15.75"/>
    <row r="11" spans="2:9" ht="15.75"/>
    <row r="12" spans="2:9" ht="15.75"/>
    <row r="13" spans="2:9" ht="15.75"/>
    <row r="14" spans="2:9" ht="15.75"/>
    <row r="15" spans="2:9" ht="15.75"/>
    <row r="16" spans="2:9" ht="15.75"/>
    <row r="18" ht="15.75" hidden="1"/>
    <row r="19" ht="15.75" hidden="1"/>
    <row r="20" ht="15.75" hidden="1"/>
    <row r="21" ht="15.75" hidden="1"/>
    <row r="22" ht="15.75" hidden="1"/>
    <row r="23" ht="15.75" hidden="1"/>
    <row r="24" ht="15.75" hidden="1"/>
    <row r="25" ht="15.75" hidden="1"/>
    <row r="26" ht="15.75" hidden="1"/>
    <row r="27" ht="15.75" hidden="1"/>
    <row r="28" ht="15.75" hidden="1"/>
    <row r="29" ht="15.75" hidden="1"/>
    <row r="30" ht="15.75" hidden="1"/>
    <row r="31" ht="15.75" hidden="1"/>
    <row r="32" ht="1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69139-2922-4FD3-AA11-7E038A71AF11}">
  <sheetPr>
    <tabColor rgb="FFD7EEF1"/>
  </sheetPr>
  <dimension ref="B2:R34"/>
  <sheetViews>
    <sheetView showGridLines="0" view="pageBreakPreview" topLeftCell="A22" zoomScaleNormal="100" zoomScaleSheetLayoutView="100" workbookViewId="0">
      <selection activeCell="J23" sqref="J23"/>
    </sheetView>
  </sheetViews>
  <sheetFormatPr defaultColWidth="8.6640625" defaultRowHeight="11.25"/>
  <cols>
    <col min="1" max="2" width="2.6640625" style="63" customWidth="1"/>
    <col min="3" max="14" width="8.6640625" style="63" customWidth="1"/>
    <col min="15" max="15" width="5.5546875" style="63" bestFit="1" customWidth="1"/>
    <col min="16" max="17" width="8.6640625" style="63" customWidth="1"/>
    <col min="18" max="18" width="2.6640625" style="63" customWidth="1"/>
    <col min="19" max="16384" width="8.6640625" style="63"/>
  </cols>
  <sheetData>
    <row r="2" spans="2:18">
      <c r="B2" s="62" t="s">
        <v>2228</v>
      </c>
    </row>
    <row r="3" spans="2:18">
      <c r="B3" s="64" t="str">
        <f>Inputs!$B$3</f>
        <v>Lazure Worldwide FZCO - Self Valuation using DCF Method, Transaction Multiples Method, &amp; Market Multiples Method as at September 30, 2024</v>
      </c>
    </row>
    <row r="4" spans="2:18">
      <c r="B4" s="65" t="s">
        <v>1810</v>
      </c>
    </row>
    <row r="5" spans="2:18" ht="5.0999999999999996" customHeight="1" thickBot="1">
      <c r="B5" s="66"/>
      <c r="C5" s="66"/>
      <c r="D5" s="66"/>
      <c r="E5" s="66"/>
      <c r="F5" s="66"/>
      <c r="G5" s="66"/>
      <c r="H5" s="66"/>
      <c r="I5" s="66"/>
      <c r="J5" s="66"/>
      <c r="K5" s="66"/>
      <c r="L5" s="66"/>
      <c r="M5" s="66"/>
      <c r="N5" s="66"/>
      <c r="O5" s="66"/>
      <c r="P5" s="66"/>
      <c r="Q5" s="66"/>
      <c r="R5" s="66"/>
    </row>
    <row r="6" spans="2:18" ht="12" thickTop="1"/>
    <row r="19" spans="3:17">
      <c r="C19" s="102"/>
      <c r="D19" s="102"/>
      <c r="E19" s="102"/>
      <c r="F19" s="102"/>
      <c r="G19" s="103" t="s">
        <v>1865</v>
      </c>
      <c r="H19" s="104" t="str">
        <f>IS_Calcs!I7</f>
        <v>FY22</v>
      </c>
      <c r="I19" s="104" t="str">
        <f>IS_Calcs!J7</f>
        <v>FY23</v>
      </c>
      <c r="J19" s="104" t="str">
        <f>IS_Calcs!K7</f>
        <v>YTD24</v>
      </c>
      <c r="K19" s="104" t="str">
        <f>IS_Calcs!L7</f>
        <v>YTG24</v>
      </c>
      <c r="L19" s="104" t="str">
        <f>IS_Calcs!M7</f>
        <v>FY24</v>
      </c>
      <c r="M19" s="104" t="str">
        <f>IS_Calcs!N7</f>
        <v>FY25</v>
      </c>
      <c r="N19" s="104" t="str">
        <f>IS_Calcs!O7</f>
        <v>FY26</v>
      </c>
      <c r="O19" s="104" t="str">
        <f>IS_Calcs!P7</f>
        <v>FY27</v>
      </c>
      <c r="P19" s="104" t="str">
        <f>IS_Calcs!Q7</f>
        <v>FY28</v>
      </c>
      <c r="Q19" s="104" t="str">
        <f>IS_Calcs!R7</f>
        <v>FY29</v>
      </c>
    </row>
    <row r="20" spans="3:17">
      <c r="H20" s="105"/>
      <c r="I20" s="105"/>
      <c r="J20" s="105"/>
      <c r="K20" s="105"/>
      <c r="L20" s="105"/>
      <c r="M20" s="105"/>
      <c r="N20" s="105"/>
      <c r="O20" s="105"/>
      <c r="P20" s="105"/>
      <c r="Q20" s="105"/>
    </row>
    <row r="21" spans="3:17">
      <c r="C21" s="63" t="s">
        <v>1400</v>
      </c>
      <c r="H21" s="106">
        <f>IS_Calcs!I69</f>
        <v>0</v>
      </c>
      <c r="I21" s="106">
        <f>IS_Calcs!J69</f>
        <v>0</v>
      </c>
      <c r="J21" s="106">
        <f>IS_Calcs!K69</f>
        <v>0</v>
      </c>
      <c r="K21" s="106">
        <f>IS_Calcs!L69</f>
        <v>168000</v>
      </c>
      <c r="L21" s="106">
        <f>IS_Calcs!M69</f>
        <v>168000</v>
      </c>
      <c r="M21" s="106">
        <f>IS_Calcs!N69</f>
        <v>168000</v>
      </c>
      <c r="N21" s="106">
        <f>IS_Calcs!O69</f>
        <v>168000</v>
      </c>
      <c r="O21" s="106">
        <f>IS_Calcs!P69</f>
        <v>168000</v>
      </c>
      <c r="P21" s="106">
        <f>IS_Calcs!Q69</f>
        <v>168000</v>
      </c>
      <c r="Q21" s="106">
        <f>IS_Calcs!R69</f>
        <v>168000</v>
      </c>
    </row>
    <row r="22" spans="3:17">
      <c r="C22" s="63" t="s">
        <v>1811</v>
      </c>
      <c r="H22" s="106">
        <f>IS_Calcs!I114</f>
        <v>0</v>
      </c>
      <c r="I22" s="106">
        <f>IS_Calcs!J114</f>
        <v>0</v>
      </c>
      <c r="J22" s="106">
        <f>IS_Calcs!K114</f>
        <v>0</v>
      </c>
      <c r="K22" s="106">
        <f>IS_Calcs!L114</f>
        <v>50400.000000000007</v>
      </c>
      <c r="L22" s="106">
        <f>IS_Calcs!M114</f>
        <v>50400.000000000007</v>
      </c>
      <c r="M22" s="106">
        <f>IS_Calcs!N114</f>
        <v>50400.000000000007</v>
      </c>
      <c r="N22" s="106">
        <f>IS_Calcs!O114</f>
        <v>50400.000000000007</v>
      </c>
      <c r="O22" s="106">
        <f>IS_Calcs!P114</f>
        <v>50400.000000000007</v>
      </c>
      <c r="P22" s="106">
        <f>IS_Calcs!Q114</f>
        <v>50400.000000000007</v>
      </c>
      <c r="Q22" s="106">
        <f>IS_Calcs!R114</f>
        <v>50400.000000000007</v>
      </c>
    </row>
    <row r="23" spans="3:17">
      <c r="C23" s="63" t="s">
        <v>1813</v>
      </c>
      <c r="H23" s="107">
        <f>H21-H22</f>
        <v>0</v>
      </c>
      <c r="I23" s="107">
        <f>I21-I22</f>
        <v>0</v>
      </c>
      <c r="J23" s="107">
        <f>J21-J22</f>
        <v>0</v>
      </c>
      <c r="K23" s="107">
        <f>K21-K22</f>
        <v>117600</v>
      </c>
      <c r="L23" s="107">
        <f t="shared" ref="L23:Q23" si="0">L21-L22</f>
        <v>117600</v>
      </c>
      <c r="M23" s="107">
        <f t="shared" si="0"/>
        <v>117600</v>
      </c>
      <c r="N23" s="107">
        <f t="shared" si="0"/>
        <v>117600</v>
      </c>
      <c r="O23" s="107">
        <f t="shared" si="0"/>
        <v>117600</v>
      </c>
      <c r="P23" s="107">
        <f t="shared" si="0"/>
        <v>117600</v>
      </c>
      <c r="Q23" s="107">
        <f t="shared" si="0"/>
        <v>117600</v>
      </c>
    </row>
    <row r="24" spans="3:17">
      <c r="C24" s="63" t="s">
        <v>1812</v>
      </c>
      <c r="H24" s="105"/>
      <c r="I24" s="105"/>
      <c r="J24" s="105"/>
      <c r="K24" s="105"/>
      <c r="L24" s="105"/>
      <c r="M24" s="105"/>
      <c r="N24" s="105"/>
      <c r="O24" s="105"/>
      <c r="P24" s="105"/>
      <c r="Q24" s="105"/>
    </row>
    <row r="25" spans="3:17">
      <c r="H25" s="105"/>
      <c r="I25" s="105"/>
      <c r="J25" s="105"/>
      <c r="K25" s="105"/>
      <c r="L25" s="105"/>
      <c r="M25" s="105"/>
      <c r="N25" s="105"/>
      <c r="O25" s="105"/>
      <c r="P25" s="105"/>
      <c r="Q25" s="105"/>
    </row>
    <row r="26" spans="3:17">
      <c r="C26" s="63" t="s">
        <v>1814</v>
      </c>
      <c r="H26" s="108"/>
      <c r="I26" s="108"/>
      <c r="J26" s="108"/>
      <c r="K26" s="105">
        <f>-BS_Calc!L61</f>
        <v>-24000</v>
      </c>
      <c r="L26" s="105">
        <f>-BS_Calc!M61</f>
        <v>-24000</v>
      </c>
      <c r="M26" s="105">
        <f>-BS_Calc!N61</f>
        <v>-34000</v>
      </c>
      <c r="N26" s="105">
        <f>-BS_Calc!O61</f>
        <v>-34000</v>
      </c>
      <c r="O26" s="105">
        <f>-BS_Calc!P61</f>
        <v>-34000</v>
      </c>
      <c r="P26" s="105">
        <f>-BS_Calc!Q61</f>
        <v>-34000</v>
      </c>
      <c r="Q26" s="105">
        <f>-BS_Calc!R61</f>
        <v>-34000</v>
      </c>
    </row>
    <row r="27" spans="3:17">
      <c r="C27" s="109"/>
      <c r="D27" s="109"/>
      <c r="E27" s="109"/>
      <c r="F27" s="109"/>
      <c r="G27" s="110"/>
      <c r="H27" s="111"/>
      <c r="I27" s="112"/>
      <c r="J27" s="112"/>
      <c r="K27" s="112"/>
      <c r="L27" s="112"/>
      <c r="M27" s="112"/>
      <c r="N27" s="112"/>
      <c r="O27" s="105"/>
      <c r="P27" s="105"/>
      <c r="Q27" s="105"/>
    </row>
    <row r="28" spans="3:17">
      <c r="C28" s="113" t="s">
        <v>1836</v>
      </c>
      <c r="D28" s="114"/>
      <c r="E28" s="114"/>
      <c r="F28" s="114"/>
      <c r="G28" s="115"/>
      <c r="H28" s="115" t="str">
        <f>IS!I7</f>
        <v>FY22</v>
      </c>
      <c r="I28" s="115" t="str">
        <f>IS!J7</f>
        <v>FY23</v>
      </c>
      <c r="J28" s="115" t="str">
        <f>IS!K7</f>
        <v>YTD24</v>
      </c>
      <c r="K28" s="115" t="str">
        <f>IS!L7</f>
        <v>YTG24</v>
      </c>
      <c r="L28" s="115" t="str">
        <f>IS!M7</f>
        <v>FY24</v>
      </c>
      <c r="M28" s="115" t="str">
        <f>IS!N7</f>
        <v>FY25</v>
      </c>
      <c r="N28" s="115" t="str">
        <f>IS!O7</f>
        <v>FY26</v>
      </c>
      <c r="O28" s="115" t="str">
        <f>IS!P7</f>
        <v>FY27</v>
      </c>
      <c r="P28" s="115" t="str">
        <f>IS!Q7</f>
        <v>FY28</v>
      </c>
      <c r="Q28" s="116" t="str">
        <f>IS!R7</f>
        <v>FY29</v>
      </c>
    </row>
    <row r="29" spans="3:17">
      <c r="C29" s="117" t="str">
        <f>IS!C67</f>
        <v>Revenue growth</v>
      </c>
      <c r="D29" s="109"/>
      <c r="E29" s="109"/>
      <c r="F29" s="109"/>
      <c r="G29" s="118"/>
      <c r="H29" s="119"/>
      <c r="I29" s="120">
        <f>IS!J67</f>
        <v>0</v>
      </c>
      <c r="J29" s="120">
        <f>IS!K67</f>
        <v>0</v>
      </c>
      <c r="K29" s="121">
        <f>IS!L67</f>
        <v>0</v>
      </c>
      <c r="L29" s="121">
        <f>IS!M67</f>
        <v>0</v>
      </c>
      <c r="M29" s="121">
        <f>IS!N67</f>
        <v>0</v>
      </c>
      <c r="N29" s="121">
        <f>IS!O67</f>
        <v>0</v>
      </c>
      <c r="O29" s="121">
        <f>IS!P67</f>
        <v>0</v>
      </c>
      <c r="P29" s="121">
        <f>IS!Q67</f>
        <v>0</v>
      </c>
      <c r="Q29" s="122">
        <f>IS!R67</f>
        <v>0</v>
      </c>
    </row>
    <row r="30" spans="3:17">
      <c r="C30" s="117" t="str">
        <f>IS!C69</f>
        <v>Gross margins</v>
      </c>
      <c r="D30" s="109"/>
      <c r="E30" s="109"/>
      <c r="F30" s="109"/>
      <c r="G30" s="118"/>
      <c r="H30" s="118">
        <f>IS!I69</f>
        <v>0</v>
      </c>
      <c r="I30" s="121">
        <f>IS!J69</f>
        <v>0</v>
      </c>
      <c r="J30" s="121">
        <f>IS!K69</f>
        <v>0</v>
      </c>
      <c r="K30" s="121">
        <f>IS!L69</f>
        <v>0.7</v>
      </c>
      <c r="L30" s="121">
        <f>IS!M69</f>
        <v>0.7</v>
      </c>
      <c r="M30" s="121">
        <f>IS!N69</f>
        <v>0.7</v>
      </c>
      <c r="N30" s="121">
        <f>IS!O69</f>
        <v>0.7</v>
      </c>
      <c r="O30" s="121">
        <f>IS!P69</f>
        <v>0.7</v>
      </c>
      <c r="P30" s="121">
        <f>IS!Q69</f>
        <v>0.7</v>
      </c>
      <c r="Q30" s="122">
        <f>IS!R69</f>
        <v>0.7</v>
      </c>
    </row>
    <row r="31" spans="3:17">
      <c r="C31" s="117" t="str">
        <f>IS!C70</f>
        <v>OPEX as a % sales</v>
      </c>
      <c r="D31" s="109"/>
      <c r="E31" s="109"/>
      <c r="F31" s="109"/>
      <c r="G31" s="123"/>
      <c r="H31" s="118">
        <f>IS!I70</f>
        <v>0</v>
      </c>
      <c r="I31" s="118">
        <f>IS!J70</f>
        <v>0</v>
      </c>
      <c r="J31" s="118">
        <f>IS!K70</f>
        <v>0</v>
      </c>
      <c r="K31" s="118">
        <f>IS!L70</f>
        <v>0.26785714285714285</v>
      </c>
      <c r="L31" s="118">
        <f>IS!M70</f>
        <v>0.26785714285714285</v>
      </c>
      <c r="M31" s="118">
        <f>IS!N70</f>
        <v>0.26785714285714285</v>
      </c>
      <c r="N31" s="118">
        <f>IS!O70</f>
        <v>0.26785714285714285</v>
      </c>
      <c r="O31" s="118">
        <f>IS!P70</f>
        <v>0.26785714285714285</v>
      </c>
      <c r="P31" s="118">
        <f>IS!Q70</f>
        <v>0.26785714285714285</v>
      </c>
      <c r="Q31" s="124">
        <f>IS!R70</f>
        <v>0.26785714285714285</v>
      </c>
    </row>
    <row r="32" spans="3:17">
      <c r="C32" s="117" t="str">
        <f>IS!C71</f>
        <v>EBITDA margin</v>
      </c>
      <c r="D32" s="109"/>
      <c r="E32" s="109"/>
      <c r="F32" s="109"/>
      <c r="G32" s="123"/>
      <c r="H32" s="118">
        <f>IS!I71</f>
        <v>0</v>
      </c>
      <c r="I32" s="118">
        <f>IS!J71</f>
        <v>0</v>
      </c>
      <c r="J32" s="118">
        <f>IS!K71</f>
        <v>0</v>
      </c>
      <c r="K32" s="118">
        <f>IS!L71</f>
        <v>0.43214285714285716</v>
      </c>
      <c r="L32" s="118">
        <f>IS!M71</f>
        <v>0.43214285714285716</v>
      </c>
      <c r="M32" s="118">
        <f>IS!N71</f>
        <v>0.43214285714285716</v>
      </c>
      <c r="N32" s="118">
        <f>IS!O71</f>
        <v>0.43214285714285716</v>
      </c>
      <c r="O32" s="118">
        <f>IS!P71</f>
        <v>0.43214285714285716</v>
      </c>
      <c r="P32" s="118">
        <f>IS!Q71</f>
        <v>0.43214285714285716</v>
      </c>
      <c r="Q32" s="124">
        <f>IS!R71</f>
        <v>0.43214285714285716</v>
      </c>
    </row>
    <row r="33" spans="3:17">
      <c r="C33" s="117" t="str">
        <f>IS!C72</f>
        <v>D&amp;A as a % of sales</v>
      </c>
      <c r="D33" s="109"/>
      <c r="E33" s="109"/>
      <c r="F33" s="109"/>
      <c r="G33" s="118"/>
      <c r="H33" s="118">
        <f>IS!I72</f>
        <v>0</v>
      </c>
      <c r="I33" s="120">
        <f>IS!J72</f>
        <v>0</v>
      </c>
      <c r="J33" s="120">
        <f>IS!K72</f>
        <v>0</v>
      </c>
      <c r="K33" s="121">
        <f>IS!L72</f>
        <v>5.7043650793650785E-2</v>
      </c>
      <c r="L33" s="121">
        <f>IS!M72</f>
        <v>6.1805555555555551E-2</v>
      </c>
      <c r="M33" s="121">
        <f>IS!N72</f>
        <v>6.8551587301587294E-2</v>
      </c>
      <c r="N33" s="121">
        <f>IS!O72</f>
        <v>7.5297619047619044E-2</v>
      </c>
      <c r="O33" s="121">
        <f>IS!P72</f>
        <v>8.204365079365078E-2</v>
      </c>
      <c r="P33" s="121">
        <f>IS!Q72</f>
        <v>8.878968253968253E-2</v>
      </c>
      <c r="Q33" s="122">
        <f>IS!R72</f>
        <v>9.5535714285714279E-2</v>
      </c>
    </row>
    <row r="34" spans="3:17">
      <c r="C34" s="125" t="str">
        <f>IS!C73</f>
        <v>Net margin</v>
      </c>
      <c r="D34" s="126"/>
      <c r="E34" s="126"/>
      <c r="F34" s="126"/>
      <c r="G34" s="127"/>
      <c r="H34" s="127">
        <f>IS!I73</f>
        <v>0</v>
      </c>
      <c r="I34" s="127">
        <f>IS!J73</f>
        <v>0</v>
      </c>
      <c r="J34" s="128">
        <f>IS!K73</f>
        <v>0</v>
      </c>
      <c r="K34" s="129">
        <f>IS!L73</f>
        <v>0.20531335317460322</v>
      </c>
      <c r="L34" s="129">
        <f>IS!M73</f>
        <v>0.20221525793650796</v>
      </c>
      <c r="M34" s="129">
        <f>IS!N73</f>
        <v>0.19782628968253968</v>
      </c>
      <c r="N34" s="129">
        <f>IS!O73</f>
        <v>0.19343732142857142</v>
      </c>
      <c r="O34" s="129">
        <f>IS!P73</f>
        <v>0.1890483531746032</v>
      </c>
      <c r="P34" s="129">
        <f>IS!Q73</f>
        <v>0.18465938492063494</v>
      </c>
      <c r="Q34" s="130">
        <f>IS!R73</f>
        <v>0.18027041666666666</v>
      </c>
    </row>
  </sheetData>
  <pageMargins left="0.7" right="0.7" top="0.75" bottom="0.75" header="0.3" footer="0.3"/>
  <pageSetup scale="57"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4FFE-22E3-4248-82D6-8D2823FF2DA5}">
  <sheetPr>
    <tabColor rgb="FFD7EEF1"/>
  </sheetPr>
  <dimension ref="A2:AK107"/>
  <sheetViews>
    <sheetView showGridLines="0" topLeftCell="A16" zoomScale="80" workbookViewId="0">
      <selection activeCell="U16" sqref="U16"/>
    </sheetView>
  </sheetViews>
  <sheetFormatPr defaultColWidth="0" defaultRowHeight="15.75"/>
  <cols>
    <col min="1" max="1" width="1.6640625" style="71" customWidth="1"/>
    <col min="2" max="14" width="8.6640625" style="71" customWidth="1"/>
    <col min="15" max="15" width="25.88671875" style="167" bestFit="1" customWidth="1"/>
    <col min="16" max="16" width="9.33203125" style="168" bestFit="1" customWidth="1"/>
    <col min="17" max="17" width="8.44140625" style="168" bestFit="1" customWidth="1"/>
    <col min="18" max="18" width="9.33203125" style="168" bestFit="1" customWidth="1"/>
    <col min="19" max="19" width="10.6640625" style="168" bestFit="1" customWidth="1"/>
    <col min="20" max="20" width="8.44140625" style="168" bestFit="1" customWidth="1"/>
    <col min="21" max="26" width="9.109375" style="168" bestFit="1" customWidth="1"/>
    <col min="27" max="27" width="8.6640625" style="71" customWidth="1"/>
    <col min="28" max="37" width="0" style="71" hidden="1" customWidth="1"/>
    <col min="38" max="16384" width="8.6640625" style="71" hidden="1"/>
  </cols>
  <sheetData>
    <row r="2" spans="2:26">
      <c r="B2" s="165" t="s">
        <v>2224</v>
      </c>
      <c r="C2" s="166"/>
    </row>
    <row r="3" spans="2:26">
      <c r="B3" s="169" t="s">
        <v>2083</v>
      </c>
      <c r="C3" s="170"/>
    </row>
    <row r="4" spans="2:26">
      <c r="B4" s="171" t="s">
        <v>2229</v>
      </c>
      <c r="C4" s="172"/>
      <c r="D4" s="172"/>
      <c r="E4" s="172"/>
      <c r="F4" s="172"/>
      <c r="G4" s="172"/>
      <c r="H4" s="172"/>
      <c r="I4" s="172"/>
      <c r="J4" s="172"/>
    </row>
    <row r="5" spans="2:26">
      <c r="B5" s="173"/>
      <c r="C5" s="174"/>
    </row>
    <row r="6" spans="2:26">
      <c r="B6" s="175" t="s">
        <v>2139</v>
      </c>
      <c r="C6" s="176"/>
      <c r="D6" s="177"/>
      <c r="E6" s="177"/>
      <c r="F6" s="177"/>
      <c r="G6" s="177"/>
      <c r="H6" s="177"/>
      <c r="I6" s="177"/>
      <c r="J6" s="177"/>
      <c r="K6" s="177"/>
      <c r="L6" s="177"/>
      <c r="M6" s="177"/>
      <c r="N6" s="177"/>
      <c r="O6" s="178"/>
      <c r="P6" s="179"/>
      <c r="Q6" s="179"/>
      <c r="R6" s="179"/>
      <c r="S6" s="179"/>
      <c r="T6" s="179"/>
      <c r="U6" s="179"/>
      <c r="V6" s="179"/>
      <c r="W6" s="179"/>
      <c r="X6" s="179"/>
      <c r="Y6" s="179"/>
      <c r="Z6" s="179"/>
    </row>
    <row r="7" spans="2:26">
      <c r="B7" s="173"/>
      <c r="C7" s="174"/>
    </row>
    <row r="8" spans="2:26">
      <c r="B8" s="173"/>
      <c r="C8" s="174"/>
      <c r="O8" s="180" t="s">
        <v>1416</v>
      </c>
      <c r="P8" s="181" t="s">
        <v>208</v>
      </c>
      <c r="Q8" s="181" t="s">
        <v>2143</v>
      </c>
      <c r="R8" s="182" t="s">
        <v>209</v>
      </c>
      <c r="T8" s="71"/>
      <c r="U8" s="168" t="str">
        <f>"Amounts in "&amp;currency.heading1</f>
        <v>Amounts in INR 'Units</v>
      </c>
    </row>
    <row r="9" spans="2:26">
      <c r="B9" s="173"/>
      <c r="C9" s="174"/>
      <c r="O9" s="183" t="s">
        <v>2140</v>
      </c>
      <c r="P9" s="184">
        <f>DCF!L32</f>
        <v>-6541.7024933180655</v>
      </c>
      <c r="Q9" s="185">
        <f>R9-P9</f>
        <v>8128.7398504043294</v>
      </c>
      <c r="R9" s="186">
        <f>DCF!M32</f>
        <v>1587.0373570862639</v>
      </c>
      <c r="T9" s="71"/>
      <c r="U9" s="168" t="str">
        <f>"Revenues in "&amp;currency.heading1</f>
        <v>Revenues in INR 'Units</v>
      </c>
    </row>
    <row r="10" spans="2:26">
      <c r="B10" s="173"/>
      <c r="C10" s="174"/>
      <c r="O10" s="183" t="s">
        <v>2142</v>
      </c>
      <c r="P10" s="184">
        <f>ValSum!D55</f>
        <v>205185.75</v>
      </c>
      <c r="Q10" s="185">
        <f>R10-P10</f>
        <v>72418.499999999942</v>
      </c>
      <c r="R10" s="186">
        <f>ValSum!F55</f>
        <v>277604.24999999994</v>
      </c>
      <c r="T10" s="71"/>
      <c r="U10" s="168" t="str">
        <f>"Direct Costs in "&amp;currency.heading1</f>
        <v>Direct Costs in INR 'Units</v>
      </c>
    </row>
    <row r="11" spans="2:26">
      <c r="B11" s="173"/>
      <c r="C11" s="174"/>
      <c r="O11" s="187" t="s">
        <v>2141</v>
      </c>
      <c r="P11" s="188">
        <f>ValSum!D63</f>
        <v>379335</v>
      </c>
      <c r="Q11" s="189">
        <f>R11-P11</f>
        <v>0</v>
      </c>
      <c r="R11" s="190">
        <f>ValSum!F63</f>
        <v>379335</v>
      </c>
      <c r="T11" s="71"/>
      <c r="U11" s="168" t="str">
        <f>"Working Capital Balance in "&amp;currency.heading1&amp;" &amp; as a % of Revenue"</f>
        <v>Working Capital Balance in INR 'Units &amp; as a % of Revenue</v>
      </c>
    </row>
    <row r="12" spans="2:26">
      <c r="B12" s="173"/>
      <c r="C12" s="174"/>
      <c r="T12" s="71"/>
      <c r="U12" s="168" t="str">
        <f>"Capital Expenditure in "&amp;currency.heading1</f>
        <v>Capital Expenditure in INR 'Units</v>
      </c>
    </row>
    <row r="13" spans="2:26">
      <c r="B13" s="173"/>
      <c r="C13" s="174"/>
      <c r="O13" s="180" t="s">
        <v>2144</v>
      </c>
      <c r="P13" s="181" t="s">
        <v>208</v>
      </c>
      <c r="Q13" s="181" t="s">
        <v>2143</v>
      </c>
      <c r="R13" s="182" t="s">
        <v>209</v>
      </c>
      <c r="T13" s="71"/>
    </row>
    <row r="14" spans="2:26">
      <c r="B14" s="173"/>
      <c r="C14" s="174"/>
      <c r="O14" s="183" t="s">
        <v>2140</v>
      </c>
      <c r="P14" s="184"/>
      <c r="Q14" s="185">
        <f>R14-P14</f>
        <v>0</v>
      </c>
      <c r="R14" s="186"/>
      <c r="T14" s="71"/>
    </row>
    <row r="15" spans="2:26">
      <c r="B15" s="173"/>
      <c r="C15" s="174"/>
      <c r="O15" s="183" t="s">
        <v>2142</v>
      </c>
      <c r="P15" s="184"/>
      <c r="Q15" s="185">
        <f>R15-P15</f>
        <v>0</v>
      </c>
      <c r="R15" s="186"/>
      <c r="T15" s="71"/>
    </row>
    <row r="16" spans="2:26">
      <c r="B16" s="173"/>
      <c r="C16" s="174"/>
      <c r="O16" s="187" t="s">
        <v>2141</v>
      </c>
      <c r="P16" s="188"/>
      <c r="Q16" s="189">
        <f>R16-P16</f>
        <v>0</v>
      </c>
      <c r="R16" s="190"/>
      <c r="T16" s="71"/>
    </row>
    <row r="17" spans="2:26">
      <c r="B17" s="173"/>
      <c r="C17" s="174"/>
      <c r="T17" s="71"/>
    </row>
    <row r="18" spans="2:26">
      <c r="B18" s="173"/>
      <c r="C18" s="174"/>
      <c r="T18" s="71"/>
    </row>
    <row r="19" spans="2:26">
      <c r="B19" s="173"/>
      <c r="C19" s="174"/>
      <c r="O19" s="180" t="s">
        <v>1416</v>
      </c>
      <c r="P19" s="181" t="s">
        <v>208</v>
      </c>
      <c r="Q19" s="181" t="s">
        <v>2143</v>
      </c>
      <c r="R19" s="182" t="s">
        <v>209</v>
      </c>
      <c r="T19" s="71"/>
    </row>
    <row r="20" spans="2:26">
      <c r="B20" s="173"/>
      <c r="C20" s="174"/>
      <c r="O20" s="183" t="s">
        <v>2161</v>
      </c>
      <c r="P20" s="184" t="e">
        <f>ValSum!#REF!</f>
        <v>#REF!</v>
      </c>
      <c r="Q20" s="185" t="e">
        <f>R20-P20</f>
        <v>#REF!</v>
      </c>
      <c r="R20" s="186" t="e">
        <f>ValSum!#REF!</f>
        <v>#REF!</v>
      </c>
      <c r="T20" s="71"/>
    </row>
    <row r="21" spans="2:26">
      <c r="B21" s="173"/>
      <c r="C21" s="174"/>
      <c r="O21" s="191" t="s">
        <v>2230</v>
      </c>
      <c r="P21" s="192"/>
      <c r="Q21" s="192">
        <f>R21-P21</f>
        <v>0</v>
      </c>
      <c r="R21" s="193"/>
      <c r="T21" s="71"/>
    </row>
    <row r="22" spans="2:26">
      <c r="B22" s="173"/>
      <c r="C22" s="174"/>
      <c r="T22" s="71"/>
    </row>
    <row r="23" spans="2:26">
      <c r="B23" s="173"/>
      <c r="C23" s="174"/>
      <c r="O23" s="180" t="s">
        <v>2144</v>
      </c>
      <c r="P23" s="181" t="s">
        <v>208</v>
      </c>
      <c r="Q23" s="181" t="s">
        <v>2143</v>
      </c>
      <c r="R23" s="182" t="s">
        <v>209</v>
      </c>
      <c r="T23" s="71"/>
    </row>
    <row r="24" spans="2:26">
      <c r="B24" s="173"/>
      <c r="C24" s="174"/>
      <c r="O24" s="183" t="s">
        <v>2140</v>
      </c>
      <c r="P24" s="184"/>
      <c r="Q24" s="185">
        <f>R24-P24</f>
        <v>0</v>
      </c>
      <c r="R24" s="186"/>
      <c r="T24" s="71"/>
    </row>
    <row r="25" spans="2:26">
      <c r="B25" s="173"/>
      <c r="C25" s="174"/>
      <c r="O25" s="191" t="str">
        <f>O21</f>
        <v>Valify Case</v>
      </c>
      <c r="P25" s="192"/>
      <c r="Q25" s="192">
        <f>R25-P25</f>
        <v>0</v>
      </c>
      <c r="R25" s="193"/>
      <c r="T25" s="71"/>
    </row>
    <row r="26" spans="2:26">
      <c r="B26" s="173"/>
      <c r="C26" s="174"/>
    </row>
    <row r="27" spans="2:26">
      <c r="B27" s="173"/>
      <c r="C27" s="174"/>
    </row>
    <row r="28" spans="2:26">
      <c r="B28" s="175" t="s">
        <v>2122</v>
      </c>
      <c r="C28" s="176"/>
      <c r="D28" s="177"/>
      <c r="E28" s="177"/>
      <c r="F28" s="177"/>
      <c r="G28" s="177"/>
      <c r="H28" s="177"/>
      <c r="I28" s="177"/>
      <c r="J28" s="177"/>
      <c r="K28" s="177"/>
      <c r="L28" s="177"/>
      <c r="M28" s="177"/>
      <c r="N28" s="177"/>
      <c r="O28" s="178"/>
      <c r="P28" s="179"/>
      <c r="Q28" s="179"/>
      <c r="R28" s="179"/>
      <c r="S28" s="179"/>
      <c r="T28" s="179"/>
      <c r="U28" s="179"/>
      <c r="V28" s="179"/>
      <c r="W28" s="179"/>
      <c r="X28" s="179"/>
      <c r="Y28" s="179"/>
      <c r="Z28" s="179"/>
    </row>
    <row r="29" spans="2:26">
      <c r="B29" s="194"/>
      <c r="C29" s="174"/>
    </row>
    <row r="30" spans="2:26">
      <c r="O30" s="180" t="s">
        <v>2123</v>
      </c>
      <c r="P30" s="181" t="str">
        <f>IS!H7</f>
        <v>FY21</v>
      </c>
      <c r="Q30" s="181" t="str">
        <f>IS!I7</f>
        <v>FY22</v>
      </c>
      <c r="R30" s="181" t="str">
        <f>IS!J7</f>
        <v>FY23</v>
      </c>
      <c r="S30" s="181" t="str">
        <f>IS!K7</f>
        <v>YTD24</v>
      </c>
      <c r="T30" s="181" t="str">
        <f>IS!L7</f>
        <v>YTG24</v>
      </c>
      <c r="U30" s="181" t="str">
        <f>IS!M7</f>
        <v>FY24</v>
      </c>
      <c r="V30" s="181" t="str">
        <f>IS!N7</f>
        <v>FY25</v>
      </c>
      <c r="W30" s="181" t="str">
        <f>IS!O7</f>
        <v>FY26</v>
      </c>
      <c r="X30" s="181" t="str">
        <f>IS!P7</f>
        <v>FY27</v>
      </c>
      <c r="Y30" s="181" t="str">
        <f>IS!Q7</f>
        <v>FY28</v>
      </c>
      <c r="Z30" s="195" t="str">
        <f>IS!R7</f>
        <v>FY29</v>
      </c>
    </row>
    <row r="31" spans="2:26">
      <c r="O31" s="183" t="s">
        <v>2182</v>
      </c>
      <c r="P31" s="207">
        <f>IS_Calcs!H72</f>
        <v>0</v>
      </c>
      <c r="Q31" s="207">
        <f>IS_Calcs!I72</f>
        <v>0</v>
      </c>
      <c r="R31" s="207">
        <f>IS_Calcs!J72</f>
        <v>0</v>
      </c>
      <c r="S31" s="207">
        <f>IS_Calcs!K72</f>
        <v>0</v>
      </c>
      <c r="T31" s="207">
        <f>IS_Calcs!L72</f>
        <v>0.54761904761904767</v>
      </c>
      <c r="U31" s="207">
        <f>IS_Calcs!M72</f>
        <v>0.54761904761904767</v>
      </c>
      <c r="V31" s="207">
        <f>IS_Calcs!N72</f>
        <v>0.54761904761904767</v>
      </c>
      <c r="W31" s="207">
        <f>IS_Calcs!O72</f>
        <v>0.4073743890220789</v>
      </c>
      <c r="X31" s="207">
        <f>IS_Calcs!P72</f>
        <v>0.24234183206450213</v>
      </c>
      <c r="Y31" s="207">
        <f>IS_Calcs!Q72</f>
        <v>0.18109190474293105</v>
      </c>
      <c r="Z31" s="208">
        <f>IS_Calcs!R72</f>
        <v>0.13322912034697612</v>
      </c>
    </row>
    <row r="32" spans="2:26">
      <c r="O32" s="183" t="s">
        <v>2183</v>
      </c>
      <c r="P32" s="207">
        <f>IS_Calcs!H73</f>
        <v>0</v>
      </c>
      <c r="Q32" s="207">
        <f>IS_Calcs!I73</f>
        <v>0</v>
      </c>
      <c r="R32" s="207">
        <f>IS_Calcs!J73</f>
        <v>0</v>
      </c>
      <c r="S32" s="207">
        <f>IS_Calcs!K73</f>
        <v>0</v>
      </c>
      <c r="T32" s="207">
        <f>IS_Calcs!L73</f>
        <v>0.35714285714285715</v>
      </c>
      <c r="U32" s="207">
        <f>IS_Calcs!M73</f>
        <v>0.35714285714285715</v>
      </c>
      <c r="V32" s="207">
        <f>IS_Calcs!N73</f>
        <v>0.35714285714285715</v>
      </c>
      <c r="W32" s="207">
        <f>IS_Calcs!O73</f>
        <v>0.35714285714285715</v>
      </c>
      <c r="X32" s="207">
        <f>IS_Calcs!P73</f>
        <v>0.35714285714285715</v>
      </c>
      <c r="Y32" s="207">
        <f>IS_Calcs!Q73</f>
        <v>0.35714285714285715</v>
      </c>
      <c r="Z32" s="208">
        <f>IS_Calcs!R73</f>
        <v>0.35714285714285715</v>
      </c>
    </row>
    <row r="33" spans="15:36">
      <c r="O33" s="187" t="s">
        <v>2184</v>
      </c>
      <c r="P33" s="210">
        <f>IS_Calcs!H74</f>
        <v>0</v>
      </c>
      <c r="Q33" s="210">
        <f>IS_Calcs!I74</f>
        <v>0</v>
      </c>
      <c r="R33" s="210">
        <f>IS_Calcs!J74</f>
        <v>0</v>
      </c>
      <c r="S33" s="210">
        <f>IS_Calcs!K74</f>
        <v>0</v>
      </c>
      <c r="T33" s="210">
        <f>IS_Calcs!L74</f>
        <v>9.5238095238095233E-2</v>
      </c>
      <c r="U33" s="210">
        <f>IS_Calcs!M74</f>
        <v>9.5238095238095233E-2</v>
      </c>
      <c r="V33" s="210">
        <f>IS_Calcs!N74</f>
        <v>9.5238095238095233E-2</v>
      </c>
      <c r="W33" s="210">
        <f>IS_Calcs!O74</f>
        <v>9.5238095238095233E-2</v>
      </c>
      <c r="X33" s="210">
        <f>IS_Calcs!P74</f>
        <v>9.5238095238095233E-2</v>
      </c>
      <c r="Y33" s="210">
        <f>IS_Calcs!Q74</f>
        <v>9.5238095238095233E-2</v>
      </c>
      <c r="Z33" s="211">
        <f>IS_Calcs!R74</f>
        <v>9.5238095238095233E-2</v>
      </c>
    </row>
    <row r="35" spans="15:36">
      <c r="O35" s="180" t="s">
        <v>2125</v>
      </c>
      <c r="P35" s="181" t="str">
        <f t="shared" ref="P35" si="0">P30</f>
        <v>FY21</v>
      </c>
      <c r="Q35" s="181" t="str">
        <f t="shared" ref="Q35:Z35" si="1">Q30</f>
        <v>FY22</v>
      </c>
      <c r="R35" s="181" t="str">
        <f t="shared" si="1"/>
        <v>FY23</v>
      </c>
      <c r="S35" s="181" t="str">
        <f t="shared" si="1"/>
        <v>YTD24</v>
      </c>
      <c r="T35" s="181" t="str">
        <f t="shared" si="1"/>
        <v>YTG24</v>
      </c>
      <c r="U35" s="181" t="str">
        <f t="shared" si="1"/>
        <v>FY24</v>
      </c>
      <c r="V35" s="181" t="str">
        <f t="shared" si="1"/>
        <v>FY25</v>
      </c>
      <c r="W35" s="181" t="str">
        <f t="shared" si="1"/>
        <v>FY26</v>
      </c>
      <c r="X35" s="181" t="str">
        <f t="shared" si="1"/>
        <v>FY27</v>
      </c>
      <c r="Y35" s="181" t="str">
        <f t="shared" si="1"/>
        <v>FY28</v>
      </c>
      <c r="Z35" s="182" t="str">
        <f t="shared" si="1"/>
        <v>FY29</v>
      </c>
    </row>
    <row r="36" spans="15:36">
      <c r="O36" s="183" t="str">
        <f>IS_Calcs!C46</f>
        <v>Residential lighting Revenue</v>
      </c>
      <c r="P36" s="207">
        <f>IFERROR((IS_Calcs!H46/IS_Calcs!H$69),0)</f>
        <v>0</v>
      </c>
      <c r="Q36" s="207">
        <f>IFERROR((IS_Calcs!I46/IS_Calcs!I$69),0)</f>
        <v>0</v>
      </c>
      <c r="R36" s="207">
        <f>IFERROR((IS_Calcs!J46/IS_Calcs!J$69),0)</f>
        <v>0</v>
      </c>
      <c r="S36" s="207">
        <f>IFERROR((IS_Calcs!K46/IS_Calcs!K$69),0)</f>
        <v>0</v>
      </c>
      <c r="T36" s="207">
        <f>IFERROR((IS_Calcs!L46/IS_Calcs!L$69),0)</f>
        <v>0.11904761904761904</v>
      </c>
      <c r="U36" s="207">
        <f>IFERROR((IS_Calcs!M46/IS_Calcs!M$69),0)</f>
        <v>0.11904761904761904</v>
      </c>
      <c r="V36" s="207">
        <f>IFERROR((IS_Calcs!N46/IS_Calcs!N$69),0)</f>
        <v>0.11904761904761904</v>
      </c>
      <c r="W36" s="207">
        <f>IFERROR((IS_Calcs!O46/IS_Calcs!O$69),0)</f>
        <v>0.11904761904761904</v>
      </c>
      <c r="X36" s="207">
        <f>IFERROR((IS_Calcs!P46/IS_Calcs!P$69),0)</f>
        <v>0.11904761904761904</v>
      </c>
      <c r="Y36" s="207">
        <f>IFERROR((IS_Calcs!Q46/IS_Calcs!Q$69),0)</f>
        <v>0.11904761904761904</v>
      </c>
      <c r="Z36" s="208">
        <f>IFERROR((IS_Calcs!R46/IS_Calcs!R$69),0)</f>
        <v>0.11904761904761904</v>
      </c>
    </row>
    <row r="37" spans="15:36">
      <c r="O37" s="183" t="str">
        <f>IS_Calcs!C47</f>
        <v>Hotels &amp; Hospitals Revenue</v>
      </c>
      <c r="P37" s="207">
        <f>IFERROR((IS_Calcs!H47/IS_Calcs!H$69),0)</f>
        <v>0</v>
      </c>
      <c r="Q37" s="207">
        <f>IFERROR((IS_Calcs!I47/IS_Calcs!I$69),0)</f>
        <v>0</v>
      </c>
      <c r="R37" s="207">
        <f>IFERROR((IS_Calcs!J47/IS_Calcs!J$69),0)</f>
        <v>0</v>
      </c>
      <c r="S37" s="207">
        <f>IFERROR((IS_Calcs!K47/IS_Calcs!K$69),0)</f>
        <v>0</v>
      </c>
      <c r="T37" s="207">
        <f>IFERROR((IS_Calcs!L47/IS_Calcs!L$69),0)</f>
        <v>0.29761904761904762</v>
      </c>
      <c r="U37" s="207">
        <f>IFERROR((IS_Calcs!M47/IS_Calcs!M$69),0)</f>
        <v>0.29761904761904762</v>
      </c>
      <c r="V37" s="207">
        <f>IFERROR((IS_Calcs!N47/IS_Calcs!N$69),0)</f>
        <v>0.29761904761904762</v>
      </c>
      <c r="W37" s="207">
        <f>IFERROR((IS_Calcs!O47/IS_Calcs!O$69),0)</f>
        <v>0.29761904761904762</v>
      </c>
      <c r="X37" s="207">
        <f>IFERROR((IS_Calcs!P47/IS_Calcs!P$69),0)</f>
        <v>0.29761904761904762</v>
      </c>
      <c r="Y37" s="207">
        <f>IFERROR((IS_Calcs!Q47/IS_Calcs!Q$69),0)</f>
        <v>0.29761904761904762</v>
      </c>
      <c r="Z37" s="208">
        <f>IFERROR((IS_Calcs!R47/IS_Calcs!R$69),0)</f>
        <v>0.29761904761904762</v>
      </c>
    </row>
    <row r="38" spans="15:36">
      <c r="O38" s="183" t="str">
        <f>IS_Calcs!C48</f>
        <v>Government &amp; Infrastructure Revenue</v>
      </c>
      <c r="P38" s="207">
        <f>IFERROR((IS_Calcs!H48/IS_Calcs!H$69),0)</f>
        <v>0</v>
      </c>
      <c r="Q38" s="207">
        <f>IFERROR((IS_Calcs!I48/IS_Calcs!I$69),0)</f>
        <v>0</v>
      </c>
      <c r="R38" s="207">
        <f>IFERROR((IS_Calcs!J48/IS_Calcs!J$69),0)</f>
        <v>0</v>
      </c>
      <c r="S38" s="207">
        <f>IFERROR((IS_Calcs!K48/IS_Calcs!K$69),0)</f>
        <v>0</v>
      </c>
      <c r="T38" s="207">
        <f>IFERROR((IS_Calcs!L48/IS_Calcs!L$69),0)</f>
        <v>5.9523809523809521E-2</v>
      </c>
      <c r="U38" s="207">
        <f>IFERROR((IS_Calcs!M48/IS_Calcs!M$69),0)</f>
        <v>5.9523809523809521E-2</v>
      </c>
      <c r="V38" s="207">
        <f>IFERROR((IS_Calcs!N48/IS_Calcs!N$69),0)</f>
        <v>5.9523809523809521E-2</v>
      </c>
      <c r="W38" s="207">
        <f>IFERROR((IS_Calcs!O48/IS_Calcs!O$69),0)</f>
        <v>5.9523809523809521E-2</v>
      </c>
      <c r="X38" s="207">
        <f>IFERROR((IS_Calcs!P48/IS_Calcs!P$69),0)</f>
        <v>5.9523809523809521E-2</v>
      </c>
      <c r="Y38" s="207">
        <f>IFERROR((IS_Calcs!Q48/IS_Calcs!Q$69),0)</f>
        <v>5.9523809523809521E-2</v>
      </c>
      <c r="Z38" s="208">
        <f>IFERROR((IS_Calcs!R48/IS_Calcs!R$69),0)</f>
        <v>5.9523809523809521E-2</v>
      </c>
      <c r="AA38" s="198"/>
      <c r="AB38" s="199"/>
      <c r="AC38" s="199"/>
      <c r="AD38" s="199"/>
      <c r="AE38" s="199"/>
      <c r="AF38" s="199"/>
      <c r="AG38" s="199"/>
      <c r="AH38" s="199"/>
      <c r="AI38" s="199"/>
      <c r="AJ38" s="199"/>
    </row>
    <row r="39" spans="15:36">
      <c r="O39" s="183" t="str">
        <f>IS_Calcs!C49</f>
        <v>Distributorship Revenue</v>
      </c>
      <c r="P39" s="207">
        <f>IFERROR((IS_Calcs!H49/IS_Calcs!H$69),0)</f>
        <v>0</v>
      </c>
      <c r="Q39" s="207">
        <f>IFERROR((IS_Calcs!I49/IS_Calcs!I$69),0)</f>
        <v>0</v>
      </c>
      <c r="R39" s="207">
        <f>IFERROR((IS_Calcs!J49/IS_Calcs!J$69),0)</f>
        <v>0</v>
      </c>
      <c r="S39" s="207">
        <f>IFERROR((IS_Calcs!K49/IS_Calcs!K$69),0)</f>
        <v>0</v>
      </c>
      <c r="T39" s="207">
        <f>IFERROR((IS_Calcs!L49/IS_Calcs!L$69),0)</f>
        <v>7.1428571428571425E-2</v>
      </c>
      <c r="U39" s="207">
        <f>IFERROR((IS_Calcs!M49/IS_Calcs!M$69),0)</f>
        <v>7.1428571428571425E-2</v>
      </c>
      <c r="V39" s="207">
        <f>IFERROR((IS_Calcs!N49/IS_Calcs!N$69),0)</f>
        <v>7.1428571428571425E-2</v>
      </c>
      <c r="W39" s="207">
        <f>IFERROR((IS_Calcs!O49/IS_Calcs!O$69),0)</f>
        <v>7.1428571428571425E-2</v>
      </c>
      <c r="X39" s="207">
        <f>IFERROR((IS_Calcs!P49/IS_Calcs!P$69),0)</f>
        <v>7.1428571428571425E-2</v>
      </c>
      <c r="Y39" s="207">
        <f>IFERROR((IS_Calcs!Q49/IS_Calcs!Q$69),0)</f>
        <v>7.1428571428571425E-2</v>
      </c>
      <c r="Z39" s="208">
        <f>IFERROR((IS_Calcs!R49/IS_Calcs!R$69),0)</f>
        <v>7.1428571428571425E-2</v>
      </c>
    </row>
    <row r="40" spans="15:36">
      <c r="O40" s="183" t="str">
        <f>IS_Calcs!C54</f>
        <v>UAE &amp; Oman projects Pipeline Revenue</v>
      </c>
      <c r="P40" s="207">
        <f>IFERROR((IS_Calcs!H50/IS_Calcs!H$69),0)</f>
        <v>0</v>
      </c>
      <c r="Q40" s="207">
        <f>IFERROR((IS_Calcs!I50/IS_Calcs!I$69),0)</f>
        <v>0</v>
      </c>
      <c r="R40" s="207">
        <f>IFERROR((IS_Calcs!J50/IS_Calcs!J$69),0)</f>
        <v>0</v>
      </c>
      <c r="S40" s="207">
        <f>IFERROR((IS_Calcs!K50/IS_Calcs!K$69),0)</f>
        <v>0</v>
      </c>
      <c r="T40" s="207">
        <f>IFERROR((IS_Calcs!L50/IS_Calcs!L$69),0)</f>
        <v>0.54761904761904767</v>
      </c>
      <c r="U40" s="207">
        <f>IFERROR((IS_Calcs!M50/IS_Calcs!M$69),0)</f>
        <v>0.54761904761904767</v>
      </c>
      <c r="V40" s="207">
        <f>IFERROR((IS_Calcs!N50/IS_Calcs!N$69),0)</f>
        <v>0.54761904761904767</v>
      </c>
      <c r="W40" s="207">
        <f>IFERROR((IS_Calcs!O50/IS_Calcs!O$69),0)</f>
        <v>0.54761904761904767</v>
      </c>
      <c r="X40" s="207">
        <f>IFERROR((IS_Calcs!P50/IS_Calcs!P$69),0)</f>
        <v>0.54761904761904767</v>
      </c>
      <c r="Y40" s="207">
        <f>IFERROR((IS_Calcs!Q50/IS_Calcs!Q$69),0)</f>
        <v>0.54761904761904767</v>
      </c>
      <c r="Z40" s="208">
        <f>IFERROR((IS_Calcs!R50/IS_Calcs!R$69),0)</f>
        <v>0.54761904761904767</v>
      </c>
    </row>
    <row r="41" spans="15:36">
      <c r="O41" s="183" t="str">
        <f>IS_Calcs!C55</f>
        <v>NA Pipeline Revenue</v>
      </c>
      <c r="P41" s="207">
        <f>IFERROR((IS_Calcs!H51/IS_Calcs!H$69),0)</f>
        <v>0</v>
      </c>
      <c r="Q41" s="207">
        <f>IFERROR((IS_Calcs!I51/IS_Calcs!I$69),0)</f>
        <v>0</v>
      </c>
      <c r="R41" s="207">
        <f>IFERROR((IS_Calcs!J51/IS_Calcs!J$69),0)</f>
        <v>0</v>
      </c>
      <c r="S41" s="207">
        <f>IFERROR((IS_Calcs!K51/IS_Calcs!K$69),0)</f>
        <v>0</v>
      </c>
      <c r="T41" s="207">
        <f>IFERROR((IS_Calcs!L51/IS_Calcs!L$69),0)</f>
        <v>0</v>
      </c>
      <c r="U41" s="207">
        <f>IFERROR((IS_Calcs!M51/IS_Calcs!M$69),0)</f>
        <v>0</v>
      </c>
      <c r="V41" s="207">
        <f>IFERROR((IS_Calcs!N51/IS_Calcs!N$69),0)</f>
        <v>0</v>
      </c>
      <c r="W41" s="207">
        <f>IFERROR((IS_Calcs!O51/IS_Calcs!O$69),0)</f>
        <v>0</v>
      </c>
      <c r="X41" s="207">
        <f>IFERROR((IS_Calcs!P51/IS_Calcs!P$69),0)</f>
        <v>0</v>
      </c>
      <c r="Y41" s="207">
        <f>IFERROR((IS_Calcs!Q51/IS_Calcs!Q$69),0)</f>
        <v>0</v>
      </c>
      <c r="Z41" s="208">
        <f>IFERROR((IS_Calcs!R51/IS_Calcs!R$69),0)</f>
        <v>0</v>
      </c>
    </row>
    <row r="42" spans="15:36">
      <c r="O42" s="183" t="str">
        <f>IS_Calcs!C56</f>
        <v>NA Pipeline Revenue</v>
      </c>
      <c r="P42" s="207">
        <f>IFERROR((IS_Calcs!H52/IS_Calcs!H$69),0)</f>
        <v>0</v>
      </c>
      <c r="Q42" s="207">
        <f>IFERROR((IS_Calcs!I52/IS_Calcs!I$69),0)</f>
        <v>0</v>
      </c>
      <c r="R42" s="207">
        <f>IFERROR((IS_Calcs!J52/IS_Calcs!J$69),0)</f>
        <v>0</v>
      </c>
      <c r="S42" s="207">
        <f>IFERROR((IS_Calcs!K52/IS_Calcs!K$69),0)</f>
        <v>0</v>
      </c>
      <c r="T42" s="207">
        <f>IFERROR((IS_Calcs!L52/IS_Calcs!L$69),0)</f>
        <v>0</v>
      </c>
      <c r="U42" s="207">
        <f>IFERROR((IS_Calcs!M52/IS_Calcs!M$69),0)</f>
        <v>0</v>
      </c>
      <c r="V42" s="207">
        <f>IFERROR((IS_Calcs!N52/IS_Calcs!N$69),0)</f>
        <v>0</v>
      </c>
      <c r="W42" s="207">
        <f>IFERROR((IS_Calcs!O52/IS_Calcs!O$69),0)</f>
        <v>0</v>
      </c>
      <c r="X42" s="207">
        <f>IFERROR((IS_Calcs!P52/IS_Calcs!P$69),0)</f>
        <v>0</v>
      </c>
      <c r="Y42" s="207">
        <f>IFERROR((IS_Calcs!Q52/IS_Calcs!Q$69),0)</f>
        <v>0</v>
      </c>
      <c r="Z42" s="208">
        <f>IFERROR((IS_Calcs!R52/IS_Calcs!R$69),0)</f>
        <v>0</v>
      </c>
    </row>
    <row r="43" spans="15:36">
      <c r="O43" s="183" t="str">
        <f>IS_Calcs!C57</f>
        <v>NA Pipeline Revenue</v>
      </c>
      <c r="P43" s="207">
        <f>IFERROR((IS_Calcs!H53/IS_Calcs!H$69),0)</f>
        <v>0</v>
      </c>
      <c r="Q43" s="207">
        <f>IFERROR((IS_Calcs!I53/IS_Calcs!I$69),0)</f>
        <v>0</v>
      </c>
      <c r="R43" s="207">
        <f>IFERROR((IS_Calcs!J53/IS_Calcs!J$69),0)</f>
        <v>0</v>
      </c>
      <c r="S43" s="207">
        <f>IFERROR((IS_Calcs!K53/IS_Calcs!K$69),0)</f>
        <v>0</v>
      </c>
      <c r="T43" s="207">
        <f>IFERROR((IS_Calcs!L53/IS_Calcs!L$69),0)</f>
        <v>0</v>
      </c>
      <c r="U43" s="207">
        <f>IFERROR((IS_Calcs!M53/IS_Calcs!M$69),0)</f>
        <v>0</v>
      </c>
      <c r="V43" s="207">
        <f>IFERROR((IS_Calcs!N53/IS_Calcs!N$69),0)</f>
        <v>0</v>
      </c>
      <c r="W43" s="207">
        <f>IFERROR((IS_Calcs!O53/IS_Calcs!O$69),0)</f>
        <v>0</v>
      </c>
      <c r="X43" s="207">
        <f>IFERROR((IS_Calcs!P53/IS_Calcs!P$69),0)</f>
        <v>0</v>
      </c>
      <c r="Y43" s="207">
        <f>IFERROR((IS_Calcs!Q53/IS_Calcs!Q$69),0)</f>
        <v>0</v>
      </c>
      <c r="Z43" s="208">
        <f>IFERROR((IS_Calcs!R53/IS_Calcs!R$69),0)</f>
        <v>0</v>
      </c>
    </row>
    <row r="44" spans="15:36">
      <c r="O44" s="183" t="str">
        <f>IS_Calcs!C62</f>
        <v>Product contracts by specifiers Potential Revenue</v>
      </c>
      <c r="P44" s="207">
        <f>IFERROR((IS_Calcs!H62/IS_Calcs!H$69),0)</f>
        <v>0</v>
      </c>
      <c r="Q44" s="207">
        <f>IFERROR((IS_Calcs!I62/IS_Calcs!I$69),0)</f>
        <v>0</v>
      </c>
      <c r="R44" s="207">
        <f>IFERROR((IS_Calcs!J62/IS_Calcs!J$69),0)</f>
        <v>0</v>
      </c>
      <c r="S44" s="207">
        <f>IFERROR((IS_Calcs!K62/IS_Calcs!K$69),0)</f>
        <v>0</v>
      </c>
      <c r="T44" s="207">
        <f>IFERROR((IS_Calcs!L62/IS_Calcs!L$69),0)</f>
        <v>9.5238095238095233E-2</v>
      </c>
      <c r="U44" s="207">
        <f>IFERROR((IS_Calcs!M62/IS_Calcs!M$69),0)</f>
        <v>9.5238095238095233E-2</v>
      </c>
      <c r="V44" s="207">
        <f>IFERROR((IS_Calcs!N62/IS_Calcs!N$69),0)</f>
        <v>9.5238095238095233E-2</v>
      </c>
      <c r="W44" s="207">
        <f>IFERROR((IS_Calcs!O62/IS_Calcs!O$69),0)</f>
        <v>9.5238095238095233E-2</v>
      </c>
      <c r="X44" s="207">
        <f>IFERROR((IS_Calcs!P62/IS_Calcs!P$69),0)</f>
        <v>9.5238095238095233E-2</v>
      </c>
      <c r="Y44" s="207">
        <f>IFERROR((IS_Calcs!Q62/IS_Calcs!Q$69),0)</f>
        <v>9.5238095238095233E-2</v>
      </c>
      <c r="Z44" s="208">
        <f>IFERROR((IS_Calcs!R62/IS_Calcs!R$69),0)</f>
        <v>9.5238095238095233E-2</v>
      </c>
    </row>
    <row r="45" spans="15:36">
      <c r="O45" s="183" t="str">
        <f>IS_Calcs!C63</f>
        <v>NA Potential Revenue</v>
      </c>
      <c r="P45" s="207">
        <f>IFERROR((IS_Calcs!H63/IS_Calcs!H$69),0)</f>
        <v>0</v>
      </c>
      <c r="Q45" s="207">
        <f>IFERROR((IS_Calcs!I63/IS_Calcs!I$69),0)</f>
        <v>0</v>
      </c>
      <c r="R45" s="207">
        <f>IFERROR((IS_Calcs!J63/IS_Calcs!J$69),0)</f>
        <v>0</v>
      </c>
      <c r="S45" s="207">
        <f>IFERROR((IS_Calcs!K63/IS_Calcs!K$69),0)</f>
        <v>0</v>
      </c>
      <c r="T45" s="207">
        <f>IFERROR((IS_Calcs!L63/IS_Calcs!L$69),0)</f>
        <v>0</v>
      </c>
      <c r="U45" s="207">
        <f>IFERROR((IS_Calcs!M63/IS_Calcs!M$69),0)</f>
        <v>0</v>
      </c>
      <c r="V45" s="207">
        <f>IFERROR((IS_Calcs!N63/IS_Calcs!N$69),0)</f>
        <v>0</v>
      </c>
      <c r="W45" s="207">
        <f>IFERROR((IS_Calcs!O63/IS_Calcs!O$69),0)</f>
        <v>0</v>
      </c>
      <c r="X45" s="207">
        <f>IFERROR((IS_Calcs!P63/IS_Calcs!P$69),0)</f>
        <v>0</v>
      </c>
      <c r="Y45" s="207">
        <f>IFERROR((IS_Calcs!Q63/IS_Calcs!Q$69),0)</f>
        <v>0</v>
      </c>
      <c r="Z45" s="208">
        <f>IFERROR((IS_Calcs!R63/IS_Calcs!R$69),0)</f>
        <v>0</v>
      </c>
    </row>
    <row r="46" spans="15:36">
      <c r="O46" s="183" t="str">
        <f>IS_Calcs!C64</f>
        <v>NA Potential Revenue</v>
      </c>
      <c r="P46" s="207">
        <f>IFERROR((IS_Calcs!H64/IS_Calcs!H$69),0)</f>
        <v>0</v>
      </c>
      <c r="Q46" s="207">
        <f>IFERROR((IS_Calcs!I64/IS_Calcs!I$69),0)</f>
        <v>0</v>
      </c>
      <c r="R46" s="207">
        <f>IFERROR((IS_Calcs!J64/IS_Calcs!J$69),0)</f>
        <v>0</v>
      </c>
      <c r="S46" s="207">
        <f>IFERROR((IS_Calcs!K64/IS_Calcs!K$69),0)</f>
        <v>0</v>
      </c>
      <c r="T46" s="207">
        <f>IFERROR((IS_Calcs!L64/IS_Calcs!L$69),0)</f>
        <v>0</v>
      </c>
      <c r="U46" s="207">
        <f>IFERROR((IS_Calcs!M64/IS_Calcs!M$69),0)</f>
        <v>0</v>
      </c>
      <c r="V46" s="207">
        <f>IFERROR((IS_Calcs!N64/IS_Calcs!N$69),0)</f>
        <v>0</v>
      </c>
      <c r="W46" s="207">
        <f>IFERROR((IS_Calcs!O64/IS_Calcs!O$69),0)</f>
        <v>0</v>
      </c>
      <c r="X46" s="207">
        <f>IFERROR((IS_Calcs!P64/IS_Calcs!P$69),0)</f>
        <v>0</v>
      </c>
      <c r="Y46" s="207">
        <f>IFERROR((IS_Calcs!Q64/IS_Calcs!Q$69),0)</f>
        <v>0</v>
      </c>
      <c r="Z46" s="208">
        <f>IFERROR((IS_Calcs!R64/IS_Calcs!R$69),0)</f>
        <v>0</v>
      </c>
    </row>
    <row r="47" spans="15:36">
      <c r="O47" s="183" t="str">
        <f>IS_Calcs!C65</f>
        <v>NA Potential Revenue</v>
      </c>
      <c r="P47" s="210">
        <f>IFERROR((IS_Calcs!H65/IS_Calcs!H$69),0)</f>
        <v>0</v>
      </c>
      <c r="Q47" s="210">
        <f>IFERROR((IS_Calcs!I65/IS_Calcs!I$69),0)</f>
        <v>0</v>
      </c>
      <c r="R47" s="210">
        <f>IFERROR((IS_Calcs!J65/IS_Calcs!J$69),0)</f>
        <v>0</v>
      </c>
      <c r="S47" s="210">
        <f>IFERROR((IS_Calcs!K65/IS_Calcs!K$69),0)</f>
        <v>0</v>
      </c>
      <c r="T47" s="210">
        <f>IFERROR((IS_Calcs!L65/IS_Calcs!L$69),0)</f>
        <v>0</v>
      </c>
      <c r="U47" s="210">
        <f>IFERROR((IS_Calcs!M65/IS_Calcs!M$69),0)</f>
        <v>0</v>
      </c>
      <c r="V47" s="210">
        <f>IFERROR((IS_Calcs!N65/IS_Calcs!N$69),0)</f>
        <v>0</v>
      </c>
      <c r="W47" s="210">
        <f>IFERROR((IS_Calcs!O65/IS_Calcs!O$69),0)</f>
        <v>0</v>
      </c>
      <c r="X47" s="210">
        <f>IFERROR((IS_Calcs!P65/IS_Calcs!P$69),0)</f>
        <v>0</v>
      </c>
      <c r="Y47" s="210">
        <f>IFERROR((IS_Calcs!Q65/IS_Calcs!Q$69),0)</f>
        <v>0</v>
      </c>
      <c r="Z47" s="211">
        <f>IFERROR((IS_Calcs!R65/IS_Calcs!R$69),0)</f>
        <v>0</v>
      </c>
    </row>
    <row r="48" spans="15:36">
      <c r="O48" s="196" t="s">
        <v>2124</v>
      </c>
      <c r="P48" s="197">
        <f t="shared" ref="P48" si="2">SUM(P36:P47)</f>
        <v>0</v>
      </c>
      <c r="Q48" s="197">
        <f t="shared" ref="Q48:Z48" si="3">SUM(Q36:Q47)</f>
        <v>0</v>
      </c>
      <c r="R48" s="1385">
        <f t="shared" si="3"/>
        <v>0</v>
      </c>
      <c r="S48" s="1385">
        <f>SUM(S36:S47)</f>
        <v>0</v>
      </c>
      <c r="T48" s="1385">
        <f>SUM(T36:T47)</f>
        <v>1.1904761904761907</v>
      </c>
      <c r="U48" s="1385">
        <f t="shared" si="3"/>
        <v>1.1904761904761907</v>
      </c>
      <c r="V48" s="1385">
        <f t="shared" si="3"/>
        <v>1.1904761904761907</v>
      </c>
      <c r="W48" s="1385">
        <f t="shared" si="3"/>
        <v>1.1904761904761907</v>
      </c>
      <c r="X48" s="1385">
        <f t="shared" si="3"/>
        <v>1.1904761904761907</v>
      </c>
      <c r="Y48" s="1385">
        <f t="shared" si="3"/>
        <v>1.1904761904761907</v>
      </c>
      <c r="Z48" s="1386">
        <f t="shared" si="3"/>
        <v>1.1904761904761907</v>
      </c>
    </row>
    <row r="50" spans="15:26">
      <c r="O50" s="180" t="s">
        <v>2699</v>
      </c>
      <c r="P50" s="181" t="str">
        <f>P54</f>
        <v>FY21</v>
      </c>
      <c r="Q50" s="181" t="str">
        <f>Q54</f>
        <v>FY22</v>
      </c>
      <c r="R50" s="181" t="str">
        <f t="shared" ref="R50:Z50" si="4">R54</f>
        <v>FY23</v>
      </c>
      <c r="S50" s="181" t="str">
        <f t="shared" si="4"/>
        <v>YTD24</v>
      </c>
      <c r="T50" s="181" t="str">
        <f t="shared" si="4"/>
        <v>YTG24</v>
      </c>
      <c r="U50" s="181" t="str">
        <f t="shared" si="4"/>
        <v>FY24</v>
      </c>
      <c r="V50" s="181" t="str">
        <f t="shared" si="4"/>
        <v>FY25</v>
      </c>
      <c r="W50" s="181" t="str">
        <f t="shared" si="4"/>
        <v>FY26</v>
      </c>
      <c r="X50" s="181" t="str">
        <f t="shared" si="4"/>
        <v>FY27</v>
      </c>
      <c r="Y50" s="181" t="str">
        <f t="shared" si="4"/>
        <v>FY28</v>
      </c>
      <c r="Z50" s="182" t="str">
        <f t="shared" si="4"/>
        <v>FY29</v>
      </c>
    </row>
    <row r="51" spans="15:26">
      <c r="O51" s="200" t="s">
        <v>2700</v>
      </c>
      <c r="P51" s="216">
        <f>IS!H23</f>
        <v>0</v>
      </c>
      <c r="Q51" s="216">
        <f>IS!I23</f>
        <v>0</v>
      </c>
      <c r="R51" s="216">
        <f>IS!J23</f>
        <v>0</v>
      </c>
      <c r="S51" s="216">
        <f>IS!K23</f>
        <v>0</v>
      </c>
      <c r="T51" s="216">
        <f>IS!L23</f>
        <v>168000</v>
      </c>
      <c r="U51" s="216">
        <f>IS!M23</f>
        <v>168000</v>
      </c>
      <c r="V51" s="216">
        <f>IS!N23</f>
        <v>168000</v>
      </c>
      <c r="W51" s="216">
        <f>IS!O23</f>
        <v>168000</v>
      </c>
      <c r="X51" s="216">
        <f>IS!P23</f>
        <v>168000</v>
      </c>
      <c r="Y51" s="216">
        <f>IS!Q23</f>
        <v>168000</v>
      </c>
      <c r="Z51" s="217">
        <f>IS!R23</f>
        <v>168000</v>
      </c>
    </row>
    <row r="52" spans="15:26">
      <c r="O52" s="209" t="s">
        <v>2701</v>
      </c>
      <c r="P52" s="1388">
        <v>50000</v>
      </c>
      <c r="Q52" s="1388">
        <v>50000</v>
      </c>
      <c r="R52" s="1388">
        <v>50000</v>
      </c>
      <c r="S52" s="1388">
        <v>50000</v>
      </c>
      <c r="T52" s="1388">
        <v>50000</v>
      </c>
      <c r="U52" s="1388">
        <v>50000</v>
      </c>
      <c r="V52" s="1388">
        <v>50000</v>
      </c>
      <c r="W52" s="1388">
        <v>50000</v>
      </c>
      <c r="X52" s="1388">
        <v>50000</v>
      </c>
      <c r="Y52" s="1388">
        <v>50000</v>
      </c>
      <c r="Z52" s="1389">
        <v>50000</v>
      </c>
    </row>
    <row r="54" spans="15:26">
      <c r="O54" s="180" t="s">
        <v>2796</v>
      </c>
      <c r="P54" s="181" t="str">
        <f t="shared" ref="P54" si="5">P35</f>
        <v>FY21</v>
      </c>
      <c r="Q54" s="181" t="str">
        <f t="shared" ref="Q54:Z54" si="6">Q35</f>
        <v>FY22</v>
      </c>
      <c r="R54" s="181" t="str">
        <f t="shared" si="6"/>
        <v>FY23</v>
      </c>
      <c r="S54" s="181" t="str">
        <f t="shared" si="6"/>
        <v>YTD24</v>
      </c>
      <c r="T54" s="181" t="str">
        <f t="shared" si="6"/>
        <v>YTG24</v>
      </c>
      <c r="U54" s="181" t="str">
        <f t="shared" si="6"/>
        <v>FY24</v>
      </c>
      <c r="V54" s="181" t="str">
        <f t="shared" si="6"/>
        <v>FY25</v>
      </c>
      <c r="W54" s="181" t="str">
        <f t="shared" si="6"/>
        <v>FY26</v>
      </c>
      <c r="X54" s="181" t="str">
        <f t="shared" si="6"/>
        <v>FY27</v>
      </c>
      <c r="Y54" s="181" t="str">
        <f t="shared" si="6"/>
        <v>FY28</v>
      </c>
      <c r="Z54" s="182" t="str">
        <f t="shared" si="6"/>
        <v>FY29</v>
      </c>
    </row>
    <row r="55" spans="15:26">
      <c r="O55" s="200" t="s">
        <v>1811</v>
      </c>
      <c r="P55" s="216">
        <f>IS_Calcs!H114</f>
        <v>0</v>
      </c>
      <c r="Q55" s="216">
        <f>IS_Calcs!I114</f>
        <v>0</v>
      </c>
      <c r="R55" s="216">
        <f>IS_Calcs!J114</f>
        <v>0</v>
      </c>
      <c r="S55" s="216">
        <f>IS_Calcs!K114</f>
        <v>0</v>
      </c>
      <c r="T55" s="216">
        <f>IS_Calcs!L114</f>
        <v>50400.000000000007</v>
      </c>
      <c r="U55" s="216">
        <f>IS_Calcs!M114</f>
        <v>50400.000000000007</v>
      </c>
      <c r="V55" s="216">
        <f>IS_Calcs!N114</f>
        <v>50400.000000000007</v>
      </c>
      <c r="W55" s="216">
        <f>IS_Calcs!O114</f>
        <v>50400.000000000007</v>
      </c>
      <c r="X55" s="216">
        <f>IS_Calcs!P114</f>
        <v>50400.000000000007</v>
      </c>
      <c r="Y55" s="216">
        <f>IS_Calcs!Q114</f>
        <v>50400.000000000007</v>
      </c>
      <c r="Z55" s="217">
        <f>IS_Calcs!R114</f>
        <v>50400.000000000007</v>
      </c>
    </row>
    <row r="56" spans="15:26">
      <c r="O56" s="200" t="str">
        <f>IS_Calcs!C146</f>
        <v>Staff cost</v>
      </c>
      <c r="P56" s="216">
        <f>IS_Calcs!H146</f>
        <v>0</v>
      </c>
      <c r="Q56" s="216">
        <f>IS_Calcs!I146</f>
        <v>0</v>
      </c>
      <c r="R56" s="216">
        <f>IS_Calcs!J146</f>
        <v>0</v>
      </c>
      <c r="S56" s="216">
        <f>IS_Calcs!K146</f>
        <v>0</v>
      </c>
      <c r="T56" s="216">
        <f>IS_Calcs!L146</f>
        <v>5000</v>
      </c>
      <c r="U56" s="216">
        <f>IS_Calcs!M146</f>
        <v>5000</v>
      </c>
      <c r="V56" s="216">
        <f>IS_Calcs!N146</f>
        <v>5000</v>
      </c>
      <c r="W56" s="216">
        <f>IS_Calcs!O146</f>
        <v>5000</v>
      </c>
      <c r="X56" s="216">
        <f>IS_Calcs!P146</f>
        <v>5000</v>
      </c>
      <c r="Y56" s="216">
        <f>IS_Calcs!Q146</f>
        <v>5000</v>
      </c>
      <c r="Z56" s="217">
        <f>IS_Calcs!R146</f>
        <v>5000</v>
      </c>
    </row>
    <row r="57" spans="15:26">
      <c r="O57" s="200" t="str">
        <f>IS_Calcs!C147</f>
        <v>Sales Commission</v>
      </c>
      <c r="P57" s="216">
        <f>IS_Calcs!H147</f>
        <v>0</v>
      </c>
      <c r="Q57" s="216">
        <f>IS_Calcs!I147</f>
        <v>0</v>
      </c>
      <c r="R57" s="216">
        <f>IS_Calcs!J147</f>
        <v>0</v>
      </c>
      <c r="S57" s="216">
        <f>IS_Calcs!K147</f>
        <v>0</v>
      </c>
      <c r="T57" s="216">
        <f>IS_Calcs!L147</f>
        <v>5000</v>
      </c>
      <c r="U57" s="216">
        <f>IS_Calcs!M147</f>
        <v>5000</v>
      </c>
      <c r="V57" s="216">
        <f>IS_Calcs!N147</f>
        <v>5000</v>
      </c>
      <c r="W57" s="216">
        <f>IS_Calcs!O147</f>
        <v>5000</v>
      </c>
      <c r="X57" s="216">
        <f>IS_Calcs!P147</f>
        <v>5000</v>
      </c>
      <c r="Y57" s="216">
        <f>IS_Calcs!Q147</f>
        <v>5000</v>
      </c>
      <c r="Z57" s="217">
        <f>IS_Calcs!R147</f>
        <v>5000</v>
      </c>
    </row>
    <row r="58" spans="15:26">
      <c r="O58" s="200" t="str">
        <f>IS_Calcs!C148</f>
        <v>Rent</v>
      </c>
      <c r="P58" s="216">
        <f>IS_Calcs!H148</f>
        <v>0</v>
      </c>
      <c r="Q58" s="216">
        <f>IS_Calcs!I148</f>
        <v>0</v>
      </c>
      <c r="R58" s="216">
        <f>IS_Calcs!J148</f>
        <v>0</v>
      </c>
      <c r="S58" s="216">
        <f>IS_Calcs!K148</f>
        <v>0</v>
      </c>
      <c r="T58" s="216">
        <f>IS_Calcs!L148</f>
        <v>5000</v>
      </c>
      <c r="U58" s="216">
        <f>IS_Calcs!M148</f>
        <v>5000</v>
      </c>
      <c r="V58" s="216">
        <f>IS_Calcs!N148</f>
        <v>5000</v>
      </c>
      <c r="W58" s="216">
        <f>IS_Calcs!O148</f>
        <v>5000</v>
      </c>
      <c r="X58" s="216">
        <f>IS_Calcs!P148</f>
        <v>5000</v>
      </c>
      <c r="Y58" s="216">
        <f>IS_Calcs!Q148</f>
        <v>5000</v>
      </c>
      <c r="Z58" s="217">
        <f>IS_Calcs!R148</f>
        <v>5000</v>
      </c>
    </row>
    <row r="59" spans="15:26">
      <c r="O59" s="200" t="str">
        <f>IS_Calcs!C149</f>
        <v>Legal and professional fee</v>
      </c>
      <c r="P59" s="216">
        <f>IS_Calcs!H149</f>
        <v>0</v>
      </c>
      <c r="Q59" s="216">
        <f>IS_Calcs!I149</f>
        <v>0</v>
      </c>
      <c r="R59" s="216">
        <f>IS_Calcs!J149</f>
        <v>0</v>
      </c>
      <c r="S59" s="216">
        <f>IS_Calcs!K149</f>
        <v>0</v>
      </c>
      <c r="T59" s="216">
        <f>IS_Calcs!L149</f>
        <v>5000</v>
      </c>
      <c r="U59" s="216">
        <f>IS_Calcs!M149</f>
        <v>5000</v>
      </c>
      <c r="V59" s="216">
        <f>IS_Calcs!N149</f>
        <v>5000</v>
      </c>
      <c r="W59" s="216">
        <f>IS_Calcs!O149</f>
        <v>5000</v>
      </c>
      <c r="X59" s="216">
        <f>IS_Calcs!P149</f>
        <v>5000</v>
      </c>
      <c r="Y59" s="216">
        <f>IS_Calcs!Q149</f>
        <v>5000</v>
      </c>
      <c r="Z59" s="217">
        <f>IS_Calcs!R149</f>
        <v>5000</v>
      </c>
    </row>
    <row r="60" spans="15:26">
      <c r="O60" s="200" t="str">
        <f>IS_Calcs!C150</f>
        <v>Travelling &amp; communication</v>
      </c>
      <c r="P60" s="216">
        <f>IS_Calcs!H150</f>
        <v>0</v>
      </c>
      <c r="Q60" s="216">
        <f>IS_Calcs!I150</f>
        <v>0</v>
      </c>
      <c r="R60" s="216">
        <f>IS_Calcs!J150</f>
        <v>0</v>
      </c>
      <c r="S60" s="216">
        <f>IS_Calcs!K150</f>
        <v>0</v>
      </c>
      <c r="T60" s="216">
        <f>IS_Calcs!L150</f>
        <v>5000</v>
      </c>
      <c r="U60" s="216">
        <f>IS_Calcs!M150</f>
        <v>5000</v>
      </c>
      <c r="V60" s="216">
        <f>IS_Calcs!N150</f>
        <v>5000</v>
      </c>
      <c r="W60" s="216">
        <f>IS_Calcs!O150</f>
        <v>5000</v>
      </c>
      <c r="X60" s="216">
        <f>IS_Calcs!P150</f>
        <v>5000</v>
      </c>
      <c r="Y60" s="216">
        <f>IS_Calcs!Q150</f>
        <v>5000</v>
      </c>
      <c r="Z60" s="217">
        <f>IS_Calcs!R150</f>
        <v>5000</v>
      </c>
    </row>
    <row r="61" spans="15:26">
      <c r="O61" s="200" t="str">
        <f>IS_Calcs!C153</f>
        <v>Printing &amp; Stationery</v>
      </c>
      <c r="P61" s="216">
        <f>IS_Calcs!H153</f>
        <v>0</v>
      </c>
      <c r="Q61" s="216">
        <f>IS_Calcs!I153</f>
        <v>0</v>
      </c>
      <c r="R61" s="216">
        <f>IS_Calcs!J153</f>
        <v>0</v>
      </c>
      <c r="S61" s="216">
        <f>IS_Calcs!K153</f>
        <v>0</v>
      </c>
      <c r="T61" s="216">
        <f>IS_Calcs!L153</f>
        <v>5000</v>
      </c>
      <c r="U61" s="216">
        <f>IS_Calcs!M153</f>
        <v>5000</v>
      </c>
      <c r="V61" s="216">
        <f>IS_Calcs!N153</f>
        <v>5000</v>
      </c>
      <c r="W61" s="216">
        <f>IS_Calcs!O153</f>
        <v>5000</v>
      </c>
      <c r="X61" s="216">
        <f>IS_Calcs!P153</f>
        <v>5000</v>
      </c>
      <c r="Y61" s="216">
        <f>IS_Calcs!Q153</f>
        <v>5000</v>
      </c>
      <c r="Z61" s="217">
        <f>IS_Calcs!R153</f>
        <v>5000</v>
      </c>
    </row>
    <row r="62" spans="15:26">
      <c r="O62" s="200" t="str">
        <f>IS_Calcs!C154</f>
        <v>Utilities</v>
      </c>
      <c r="P62" s="216">
        <f>IS_Calcs!H154</f>
        <v>0</v>
      </c>
      <c r="Q62" s="216">
        <f>IS_Calcs!I154</f>
        <v>0</v>
      </c>
      <c r="R62" s="216">
        <f>IS_Calcs!J154</f>
        <v>0</v>
      </c>
      <c r="S62" s="216">
        <f>IS_Calcs!K154</f>
        <v>0</v>
      </c>
      <c r="T62" s="216">
        <f>IS_Calcs!L154</f>
        <v>5000</v>
      </c>
      <c r="U62" s="216">
        <f>IS_Calcs!M154</f>
        <v>5000</v>
      </c>
      <c r="V62" s="216">
        <f>IS_Calcs!N154</f>
        <v>5000</v>
      </c>
      <c r="W62" s="216">
        <f>IS_Calcs!O154</f>
        <v>5000</v>
      </c>
      <c r="X62" s="216">
        <f>IS_Calcs!P154</f>
        <v>5000</v>
      </c>
      <c r="Y62" s="216">
        <f>IS_Calcs!Q154</f>
        <v>5000</v>
      </c>
      <c r="Z62" s="217">
        <f>IS_Calcs!R154</f>
        <v>5000</v>
      </c>
    </row>
    <row r="63" spans="15:26">
      <c r="O63" s="204" t="s">
        <v>2797</v>
      </c>
      <c r="P63" s="205">
        <f>SUM(P55:P62)</f>
        <v>0</v>
      </c>
      <c r="Q63" s="205">
        <f t="shared" ref="Q63:Z63" si="7">SUM(Q55:Q62)</f>
        <v>0</v>
      </c>
      <c r="R63" s="205">
        <f t="shared" si="7"/>
        <v>0</v>
      </c>
      <c r="S63" s="205">
        <f t="shared" si="7"/>
        <v>0</v>
      </c>
      <c r="T63" s="205">
        <f t="shared" si="7"/>
        <v>85400</v>
      </c>
      <c r="U63" s="205">
        <f t="shared" si="7"/>
        <v>85400</v>
      </c>
      <c r="V63" s="205">
        <f t="shared" si="7"/>
        <v>85400</v>
      </c>
      <c r="W63" s="205">
        <f t="shared" si="7"/>
        <v>85400</v>
      </c>
      <c r="X63" s="205">
        <f t="shared" si="7"/>
        <v>85400</v>
      </c>
      <c r="Y63" s="205">
        <f t="shared" si="7"/>
        <v>85400</v>
      </c>
      <c r="Z63" s="206">
        <f t="shared" si="7"/>
        <v>85400</v>
      </c>
    </row>
    <row r="64" spans="15:26">
      <c r="P64" s="212"/>
      <c r="Q64" s="212"/>
      <c r="R64" s="212"/>
      <c r="S64" s="212"/>
      <c r="T64" s="212"/>
      <c r="U64" s="212"/>
      <c r="V64" s="212"/>
      <c r="W64" s="212"/>
      <c r="X64" s="212"/>
      <c r="Y64" s="212"/>
      <c r="Z64" s="212"/>
    </row>
    <row r="65" spans="2:26">
      <c r="O65" s="180" t="s">
        <v>2126</v>
      </c>
      <c r="P65" s="181" t="str">
        <f t="shared" ref="P65:Z65" si="8">P54</f>
        <v>FY21</v>
      </c>
      <c r="Q65" s="181" t="str">
        <f t="shared" si="8"/>
        <v>FY22</v>
      </c>
      <c r="R65" s="181" t="str">
        <f t="shared" si="8"/>
        <v>FY23</v>
      </c>
      <c r="S65" s="181" t="str">
        <f t="shared" si="8"/>
        <v>YTD24</v>
      </c>
      <c r="T65" s="181" t="str">
        <f t="shared" si="8"/>
        <v>YTG24</v>
      </c>
      <c r="U65" s="181" t="str">
        <f t="shared" si="8"/>
        <v>FY24</v>
      </c>
      <c r="V65" s="181" t="str">
        <f t="shared" si="8"/>
        <v>FY25</v>
      </c>
      <c r="W65" s="181" t="str">
        <f t="shared" si="8"/>
        <v>FY26</v>
      </c>
      <c r="X65" s="181" t="str">
        <f t="shared" si="8"/>
        <v>FY27</v>
      </c>
      <c r="Y65" s="181" t="str">
        <f t="shared" si="8"/>
        <v>FY28</v>
      </c>
      <c r="Z65" s="182" t="str">
        <f t="shared" si="8"/>
        <v>FY29</v>
      </c>
    </row>
    <row r="66" spans="2:26">
      <c r="O66" s="200" t="s">
        <v>1813</v>
      </c>
      <c r="P66" s="207">
        <f>IS!H69</f>
        <v>0</v>
      </c>
      <c r="Q66" s="207">
        <f>IS!I69</f>
        <v>0</v>
      </c>
      <c r="R66" s="207">
        <f>IS!J69</f>
        <v>0</v>
      </c>
      <c r="S66" s="207">
        <f>IS!K69</f>
        <v>0</v>
      </c>
      <c r="T66" s="207">
        <f>IS!L69</f>
        <v>0.7</v>
      </c>
      <c r="U66" s="207">
        <f>IS!M69</f>
        <v>0.7</v>
      </c>
      <c r="V66" s="207">
        <f>IS!N69</f>
        <v>0.7</v>
      </c>
      <c r="W66" s="207">
        <f>IS!O69</f>
        <v>0.7</v>
      </c>
      <c r="X66" s="207">
        <f>IS!P69</f>
        <v>0.7</v>
      </c>
      <c r="Y66" s="207">
        <f>IS!Q69</f>
        <v>0.7</v>
      </c>
      <c r="Z66" s="208">
        <f>IS!R69</f>
        <v>0.7</v>
      </c>
    </row>
    <row r="67" spans="2:26">
      <c r="O67" s="200" t="s">
        <v>1407</v>
      </c>
      <c r="P67" s="207">
        <f>IS!H71</f>
        <v>0</v>
      </c>
      <c r="Q67" s="207">
        <f>IS!I71</f>
        <v>0</v>
      </c>
      <c r="R67" s="207">
        <f>IS!J71</f>
        <v>0</v>
      </c>
      <c r="S67" s="207">
        <f>IS!K71</f>
        <v>0</v>
      </c>
      <c r="T67" s="207">
        <f>IS!L71</f>
        <v>0.43214285714285716</v>
      </c>
      <c r="U67" s="207">
        <f>IS!M71</f>
        <v>0.43214285714285716</v>
      </c>
      <c r="V67" s="207">
        <f>IS!N71</f>
        <v>0.43214285714285716</v>
      </c>
      <c r="W67" s="207">
        <f>IS!O71</f>
        <v>0.43214285714285716</v>
      </c>
      <c r="X67" s="207">
        <f>IS!P71</f>
        <v>0.43214285714285716</v>
      </c>
      <c r="Y67" s="207">
        <f>IS!Q71</f>
        <v>0.43214285714285716</v>
      </c>
      <c r="Z67" s="208">
        <f>IS!R71</f>
        <v>0.43214285714285716</v>
      </c>
    </row>
    <row r="68" spans="2:26">
      <c r="O68" s="209" t="s">
        <v>1812</v>
      </c>
      <c r="P68" s="210">
        <f>IS!H73</f>
        <v>0</v>
      </c>
      <c r="Q68" s="210">
        <f>IS!I73</f>
        <v>0</v>
      </c>
      <c r="R68" s="210">
        <f>IS!J73</f>
        <v>0</v>
      </c>
      <c r="S68" s="210">
        <f>IS!K73</f>
        <v>0</v>
      </c>
      <c r="T68" s="210">
        <f>IS!L73</f>
        <v>0.20531335317460322</v>
      </c>
      <c r="U68" s="210">
        <f>IS!M73</f>
        <v>0.20221525793650796</v>
      </c>
      <c r="V68" s="210">
        <f>IS!N73</f>
        <v>0.19782628968253968</v>
      </c>
      <c r="W68" s="210">
        <f>IS!O73</f>
        <v>0.19343732142857142</v>
      </c>
      <c r="X68" s="210">
        <f>IS!P73</f>
        <v>0.1890483531746032</v>
      </c>
      <c r="Y68" s="210">
        <f>IS!Q73</f>
        <v>0.18465938492063494</v>
      </c>
      <c r="Z68" s="211">
        <f>IS!R73</f>
        <v>0.18027041666666666</v>
      </c>
    </row>
    <row r="69" spans="2:26">
      <c r="P69" s="212"/>
      <c r="Q69" s="212"/>
      <c r="R69" s="212"/>
      <c r="S69" s="212"/>
      <c r="T69" s="212"/>
      <c r="U69" s="212"/>
      <c r="V69" s="212"/>
      <c r="W69" s="212"/>
      <c r="X69" s="212"/>
      <c r="Y69" s="212"/>
      <c r="Z69" s="212"/>
    </row>
    <row r="70" spans="2:26">
      <c r="B70" s="175" t="s">
        <v>2131</v>
      </c>
      <c r="C70" s="176"/>
      <c r="D70" s="177"/>
      <c r="E70" s="177"/>
      <c r="F70" s="177"/>
      <c r="G70" s="177"/>
      <c r="H70" s="177"/>
      <c r="I70" s="177"/>
      <c r="J70" s="177"/>
      <c r="K70" s="177"/>
      <c r="L70" s="177"/>
      <c r="M70" s="177"/>
      <c r="N70" s="177"/>
      <c r="O70" s="178"/>
      <c r="P70" s="179"/>
      <c r="Q70" s="179"/>
      <c r="R70" s="179"/>
      <c r="S70" s="179"/>
      <c r="T70" s="179"/>
      <c r="U70" s="179"/>
      <c r="V70" s="179"/>
      <c r="W70" s="179"/>
      <c r="X70" s="179"/>
      <c r="Y70" s="179"/>
      <c r="Z70" s="179"/>
    </row>
    <row r="72" spans="2:26">
      <c r="O72" s="180" t="s">
        <v>2132</v>
      </c>
      <c r="P72" s="213" t="str">
        <f t="shared" ref="P72:Z72" si="9">P65</f>
        <v>FY21</v>
      </c>
      <c r="Q72" s="213" t="str">
        <f t="shared" si="9"/>
        <v>FY22</v>
      </c>
      <c r="R72" s="213" t="str">
        <f t="shared" si="9"/>
        <v>FY23</v>
      </c>
      <c r="S72" s="213" t="str">
        <f t="shared" si="9"/>
        <v>YTD24</v>
      </c>
      <c r="T72" s="213" t="str">
        <f t="shared" si="9"/>
        <v>YTG24</v>
      </c>
      <c r="U72" s="213" t="str">
        <f t="shared" si="9"/>
        <v>FY24</v>
      </c>
      <c r="V72" s="213" t="str">
        <f t="shared" si="9"/>
        <v>FY25</v>
      </c>
      <c r="W72" s="213" t="str">
        <f t="shared" si="9"/>
        <v>FY26</v>
      </c>
      <c r="X72" s="213" t="str">
        <f t="shared" si="9"/>
        <v>FY27</v>
      </c>
      <c r="Y72" s="213" t="str">
        <f t="shared" si="9"/>
        <v>FY28</v>
      </c>
      <c r="Z72" s="214" t="str">
        <f t="shared" si="9"/>
        <v>FY29</v>
      </c>
    </row>
    <row r="73" spans="2:26">
      <c r="O73" s="200" t="str">
        <f>BS_Calc!C40</f>
        <v>Trade Receivables Days</v>
      </c>
      <c r="P73" s="215">
        <f>BS_Calc!H40</f>
        <v>0</v>
      </c>
      <c r="Q73" s="215">
        <f>BS_Calc!I40</f>
        <v>0</v>
      </c>
      <c r="R73" s="215">
        <f>BS_Calc!J40</f>
        <v>0</v>
      </c>
      <c r="S73" s="215">
        <f>BS_Calc!K40</f>
        <v>0</v>
      </c>
      <c r="T73" s="215">
        <f>BS_Calc!L40</f>
        <v>0</v>
      </c>
      <c r="U73" s="215">
        <f>BS_Calc!M40</f>
        <v>0</v>
      </c>
      <c r="V73" s="216">
        <f>BS_Calc!N40</f>
        <v>0</v>
      </c>
      <c r="W73" s="216">
        <f>BS_Calc!O40</f>
        <v>0</v>
      </c>
      <c r="X73" s="216">
        <f>BS_Calc!P40</f>
        <v>0</v>
      </c>
      <c r="Y73" s="216">
        <f>BS_Calc!Q40</f>
        <v>0</v>
      </c>
      <c r="Z73" s="217">
        <f>BS_Calc!R40</f>
        <v>0</v>
      </c>
    </row>
    <row r="74" spans="2:26">
      <c r="O74" s="200" t="str">
        <f>BS_Calc!C41</f>
        <v>Advances to Suppliers</v>
      </c>
      <c r="P74" s="215">
        <f>BS_Calc!H41</f>
        <v>0</v>
      </c>
      <c r="Q74" s="215">
        <f>BS_Calc!I41</f>
        <v>0</v>
      </c>
      <c r="R74" s="215">
        <f>BS_Calc!J41</f>
        <v>0</v>
      </c>
      <c r="S74" s="215">
        <f>BS_Calc!K41</f>
        <v>0</v>
      </c>
      <c r="T74" s="215">
        <f>BS_Calc!L41</f>
        <v>40</v>
      </c>
      <c r="U74" s="215">
        <f>BS_Calc!M41</f>
        <v>40</v>
      </c>
      <c r="V74" s="216">
        <f>BS_Calc!N41</f>
        <v>40</v>
      </c>
      <c r="W74" s="216">
        <f>BS_Calc!O41</f>
        <v>40</v>
      </c>
      <c r="X74" s="216">
        <f>BS_Calc!P41</f>
        <v>40</v>
      </c>
      <c r="Y74" s="216">
        <f>BS_Calc!Q41</f>
        <v>40</v>
      </c>
      <c r="Z74" s="217">
        <f>BS_Calc!R41</f>
        <v>40</v>
      </c>
    </row>
    <row r="75" spans="2:26">
      <c r="O75" s="200" t="str">
        <f>BS_Calc!C42</f>
        <v>Other Receivables Days</v>
      </c>
      <c r="P75" s="215">
        <f>BS_Calc!H42</f>
        <v>0</v>
      </c>
      <c r="Q75" s="215">
        <f>BS_Calc!I42</f>
        <v>0</v>
      </c>
      <c r="R75" s="215">
        <f>BS_Calc!J42</f>
        <v>0</v>
      </c>
      <c r="S75" s="215">
        <f>BS_Calc!K42</f>
        <v>0</v>
      </c>
      <c r="T75" s="215">
        <f>BS_Calc!L42</f>
        <v>40</v>
      </c>
      <c r="U75" s="215">
        <f>BS_Calc!M42</f>
        <v>40</v>
      </c>
      <c r="V75" s="216">
        <f>BS_Calc!N42</f>
        <v>40</v>
      </c>
      <c r="W75" s="216">
        <f>BS_Calc!O42</f>
        <v>40</v>
      </c>
      <c r="X75" s="216">
        <f>BS_Calc!P42</f>
        <v>40</v>
      </c>
      <c r="Y75" s="216">
        <f>BS_Calc!Q42</f>
        <v>40</v>
      </c>
      <c r="Z75" s="217">
        <f>BS_Calc!R42</f>
        <v>40</v>
      </c>
    </row>
    <row r="76" spans="2:26">
      <c r="O76" s="200" t="str">
        <f>BS_Calc!C43</f>
        <v xml:space="preserve">Inventory Days </v>
      </c>
      <c r="P76" s="215">
        <f>BS_Calc!H43</f>
        <v>0</v>
      </c>
      <c r="Q76" s="215">
        <f>BS_Calc!I43</f>
        <v>0</v>
      </c>
      <c r="R76" s="215">
        <f>BS_Calc!J43</f>
        <v>0</v>
      </c>
      <c r="S76" s="215">
        <f>BS_Calc!K43</f>
        <v>0</v>
      </c>
      <c r="T76" s="215">
        <f>BS_Calc!L43</f>
        <v>27</v>
      </c>
      <c r="U76" s="215">
        <f>BS_Calc!M43</f>
        <v>27</v>
      </c>
      <c r="V76" s="216">
        <f>BS_Calc!N43</f>
        <v>27</v>
      </c>
      <c r="W76" s="216">
        <f>BS_Calc!O43</f>
        <v>27</v>
      </c>
      <c r="X76" s="216">
        <f>BS_Calc!P43</f>
        <v>27</v>
      </c>
      <c r="Y76" s="216">
        <f>BS_Calc!Q43</f>
        <v>27</v>
      </c>
      <c r="Z76" s="217">
        <f>BS_Calc!R43</f>
        <v>27</v>
      </c>
    </row>
    <row r="77" spans="2:26">
      <c r="O77" s="200" t="str">
        <f>BS_Calc!C44</f>
        <v xml:space="preserve">Prepaid Expenses &amp; Other Days </v>
      </c>
      <c r="P77" s="215">
        <f>BS_Calc!H44</f>
        <v>0</v>
      </c>
      <c r="Q77" s="215">
        <f>BS_Calc!I44</f>
        <v>0</v>
      </c>
      <c r="R77" s="215">
        <f>BS_Calc!J44</f>
        <v>0</v>
      </c>
      <c r="S77" s="215">
        <f>BS_Calc!K44</f>
        <v>0</v>
      </c>
      <c r="T77" s="215">
        <f>BS_Calc!L44</f>
        <v>30</v>
      </c>
      <c r="U77" s="215">
        <f>BS_Calc!M44</f>
        <v>30</v>
      </c>
      <c r="V77" s="216">
        <f>BS_Calc!N44</f>
        <v>30</v>
      </c>
      <c r="W77" s="216">
        <f>BS_Calc!O44</f>
        <v>30</v>
      </c>
      <c r="X77" s="216">
        <f>BS_Calc!P44</f>
        <v>30</v>
      </c>
      <c r="Y77" s="216">
        <f>BS_Calc!Q44</f>
        <v>30</v>
      </c>
      <c r="Z77" s="217">
        <f>BS_Calc!R44</f>
        <v>30</v>
      </c>
    </row>
    <row r="78" spans="2:26">
      <c r="O78" s="200"/>
      <c r="P78" s="215"/>
      <c r="Q78" s="215"/>
      <c r="R78" s="215"/>
      <c r="S78" s="215"/>
      <c r="T78" s="215"/>
      <c r="U78" s="215"/>
      <c r="V78" s="216"/>
      <c r="W78" s="216"/>
      <c r="X78" s="216"/>
      <c r="Y78" s="216"/>
      <c r="Z78" s="217"/>
    </row>
    <row r="79" spans="2:26">
      <c r="O79" s="200" t="str">
        <f>BS_Calc!C47</f>
        <v xml:space="preserve">Trade Payables Days </v>
      </c>
      <c r="P79" s="215">
        <f>BS_Calc!H47</f>
        <v>0</v>
      </c>
      <c r="Q79" s="215">
        <f>BS_Calc!I47</f>
        <v>0</v>
      </c>
      <c r="R79" s="215">
        <f>BS_Calc!J47</f>
        <v>0</v>
      </c>
      <c r="S79" s="215">
        <f>BS_Calc!K47</f>
        <v>0</v>
      </c>
      <c r="T79" s="215">
        <f>BS_Calc!L47</f>
        <v>0</v>
      </c>
      <c r="U79" s="215">
        <f>BS_Calc!M47</f>
        <v>0</v>
      </c>
      <c r="V79" s="216">
        <f>BS_Calc!N47</f>
        <v>0</v>
      </c>
      <c r="W79" s="216">
        <f>BS_Calc!O47</f>
        <v>0</v>
      </c>
      <c r="X79" s="216">
        <f>BS_Calc!P47</f>
        <v>0</v>
      </c>
      <c r="Y79" s="216">
        <f>BS_Calc!Q47</f>
        <v>0</v>
      </c>
      <c r="Z79" s="217">
        <f>BS_Calc!R47</f>
        <v>0</v>
      </c>
    </row>
    <row r="80" spans="2:26">
      <c r="O80" s="200" t="str">
        <f>BS_Calc!C48</f>
        <v>Advances from Customers</v>
      </c>
      <c r="P80" s="215">
        <f>BS_Calc!H48</f>
        <v>0</v>
      </c>
      <c r="Q80" s="215">
        <f>BS_Calc!I48</f>
        <v>0</v>
      </c>
      <c r="R80" s="215">
        <f>BS_Calc!J48</f>
        <v>0</v>
      </c>
      <c r="S80" s="215">
        <f>BS_Calc!K48</f>
        <v>0</v>
      </c>
      <c r="T80" s="215">
        <f>BS_Calc!L48</f>
        <v>20</v>
      </c>
      <c r="U80" s="215">
        <f>BS_Calc!M48</f>
        <v>20</v>
      </c>
      <c r="V80" s="216">
        <f>BS_Calc!N48</f>
        <v>20</v>
      </c>
      <c r="W80" s="216">
        <f>BS_Calc!O48</f>
        <v>20</v>
      </c>
      <c r="X80" s="216">
        <f>BS_Calc!P48</f>
        <v>20</v>
      </c>
      <c r="Y80" s="216">
        <f>BS_Calc!Q48</f>
        <v>20</v>
      </c>
      <c r="Z80" s="217">
        <f>BS_Calc!R48</f>
        <v>20</v>
      </c>
    </row>
    <row r="81" spans="15:26">
      <c r="O81" s="200" t="str">
        <f>BS_Calc!C49</f>
        <v>Salaries Payable</v>
      </c>
      <c r="P81" s="215">
        <f>BS_Calc!H49</f>
        <v>0</v>
      </c>
      <c r="Q81" s="215">
        <f>BS_Calc!I49</f>
        <v>0</v>
      </c>
      <c r="R81" s="215">
        <f>BS_Calc!J49</f>
        <v>0</v>
      </c>
      <c r="S81" s="215">
        <f>BS_Calc!K49</f>
        <v>0</v>
      </c>
      <c r="T81" s="215">
        <f>BS_Calc!L49</f>
        <v>40</v>
      </c>
      <c r="U81" s="215">
        <f>BS_Calc!M49</f>
        <v>40</v>
      </c>
      <c r="V81" s="216">
        <f>BS_Calc!N49</f>
        <v>40</v>
      </c>
      <c r="W81" s="216">
        <f>BS_Calc!O49</f>
        <v>40</v>
      </c>
      <c r="X81" s="216">
        <f>BS_Calc!P49</f>
        <v>40</v>
      </c>
      <c r="Y81" s="216">
        <f>BS_Calc!Q49</f>
        <v>40</v>
      </c>
      <c r="Z81" s="217">
        <f>BS_Calc!R49</f>
        <v>40</v>
      </c>
    </row>
    <row r="82" spans="15:26">
      <c r="O82" s="200" t="str">
        <f>BS_Calc!C50</f>
        <v xml:space="preserve">Accrued Expenses Days </v>
      </c>
      <c r="P82" s="215">
        <f>BS_Calc!H50</f>
        <v>0</v>
      </c>
      <c r="Q82" s="215">
        <f>BS_Calc!I50</f>
        <v>0</v>
      </c>
      <c r="R82" s="215">
        <f>BS_Calc!J50</f>
        <v>0</v>
      </c>
      <c r="S82" s="215">
        <f>BS_Calc!K50</f>
        <v>0</v>
      </c>
      <c r="T82" s="215">
        <f>BS_Calc!L50</f>
        <v>27</v>
      </c>
      <c r="U82" s="215">
        <f>BS_Calc!M50</f>
        <v>27</v>
      </c>
      <c r="V82" s="216">
        <f>BS_Calc!N50</f>
        <v>27</v>
      </c>
      <c r="W82" s="216">
        <f>BS_Calc!O50</f>
        <v>27</v>
      </c>
      <c r="X82" s="216">
        <f>BS_Calc!P50</f>
        <v>27</v>
      </c>
      <c r="Y82" s="216">
        <f>BS_Calc!Q50</f>
        <v>27</v>
      </c>
      <c r="Z82" s="217">
        <f>BS_Calc!R50</f>
        <v>27</v>
      </c>
    </row>
    <row r="83" spans="15:26">
      <c r="O83" s="200" t="str">
        <f>BS_Calc!C51</f>
        <v xml:space="preserve">Tax Payables Days </v>
      </c>
      <c r="P83" s="215">
        <f>BS_Calc!H51</f>
        <v>0</v>
      </c>
      <c r="Q83" s="215">
        <f>BS_Calc!I51</f>
        <v>0</v>
      </c>
      <c r="R83" s="215">
        <f>BS_Calc!J51</f>
        <v>0</v>
      </c>
      <c r="S83" s="215">
        <f>BS_Calc!K51</f>
        <v>0</v>
      </c>
      <c r="T83" s="215">
        <f>BS_Calc!L51</f>
        <v>30</v>
      </c>
      <c r="U83" s="215">
        <f>BS_Calc!M51</f>
        <v>30</v>
      </c>
      <c r="V83" s="216">
        <f>BS_Calc!N51</f>
        <v>30</v>
      </c>
      <c r="W83" s="216">
        <f>BS_Calc!O51</f>
        <v>30</v>
      </c>
      <c r="X83" s="216">
        <f>BS_Calc!P51</f>
        <v>30</v>
      </c>
      <c r="Y83" s="216">
        <f>BS_Calc!Q51</f>
        <v>30</v>
      </c>
      <c r="Z83" s="217">
        <f>BS_Calc!R51</f>
        <v>30</v>
      </c>
    </row>
    <row r="84" spans="15:26">
      <c r="O84" s="200" t="str">
        <f>BS_Calc!C52</f>
        <v xml:space="preserve">Other Payables Days </v>
      </c>
      <c r="P84" s="215">
        <f>BS_Calc!H52</f>
        <v>0</v>
      </c>
      <c r="Q84" s="215">
        <f>BS_Calc!I52</f>
        <v>0</v>
      </c>
      <c r="R84" s="215">
        <f>BS_Calc!J52</f>
        <v>0</v>
      </c>
      <c r="S84" s="215">
        <f>BS_Calc!K52</f>
        <v>0</v>
      </c>
      <c r="T84" s="215">
        <f>BS_Calc!L52</f>
        <v>10</v>
      </c>
      <c r="U84" s="215">
        <f>BS_Calc!M52</f>
        <v>10</v>
      </c>
      <c r="V84" s="216">
        <f>BS_Calc!N52</f>
        <v>0</v>
      </c>
      <c r="W84" s="216">
        <f>BS_Calc!O52</f>
        <v>0</v>
      </c>
      <c r="X84" s="216">
        <f>BS_Calc!P52</f>
        <v>0</v>
      </c>
      <c r="Y84" s="216">
        <f>BS_Calc!Q52</f>
        <v>0</v>
      </c>
      <c r="Z84" s="217">
        <f>BS_Calc!R52</f>
        <v>0</v>
      </c>
    </row>
    <row r="85" spans="15:26">
      <c r="O85" s="204" t="s">
        <v>2133</v>
      </c>
      <c r="P85" s="218">
        <f t="shared" ref="P85:Z85" si="10">SUM(P73:P78)-SUM(P79:P84)</f>
        <v>0</v>
      </c>
      <c r="Q85" s="218">
        <f t="shared" si="10"/>
        <v>0</v>
      </c>
      <c r="R85" s="218">
        <f t="shared" si="10"/>
        <v>0</v>
      </c>
      <c r="S85" s="218">
        <f t="shared" si="10"/>
        <v>0</v>
      </c>
      <c r="T85" s="218">
        <f t="shared" si="10"/>
        <v>10</v>
      </c>
      <c r="U85" s="218">
        <f t="shared" si="10"/>
        <v>10</v>
      </c>
      <c r="V85" s="218">
        <f t="shared" si="10"/>
        <v>20</v>
      </c>
      <c r="W85" s="218">
        <f t="shared" si="10"/>
        <v>20</v>
      </c>
      <c r="X85" s="218">
        <f t="shared" si="10"/>
        <v>20</v>
      </c>
      <c r="Y85" s="218">
        <f t="shared" si="10"/>
        <v>20</v>
      </c>
      <c r="Z85" s="219">
        <f t="shared" si="10"/>
        <v>20</v>
      </c>
    </row>
    <row r="87" spans="15:26">
      <c r="O87" s="180" t="s">
        <v>2134</v>
      </c>
      <c r="P87" s="213" t="str">
        <f t="shared" ref="P87" si="11">P72</f>
        <v>FY21</v>
      </c>
      <c r="Q87" s="213" t="str">
        <f t="shared" ref="Q87:Z87" si="12">Q72</f>
        <v>FY22</v>
      </c>
      <c r="R87" s="213" t="str">
        <f t="shared" si="12"/>
        <v>FY23</v>
      </c>
      <c r="S87" s="213" t="str">
        <f t="shared" si="12"/>
        <v>YTD24</v>
      </c>
      <c r="T87" s="213" t="str">
        <f t="shared" si="12"/>
        <v>YTG24</v>
      </c>
      <c r="U87" s="213" t="str">
        <f t="shared" si="12"/>
        <v>FY24</v>
      </c>
      <c r="V87" s="213" t="str">
        <f t="shared" si="12"/>
        <v>FY25</v>
      </c>
      <c r="W87" s="213" t="str">
        <f t="shared" si="12"/>
        <v>FY26</v>
      </c>
      <c r="X87" s="213" t="str">
        <f t="shared" si="12"/>
        <v>FY27</v>
      </c>
      <c r="Y87" s="213" t="str">
        <f t="shared" si="12"/>
        <v>FY28</v>
      </c>
      <c r="Z87" s="214" t="str">
        <f t="shared" si="12"/>
        <v>FY29</v>
      </c>
    </row>
    <row r="88" spans="15:26">
      <c r="O88" s="220" t="s">
        <v>113</v>
      </c>
      <c r="P88" s="1387"/>
      <c r="Q88" s="1387"/>
      <c r="R88" s="1387"/>
      <c r="S88" s="1387"/>
      <c r="T88" s="1387"/>
      <c r="U88" s="1387"/>
      <c r="V88" s="1387"/>
      <c r="W88" s="1387"/>
      <c r="X88" s="1387"/>
      <c r="Y88" s="1387"/>
      <c r="Z88" s="221"/>
    </row>
    <row r="89" spans="15:26">
      <c r="O89" s="200" t="str">
        <f>O73</f>
        <v>Trade Receivables Days</v>
      </c>
      <c r="P89" s="216">
        <f>BS_Calc!H19</f>
        <v>0</v>
      </c>
      <c r="Q89" s="216">
        <f>BS_Calc!I19</f>
        <v>0</v>
      </c>
      <c r="R89" s="216">
        <f>BS_Calc!J19</f>
        <v>0</v>
      </c>
      <c r="S89" s="216">
        <f>BS_Calc!K19</f>
        <v>0</v>
      </c>
      <c r="T89" s="216">
        <f>BS_Calc!L19</f>
        <v>0</v>
      </c>
      <c r="U89" s="216">
        <f>BS_Calc!M19</f>
        <v>0</v>
      </c>
      <c r="V89" s="216">
        <f>BS_Calc!N19</f>
        <v>0</v>
      </c>
      <c r="W89" s="216">
        <f>BS_Calc!O19</f>
        <v>0</v>
      </c>
      <c r="X89" s="216">
        <f>BS_Calc!P19</f>
        <v>0</v>
      </c>
      <c r="Y89" s="216">
        <f>BS_Calc!Q19</f>
        <v>0</v>
      </c>
      <c r="Z89" s="217">
        <f>BS_Calc!R19</f>
        <v>0</v>
      </c>
    </row>
    <row r="90" spans="15:26">
      <c r="O90" s="200" t="str">
        <f>O74</f>
        <v>Advances to Suppliers</v>
      </c>
      <c r="P90" s="216">
        <f>BS_Calc!H20</f>
        <v>0</v>
      </c>
      <c r="Q90" s="216">
        <f>BS_Calc!I20</f>
        <v>0</v>
      </c>
      <c r="R90" s="216">
        <f>BS_Calc!J20</f>
        <v>0</v>
      </c>
      <c r="S90" s="216">
        <f>BS_Calc!K20</f>
        <v>0</v>
      </c>
      <c r="T90" s="216">
        <f>BS_Calc!L20</f>
        <v>5523.2876712328771</v>
      </c>
      <c r="U90" s="216">
        <f>BS_Calc!M20</f>
        <v>5523.2876712328771</v>
      </c>
      <c r="V90" s="216">
        <f>BS_Calc!N20</f>
        <v>5523.2876712328771</v>
      </c>
      <c r="W90" s="216">
        <f>BS_Calc!O20</f>
        <v>5523.2876712328771</v>
      </c>
      <c r="X90" s="216">
        <f>BS_Calc!P20</f>
        <v>5523.2876712328771</v>
      </c>
      <c r="Y90" s="216">
        <f>BS_Calc!Q20</f>
        <v>5523.2876712328771</v>
      </c>
      <c r="Z90" s="217">
        <f>BS_Calc!R20</f>
        <v>5523.2876712328771</v>
      </c>
    </row>
    <row r="91" spans="15:26">
      <c r="O91" s="200" t="str">
        <f>O75</f>
        <v>Other Receivables Days</v>
      </c>
      <c r="P91" s="216">
        <f>BS_Calc!H21</f>
        <v>0</v>
      </c>
      <c r="Q91" s="216">
        <f>BS_Calc!I21</f>
        <v>0</v>
      </c>
      <c r="R91" s="216">
        <f>BS_Calc!J21</f>
        <v>0</v>
      </c>
      <c r="S91" s="216">
        <f>BS_Calc!K21</f>
        <v>0</v>
      </c>
      <c r="T91" s="216">
        <f>BS_Calc!L21</f>
        <v>18410.95890410959</v>
      </c>
      <c r="U91" s="216">
        <f>BS_Calc!M21</f>
        <v>18410.95890410959</v>
      </c>
      <c r="V91" s="216">
        <f>BS_Calc!N21</f>
        <v>18410.95890410959</v>
      </c>
      <c r="W91" s="216">
        <f>BS_Calc!O21</f>
        <v>18410.95890410959</v>
      </c>
      <c r="X91" s="216">
        <f>BS_Calc!P21</f>
        <v>18410.95890410959</v>
      </c>
      <c r="Y91" s="216">
        <f>BS_Calc!Q21</f>
        <v>18410.95890410959</v>
      </c>
      <c r="Z91" s="217">
        <f>BS_Calc!R21</f>
        <v>18410.95890410959</v>
      </c>
    </row>
    <row r="92" spans="15:26">
      <c r="O92" s="200" t="str">
        <f>O76</f>
        <v xml:space="preserve">Inventory Days </v>
      </c>
      <c r="P92" s="216">
        <f>BS_Calc!H22</f>
        <v>0</v>
      </c>
      <c r="Q92" s="216">
        <f>BS_Calc!I22</f>
        <v>0</v>
      </c>
      <c r="R92" s="216">
        <f>BS_Calc!J22</f>
        <v>0</v>
      </c>
      <c r="S92" s="216">
        <f>BS_Calc!K22</f>
        <v>0</v>
      </c>
      <c r="T92" s="216">
        <f>BS_Calc!L22</f>
        <v>3728.2191780821922</v>
      </c>
      <c r="U92" s="216">
        <f>BS_Calc!M22</f>
        <v>3728.2191780821922</v>
      </c>
      <c r="V92" s="216">
        <f>BS_Calc!N22</f>
        <v>3728.2191780821922</v>
      </c>
      <c r="W92" s="216">
        <f>BS_Calc!O22</f>
        <v>3728.2191780821922</v>
      </c>
      <c r="X92" s="216">
        <f>BS_Calc!P22</f>
        <v>3728.2191780821922</v>
      </c>
      <c r="Y92" s="216">
        <f>BS_Calc!Q22</f>
        <v>3728.2191780821922</v>
      </c>
      <c r="Z92" s="217">
        <f>BS_Calc!R22</f>
        <v>3728.2191780821922</v>
      </c>
    </row>
    <row r="93" spans="15:26">
      <c r="O93" s="200" t="str">
        <f>O77</f>
        <v xml:space="preserve">Prepaid Expenses &amp; Other Days </v>
      </c>
      <c r="P93" s="216">
        <f>BS_Calc!H23</f>
        <v>0</v>
      </c>
      <c r="Q93" s="216">
        <f>BS_Calc!I23</f>
        <v>0</v>
      </c>
      <c r="R93" s="216">
        <f>BS_Calc!J23</f>
        <v>0</v>
      </c>
      <c r="S93" s="216">
        <f>BS_Calc!K23</f>
        <v>0</v>
      </c>
      <c r="T93" s="216">
        <f>BS_Calc!L23</f>
        <v>3698.6301369863013</v>
      </c>
      <c r="U93" s="216">
        <f>BS_Calc!M23</f>
        <v>3698.6301369863013</v>
      </c>
      <c r="V93" s="216">
        <f>BS_Calc!N23</f>
        <v>3698.6301369863013</v>
      </c>
      <c r="W93" s="216">
        <f>BS_Calc!O23</f>
        <v>3698.6301369863013</v>
      </c>
      <c r="X93" s="216">
        <f>BS_Calc!P23</f>
        <v>3698.6301369863013</v>
      </c>
      <c r="Y93" s="216">
        <f>BS_Calc!Q23</f>
        <v>3698.6301369863013</v>
      </c>
      <c r="Z93" s="217">
        <f>BS_Calc!R23</f>
        <v>3698.6301369863013</v>
      </c>
    </row>
    <row r="94" spans="15:26">
      <c r="O94" s="200"/>
      <c r="P94" s="216"/>
      <c r="Q94" s="216"/>
      <c r="R94" s="216"/>
      <c r="S94" s="216"/>
      <c r="T94" s="216"/>
      <c r="U94" s="216"/>
      <c r="V94" s="216"/>
      <c r="W94" s="216"/>
      <c r="X94" s="216"/>
      <c r="Y94" s="216"/>
      <c r="Z94" s="217"/>
    </row>
    <row r="95" spans="15:26">
      <c r="O95" s="200" t="str">
        <f t="shared" ref="O95:O100" si="13">O79</f>
        <v xml:space="preserve">Trade Payables Days </v>
      </c>
      <c r="P95" s="216">
        <f>BS_Calc!H26</f>
        <v>0</v>
      </c>
      <c r="Q95" s="216">
        <f>BS_Calc!I26</f>
        <v>0</v>
      </c>
      <c r="R95" s="216">
        <f>BS_Calc!J26</f>
        <v>0</v>
      </c>
      <c r="S95" s="216">
        <f>BS_Calc!K26</f>
        <v>0</v>
      </c>
      <c r="T95" s="216">
        <f>BS_Calc!L26</f>
        <v>0</v>
      </c>
      <c r="U95" s="216">
        <f>BS_Calc!M26</f>
        <v>0</v>
      </c>
      <c r="V95" s="216">
        <f>BS_Calc!N26</f>
        <v>0</v>
      </c>
      <c r="W95" s="216">
        <f>BS_Calc!O26</f>
        <v>0</v>
      </c>
      <c r="X95" s="216">
        <f>BS_Calc!P26</f>
        <v>0</v>
      </c>
      <c r="Y95" s="216">
        <f>BS_Calc!Q26</f>
        <v>0</v>
      </c>
      <c r="Z95" s="217">
        <f>BS_Calc!R26</f>
        <v>0</v>
      </c>
    </row>
    <row r="96" spans="15:26">
      <c r="O96" s="200" t="str">
        <f t="shared" si="13"/>
        <v>Advances from Customers</v>
      </c>
      <c r="P96" s="216">
        <f>BS_Calc!H27</f>
        <v>0</v>
      </c>
      <c r="Q96" s="216">
        <f>BS_Calc!I27</f>
        <v>0</v>
      </c>
      <c r="R96" s="216">
        <f>BS_Calc!J27</f>
        <v>0</v>
      </c>
      <c r="S96" s="216">
        <f>BS_Calc!K27</f>
        <v>0</v>
      </c>
      <c r="T96" s="216">
        <f>BS_Calc!L27</f>
        <v>9205.4794520547948</v>
      </c>
      <c r="U96" s="216">
        <f>BS_Calc!M27</f>
        <v>9205.4794520547948</v>
      </c>
      <c r="V96" s="216">
        <f>BS_Calc!N27</f>
        <v>9205.4794520547948</v>
      </c>
      <c r="W96" s="216">
        <f>BS_Calc!O27</f>
        <v>9205.4794520547948</v>
      </c>
      <c r="X96" s="216">
        <f>BS_Calc!P27</f>
        <v>9205.4794520547948</v>
      </c>
      <c r="Y96" s="216">
        <f>BS_Calc!Q27</f>
        <v>9205.4794520547948</v>
      </c>
      <c r="Z96" s="217">
        <f>BS_Calc!R27</f>
        <v>9205.4794520547948</v>
      </c>
    </row>
    <row r="97" spans="15:27">
      <c r="O97" s="200" t="str">
        <f t="shared" si="13"/>
        <v>Salaries Payable</v>
      </c>
      <c r="P97" s="216">
        <f>BS_Calc!H28</f>
        <v>0</v>
      </c>
      <c r="Q97" s="216">
        <f>BS_Calc!I28</f>
        <v>0</v>
      </c>
      <c r="R97" s="216">
        <f>BS_Calc!J28</f>
        <v>0</v>
      </c>
      <c r="S97" s="216">
        <f>BS_Calc!K28</f>
        <v>0</v>
      </c>
      <c r="T97" s="216">
        <f>BS_Calc!L28</f>
        <v>547.94520547945206</v>
      </c>
      <c r="U97" s="216">
        <f>BS_Calc!M28</f>
        <v>547.94520547945206</v>
      </c>
      <c r="V97" s="216">
        <f>BS_Calc!N28</f>
        <v>547.94520547945206</v>
      </c>
      <c r="W97" s="216">
        <f>BS_Calc!O28</f>
        <v>547.94520547945206</v>
      </c>
      <c r="X97" s="216">
        <f>BS_Calc!P28</f>
        <v>547.94520547945206</v>
      </c>
      <c r="Y97" s="216">
        <f>BS_Calc!Q28</f>
        <v>547.94520547945206</v>
      </c>
      <c r="Z97" s="217">
        <f>BS_Calc!R28</f>
        <v>547.94520547945206</v>
      </c>
    </row>
    <row r="98" spans="15:27">
      <c r="O98" s="200" t="str">
        <f t="shared" si="13"/>
        <v xml:space="preserve">Accrued Expenses Days </v>
      </c>
      <c r="P98" s="216">
        <f>BS_Calc!H29</f>
        <v>0</v>
      </c>
      <c r="Q98" s="216">
        <f>BS_Calc!I29</f>
        <v>0</v>
      </c>
      <c r="R98" s="216">
        <f>BS_Calc!J29</f>
        <v>0</v>
      </c>
      <c r="S98" s="216">
        <f>BS_Calc!K29</f>
        <v>0</v>
      </c>
      <c r="T98" s="216">
        <f>BS_Calc!L29</f>
        <v>3328.7671232876714</v>
      </c>
      <c r="U98" s="216">
        <f>BS_Calc!M29</f>
        <v>3328.7671232876714</v>
      </c>
      <c r="V98" s="216">
        <f>BS_Calc!N29</f>
        <v>3328.7671232876714</v>
      </c>
      <c r="W98" s="216">
        <f>BS_Calc!O29</f>
        <v>3328.7671232876714</v>
      </c>
      <c r="X98" s="216">
        <f>BS_Calc!P29</f>
        <v>3328.7671232876714</v>
      </c>
      <c r="Y98" s="216">
        <f>BS_Calc!Q29</f>
        <v>3328.7671232876714</v>
      </c>
      <c r="Z98" s="217">
        <f>BS_Calc!R29</f>
        <v>3328.7671232876714</v>
      </c>
    </row>
    <row r="99" spans="15:27">
      <c r="O99" s="200" t="str">
        <f t="shared" si="13"/>
        <v xml:space="preserve">Tax Payables Days </v>
      </c>
      <c r="P99" s="216">
        <f>BS_Calc!H30</f>
        <v>0</v>
      </c>
      <c r="Q99" s="216">
        <f>BS_Calc!I30</f>
        <v>0</v>
      </c>
      <c r="R99" s="216">
        <f>BS_Calc!J30</f>
        <v>0</v>
      </c>
      <c r="S99" s="216">
        <f>BS_Calc!K30</f>
        <v>0</v>
      </c>
      <c r="T99" s="216">
        <f>BS_Calc!L30</f>
        <v>1522.5224657534247</v>
      </c>
      <c r="U99" s="216">
        <f>BS_Calc!M30</f>
        <v>1499.548219178082</v>
      </c>
      <c r="V99" s="216">
        <f>BS_Calc!N30</f>
        <v>1467.0013698630137</v>
      </c>
      <c r="W99" s="216">
        <f>BS_Calc!O30</f>
        <v>1434.4545205479451</v>
      </c>
      <c r="X99" s="216">
        <f>BS_Calc!P30</f>
        <v>1401.9076712328767</v>
      </c>
      <c r="Y99" s="216">
        <f>BS_Calc!Q30</f>
        <v>1369.3608219178082</v>
      </c>
      <c r="Z99" s="217">
        <f>BS_Calc!R30</f>
        <v>1336.8139726027396</v>
      </c>
    </row>
    <row r="100" spans="15:27">
      <c r="O100" s="200" t="str">
        <f t="shared" si="13"/>
        <v xml:space="preserve">Other Payables Days </v>
      </c>
      <c r="P100" s="216">
        <f>BS_Calc!H31</f>
        <v>0</v>
      </c>
      <c r="Q100" s="216">
        <f>BS_Calc!I31</f>
        <v>0</v>
      </c>
      <c r="R100" s="216">
        <f>BS_Calc!J31</f>
        <v>0</v>
      </c>
      <c r="S100" s="216">
        <f>BS_Calc!K31</f>
        <v>0</v>
      </c>
      <c r="T100" s="216">
        <f>BS_Calc!L31</f>
        <v>1232.8767123287671</v>
      </c>
      <c r="U100" s="216">
        <f>BS_Calc!M31</f>
        <v>1232.8767123287671</v>
      </c>
      <c r="V100" s="216">
        <f>BS_Calc!N31</f>
        <v>0</v>
      </c>
      <c r="W100" s="216">
        <f>BS_Calc!O31</f>
        <v>0</v>
      </c>
      <c r="X100" s="216">
        <f>BS_Calc!P31</f>
        <v>0</v>
      </c>
      <c r="Y100" s="216">
        <f>BS_Calc!Q31</f>
        <v>0</v>
      </c>
      <c r="Z100" s="217">
        <f>BS_Calc!R31</f>
        <v>0</v>
      </c>
    </row>
    <row r="101" spans="15:27">
      <c r="O101" s="204" t="s">
        <v>2136</v>
      </c>
      <c r="P101" s="218">
        <f t="shared" ref="P101:Z101" si="14">SUM(P89:P94)-SUM(P95:P100)</f>
        <v>0</v>
      </c>
      <c r="Q101" s="218">
        <f t="shared" si="14"/>
        <v>0</v>
      </c>
      <c r="R101" s="218">
        <f t="shared" si="14"/>
        <v>0</v>
      </c>
      <c r="S101" s="218">
        <f t="shared" si="14"/>
        <v>0</v>
      </c>
      <c r="T101" s="218">
        <f t="shared" si="14"/>
        <v>15523.504931506846</v>
      </c>
      <c r="U101" s="218">
        <f t="shared" si="14"/>
        <v>15546.479178082189</v>
      </c>
      <c r="V101" s="218">
        <f t="shared" si="14"/>
        <v>16811.902739726025</v>
      </c>
      <c r="W101" s="218">
        <f t="shared" si="14"/>
        <v>16844.449589041094</v>
      </c>
      <c r="X101" s="218">
        <f t="shared" si="14"/>
        <v>16876.99643835616</v>
      </c>
      <c r="Y101" s="218">
        <f t="shared" si="14"/>
        <v>16909.543287671229</v>
      </c>
      <c r="Z101" s="219">
        <f t="shared" si="14"/>
        <v>16942.090136986299</v>
      </c>
    </row>
    <row r="102" spans="15:27">
      <c r="O102" s="209" t="s">
        <v>2135</v>
      </c>
      <c r="P102" s="210">
        <f t="shared" ref="P102:Z102" si="15">IFERROR(P101/SUM(P31:P33),0)</f>
        <v>0</v>
      </c>
      <c r="Q102" s="210">
        <f t="shared" si="15"/>
        <v>0</v>
      </c>
      <c r="R102" s="210">
        <f t="shared" si="15"/>
        <v>0</v>
      </c>
      <c r="S102" s="210">
        <f t="shared" si="15"/>
        <v>0</v>
      </c>
      <c r="T102" s="210">
        <f t="shared" si="15"/>
        <v>15523.504931506846</v>
      </c>
      <c r="U102" s="210">
        <f t="shared" si="15"/>
        <v>15546.479178082189</v>
      </c>
      <c r="V102" s="210">
        <f t="shared" si="15"/>
        <v>16811.902739726025</v>
      </c>
      <c r="W102" s="210">
        <f t="shared" si="15"/>
        <v>19592.142994485737</v>
      </c>
      <c r="X102" s="210">
        <f t="shared" si="15"/>
        <v>24293.137948293734</v>
      </c>
      <c r="Y102" s="210">
        <f t="shared" si="15"/>
        <v>26693.398300354263</v>
      </c>
      <c r="Z102" s="211">
        <f t="shared" si="15"/>
        <v>28930.667223781697</v>
      </c>
    </row>
    <row r="104" spans="15:27">
      <c r="O104" s="180" t="s">
        <v>1814</v>
      </c>
      <c r="P104" s="213" t="str">
        <f t="shared" ref="P104" si="16">P87</f>
        <v>FY21</v>
      </c>
      <c r="Q104" s="213" t="str">
        <f t="shared" ref="Q104:Z104" si="17">Q87</f>
        <v>FY22</v>
      </c>
      <c r="R104" s="213" t="str">
        <f t="shared" si="17"/>
        <v>FY23</v>
      </c>
      <c r="S104" s="213" t="str">
        <f t="shared" si="17"/>
        <v>YTD24</v>
      </c>
      <c r="T104" s="213" t="str">
        <f t="shared" si="17"/>
        <v>YTG24</v>
      </c>
      <c r="U104" s="213" t="str">
        <f t="shared" si="17"/>
        <v>FY24</v>
      </c>
      <c r="V104" s="213" t="str">
        <f t="shared" si="17"/>
        <v>FY25</v>
      </c>
      <c r="W104" s="213" t="str">
        <f t="shared" si="17"/>
        <v>FY26</v>
      </c>
      <c r="X104" s="213" t="str">
        <f t="shared" si="17"/>
        <v>FY27</v>
      </c>
      <c r="Y104" s="213" t="str">
        <f t="shared" si="17"/>
        <v>FY28</v>
      </c>
      <c r="Z104" s="214" t="str">
        <f t="shared" si="17"/>
        <v>FY29</v>
      </c>
    </row>
    <row r="105" spans="15:27">
      <c r="O105" s="200" t="s">
        <v>2137</v>
      </c>
      <c r="P105" s="222"/>
      <c r="Q105" s="222"/>
      <c r="R105" s="222"/>
      <c r="S105" s="222"/>
      <c r="T105" s="222"/>
      <c r="U105" s="222"/>
      <c r="V105" s="168" t="e">
        <f>-BS_Calc!N61/K</f>
        <v>#NAME?</v>
      </c>
      <c r="W105" s="168" t="e">
        <f>-BS_Calc!O61/K</f>
        <v>#NAME?</v>
      </c>
      <c r="X105" s="168" t="e">
        <f>-BS_Calc!P61/K</f>
        <v>#NAME?</v>
      </c>
      <c r="Y105" s="168" t="e">
        <f>-BS_Calc!Q61/K</f>
        <v>#NAME?</v>
      </c>
      <c r="Z105" s="201" t="e">
        <f>-BS_Calc!R61/K</f>
        <v>#NAME?</v>
      </c>
    </row>
    <row r="106" spans="15:27">
      <c r="O106" s="200" t="s">
        <v>2138</v>
      </c>
      <c r="P106" s="223"/>
      <c r="Q106" s="223"/>
      <c r="R106" s="223"/>
      <c r="S106" s="223"/>
      <c r="T106" s="223"/>
      <c r="U106" s="223"/>
      <c r="V106" s="202"/>
      <c r="W106" s="202"/>
      <c r="X106" s="202"/>
      <c r="Y106" s="202"/>
      <c r="Z106" s="203"/>
      <c r="AA106" s="224"/>
    </row>
    <row r="107" spans="15:27">
      <c r="O107" s="204" t="s">
        <v>1996</v>
      </c>
      <c r="P107" s="205">
        <f t="shared" ref="P107" si="18">SUM(P105:P106)</f>
        <v>0</v>
      </c>
      <c r="Q107" s="205">
        <f t="shared" ref="Q107:Z107" si="19">SUM(Q105:Q106)</f>
        <v>0</v>
      </c>
      <c r="R107" s="205">
        <f t="shared" si="19"/>
        <v>0</v>
      </c>
      <c r="S107" s="205">
        <f>SUM(S105:S106)</f>
        <v>0</v>
      </c>
      <c r="T107" s="205">
        <f>SUM(T105:T106)</f>
        <v>0</v>
      </c>
      <c r="U107" s="205">
        <f t="shared" si="19"/>
        <v>0</v>
      </c>
      <c r="V107" s="205" t="e">
        <f t="shared" si="19"/>
        <v>#NAME?</v>
      </c>
      <c r="W107" s="205" t="e">
        <f t="shared" si="19"/>
        <v>#NAME?</v>
      </c>
      <c r="X107" s="205" t="e">
        <f t="shared" si="19"/>
        <v>#NAME?</v>
      </c>
      <c r="Y107" s="205" t="e">
        <f t="shared" si="19"/>
        <v>#NAME?</v>
      </c>
      <c r="Z107" s="206" t="e">
        <f t="shared" si="19"/>
        <v>#NAME?</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02855-47F3-4B4E-BDB8-5880B0B2F4DE}">
  <dimension ref="B1:I58"/>
  <sheetViews>
    <sheetView showGridLines="0" workbookViewId="0">
      <selection activeCell="I1" sqref="I1"/>
    </sheetView>
  </sheetViews>
  <sheetFormatPr defaultColWidth="8.6640625" defaultRowHeight="12.75"/>
  <cols>
    <col min="1" max="2" width="2.21875" style="168" customWidth="1"/>
    <col min="3" max="3" width="25.6640625" style="168" bestFit="1" customWidth="1"/>
    <col min="4" max="4" width="19.88671875" style="167" customWidth="1"/>
    <col min="5" max="5" width="23.6640625" style="168" customWidth="1"/>
    <col min="6" max="6" width="8" style="168" bestFit="1" customWidth="1"/>
    <col min="7" max="8" width="8.6640625" style="168"/>
    <col min="9" max="9" width="8.6640625" style="168" customWidth="1"/>
    <col min="10" max="16384" width="8.6640625" style="168"/>
  </cols>
  <sheetData>
    <row r="1" spans="2:9">
      <c r="E1" s="168" t="s">
        <v>2812</v>
      </c>
      <c r="H1" s="1433" t="s">
        <v>3152</v>
      </c>
      <c r="I1" s="168" t="str">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This valuation model (the 'Model') is confidential and has been prepared exclusively for Hazel Lighting India for the purpose of a potential acquisition of Lazure Worldwide FZCO (the “Target”). It should not be used, reproduced or circulated for any other purpose, in whole or in part, without our prior written consent.</v>
      </c>
    </row>
    <row r="2" spans="2:9">
      <c r="H2" s="1433"/>
    </row>
    <row r="3" spans="2:9">
      <c r="H3" s="1433"/>
    </row>
    <row r="4" spans="2:9">
      <c r="H4" s="1433"/>
    </row>
    <row r="5" spans="2:9">
      <c r="B5" s="1390" t="s">
        <v>2702</v>
      </c>
      <c r="E5" s="168" t="s">
        <v>2812</v>
      </c>
      <c r="H5" s="1492" t="s">
        <v>2813</v>
      </c>
      <c r="I5" s="168" t="str">
        <f>"Valuation of "&amp;D6</f>
        <v>Valuation of Lazure Worldwide FZCO</v>
      </c>
    </row>
    <row r="6" spans="2:9">
      <c r="C6" s="168" t="s">
        <v>2737</v>
      </c>
      <c r="D6" s="1399" t="str">
        <f>subject.name</f>
        <v>Lazure Worldwide FZCO</v>
      </c>
      <c r="E6" s="168" t="s">
        <v>2812</v>
      </c>
      <c r="I6" s="168" t="str">
        <f>"for "&amp;C12</f>
        <v>for Client Company Name</v>
      </c>
    </row>
    <row r="7" spans="2:9">
      <c r="C7" s="168" t="s">
        <v>2380</v>
      </c>
      <c r="D7" s="1391">
        <f>valuation.date</f>
        <v>45565</v>
      </c>
      <c r="E7" s="168" t="s">
        <v>2812</v>
      </c>
      <c r="I7" s="168" t="str">
        <f>"Valuation as at "&amp;TEXT(D7,"dd mmmmmmm yyy")</f>
        <v>Valuation as at 30 September 2024</v>
      </c>
    </row>
    <row r="8" spans="2:9">
      <c r="C8" s="168" t="s">
        <v>2703</v>
      </c>
      <c r="D8" s="1391">
        <f ca="1">TODAY()</f>
        <v>45709</v>
      </c>
      <c r="E8" s="168" t="s">
        <v>2812</v>
      </c>
      <c r="I8" s="1493" t="str">
        <f ca="1">TEXT(TODAY(),"dd mmmmmmm yyyy")</f>
        <v>21 February 2025</v>
      </c>
    </row>
    <row r="9" spans="2:9">
      <c r="C9" s="168" t="s">
        <v>2740</v>
      </c>
      <c r="D9" s="1392">
        <f ca="1">TODAY()</f>
        <v>45709</v>
      </c>
      <c r="E9" s="168" t="s">
        <v>2812</v>
      </c>
      <c r="H9" s="1492" t="s">
        <v>2814</v>
      </c>
    </row>
    <row r="10" spans="2:9">
      <c r="C10" s="168" t="s">
        <v>2305</v>
      </c>
      <c r="D10" s="1399" t="str">
        <f>Inputs!E20</f>
        <v>Samina Burhani</v>
      </c>
      <c r="E10" s="168" t="s">
        <v>2812</v>
      </c>
    </row>
    <row r="11" spans="2:9">
      <c r="C11" s="168" t="s">
        <v>2738</v>
      </c>
      <c r="D11" s="1399" t="str">
        <f>D10</f>
        <v>Samina Burhani</v>
      </c>
      <c r="E11" s="168" t="s">
        <v>2812</v>
      </c>
      <c r="H11" s="1492" t="s">
        <v>2815</v>
      </c>
    </row>
    <row r="12" spans="2:9">
      <c r="C12" s="168" t="s">
        <v>2494</v>
      </c>
      <c r="D12" s="1399" t="str">
        <f>client.name.long</f>
        <v>Hazel Lighting India</v>
      </c>
      <c r="E12" s="168" t="s">
        <v>2812</v>
      </c>
      <c r="H12" s="168" t="s">
        <v>2816</v>
      </c>
      <c r="I12" s="168" t="str">
        <f>"Valify has been engaged by "&amp;Log!D12&amp;" ('Client') to run a valuation of "&amp;subject.name&amp;" ('Subject Company' or '"&amp;Inputs!G24&amp;"'), based on the provided Management forecasts, as at "&amp;TEXT(Log!D7,"mmmm dd, yyyy")&amp;" ('Valuation Date')."</f>
        <v>Valify has been engaged by Hazel Lighting India ('Client') to run a valuation of Lazure Worldwide FZCO ('Subject Company' or 'Lazure Worldwide FZCO'), based on the provided Management forecasts, as at September 30, 2024 ('Valuation Date').</v>
      </c>
    </row>
    <row r="13" spans="2:9">
      <c r="C13" s="168" t="s">
        <v>2704</v>
      </c>
      <c r="D13" s="1399" t="str">
        <f>Inputs!G19</f>
        <v>Hazel Lighting India</v>
      </c>
      <c r="E13" s="168" t="s">
        <v>2812</v>
      </c>
      <c r="H13" s="168" t="s">
        <v>2750</v>
      </c>
      <c r="I13" s="168" t="str">
        <f>"To carry out the valuation of "&amp;Log!D13&amp;", we have relied on financial &amp; non-financialinformation provided by the Valuer including, but not limited to; "</f>
        <v xml:space="preserve">To carry out the valuation of Hazel Lighting India, we have relied on financial &amp; non-financialinformation provided by the Valuer including, but not limited to; </v>
      </c>
    </row>
    <row r="14" spans="2:9">
      <c r="C14" s="168" t="s">
        <v>2306</v>
      </c>
      <c r="D14" s="1399" t="str">
        <f>Inputs!E21</f>
        <v>Management Valuation</v>
      </c>
      <c r="E14" s="168" t="s">
        <v>2812</v>
      </c>
      <c r="H14" s="168" t="s">
        <v>2817</v>
      </c>
      <c r="I14" s="168" t="str">
        <f>"We have corroborated our analysis using the Market approach, which considers market multiples (EV/EBITDA) of a set of publicly listed companies comparable to "&amp;D6&amp;"."</f>
        <v>We have corroborated our analysis using the Market approach, which considers market multiples (EV/EBITDA) of a set of publicly listed companies comparable to Lazure Worldwide FZCO.</v>
      </c>
    </row>
    <row r="15" spans="2:9">
      <c r="C15" s="168" t="s">
        <v>2705</v>
      </c>
      <c r="D15" s="1392">
        <f>projected.year1.end</f>
        <v>45657</v>
      </c>
      <c r="E15" s="168" t="s">
        <v>2812</v>
      </c>
      <c r="H15" s="168" t="s">
        <v>2754</v>
      </c>
      <c r="I15" s="168" t="e">
        <f>"Based on the sensitivities reflected under Valify Case, we arrived at the aggregate EV range of "&amp;currency.type&amp;" "&amp;MROUND(ValSum!#REF!,1)&amp;" "&amp;Inputs!$F$45&amp;" to "&amp;currency.type&amp;" "&amp;MROUND(ValSum!#REF!,1)&amp;" "&amp;Inputs!$F$45&amp;"."</f>
        <v>#REF!</v>
      </c>
    </row>
    <row r="16" spans="2:9">
      <c r="E16" s="168" t="s">
        <v>2812</v>
      </c>
      <c r="H16" s="1492" t="s">
        <v>2818</v>
      </c>
      <c r="I16" s="1495"/>
    </row>
    <row r="17" spans="2:9">
      <c r="B17" s="1390" t="s">
        <v>2706</v>
      </c>
      <c r="E17" s="168" t="s">
        <v>2812</v>
      </c>
      <c r="H17" s="168" t="s">
        <v>2819</v>
      </c>
      <c r="I17" s="168" t="str">
        <f>D27</f>
        <v>Lazure Worldwide FZCOis a Growing Service Provider in the Electrical Equipment industry in India.</v>
      </c>
    </row>
    <row r="18" spans="2:9">
      <c r="C18" s="168" t="s">
        <v>2707</v>
      </c>
      <c r="D18" s="1399" t="e">
        <f>ReportData!$P$20</f>
        <v>#REF!</v>
      </c>
      <c r="E18" s="168" t="s">
        <v>2812</v>
      </c>
      <c r="H18" s="168" t="s">
        <v>1831</v>
      </c>
      <c r="I18" s="168" t="str">
        <f>D13&amp;"'s existing business includes "&amp;D29</f>
        <v>Hazel Lighting India's existing business includes Residential lighting, Hotels &amp; Hospitals, Government &amp; Infrastructure and  Distributorship</v>
      </c>
    </row>
    <row r="19" spans="2:9">
      <c r="C19" s="168" t="s">
        <v>2708</v>
      </c>
      <c r="D19" s="1399" t="e">
        <f>ReportData!$R$20</f>
        <v>#REF!</v>
      </c>
      <c r="E19" s="168" t="s">
        <v>2812</v>
      </c>
      <c r="H19" s="168" t="s">
        <v>2784</v>
      </c>
      <c r="I19" s="168" t="str">
        <f>"Further, as per provided information, "&amp;D33&amp;" are in confirmed pipeline during the next 5 years."</f>
        <v>Further, as per provided information, UAE &amp; Oman projects, NA, NA, NA are in confirmed pipeline during the next 5 years.</v>
      </c>
    </row>
    <row r="20" spans="2:9">
      <c r="C20" s="168" t="s">
        <v>2709</v>
      </c>
      <c r="D20" s="1399">
        <f>ReportData!$P$21</f>
        <v>0</v>
      </c>
      <c r="E20" s="168" t="s">
        <v>2812</v>
      </c>
      <c r="H20" s="168" t="s">
        <v>2785</v>
      </c>
      <c r="I20" s="168" t="str">
        <f>"Lastly, as per the provided information, the Company aims to develop business into "&amp;D34&amp;" over the next 5 years."</f>
        <v>Lastly, as per the provided information, the Company aims to develop business into Product contracts by specifiers, NA, NA and NA over the next 5 years.</v>
      </c>
    </row>
    <row r="21" spans="2:9">
      <c r="C21" s="168" t="s">
        <v>2710</v>
      </c>
      <c r="D21" s="1399">
        <f>ReportData!$R$21</f>
        <v>0</v>
      </c>
      <c r="E21" s="168" t="s">
        <v>2812</v>
      </c>
      <c r="H21" s="168" t="s">
        <v>2826</v>
      </c>
      <c r="I21" s="168" t="str">
        <f>"The Company primarily operates in "&amp;Log!D31&amp;". "</f>
        <v xml:space="preserve">The Company primarily operates in India and India. </v>
      </c>
    </row>
    <row r="22" spans="2:9">
      <c r="C22" s="168" t="s">
        <v>2711</v>
      </c>
      <c r="D22" s="1399"/>
      <c r="E22" s="168" t="s">
        <v>2812</v>
      </c>
      <c r="H22" s="168" t="s">
        <v>2827</v>
      </c>
      <c r="I22" s="168" t="str">
        <f>Log!D13&amp;" has a secondary business as a "&amp;Inputs!E65&amp;" in "&amp;Inputs!E63&amp;" which contributes "&amp;TEXT(Inputs!E68,"0%")&amp;" to Company revenues."</f>
        <v>Hazel Lighting India has a secondary business as a Distributor in Electrical Equipment which contributes 50% to Company revenues.</v>
      </c>
    </row>
    <row r="23" spans="2:9">
      <c r="C23" s="168" t="s">
        <v>2712</v>
      </c>
      <c r="D23" s="1399"/>
      <c r="E23" s="168" t="s">
        <v>2812</v>
      </c>
    </row>
    <row r="24" spans="2:9">
      <c r="C24" s="168" t="s">
        <v>2713</v>
      </c>
      <c r="D24" s="1400">
        <f>ValSum!D54</f>
        <v>2.8262499999999999</v>
      </c>
      <c r="E24" s="168" t="s">
        <v>2812</v>
      </c>
      <c r="H24" s="1492" t="s">
        <v>2833</v>
      </c>
    </row>
    <row r="25" spans="2:9">
      <c r="E25" s="168" t="s">
        <v>2812</v>
      </c>
      <c r="H25" s="168" t="s">
        <v>2829</v>
      </c>
      <c r="I25" s="168" t="str">
        <f>"Historically, majority of "&amp;D13&amp;"'s revenues have sourced from "&amp;D42&amp;", which has contributed "&amp;D43&amp;" of the Company's revenues. The Company's historical revenues have grown at a CAGR of "&amp;D39&amp;" from "&amp;D40&amp;" to "&amp;D41&amp;"."</f>
        <v>Historically, majority of Hazel Lighting India's revenues have sourced from , which has contributed  of the Company's revenues. The Company's historical revenues have grown at a CAGR of NA from INR 0  to INR 0 .</v>
      </c>
    </row>
    <row r="26" spans="2:9">
      <c r="B26" s="1390" t="s">
        <v>2714</v>
      </c>
      <c r="E26" s="168" t="s">
        <v>2812</v>
      </c>
      <c r="H26" s="168" t="s">
        <v>2727</v>
      </c>
      <c r="I26" s="168" t="str">
        <f>"As of "&amp;TEXT(D46,"dd mmmmmmm yyyy")&amp;", "&amp;D13&amp;"'s revenues stood at "&amp;D47&amp;", which is "&amp;D48&amp;" than the management target."</f>
        <v>As of 30 September 2024, Hazel Lighting India's revenues stood at 0 (INR 'Units), which is Significantly Lower than the management target.</v>
      </c>
    </row>
    <row r="27" spans="2:9">
      <c r="C27" s="168" t="s">
        <v>1921</v>
      </c>
      <c r="D27" s="1399" t="str">
        <f>D6&amp;"is a "&amp;Inputs!H49&amp;" "&amp;Inputs!E54&amp;" in the "&amp;Inputs!E52&amp;" industry in "&amp;Inputs!E56&amp;"."</f>
        <v>Lazure Worldwide FZCOis a Growing Service Provider in the Electrical Equipment industry in India.</v>
      </c>
      <c r="E27" s="168" t="s">
        <v>2812</v>
      </c>
      <c r="H27" s="168" t="s">
        <v>2830</v>
      </c>
      <c r="I27" s="168" t="str">
        <f>"Over the forecast period, majority of "&amp;D13&amp;"'s revenues are projected to source from "&amp;D44&amp;", contributing "&amp;D45&amp;" of the Company's revenues."</f>
        <v>Over the forecast period, majority of Hazel Lighting India's revenues are projected to source from Existing: Hotels &amp; Hospitals, contributing 0.283673469387755 of the Company's revenues.</v>
      </c>
    </row>
    <row r="28" spans="2:9">
      <c r="C28" s="168" t="s">
        <v>2715</v>
      </c>
      <c r="D28" s="1399"/>
      <c r="E28" s="168" t="s">
        <v>2812</v>
      </c>
      <c r="H28" s="168" t="s">
        <v>2831</v>
      </c>
    </row>
    <row r="29" spans="2:9">
      <c r="C29" s="168" t="s">
        <v>2716</v>
      </c>
      <c r="D29" s="1399" t="str">
        <f>Inputs!E77&amp;", "&amp;Inputs!E78&amp;", "&amp;Inputs!E79&amp;" and  "&amp;Inputs!E80</f>
        <v>Residential lighting, Hotels &amp; Hospitals, Government &amp; Infrastructure and  Distributorship</v>
      </c>
      <c r="E29" s="168" t="s">
        <v>2812</v>
      </c>
    </row>
    <row r="30" spans="2:9">
      <c r="C30" s="168" t="s">
        <v>2717</v>
      </c>
      <c r="D30" s="1399" t="str">
        <f>IS!J23&amp;" ("&amp;currency.heading1&amp;")"</f>
        <v>0 (INR 'Units)</v>
      </c>
      <c r="E30" s="168" t="s">
        <v>2812</v>
      </c>
    </row>
    <row r="31" spans="2:9">
      <c r="C31" s="168" t="s">
        <v>2718</v>
      </c>
      <c r="D31" s="1399" t="str">
        <f>Inputs!E56&amp;" and "&amp;Inputs!E67</f>
        <v>India and India</v>
      </c>
      <c r="E31" s="168" t="s">
        <v>2812</v>
      </c>
      <c r="H31" s="1492" t="s">
        <v>2832</v>
      </c>
    </row>
    <row r="32" spans="2:9">
      <c r="C32" s="168" t="s">
        <v>2719</v>
      </c>
      <c r="D32" s="1399"/>
      <c r="E32" s="168" t="s">
        <v>2812</v>
      </c>
    </row>
    <row r="33" spans="2:7">
      <c r="C33" s="168" t="s">
        <v>2720</v>
      </c>
      <c r="D33" s="1399" t="str">
        <f>Inputs!E82&amp;", "&amp;Inputs!E83&amp;", "&amp;Inputs!E84&amp;", "&amp;Inputs!E85</f>
        <v>UAE &amp; Oman projects, NA, NA, NA</v>
      </c>
      <c r="E33" s="168" t="s">
        <v>2812</v>
      </c>
    </row>
    <row r="34" spans="2:7">
      <c r="C34" s="168" t="s">
        <v>2822</v>
      </c>
      <c r="D34" s="1399" t="str">
        <f>Inputs!E87&amp;", "&amp;Inputs!E88&amp;", "&amp;Inputs!E89&amp;" and "&amp;Inputs!E90</f>
        <v>Product contracts by specifiers, NA, NA and NA</v>
      </c>
    </row>
    <row r="35" spans="2:7">
      <c r="E35" s="168" t="s">
        <v>2812</v>
      </c>
    </row>
    <row r="36" spans="2:7">
      <c r="B36" s="1390" t="s">
        <v>2721</v>
      </c>
      <c r="E36" s="168" t="s">
        <v>2812</v>
      </c>
    </row>
    <row r="37" spans="2:7">
      <c r="E37" s="168" t="s">
        <v>2812</v>
      </c>
    </row>
    <row r="38" spans="2:7">
      <c r="B38" s="1390" t="s">
        <v>2722</v>
      </c>
      <c r="E38" s="168" t="s">
        <v>2812</v>
      </c>
    </row>
    <row r="39" spans="2:7">
      <c r="C39" s="168" t="s">
        <v>2723</v>
      </c>
      <c r="D39" s="1419" t="str">
        <f>IFERROR((IS!J23/IS!H23)^(1/3)-1,"NA")</f>
        <v>NA</v>
      </c>
      <c r="E39" s="168" t="s">
        <v>2812</v>
      </c>
    </row>
    <row r="40" spans="2:7">
      <c r="C40" s="168" t="s">
        <v>2724</v>
      </c>
      <c r="D40" s="1399" t="str">
        <f>currency.type&amp;" "&amp;IS!J23&amp;" "&amp;Inputs!F45</f>
        <v xml:space="preserve">INR 0 </v>
      </c>
      <c r="E40" s="168" t="s">
        <v>2812</v>
      </c>
    </row>
    <row r="41" spans="2:7">
      <c r="C41" s="168" t="s">
        <v>2725</v>
      </c>
      <c r="D41" s="1399" t="str">
        <f>currency.type&amp;" "&amp;IS!H23&amp;" "&amp;Inputs!F45</f>
        <v xml:space="preserve">INR 0 </v>
      </c>
      <c r="E41" s="168" t="s">
        <v>2812</v>
      </c>
    </row>
    <row r="42" spans="2:7">
      <c r="C42" s="168" t="s">
        <v>2779</v>
      </c>
      <c r="D42" s="1399"/>
      <c r="E42" s="168" t="s">
        <v>2812</v>
      </c>
    </row>
    <row r="43" spans="2:7">
      <c r="C43" s="168" t="s">
        <v>2780</v>
      </c>
      <c r="D43" s="1399"/>
      <c r="E43" s="168" t="s">
        <v>2812</v>
      </c>
    </row>
    <row r="44" spans="2:7">
      <c r="C44" s="168" t="s">
        <v>2781</v>
      </c>
      <c r="D44" s="1399" t="str">
        <f>IS_Calcs!F90</f>
        <v>Existing: Hotels &amp; Hospitals</v>
      </c>
      <c r="E44" s="168" t="s">
        <v>2812</v>
      </c>
    </row>
    <row r="45" spans="2:7">
      <c r="C45" s="168" t="s">
        <v>2782</v>
      </c>
      <c r="D45" s="1419">
        <f>IS_Calcs!G90</f>
        <v>0.28367346938775512</v>
      </c>
      <c r="E45" s="168" t="s">
        <v>2812</v>
      </c>
    </row>
    <row r="46" spans="2:7">
      <c r="C46" s="168" t="s">
        <v>2726</v>
      </c>
      <c r="D46" s="1391">
        <f>valuation.date</f>
        <v>45565</v>
      </c>
      <c r="E46" s="168" t="s">
        <v>2812</v>
      </c>
    </row>
    <row r="47" spans="2:7">
      <c r="C47" s="168" t="s">
        <v>2727</v>
      </c>
      <c r="D47" s="1399" t="str">
        <f>IS!K23&amp;" ("&amp;currency.heading1&amp;")"</f>
        <v>0 (INR 'Units)</v>
      </c>
      <c r="E47" s="168" t="s">
        <v>2812</v>
      </c>
      <c r="G47" s="1421"/>
    </row>
    <row r="48" spans="2:7">
      <c r="C48" s="168" t="s">
        <v>2728</v>
      </c>
      <c r="D48" s="1399" t="str">
        <f>IF(IS!V23-IS!M23&gt;=0,IF(IS!V23/IS!M23-1&lt;=Log!F50,E50,E49),IF(IS!V23/IS!M23-1&gt;=F51,E51,E52))</f>
        <v>Significantly Lower</v>
      </c>
      <c r="E48" s="1426" t="s">
        <v>2778</v>
      </c>
      <c r="F48" s="1427" t="s">
        <v>2777</v>
      </c>
    </row>
    <row r="49" spans="2:6">
      <c r="C49" s="168" t="s">
        <v>2729</v>
      </c>
      <c r="D49" s="1419">
        <f>IS!T23</f>
        <v>0</v>
      </c>
      <c r="E49" s="1422" t="s">
        <v>2773</v>
      </c>
      <c r="F49" s="1423"/>
    </row>
    <row r="50" spans="2:6">
      <c r="C50" s="168" t="s">
        <v>2703</v>
      </c>
      <c r="D50" s="1391">
        <f>valuation.date</f>
        <v>45565</v>
      </c>
      <c r="E50" s="1422" t="s">
        <v>2774</v>
      </c>
      <c r="F50" s="1423">
        <v>0.1</v>
      </c>
    </row>
    <row r="51" spans="2:6">
      <c r="C51" s="168" t="s">
        <v>2730</v>
      </c>
      <c r="D51" s="1399" t="str">
        <f>IS!R7</f>
        <v>FY29</v>
      </c>
      <c r="E51" s="1422" t="s">
        <v>2775</v>
      </c>
      <c r="F51" s="1423">
        <v>0.1</v>
      </c>
    </row>
    <row r="52" spans="2:6">
      <c r="C52" s="168" t="s">
        <v>2731</v>
      </c>
      <c r="D52" s="1419">
        <f>AVERAGE(IS_Calcs!N72:R72)</f>
        <v>0.30233125875910721</v>
      </c>
      <c r="E52" s="1424" t="s">
        <v>2776</v>
      </c>
      <c r="F52" s="1425"/>
    </row>
    <row r="53" spans="2:6">
      <c r="C53" s="168" t="s">
        <v>2732</v>
      </c>
      <c r="D53" s="1419">
        <f>AVERAGE(IS_Calcs!N73:R73)</f>
        <v>0.35714285714285715</v>
      </c>
    </row>
    <row r="54" spans="2:6">
      <c r="C54" s="168" t="s">
        <v>2733</v>
      </c>
      <c r="D54" s="1419">
        <f>AVERAGE(IS_Calcs!N74:R74)</f>
        <v>9.5238095238095233E-2</v>
      </c>
      <c r="E54" s="1428" t="s">
        <v>2290</v>
      </c>
      <c r="F54" s="1429" t="s">
        <v>2783</v>
      </c>
    </row>
    <row r="55" spans="2:6">
      <c r="C55" s="168" t="s">
        <v>2734</v>
      </c>
      <c r="D55" s="1399" t="str">
        <f>_xlfn.XLOOKUP(MAX(D52:D54),D52:D54,E54:E56)</f>
        <v>Change Maker</v>
      </c>
      <c r="E55" s="1430" t="s">
        <v>2291</v>
      </c>
      <c r="F55" s="1431" t="s">
        <v>2784</v>
      </c>
    </row>
    <row r="56" spans="2:6">
      <c r="C56" s="168" t="s">
        <v>2735</v>
      </c>
      <c r="D56" s="1399" t="str">
        <f>_xlfn.XLOOKUP(D55,E54:E56,F54:F56)</f>
        <v>Pipeline</v>
      </c>
      <c r="E56" s="1432" t="s">
        <v>2292</v>
      </c>
      <c r="F56" s="1425" t="s">
        <v>2785</v>
      </c>
    </row>
    <row r="58" spans="2:6">
      <c r="B58" s="1390" t="s">
        <v>2736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30141-437B-4D79-9833-CDAE93AEFDAE}">
  <sheetPr>
    <pageSetUpPr fitToPage="1"/>
  </sheetPr>
  <dimension ref="A1:G517"/>
  <sheetViews>
    <sheetView showGridLines="0" topLeftCell="A94" zoomScale="55" zoomScaleNormal="55" workbookViewId="0">
      <selection activeCell="E194" sqref="E194"/>
    </sheetView>
  </sheetViews>
  <sheetFormatPr defaultColWidth="0" defaultRowHeight="12.75"/>
  <cols>
    <col min="1" max="1" width="5.6640625" style="168" bestFit="1" customWidth="1"/>
    <col min="2" max="2" width="1.6640625" style="168" customWidth="1"/>
    <col min="3" max="3" width="67.44140625" style="168" customWidth="1"/>
    <col min="4" max="4" width="2.21875" style="168" customWidth="1"/>
    <col min="5" max="5" width="67.44140625" style="168" customWidth="1"/>
    <col min="6" max="6" width="1.6640625" style="168" customWidth="1"/>
    <col min="7" max="7" width="8.6640625" style="168" customWidth="1"/>
    <col min="8" max="16384" width="8.6640625" style="168" hidden="1"/>
  </cols>
  <sheetData>
    <row r="1" spans="1:6">
      <c r="A1" s="1402" t="s">
        <v>2811</v>
      </c>
      <c r="B1" s="1402"/>
    </row>
    <row r="2" spans="1:6">
      <c r="A2" s="1402"/>
      <c r="B2" s="1402"/>
    </row>
    <row r="3" spans="1:6">
      <c r="A3" s="1472">
        <v>1</v>
      </c>
      <c r="B3" s="1436"/>
      <c r="C3" s="1437"/>
      <c r="D3" s="1437"/>
      <c r="E3" s="1437"/>
      <c r="F3" s="1450"/>
    </row>
    <row r="4" spans="1:6">
      <c r="A4" s="1472">
        <f>A3+1</f>
        <v>2</v>
      </c>
      <c r="B4" s="1441"/>
      <c r="F4" s="1451"/>
    </row>
    <row r="5" spans="1:6">
      <c r="A5" s="1472">
        <f t="shared" ref="A5:A43" si="0">A4+1</f>
        <v>3</v>
      </c>
      <c r="B5" s="1441"/>
      <c r="D5" s="1471" t="s">
        <v>2803</v>
      </c>
      <c r="F5" s="1451"/>
    </row>
    <row r="6" spans="1:6">
      <c r="A6" s="1472">
        <f t="shared" si="0"/>
        <v>4</v>
      </c>
      <c r="B6" s="1441"/>
      <c r="D6" s="1471" t="s">
        <v>2803</v>
      </c>
      <c r="F6" s="1451"/>
    </row>
    <row r="7" spans="1:6" ht="45">
      <c r="A7" s="1472">
        <f t="shared" si="0"/>
        <v>5</v>
      </c>
      <c r="B7" s="1441"/>
      <c r="C7" s="1491"/>
      <c r="D7" s="1471" t="s">
        <v>2803</v>
      </c>
      <c r="F7" s="1451"/>
    </row>
    <row r="8" spans="1:6">
      <c r="A8" s="1472">
        <f>A7+1</f>
        <v>6</v>
      </c>
      <c r="B8" s="1438"/>
      <c r="C8" s="1433"/>
      <c r="D8" s="1471"/>
      <c r="F8" s="1451"/>
    </row>
    <row r="9" spans="1:6">
      <c r="A9" s="1472">
        <f t="shared" si="0"/>
        <v>7</v>
      </c>
      <c r="B9" s="1438"/>
      <c r="D9" s="1471"/>
      <c r="F9" s="1451"/>
    </row>
    <row r="10" spans="1:6">
      <c r="A10" s="1472">
        <f t="shared" si="0"/>
        <v>8</v>
      </c>
      <c r="B10" s="1438"/>
      <c r="C10" s="1434"/>
      <c r="D10" s="1471"/>
      <c r="F10" s="1451"/>
    </row>
    <row r="11" spans="1:6">
      <c r="A11" s="1472">
        <f t="shared" si="0"/>
        <v>9</v>
      </c>
      <c r="B11" s="1438"/>
      <c r="D11" s="1471"/>
      <c r="F11" s="1451"/>
    </row>
    <row r="12" spans="1:6">
      <c r="A12" s="1472">
        <f t="shared" si="0"/>
        <v>10</v>
      </c>
      <c r="B12" s="1438"/>
      <c r="D12" s="1471"/>
      <c r="F12" s="1451"/>
    </row>
    <row r="13" spans="1:6">
      <c r="A13" s="1472">
        <f t="shared" si="0"/>
        <v>11</v>
      </c>
      <c r="B13" s="1438"/>
      <c r="D13" s="1471"/>
      <c r="F13" s="1451"/>
    </row>
    <row r="14" spans="1:6">
      <c r="A14" s="1472">
        <f t="shared" si="0"/>
        <v>12</v>
      </c>
      <c r="B14" s="1438"/>
      <c r="D14" s="1471"/>
      <c r="F14" s="1451"/>
    </row>
    <row r="15" spans="1:6">
      <c r="A15" s="1472">
        <f t="shared" si="0"/>
        <v>13</v>
      </c>
      <c r="B15" s="1438"/>
      <c r="D15" s="1471"/>
      <c r="F15" s="1451"/>
    </row>
    <row r="16" spans="1:6">
      <c r="A16" s="1472">
        <f t="shared" si="0"/>
        <v>14</v>
      </c>
      <c r="B16" s="1438"/>
      <c r="C16" s="167"/>
      <c r="D16" s="1471"/>
      <c r="E16" s="1435"/>
      <c r="F16" s="1451"/>
    </row>
    <row r="17" spans="1:6">
      <c r="A17" s="1472">
        <f t="shared" si="0"/>
        <v>15</v>
      </c>
      <c r="B17" s="1438"/>
      <c r="C17" s="167"/>
      <c r="D17" s="1471"/>
      <c r="F17" s="1451"/>
    </row>
    <row r="18" spans="1:6">
      <c r="A18" s="1472">
        <f t="shared" si="0"/>
        <v>16</v>
      </c>
      <c r="B18" s="1438"/>
      <c r="C18" s="167"/>
      <c r="D18" s="1471"/>
      <c r="F18" s="1451"/>
    </row>
    <row r="19" spans="1:6">
      <c r="A19" s="1472">
        <f t="shared" si="0"/>
        <v>17</v>
      </c>
      <c r="B19" s="1438"/>
      <c r="C19" s="167"/>
      <c r="D19" s="1471"/>
      <c r="F19" s="1451"/>
    </row>
    <row r="20" spans="1:6">
      <c r="A20" s="1472">
        <f t="shared" si="0"/>
        <v>18</v>
      </c>
      <c r="B20" s="1438"/>
      <c r="C20" s="167"/>
      <c r="D20" s="1471"/>
      <c r="F20" s="1451"/>
    </row>
    <row r="21" spans="1:6">
      <c r="A21" s="1472">
        <f t="shared" si="0"/>
        <v>19</v>
      </c>
      <c r="B21" s="1438"/>
      <c r="C21" s="167"/>
      <c r="D21" s="1471"/>
      <c r="F21" s="1451"/>
    </row>
    <row r="22" spans="1:6">
      <c r="A22" s="1472">
        <f t="shared" si="0"/>
        <v>20</v>
      </c>
      <c r="B22" s="1438"/>
      <c r="C22" s="167"/>
      <c r="D22" s="1471"/>
      <c r="F22" s="1451"/>
    </row>
    <row r="23" spans="1:6">
      <c r="A23" s="1472">
        <f t="shared" si="0"/>
        <v>21</v>
      </c>
      <c r="B23" s="1438"/>
      <c r="C23" s="167"/>
      <c r="D23" s="1471"/>
      <c r="F23" s="1451"/>
    </row>
    <row r="24" spans="1:6">
      <c r="A24" s="1472">
        <f t="shared" si="0"/>
        <v>22</v>
      </c>
      <c r="B24" s="1438"/>
      <c r="C24" s="167"/>
      <c r="D24" s="1471"/>
      <c r="E24" s="1442"/>
      <c r="F24" s="1451"/>
    </row>
    <row r="25" spans="1:6">
      <c r="A25" s="1472">
        <f t="shared" si="0"/>
        <v>23</v>
      </c>
      <c r="B25" s="1438"/>
      <c r="C25" s="167"/>
      <c r="D25" s="1471"/>
      <c r="F25" s="1451"/>
    </row>
    <row r="26" spans="1:6">
      <c r="A26" s="1472">
        <f t="shared" si="0"/>
        <v>24</v>
      </c>
      <c r="B26" s="1438"/>
      <c r="C26" s="167"/>
      <c r="D26" s="1471"/>
      <c r="F26" s="1451"/>
    </row>
    <row r="27" spans="1:6">
      <c r="A27" s="1472">
        <f t="shared" si="0"/>
        <v>25</v>
      </c>
      <c r="B27" s="1438"/>
      <c r="D27" s="1471"/>
      <c r="F27" s="1451"/>
    </row>
    <row r="28" spans="1:6">
      <c r="A28" s="1472">
        <f t="shared" si="0"/>
        <v>26</v>
      </c>
      <c r="B28" s="1438"/>
      <c r="D28" s="1471"/>
      <c r="F28" s="1451"/>
    </row>
    <row r="29" spans="1:6">
      <c r="A29" s="1472">
        <f t="shared" si="0"/>
        <v>27</v>
      </c>
      <c r="B29" s="1438"/>
      <c r="D29" s="1471"/>
      <c r="F29" s="1451"/>
    </row>
    <row r="30" spans="1:6">
      <c r="A30" s="1472">
        <f t="shared" si="0"/>
        <v>28</v>
      </c>
      <c r="B30" s="1438"/>
      <c r="C30" s="1435"/>
      <c r="D30" s="1471"/>
      <c r="F30" s="1451"/>
    </row>
    <row r="31" spans="1:6">
      <c r="A31" s="1472">
        <f t="shared" si="0"/>
        <v>29</v>
      </c>
      <c r="B31" s="1438"/>
      <c r="D31" s="1471"/>
      <c r="F31" s="1451"/>
    </row>
    <row r="32" spans="1:6">
      <c r="A32" s="1472">
        <f t="shared" si="0"/>
        <v>30</v>
      </c>
      <c r="B32" s="1438"/>
      <c r="D32" s="1471"/>
      <c r="F32" s="1451"/>
    </row>
    <row r="33" spans="1:6">
      <c r="A33" s="1472">
        <f t="shared" si="0"/>
        <v>31</v>
      </c>
      <c r="B33" s="1438"/>
      <c r="D33" s="1471"/>
      <c r="F33" s="1451"/>
    </row>
    <row r="34" spans="1:6">
      <c r="A34" s="1472">
        <f t="shared" si="0"/>
        <v>32</v>
      </c>
      <c r="B34" s="1438"/>
      <c r="D34" s="1471"/>
      <c r="F34" s="1451"/>
    </row>
    <row r="35" spans="1:6">
      <c r="A35" s="1472">
        <f t="shared" si="0"/>
        <v>33</v>
      </c>
      <c r="B35" s="1438"/>
      <c r="D35" s="1471"/>
      <c r="F35" s="1451"/>
    </row>
    <row r="36" spans="1:6">
      <c r="A36" s="1472">
        <f t="shared" si="0"/>
        <v>34</v>
      </c>
      <c r="B36" s="1438"/>
      <c r="D36" s="1471"/>
      <c r="F36" s="1451"/>
    </row>
    <row r="37" spans="1:6">
      <c r="A37" s="1472">
        <f t="shared" si="0"/>
        <v>35</v>
      </c>
      <c r="B37" s="1438"/>
      <c r="D37" s="1471"/>
      <c r="F37" s="1451"/>
    </row>
    <row r="38" spans="1:6">
      <c r="A38" s="1472">
        <f t="shared" si="0"/>
        <v>36</v>
      </c>
      <c r="B38" s="1438"/>
      <c r="D38" s="1471"/>
      <c r="F38" s="1451"/>
    </row>
    <row r="39" spans="1:6">
      <c r="A39" s="1472">
        <f t="shared" si="0"/>
        <v>37</v>
      </c>
      <c r="B39" s="1438"/>
      <c r="D39" s="1471" t="s">
        <v>2803</v>
      </c>
      <c r="F39" s="1451"/>
    </row>
    <row r="40" spans="1:6">
      <c r="A40" s="1472">
        <f t="shared" si="0"/>
        <v>38</v>
      </c>
      <c r="B40" s="1438"/>
      <c r="D40" s="1471"/>
      <c r="F40" s="1451"/>
    </row>
    <row r="41" spans="1:6">
      <c r="A41" s="1472">
        <f t="shared" si="0"/>
        <v>39</v>
      </c>
      <c r="B41" s="1438"/>
      <c r="D41" s="1471"/>
      <c r="F41" s="1451"/>
    </row>
    <row r="42" spans="1:6">
      <c r="A42" s="1472">
        <f t="shared" si="0"/>
        <v>40</v>
      </c>
      <c r="B42" s="1438"/>
      <c r="D42" s="1471"/>
      <c r="F42" s="1451"/>
    </row>
    <row r="43" spans="1:6">
      <c r="A43" s="1472">
        <f t="shared" si="0"/>
        <v>41</v>
      </c>
      <c r="B43" s="1438"/>
      <c r="D43" s="1471"/>
      <c r="F43" s="1451"/>
    </row>
    <row r="44" spans="1:6">
      <c r="A44" s="1472">
        <f>A43+1</f>
        <v>42</v>
      </c>
      <c r="B44" s="1438"/>
      <c r="D44" s="1471"/>
      <c r="F44" s="1451"/>
    </row>
    <row r="45" spans="1:6">
      <c r="A45" s="1472">
        <f t="shared" ref="A45:A46" si="1">A44+1</f>
        <v>43</v>
      </c>
      <c r="B45" s="1438"/>
      <c r="D45" s="1471"/>
      <c r="F45" s="1451"/>
    </row>
    <row r="46" spans="1:6">
      <c r="A46" s="1472">
        <f t="shared" si="1"/>
        <v>44</v>
      </c>
      <c r="B46" s="1439"/>
      <c r="C46" s="1440"/>
      <c r="D46" s="1440"/>
      <c r="E46" s="1440"/>
      <c r="F46" s="1456"/>
    </row>
    <row r="48" spans="1:6">
      <c r="A48" s="1402" t="s">
        <v>2743</v>
      </c>
      <c r="B48" s="1402"/>
    </row>
    <row r="49" spans="1:6">
      <c r="A49" s="1402"/>
      <c r="B49" s="1402"/>
    </row>
    <row r="50" spans="1:6">
      <c r="A50" s="1472">
        <v>1</v>
      </c>
      <c r="B50" s="1436"/>
      <c r="C50" s="1437"/>
      <c r="D50" s="1437"/>
      <c r="E50" s="1437"/>
      <c r="F50" s="1450"/>
    </row>
    <row r="51" spans="1:6" ht="45">
      <c r="A51" s="1472">
        <f>A50+1</f>
        <v>2</v>
      </c>
      <c r="B51" s="1441"/>
      <c r="D51" s="1443" t="s">
        <v>2786</v>
      </c>
      <c r="F51" s="1451"/>
    </row>
    <row r="52" spans="1:6">
      <c r="A52" s="1472">
        <f t="shared" ref="A52:A90" si="2">A51+1</f>
        <v>3</v>
      </c>
      <c r="B52" s="1441"/>
      <c r="D52" s="1471" t="s">
        <v>2803</v>
      </c>
      <c r="F52" s="1451"/>
    </row>
    <row r="53" spans="1:6">
      <c r="A53" s="1472">
        <f t="shared" si="2"/>
        <v>4</v>
      </c>
      <c r="B53" s="1441"/>
      <c r="D53" s="1471" t="s">
        <v>2803</v>
      </c>
      <c r="F53" s="1451"/>
    </row>
    <row r="54" spans="1:6">
      <c r="A54" s="1472">
        <f t="shared" si="2"/>
        <v>5</v>
      </c>
      <c r="B54" s="1441"/>
      <c r="D54" s="1471" t="s">
        <v>2803</v>
      </c>
      <c r="F54" s="1451"/>
    </row>
    <row r="55" spans="1:6" ht="14.25" customHeight="1">
      <c r="A55" s="1472">
        <f>A54+1</f>
        <v>6</v>
      </c>
      <c r="B55" s="1438"/>
      <c r="C55" s="1433" t="str">
        <f>"Prepared for: "&amp;client.name.long</f>
        <v>Prepared for: Hazel Lighting India</v>
      </c>
      <c r="D55" s="1471" t="s">
        <v>2803</v>
      </c>
      <c r="F55" s="1451"/>
    </row>
    <row r="56" spans="1:6" ht="14.25" customHeight="1">
      <c r="A56" s="1472">
        <f t="shared" si="2"/>
        <v>7</v>
      </c>
      <c r="B56" s="1438"/>
      <c r="D56" s="1471" t="s">
        <v>2803</v>
      </c>
      <c r="F56" s="1451"/>
    </row>
    <row r="57" spans="1:6" ht="14.25" customHeight="1">
      <c r="A57" s="1472">
        <f t="shared" si="2"/>
        <v>8</v>
      </c>
      <c r="B57" s="1438"/>
      <c r="C57" s="1434">
        <f ca="1">TODAY()</f>
        <v>45709</v>
      </c>
      <c r="D57" s="1471" t="s">
        <v>2803</v>
      </c>
      <c r="F57" s="1451"/>
    </row>
    <row r="58" spans="1:6" ht="14.25" customHeight="1">
      <c r="A58" s="1472">
        <f t="shared" si="2"/>
        <v>9</v>
      </c>
      <c r="B58" s="1438"/>
      <c r="D58" s="1471" t="s">
        <v>2803</v>
      </c>
      <c r="F58" s="1451"/>
    </row>
    <row r="59" spans="1:6" ht="14.25" customHeight="1">
      <c r="A59" s="1472">
        <f t="shared" si="2"/>
        <v>10</v>
      </c>
      <c r="B59" s="1438"/>
      <c r="D59" s="1471" t="s">
        <v>2803</v>
      </c>
      <c r="F59" s="1451"/>
    </row>
    <row r="60" spans="1:6" ht="14.25" customHeight="1">
      <c r="A60" s="1472">
        <f t="shared" si="2"/>
        <v>11</v>
      </c>
      <c r="B60" s="1438"/>
      <c r="D60" s="1471" t="s">
        <v>2803</v>
      </c>
      <c r="F60" s="1451"/>
    </row>
    <row r="61" spans="1:6" ht="14.25" customHeight="1">
      <c r="A61" s="1472">
        <f t="shared" si="2"/>
        <v>12</v>
      </c>
      <c r="B61" s="1438"/>
      <c r="C61" s="168" t="str">
        <f>"Dear "&amp;Inputs!E20&amp;","</f>
        <v>Dear Samina Burhani,</v>
      </c>
      <c r="D61" s="1471" t="s">
        <v>2803</v>
      </c>
      <c r="F61" s="1451"/>
    </row>
    <row r="62" spans="1:6" ht="14.25" customHeight="1">
      <c r="A62" s="1472">
        <f t="shared" si="2"/>
        <v>13</v>
      </c>
      <c r="B62" s="1438"/>
      <c r="D62" s="1471" t="s">
        <v>2803</v>
      </c>
      <c r="F62" s="1451"/>
    </row>
    <row r="63" spans="1:6" ht="14.25" customHeight="1">
      <c r="A63" s="1472">
        <f t="shared" si="2"/>
        <v>14</v>
      </c>
      <c r="B63" s="1438"/>
      <c r="C63" s="167" t="str">
        <f ca="1">"In accordance with our agreement dated "&amp;TEXT(Log!D9,"mmmmmm dd, yyyy")&amp;" (“Agreement”), a copy of which"</f>
        <v>In accordance with our agreement dated February 21, 2025 (“Agreement”), a copy of which</v>
      </c>
      <c r="D63" s="1471" t="s">
        <v>2803</v>
      </c>
      <c r="E63" s="1435"/>
      <c r="F63" s="1461"/>
    </row>
    <row r="64" spans="1:6" ht="14.25" customHeight="1">
      <c r="A64" s="1472">
        <f t="shared" si="2"/>
        <v>15</v>
      </c>
      <c r="B64" s="1438"/>
      <c r="C64" s="167" t="str">
        <f>"provided in Appendix C of this report (“Report”), we have been engaged by "</f>
        <v xml:space="preserve">provided in Appendix C of this report (“Report”), we have been engaged by </v>
      </c>
      <c r="D64" s="1471" t="s">
        <v>2803</v>
      </c>
      <c r="F64" s="1451"/>
    </row>
    <row r="65" spans="1:6" ht="14.25" customHeight="1">
      <c r="A65" s="1472">
        <f t="shared" si="2"/>
        <v>16</v>
      </c>
      <c r="B65" s="1438"/>
      <c r="C65" s="167" t="str">
        <f>client.name.long&amp;" ('Client', '"&amp;client.company.short&amp;"' or 'You') "</f>
        <v xml:space="preserve">Hazel Lighting India ('Client', 'Hazel Lighting India' or 'You') </v>
      </c>
      <c r="D65" s="1471" t="s">
        <v>2803</v>
      </c>
      <c r="F65" s="1451"/>
    </row>
    <row r="66" spans="1:6" ht="14.25" customHeight="1">
      <c r="A66" s="1472">
        <f t="shared" si="2"/>
        <v>17</v>
      </c>
      <c r="B66" s="1438"/>
      <c r="C66" s="167" t="str">
        <f>"in relation to the business valuation of "&amp;Log!D6</f>
        <v>in relation to the business valuation of Lazure Worldwide FZCO</v>
      </c>
      <c r="D66" s="1471" t="s">
        <v>2803</v>
      </c>
      <c r="F66" s="1451"/>
    </row>
    <row r="67" spans="1:6" ht="14.25" customHeight="1">
      <c r="A67" s="1472">
        <f t="shared" si="2"/>
        <v>18</v>
      </c>
      <c r="B67" s="1438"/>
      <c r="C67" s="167" t="str">
        <f>" ('Subject Company', '"&amp;Inputs!G24&amp;"' or 'Management') as at "&amp;TEXT(Log!D7,"mmmmmm dd, yyyy")&amp;", for the"</f>
        <v xml:space="preserve"> ('Subject Company', 'Lazure Worldwide FZCO' or 'Management') as at September 30, 2024, for the</v>
      </c>
      <c r="D67" s="1471" t="s">
        <v>2803</v>
      </c>
      <c r="F67" s="1451"/>
    </row>
    <row r="68" spans="1:6" ht="14.25" customHeight="1">
      <c r="A68" s="1472">
        <f t="shared" si="2"/>
        <v>19</v>
      </c>
      <c r="B68" s="1438"/>
      <c r="C68" s="167" t="e">
        <f>"purpose of "&amp;Inputs!E21&amp;Inputs!#REF!</f>
        <v>#REF!</v>
      </c>
      <c r="D68" s="1471" t="s">
        <v>2803</v>
      </c>
      <c r="F68" s="1451"/>
    </row>
    <row r="69" spans="1:6" ht="14.25" customHeight="1">
      <c r="A69" s="1472">
        <f t="shared" si="2"/>
        <v>20</v>
      </c>
      <c r="B69" s="1438"/>
      <c r="C69" s="167" t="str">
        <f>"(the 'Purpose'). Details of the scope and process of our work are set out in the “Important"</f>
        <v>(the 'Purpose'). Details of the scope and process of our work are set out in the “Important</v>
      </c>
      <c r="D69" s="1471" t="s">
        <v>2803</v>
      </c>
      <c r="F69" s="1451"/>
    </row>
    <row r="70" spans="1:6" ht="14.25" customHeight="1">
      <c r="A70" s="1472">
        <f t="shared" si="2"/>
        <v>21</v>
      </c>
      <c r="B70" s="1438"/>
      <c r="C70" s="167" t="str">
        <f>"notice” section in Appendix B which should be read in conjunction with this letter."</f>
        <v>notice” section in Appendix B which should be read in conjunction with this letter.</v>
      </c>
      <c r="D70" s="1471" t="s">
        <v>2803</v>
      </c>
      <c r="F70" s="1451"/>
    </row>
    <row r="71" spans="1:6" ht="14.25" customHeight="1">
      <c r="A71" s="1472">
        <f t="shared" si="2"/>
        <v>22</v>
      </c>
      <c r="B71" s="1438"/>
      <c r="C71" s="167"/>
      <c r="D71" s="1471" t="s">
        <v>2803</v>
      </c>
      <c r="E71" s="1442"/>
      <c r="F71" s="1462"/>
    </row>
    <row r="72" spans="1:6" ht="14.25" customHeight="1">
      <c r="A72" s="1472">
        <f t="shared" si="2"/>
        <v>23</v>
      </c>
      <c r="B72" s="1438"/>
      <c r="C72" s="167"/>
      <c r="D72" s="1471" t="s">
        <v>2803</v>
      </c>
      <c r="F72" s="1451"/>
    </row>
    <row r="73" spans="1:6" ht="14.25" customHeight="1">
      <c r="A73" s="1472">
        <f t="shared" si="2"/>
        <v>24</v>
      </c>
      <c r="B73" s="1438"/>
      <c r="C73" s="167"/>
      <c r="D73" s="1471" t="s">
        <v>2803</v>
      </c>
      <c r="F73" s="1451"/>
    </row>
    <row r="74" spans="1:6" ht="14.25" customHeight="1">
      <c r="A74" s="1472">
        <f t="shared" si="2"/>
        <v>25</v>
      </c>
      <c r="B74" s="1438"/>
      <c r="D74" s="1471" t="s">
        <v>2803</v>
      </c>
      <c r="F74" s="1451"/>
    </row>
    <row r="75" spans="1:6" ht="14.25" customHeight="1">
      <c r="A75" s="1472">
        <f t="shared" si="2"/>
        <v>26</v>
      </c>
      <c r="B75" s="1438"/>
      <c r="D75" s="1471" t="s">
        <v>2803</v>
      </c>
      <c r="F75" s="1451"/>
    </row>
    <row r="76" spans="1:6" ht="14.25" customHeight="1">
      <c r="A76" s="1472">
        <f t="shared" si="2"/>
        <v>27</v>
      </c>
      <c r="B76" s="1438"/>
      <c r="D76" s="1471" t="s">
        <v>2803</v>
      </c>
      <c r="F76" s="1451"/>
    </row>
    <row r="77" spans="1:6" ht="14.25" customHeight="1">
      <c r="A77" s="1472">
        <f t="shared" si="2"/>
        <v>28</v>
      </c>
      <c r="B77" s="1438"/>
      <c r="C77" s="1435"/>
      <c r="D77" s="1471" t="s">
        <v>2803</v>
      </c>
      <c r="F77" s="1451"/>
    </row>
    <row r="78" spans="1:6" ht="14.25" customHeight="1">
      <c r="A78" s="1472">
        <f t="shared" si="2"/>
        <v>29</v>
      </c>
      <c r="B78" s="1438"/>
      <c r="D78" s="1471" t="s">
        <v>2803</v>
      </c>
      <c r="F78" s="1451"/>
    </row>
    <row r="79" spans="1:6" ht="14.25" customHeight="1">
      <c r="A79" s="1472">
        <f t="shared" si="2"/>
        <v>30</v>
      </c>
      <c r="B79" s="1438"/>
      <c r="D79" s="1471" t="s">
        <v>2803</v>
      </c>
      <c r="F79" s="1451"/>
    </row>
    <row r="80" spans="1:6" ht="14.25" customHeight="1">
      <c r="A80" s="1472">
        <f t="shared" si="2"/>
        <v>31</v>
      </c>
      <c r="B80" s="1438"/>
      <c r="D80" s="1471" t="s">
        <v>2803</v>
      </c>
      <c r="F80" s="1451"/>
    </row>
    <row r="81" spans="1:6" ht="14.25" customHeight="1">
      <c r="A81" s="1472">
        <f t="shared" si="2"/>
        <v>32</v>
      </c>
      <c r="B81" s="1438"/>
      <c r="D81" s="1471" t="s">
        <v>2803</v>
      </c>
      <c r="F81" s="1451"/>
    </row>
    <row r="82" spans="1:6" ht="14.25" customHeight="1">
      <c r="A82" s="1472">
        <f t="shared" si="2"/>
        <v>33</v>
      </c>
      <c r="B82" s="1438"/>
      <c r="D82" s="1471" t="s">
        <v>2803</v>
      </c>
      <c r="F82" s="1451"/>
    </row>
    <row r="83" spans="1:6" ht="14.25" customHeight="1">
      <c r="A83" s="1472">
        <f t="shared" si="2"/>
        <v>34</v>
      </c>
      <c r="B83" s="1438"/>
      <c r="D83" s="1471" t="s">
        <v>2803</v>
      </c>
      <c r="F83" s="1451"/>
    </row>
    <row r="84" spans="1:6" ht="14.25" customHeight="1">
      <c r="A84" s="1472">
        <f t="shared" si="2"/>
        <v>35</v>
      </c>
      <c r="B84" s="1438"/>
      <c r="D84" s="1471" t="s">
        <v>2803</v>
      </c>
      <c r="F84" s="1451"/>
    </row>
    <row r="85" spans="1:6" ht="14.25" customHeight="1">
      <c r="A85" s="1472">
        <f t="shared" si="2"/>
        <v>36</v>
      </c>
      <c r="B85" s="1438"/>
      <c r="D85" s="1471" t="s">
        <v>2803</v>
      </c>
      <c r="F85" s="1451"/>
    </row>
    <row r="86" spans="1:6" ht="14.25" customHeight="1">
      <c r="A86" s="1472">
        <f t="shared" si="2"/>
        <v>37</v>
      </c>
      <c r="B86" s="1438"/>
      <c r="D86" s="1471" t="s">
        <v>2803</v>
      </c>
      <c r="F86" s="1451"/>
    </row>
    <row r="87" spans="1:6" ht="14.25" customHeight="1">
      <c r="A87" s="1472">
        <f t="shared" si="2"/>
        <v>38</v>
      </c>
      <c r="B87" s="1438"/>
      <c r="D87" s="1471"/>
      <c r="F87" s="1451"/>
    </row>
    <row r="88" spans="1:6" ht="14.25" customHeight="1">
      <c r="A88" s="1472">
        <f t="shared" si="2"/>
        <v>39</v>
      </c>
      <c r="B88" s="1438"/>
      <c r="D88" s="1471"/>
      <c r="F88" s="1451"/>
    </row>
    <row r="89" spans="1:6" ht="14.25" customHeight="1">
      <c r="A89" s="1472">
        <f t="shared" si="2"/>
        <v>40</v>
      </c>
      <c r="B89" s="1438"/>
      <c r="D89" s="1471"/>
      <c r="F89" s="1451"/>
    </row>
    <row r="90" spans="1:6" ht="14.25" customHeight="1">
      <c r="A90" s="1472">
        <f t="shared" si="2"/>
        <v>41</v>
      </c>
      <c r="B90" s="1438"/>
      <c r="D90" s="1471"/>
      <c r="F90" s="1451"/>
    </row>
    <row r="91" spans="1:6" ht="14.25" customHeight="1">
      <c r="A91" s="1472">
        <f>A90+1</f>
        <v>42</v>
      </c>
      <c r="B91" s="1438"/>
      <c r="D91" s="1471"/>
      <c r="F91" s="1451"/>
    </row>
    <row r="92" spans="1:6" ht="14.25" customHeight="1">
      <c r="A92" s="1472">
        <f t="shared" ref="A92:A93" si="3">A91+1</f>
        <v>43</v>
      </c>
      <c r="B92" s="1438"/>
      <c r="D92" s="1471"/>
      <c r="F92" s="1451"/>
    </row>
    <row r="93" spans="1:6">
      <c r="A93" s="1472">
        <f t="shared" si="3"/>
        <v>44</v>
      </c>
      <c r="B93" s="1439"/>
      <c r="C93" s="1440"/>
      <c r="D93" s="1440"/>
      <c r="E93" s="1440"/>
      <c r="F93" s="1456"/>
    </row>
    <row r="95" spans="1:6">
      <c r="A95" s="1402" t="s">
        <v>2744</v>
      </c>
      <c r="B95" s="1402"/>
    </row>
    <row r="96" spans="1:6">
      <c r="A96" s="1402"/>
      <c r="B96" s="1402"/>
    </row>
    <row r="97" spans="1:6" ht="14.25" customHeight="1">
      <c r="A97" s="1472">
        <v>1</v>
      </c>
      <c r="B97" s="1436"/>
      <c r="C97" s="1437"/>
      <c r="D97" s="1437"/>
      <c r="E97" s="1437"/>
      <c r="F97" s="1450"/>
    </row>
    <row r="98" spans="1:6" ht="45">
      <c r="A98" s="1472">
        <f>A97+1</f>
        <v>2</v>
      </c>
      <c r="B98" s="1441"/>
      <c r="D98" s="1443" t="s">
        <v>2786</v>
      </c>
      <c r="F98" s="1451"/>
    </row>
    <row r="99" spans="1:6" ht="14.25" customHeight="1">
      <c r="A99" s="1472">
        <f t="shared" ref="A99:A140" si="4">A98+1</f>
        <v>3</v>
      </c>
      <c r="B99" s="1441"/>
      <c r="F99" s="1451"/>
    </row>
    <row r="100" spans="1:6" ht="14.25" customHeight="1">
      <c r="A100" s="1472">
        <f t="shared" si="4"/>
        <v>4</v>
      </c>
      <c r="B100" s="1441"/>
      <c r="F100" s="1451"/>
    </row>
    <row r="101" spans="1:6" ht="14.25" customHeight="1">
      <c r="A101" s="1472">
        <f t="shared" si="4"/>
        <v>5</v>
      </c>
      <c r="B101" s="1441"/>
      <c r="D101" s="1471" t="s">
        <v>2803</v>
      </c>
      <c r="F101" s="1451"/>
    </row>
    <row r="102" spans="1:6" ht="14.25" customHeight="1">
      <c r="A102" s="1472">
        <f t="shared" si="4"/>
        <v>6</v>
      </c>
      <c r="B102" s="1441"/>
      <c r="D102" s="1471" t="s">
        <v>2803</v>
      </c>
      <c r="F102" s="1451"/>
    </row>
    <row r="103" spans="1:6" ht="14.25" customHeight="1">
      <c r="A103" s="1472">
        <f t="shared" si="4"/>
        <v>7</v>
      </c>
      <c r="B103" s="1438"/>
      <c r="C103" s="1442"/>
      <c r="D103" s="1471" t="s">
        <v>2803</v>
      </c>
      <c r="F103" s="1451"/>
    </row>
    <row r="104" spans="1:6" ht="14.25" customHeight="1">
      <c r="A104" s="1472">
        <f t="shared" si="4"/>
        <v>8</v>
      </c>
      <c r="B104" s="1438"/>
      <c r="D104" s="1471" t="s">
        <v>2803</v>
      </c>
      <c r="F104" s="1451"/>
    </row>
    <row r="105" spans="1:6" ht="14.25" customHeight="1">
      <c r="A105" s="1472">
        <f t="shared" si="4"/>
        <v>9</v>
      </c>
      <c r="B105" s="1438"/>
      <c r="D105" s="1471" t="s">
        <v>2803</v>
      </c>
      <c r="F105" s="1451"/>
    </row>
    <row r="106" spans="1:6" ht="14.25" customHeight="1">
      <c r="A106" s="1472">
        <f t="shared" si="4"/>
        <v>10</v>
      </c>
      <c r="B106" s="1438"/>
      <c r="D106" s="1471" t="s">
        <v>2803</v>
      </c>
      <c r="F106" s="1451"/>
    </row>
    <row r="107" spans="1:6" ht="14.25" customHeight="1">
      <c r="A107" s="1472">
        <f t="shared" si="4"/>
        <v>11</v>
      </c>
      <c r="B107" s="1438"/>
      <c r="D107" s="1471" t="s">
        <v>2803</v>
      </c>
      <c r="F107" s="1451"/>
    </row>
    <row r="108" spans="1:6" ht="14.25" customHeight="1">
      <c r="A108" s="1472">
        <f t="shared" si="4"/>
        <v>12</v>
      </c>
      <c r="B108" s="1438"/>
      <c r="D108" s="1471" t="s">
        <v>2803</v>
      </c>
      <c r="F108" s="1451"/>
    </row>
    <row r="109" spans="1:6" ht="14.25" customHeight="1">
      <c r="A109" s="1472">
        <f t="shared" si="4"/>
        <v>13</v>
      </c>
      <c r="B109" s="1438"/>
      <c r="D109" s="1471" t="s">
        <v>2803</v>
      </c>
      <c r="F109" s="1451"/>
    </row>
    <row r="110" spans="1:6" ht="14.25" customHeight="1">
      <c r="A110" s="1472">
        <f t="shared" si="4"/>
        <v>14</v>
      </c>
      <c r="B110" s="1438"/>
      <c r="D110" s="1471" t="s">
        <v>2803</v>
      </c>
      <c r="F110" s="1451"/>
    </row>
    <row r="111" spans="1:6" ht="14.25" customHeight="1">
      <c r="A111" s="1472">
        <f t="shared" si="4"/>
        <v>15</v>
      </c>
      <c r="B111" s="1438"/>
      <c r="C111" s="168" t="str">
        <f>"This report is confidential and prepared exclusively for "&amp;Log!D12&amp;"."</f>
        <v>This report is confidential and prepared exclusively for Hazel Lighting India.</v>
      </c>
      <c r="D111" s="1471" t="s">
        <v>2803</v>
      </c>
      <c r="F111" s="1451"/>
    </row>
    <row r="112" spans="1:6" ht="14.25" customHeight="1">
      <c r="A112" s="1472">
        <f t="shared" si="4"/>
        <v>16</v>
      </c>
      <c r="B112" s="1438"/>
      <c r="C112" s="168" t="str">
        <f>"To the full extent permitted by law, we do not accept or assume responsibility to anyone other "</f>
        <v xml:space="preserve">To the full extent permitted by law, we do not accept or assume responsibility to anyone other </v>
      </c>
      <c r="D112" s="1471" t="s">
        <v>2803</v>
      </c>
      <c r="F112" s="1451"/>
    </row>
    <row r="113" spans="1:6" ht="14.25" customHeight="1">
      <c r="A113" s="1472">
        <f t="shared" si="4"/>
        <v>17</v>
      </c>
      <c r="B113" s="1438"/>
      <c r="C113" s="168" t="str">
        <f>"than "&amp;client.company.short&amp;" for our work, our report and any other communications conducted "</f>
        <v xml:space="preserve">than Hazel Lighting India for our work, our report and any other communications conducted </v>
      </c>
      <c r="D113" s="1471" t="s">
        <v>2803</v>
      </c>
      <c r="F113" s="1451"/>
    </row>
    <row r="114" spans="1:6" ht="14.25" customHeight="1">
      <c r="A114" s="1472">
        <f t="shared" si="4"/>
        <v>18</v>
      </c>
      <c r="B114" s="1438"/>
      <c r="C114" s="168" t="str">
        <f>"under the premise of this exercise. We do not accept responsibility for any loss or damages"</f>
        <v>under the premise of this exercise. We do not accept responsibility for any loss or damages</v>
      </c>
      <c r="D114" s="1471" t="s">
        <v>2803</v>
      </c>
      <c r="F114" s="1451"/>
    </row>
    <row r="115" spans="1:6" ht="14.25" customHeight="1">
      <c r="A115" s="1472">
        <f t="shared" si="4"/>
        <v>19</v>
      </c>
      <c r="B115" s="1438"/>
      <c r="C115" s="168" t="str">
        <f>"arising out of the use of the report by the addressee(s) for any purpose other than that stated"</f>
        <v>arising out of the use of the report by the addressee(s) for any purpose other than that stated</v>
      </c>
      <c r="D115" s="1471" t="s">
        <v>2803</v>
      </c>
      <c r="F115" s="1451"/>
    </row>
    <row r="116" spans="1:6" ht="14.25" customHeight="1">
      <c r="A116" s="1472">
        <f t="shared" si="4"/>
        <v>20</v>
      </c>
      <c r="B116" s="1438"/>
      <c r="C116" s="168" t="str">
        <f>" in our Agreement."</f>
        <v xml:space="preserve"> in our Agreement.</v>
      </c>
      <c r="D116" s="1471" t="s">
        <v>2803</v>
      </c>
      <c r="F116" s="1451"/>
    </row>
    <row r="117" spans="1:6" ht="14.25" customHeight="1">
      <c r="A117" s="1472">
        <f t="shared" si="4"/>
        <v>21</v>
      </c>
      <c r="B117" s="1438"/>
      <c r="D117" s="1471" t="s">
        <v>2803</v>
      </c>
      <c r="F117" s="1451"/>
    </row>
    <row r="118" spans="1:6" ht="14.25" customHeight="1">
      <c r="A118" s="1472">
        <f t="shared" si="4"/>
        <v>22</v>
      </c>
      <c r="B118" s="1438"/>
      <c r="D118" s="1471" t="s">
        <v>2803</v>
      </c>
      <c r="F118" s="1451"/>
    </row>
    <row r="119" spans="1:6" ht="14.25" customHeight="1">
      <c r="A119" s="1472">
        <f t="shared" si="4"/>
        <v>23</v>
      </c>
      <c r="B119" s="1438"/>
      <c r="D119" s="1471" t="s">
        <v>2803</v>
      </c>
      <c r="F119" s="1451"/>
    </row>
    <row r="120" spans="1:6" ht="14.25" customHeight="1">
      <c r="A120" s="1472">
        <f t="shared" si="4"/>
        <v>24</v>
      </c>
      <c r="B120" s="1438"/>
      <c r="D120" s="1471" t="s">
        <v>2803</v>
      </c>
      <c r="F120" s="1451"/>
    </row>
    <row r="121" spans="1:6" ht="14.25" customHeight="1">
      <c r="A121" s="1472">
        <f t="shared" si="4"/>
        <v>25</v>
      </c>
      <c r="B121" s="1438"/>
      <c r="D121" s="1471" t="s">
        <v>2803</v>
      </c>
      <c r="F121" s="1451"/>
    </row>
    <row r="122" spans="1:6" ht="14.25" customHeight="1">
      <c r="A122" s="1472">
        <f t="shared" si="4"/>
        <v>26</v>
      </c>
      <c r="B122" s="1438"/>
      <c r="D122" s="1471" t="s">
        <v>2803</v>
      </c>
      <c r="F122" s="1451"/>
    </row>
    <row r="123" spans="1:6" ht="14.25" customHeight="1">
      <c r="A123" s="1472">
        <f t="shared" si="4"/>
        <v>27</v>
      </c>
      <c r="B123" s="1438"/>
      <c r="D123" s="1471" t="s">
        <v>2803</v>
      </c>
      <c r="F123" s="1451"/>
    </row>
    <row r="124" spans="1:6" ht="14.25" customHeight="1">
      <c r="A124" s="1472">
        <f t="shared" si="4"/>
        <v>28</v>
      </c>
      <c r="B124" s="1438"/>
      <c r="D124" s="1471" t="s">
        <v>2803</v>
      </c>
      <c r="F124" s="1451"/>
    </row>
    <row r="125" spans="1:6" ht="14.25" customHeight="1">
      <c r="A125" s="1472">
        <f t="shared" si="4"/>
        <v>29</v>
      </c>
      <c r="B125" s="1438"/>
      <c r="D125" s="1471" t="s">
        <v>2803</v>
      </c>
      <c r="F125" s="1451"/>
    </row>
    <row r="126" spans="1:6" ht="14.25" customHeight="1">
      <c r="A126" s="1472">
        <f t="shared" si="4"/>
        <v>30</v>
      </c>
      <c r="B126" s="1438"/>
      <c r="D126" s="1471" t="s">
        <v>2803</v>
      </c>
      <c r="F126" s="1451"/>
    </row>
    <row r="127" spans="1:6" ht="14.25" customHeight="1">
      <c r="A127" s="1472">
        <f t="shared" si="4"/>
        <v>31</v>
      </c>
      <c r="B127" s="1438"/>
      <c r="D127" s="1471" t="s">
        <v>2803</v>
      </c>
      <c r="F127" s="1451"/>
    </row>
    <row r="128" spans="1:6" ht="14.25" customHeight="1">
      <c r="A128" s="1472">
        <f t="shared" si="4"/>
        <v>32</v>
      </c>
      <c r="B128" s="1438"/>
      <c r="D128" s="1471" t="s">
        <v>2803</v>
      </c>
      <c r="F128" s="1451"/>
    </row>
    <row r="129" spans="1:6" ht="14.25" customHeight="1">
      <c r="A129" s="1472">
        <f t="shared" si="4"/>
        <v>33</v>
      </c>
      <c r="B129" s="1438"/>
      <c r="D129" s="1471" t="s">
        <v>2803</v>
      </c>
      <c r="F129" s="1451"/>
    </row>
    <row r="130" spans="1:6" ht="14.25" customHeight="1">
      <c r="A130" s="1472">
        <f t="shared" si="4"/>
        <v>34</v>
      </c>
      <c r="B130" s="1438"/>
      <c r="D130" s="1471" t="s">
        <v>2803</v>
      </c>
      <c r="F130" s="1451"/>
    </row>
    <row r="131" spans="1:6" ht="14.25" customHeight="1">
      <c r="A131" s="1472">
        <f t="shared" si="4"/>
        <v>35</v>
      </c>
      <c r="B131" s="1438"/>
      <c r="D131" s="1471" t="s">
        <v>2803</v>
      </c>
      <c r="F131" s="1451"/>
    </row>
    <row r="132" spans="1:6" ht="14.25" customHeight="1">
      <c r="A132" s="1472">
        <f t="shared" si="4"/>
        <v>36</v>
      </c>
      <c r="B132" s="1438"/>
      <c r="D132" s="1471" t="s">
        <v>2803</v>
      </c>
      <c r="F132" s="1451"/>
    </row>
    <row r="133" spans="1:6" ht="14.25" customHeight="1">
      <c r="A133" s="1472">
        <f t="shared" si="4"/>
        <v>37</v>
      </c>
      <c r="B133" s="1438"/>
      <c r="D133" s="1471" t="s">
        <v>2803</v>
      </c>
      <c r="F133" s="1451"/>
    </row>
    <row r="134" spans="1:6" ht="14.25" customHeight="1">
      <c r="A134" s="1472">
        <f t="shared" si="4"/>
        <v>38</v>
      </c>
      <c r="B134" s="1438"/>
      <c r="D134" s="1471" t="s">
        <v>2803</v>
      </c>
      <c r="F134" s="1451"/>
    </row>
    <row r="135" spans="1:6" ht="14.25" customHeight="1">
      <c r="A135" s="1472">
        <f t="shared" si="4"/>
        <v>39</v>
      </c>
      <c r="B135" s="1438"/>
      <c r="D135" s="1471" t="s">
        <v>2803</v>
      </c>
      <c r="F135" s="1451"/>
    </row>
    <row r="136" spans="1:6" ht="14.25" customHeight="1">
      <c r="A136" s="1472">
        <f t="shared" si="4"/>
        <v>40</v>
      </c>
      <c r="B136" s="1438"/>
      <c r="D136" s="1471"/>
      <c r="F136" s="1451"/>
    </row>
    <row r="137" spans="1:6" ht="14.25" customHeight="1">
      <c r="A137" s="1472">
        <f t="shared" si="4"/>
        <v>41</v>
      </c>
      <c r="B137" s="1438"/>
      <c r="D137" s="1471"/>
      <c r="F137" s="1451"/>
    </row>
    <row r="138" spans="1:6" ht="14.25" customHeight="1">
      <c r="A138" s="1472">
        <f t="shared" si="4"/>
        <v>42</v>
      </c>
      <c r="B138" s="1438"/>
      <c r="D138" s="1471"/>
      <c r="F138" s="1451"/>
    </row>
    <row r="139" spans="1:6" ht="14.25" customHeight="1">
      <c r="A139" s="1472">
        <f t="shared" si="4"/>
        <v>43</v>
      </c>
      <c r="B139" s="1438"/>
      <c r="D139" s="1471"/>
      <c r="F139" s="1451"/>
    </row>
    <row r="140" spans="1:6" ht="14.25" customHeight="1">
      <c r="A140" s="1472">
        <f t="shared" si="4"/>
        <v>44</v>
      </c>
      <c r="B140" s="1439"/>
      <c r="C140" s="1440"/>
      <c r="D140" s="1440"/>
      <c r="E140" s="1440"/>
      <c r="F140" s="1456"/>
    </row>
    <row r="141" spans="1:6" ht="14.25" customHeight="1"/>
    <row r="142" spans="1:6" ht="14.25" customHeight="1">
      <c r="A142" s="1402" t="s">
        <v>2742</v>
      </c>
      <c r="B142" s="1402"/>
    </row>
    <row r="143" spans="1:6" ht="14.25" customHeight="1">
      <c r="A143" s="1402"/>
      <c r="B143" s="1402"/>
    </row>
    <row r="144" spans="1:6" ht="14.25" customHeight="1">
      <c r="A144" s="1472">
        <v>1</v>
      </c>
      <c r="B144" s="1436"/>
      <c r="C144" s="1437"/>
      <c r="D144" s="1437"/>
      <c r="E144" s="1437"/>
      <c r="F144" s="1450"/>
    </row>
    <row r="145" spans="1:6" ht="45">
      <c r="A145" s="1472">
        <f>A144+1</f>
        <v>2</v>
      </c>
      <c r="B145" s="1441"/>
      <c r="C145" s="1460" t="s">
        <v>2788</v>
      </c>
      <c r="F145" s="1451"/>
    </row>
    <row r="146" spans="1:6" ht="14.25" customHeight="1">
      <c r="A146" s="1472">
        <f t="shared" ref="A146:A187" si="5">A145+1</f>
        <v>3</v>
      </c>
      <c r="B146" s="1441"/>
      <c r="F146" s="1451"/>
    </row>
    <row r="147" spans="1:6" ht="15" customHeight="1">
      <c r="A147" s="1472">
        <f t="shared" si="5"/>
        <v>4</v>
      </c>
      <c r="B147" s="1441"/>
      <c r="C147" s="1444" t="s">
        <v>2752</v>
      </c>
      <c r="E147" s="1447" t="s">
        <v>2754</v>
      </c>
      <c r="F147" s="1452"/>
    </row>
    <row r="148" spans="1:6" ht="14.25" customHeight="1">
      <c r="A148" s="1472">
        <f t="shared" si="5"/>
        <v>5</v>
      </c>
      <c r="B148" s="1438"/>
      <c r="C148" s="1445" t="s">
        <v>2745</v>
      </c>
      <c r="D148" s="1471" t="s">
        <v>2803</v>
      </c>
      <c r="E148" s="1402" t="str">
        <f>"Enterprise Value in "&amp;currency.heading1</f>
        <v>Enterprise Value in INR 'Units</v>
      </c>
      <c r="F148" s="1453"/>
    </row>
    <row r="149" spans="1:6" ht="14.25" customHeight="1">
      <c r="A149" s="1472">
        <f t="shared" si="5"/>
        <v>6</v>
      </c>
      <c r="B149" s="1438"/>
      <c r="C149" s="168" t="str">
        <f>"Valify has been engaged by "&amp;Log!D12&amp;" ('Client') to run a valuation of "</f>
        <v xml:space="preserve">Valify has been engaged by Hazel Lighting India ('Client') to run a valuation of </v>
      </c>
      <c r="D149" s="1471" t="s">
        <v>2803</v>
      </c>
      <c r="F149" s="1451"/>
    </row>
    <row r="150" spans="1:6" ht="14.25" customHeight="1">
      <c r="A150" s="1472">
        <f t="shared" si="5"/>
        <v>7</v>
      </c>
      <c r="B150" s="1438"/>
      <c r="C150" s="168" t="str">
        <f>subject.name&amp;" ('Subject Company' or '"&amp;Inputs!G24&amp;"'), based on "</f>
        <v xml:space="preserve">Lazure Worldwide FZCO ('Subject Company' or 'Lazure Worldwide FZCO'), based on </v>
      </c>
      <c r="D150" s="1471" t="s">
        <v>2803</v>
      </c>
      <c r="F150" s="1451"/>
    </row>
    <row r="151" spans="1:6" ht="14.25" customHeight="1">
      <c r="A151" s="1472">
        <f t="shared" si="5"/>
        <v>8</v>
      </c>
      <c r="B151" s="1438"/>
      <c r="C151" s="168" t="str">
        <f>"the provided Management forecasts, as at "&amp;TEXT(Log!D7,"mmmm dd, yyyy")&amp;" ('Valuation Date')."</f>
        <v>the provided Management forecasts, as at September 30, 2024 ('Valuation Date').</v>
      </c>
      <c r="D151" s="1471" t="s">
        <v>2803</v>
      </c>
      <c r="F151" s="1451"/>
    </row>
    <row r="152" spans="1:6" ht="14.25" customHeight="1">
      <c r="A152" s="1472">
        <f t="shared" si="5"/>
        <v>9</v>
      </c>
      <c r="B152" s="1438"/>
      <c r="D152" s="1471" t="s">
        <v>2803</v>
      </c>
      <c r="F152" s="1451"/>
    </row>
    <row r="153" spans="1:6" ht="14.25" customHeight="1">
      <c r="A153" s="1472">
        <f t="shared" si="5"/>
        <v>10</v>
      </c>
      <c r="B153" s="1438"/>
      <c r="C153" s="168" t="str">
        <f>"Our valuation exercise has been conducted in accordance with international valuation standards "</f>
        <v xml:space="preserve">Our valuation exercise has been conducted in accordance with international valuation standards </v>
      </c>
      <c r="D153" s="1471" t="s">
        <v>2803</v>
      </c>
      <c r="F153" s="1451"/>
    </row>
    <row r="154" spans="1:6" ht="14.25" customHeight="1">
      <c r="A154" s="1472">
        <f t="shared" si="5"/>
        <v>11</v>
      </c>
      <c r="B154" s="1438"/>
      <c r="C154" s="168" t="str">
        <f>"and best practices."</f>
        <v>and best practices.</v>
      </c>
      <c r="D154" s="1471" t="s">
        <v>2803</v>
      </c>
      <c r="F154" s="1451"/>
    </row>
    <row r="155" spans="1:6" ht="14.25" customHeight="1">
      <c r="A155" s="1472">
        <f t="shared" si="5"/>
        <v>12</v>
      </c>
      <c r="B155" s="1438"/>
      <c r="D155" s="1471" t="s">
        <v>2803</v>
      </c>
      <c r="F155" s="1451"/>
    </row>
    <row r="156" spans="1:6" ht="14.25" customHeight="1">
      <c r="A156" s="1472">
        <f t="shared" si="5"/>
        <v>13</v>
      </c>
      <c r="B156" s="1438"/>
      <c r="C156" s="1445" t="s">
        <v>2750</v>
      </c>
      <c r="D156" s="1471" t="s">
        <v>2803</v>
      </c>
      <c r="F156" s="1451"/>
    </row>
    <row r="157" spans="1:6" ht="14.25" customHeight="1">
      <c r="A157" s="1472">
        <f t="shared" si="5"/>
        <v>14</v>
      </c>
      <c r="B157" s="1438"/>
      <c r="D157" s="1471" t="s">
        <v>2803</v>
      </c>
      <c r="F157" s="1451"/>
    </row>
    <row r="158" spans="1:6" ht="14.25" customHeight="1">
      <c r="A158" s="1472">
        <f t="shared" si="5"/>
        <v>15</v>
      </c>
      <c r="B158" s="1438"/>
      <c r="D158" s="1471" t="s">
        <v>2803</v>
      </c>
      <c r="F158" s="1451"/>
    </row>
    <row r="159" spans="1:6" ht="14.25" customHeight="1">
      <c r="A159" s="1472">
        <f t="shared" si="5"/>
        <v>16</v>
      </c>
      <c r="B159" s="1438"/>
      <c r="C159" s="168" t="str">
        <f>"a.   historical financial statements &amp; management accounts"</f>
        <v>a.   historical financial statements &amp; management accounts</v>
      </c>
      <c r="D159" s="1471" t="s">
        <v>2803</v>
      </c>
      <c r="F159" s="1451"/>
    </row>
    <row r="160" spans="1:6" ht="14.25" customHeight="1">
      <c r="A160" s="1472">
        <f t="shared" si="5"/>
        <v>17</v>
      </c>
      <c r="B160" s="1438"/>
      <c r="C160" s="168" t="str">
        <f>"b.   Management forecasts provided by the Valuer."</f>
        <v>b.   Management forecasts provided by the Valuer.</v>
      </c>
      <c r="D160" s="1471" t="s">
        <v>2803</v>
      </c>
      <c r="F160" s="1451"/>
    </row>
    <row r="161" spans="1:6" ht="14.25" customHeight="1">
      <c r="A161" s="1472">
        <f t="shared" si="5"/>
        <v>18</v>
      </c>
      <c r="B161" s="1438"/>
      <c r="C161" s="168" t="str">
        <f>"c.   Market data relevant to the business from reputed &amp; verified data providers."</f>
        <v>c.   Market data relevant to the business from reputed &amp; verified data providers.</v>
      </c>
      <c r="D161" s="1471" t="s">
        <v>2803</v>
      </c>
      <c r="E161" s="1448" t="s">
        <v>2763</v>
      </c>
      <c r="F161" s="1454"/>
    </row>
    <row r="162" spans="1:6" ht="14.25" customHeight="1">
      <c r="A162" s="1472">
        <f t="shared" si="5"/>
        <v>19</v>
      </c>
      <c r="B162" s="1438"/>
      <c r="D162" s="1471" t="s">
        <v>2803</v>
      </c>
      <c r="F162" s="1451"/>
    </row>
    <row r="163" spans="1:6" ht="14.25" customHeight="1">
      <c r="A163" s="1472">
        <f t="shared" si="5"/>
        <v>20</v>
      </c>
      <c r="B163" s="1438"/>
      <c r="C163" s="1445" t="s">
        <v>2751</v>
      </c>
      <c r="D163" s="1471" t="s">
        <v>2803</v>
      </c>
      <c r="F163" s="1451"/>
    </row>
    <row r="164" spans="1:6" ht="14.25" customHeight="1">
      <c r="A164" s="1472">
        <f t="shared" si="5"/>
        <v>21</v>
      </c>
      <c r="B164" s="1438"/>
      <c r="D164" s="1471" t="s">
        <v>2803</v>
      </c>
      <c r="F164" s="1451"/>
    </row>
    <row r="165" spans="1:6" ht="14.25" customHeight="1">
      <c r="A165" s="1472">
        <f t="shared" si="5"/>
        <v>22</v>
      </c>
      <c r="B165" s="1438"/>
      <c r="D165" s="1471" t="s">
        <v>2803</v>
      </c>
      <c r="F165" s="1451"/>
    </row>
    <row r="166" spans="1:6" ht="14.25" customHeight="1">
      <c r="A166" s="1472">
        <f t="shared" si="5"/>
        <v>23</v>
      </c>
      <c r="B166" s="1438"/>
      <c r="D166" s="1471" t="s">
        <v>2803</v>
      </c>
      <c r="F166" s="1451"/>
    </row>
    <row r="167" spans="1:6" ht="14.25" customHeight="1">
      <c r="A167" s="1472">
        <f t="shared" si="5"/>
        <v>24</v>
      </c>
      <c r="B167" s="1438"/>
      <c r="D167" s="1471" t="s">
        <v>2803</v>
      </c>
      <c r="F167" s="1451"/>
    </row>
    <row r="168" spans="1:6" ht="14.25" customHeight="1">
      <c r="A168" s="1472">
        <f t="shared" si="5"/>
        <v>25</v>
      </c>
      <c r="B168" s="1438"/>
      <c r="D168" s="1471" t="s">
        <v>2803</v>
      </c>
      <c r="F168" s="1451"/>
    </row>
    <row r="169" spans="1:6" ht="14.25" customHeight="1">
      <c r="A169" s="1472">
        <f t="shared" si="5"/>
        <v>26</v>
      </c>
      <c r="B169" s="1438"/>
      <c r="D169" s="1471" t="s">
        <v>2803</v>
      </c>
      <c r="F169" s="1451"/>
    </row>
    <row r="170" spans="1:6" ht="14.25" customHeight="1">
      <c r="A170" s="1472">
        <f t="shared" si="5"/>
        <v>27</v>
      </c>
      <c r="B170" s="1438"/>
      <c r="C170" s="168" t="str">
        <f>" "</f>
        <v xml:space="preserve"> </v>
      </c>
      <c r="D170" s="1471" t="s">
        <v>2803</v>
      </c>
      <c r="F170" s="1451"/>
    </row>
    <row r="171" spans="1:6" ht="14.25" customHeight="1">
      <c r="A171" s="1472">
        <f t="shared" si="5"/>
        <v>28</v>
      </c>
      <c r="B171" s="1438"/>
      <c r="D171" s="1471" t="s">
        <v>2803</v>
      </c>
      <c r="F171" s="1451"/>
    </row>
    <row r="172" spans="1:6" ht="15" customHeight="1">
      <c r="A172" s="1472">
        <f t="shared" si="5"/>
        <v>29</v>
      </c>
      <c r="B172" s="1438"/>
      <c r="C172" s="1446" t="s">
        <v>2753</v>
      </c>
      <c r="D172" s="1471" t="s">
        <v>2803</v>
      </c>
      <c r="F172" s="1451"/>
    </row>
    <row r="173" spans="1:6" ht="14.25" customHeight="1">
      <c r="A173" s="1472">
        <f t="shared" si="5"/>
        <v>30</v>
      </c>
      <c r="B173" s="1438"/>
      <c r="D173" s="1471" t="s">
        <v>2803</v>
      </c>
      <c r="E173" s="168" t="str">
        <f>"Based on the above, we arrived at Enterprise Value (“EV”) as at the Valuation Date as follows:"</f>
        <v>Based on the above, we arrived at Enterprise Value (“EV”) as at the Valuation Date as follows:</v>
      </c>
      <c r="F173" s="1451"/>
    </row>
    <row r="174" spans="1:6" ht="14.25" customHeight="1">
      <c r="A174" s="1472">
        <f t="shared" si="5"/>
        <v>31</v>
      </c>
      <c r="B174" s="1438"/>
      <c r="D174" s="1471" t="s">
        <v>2803</v>
      </c>
      <c r="E174" s="168" t="e">
        <f>"a. Management Case – between "&amp;currency.type&amp;" "&amp;MROUND(ReportData!P20,1)&amp;" "&amp;Inputs!F45&amp;" and "&amp;currency.type&amp;" "&amp;MROUND(ReportData!R20,1)&amp;" "&amp;Inputs!F45&amp;";"</f>
        <v>#REF!</v>
      </c>
      <c r="F174" s="1455"/>
    </row>
    <row r="175" spans="1:6" ht="14.25" customHeight="1">
      <c r="A175" s="1472">
        <f t="shared" si="5"/>
        <v>32</v>
      </c>
      <c r="B175" s="1438"/>
      <c r="D175" s="1471" t="s">
        <v>2803</v>
      </c>
      <c r="E175" s="168" t="str">
        <f>"a. Valify Case – between "&amp;currency.type&amp;" "&amp;MROUND(ReportData!P21,1)&amp;" "&amp;Inputs!F45&amp;" and "&amp;currency.type&amp;" "&amp;MROUND(ReportData!R21,1)&amp;" "&amp;Inputs!F45&amp;";"</f>
        <v>a. Valify Case – between INR 0  and INR 0 ;</v>
      </c>
      <c r="F175" s="1455"/>
    </row>
    <row r="176" spans="1:6" ht="14.25" customHeight="1">
      <c r="A176" s="1472">
        <f t="shared" si="5"/>
        <v>33</v>
      </c>
      <c r="B176" s="1438"/>
      <c r="D176" s="1471" t="s">
        <v>2803</v>
      </c>
      <c r="F176" s="1451"/>
    </row>
    <row r="177" spans="1:6" ht="14.25" customHeight="1">
      <c r="A177" s="1472">
        <f t="shared" si="5"/>
        <v>34</v>
      </c>
      <c r="B177" s="1438"/>
      <c r="C177" s="168" t="str">
        <f>"-&gt; "&amp;Inputs!G26&amp;"."</f>
        <v>-&gt; DCF Method, Transaction Multiples Method, &amp; Market Multiples Method.</v>
      </c>
      <c r="D177" s="1471" t="s">
        <v>2803</v>
      </c>
      <c r="F177" s="1451"/>
    </row>
    <row r="178" spans="1:6" ht="14.25" customHeight="1">
      <c r="A178" s="1472">
        <f t="shared" si="5"/>
        <v>35</v>
      </c>
      <c r="B178" s="1438"/>
      <c r="D178" s="1471" t="s">
        <v>2803</v>
      </c>
      <c r="E178" s="1449"/>
      <c r="F178" s="1455"/>
    </row>
    <row r="179" spans="1:6" ht="14.25" customHeight="1">
      <c r="A179" s="1472">
        <f t="shared" si="5"/>
        <v>36</v>
      </c>
      <c r="B179" s="1438"/>
      <c r="D179" s="1471" t="s">
        <v>2803</v>
      </c>
      <c r="F179" s="1451"/>
    </row>
    <row r="180" spans="1:6" ht="14.25" customHeight="1">
      <c r="A180" s="1472">
        <f t="shared" si="5"/>
        <v>37</v>
      </c>
      <c r="B180" s="1438"/>
      <c r="D180" s="1471" t="s">
        <v>2803</v>
      </c>
      <c r="E180" s="168" t="str">
        <f>"We have corroborated our implied EV/EBITDA with the market and we noted the implied "</f>
        <v xml:space="preserve">We have corroborated our implied EV/EBITDA with the market and we noted the implied </v>
      </c>
      <c r="F180" s="1455"/>
    </row>
    <row r="181" spans="1:6" ht="14.25" customHeight="1">
      <c r="A181" s="1472">
        <f t="shared" si="5"/>
        <v>38</v>
      </c>
      <c r="B181" s="1438"/>
      <c r="D181" s="1471" t="s">
        <v>2803</v>
      </c>
      <c r="E181" s="168" t="str">
        <f>"multiple ranges between "&amp;ValSum!D76&amp;"x to "&amp;ValSum!F76&amp;"x, which corroborates with market multiple of "&amp;ValSum!D67&amp;"x to "&amp;ValSum!G67&amp;"x"</f>
        <v>multiple ranges between x to x, which corroborates with market multiple of x to x</v>
      </c>
      <c r="F181" s="1451"/>
    </row>
    <row r="182" spans="1:6" ht="14.25" customHeight="1">
      <c r="A182" s="1472">
        <f t="shared" si="5"/>
        <v>39</v>
      </c>
      <c r="B182" s="1438"/>
      <c r="D182" s="1471" t="s">
        <v>2803</v>
      </c>
      <c r="E182" s="168" t="str">
        <f>"obtained from available data of comparable companies."</f>
        <v>obtained from available data of comparable companies.</v>
      </c>
      <c r="F182" s="1451"/>
    </row>
    <row r="183" spans="1:6" ht="14.25" customHeight="1">
      <c r="A183" s="1472">
        <f t="shared" si="5"/>
        <v>40</v>
      </c>
      <c r="B183" s="1438"/>
      <c r="D183" s="1471"/>
      <c r="F183" s="1451"/>
    </row>
    <row r="184" spans="1:6" ht="14.25" customHeight="1">
      <c r="A184" s="1472">
        <f t="shared" si="5"/>
        <v>41</v>
      </c>
      <c r="B184" s="1438"/>
      <c r="D184" s="1471"/>
      <c r="F184" s="1451"/>
    </row>
    <row r="185" spans="1:6" ht="14.25" customHeight="1">
      <c r="A185" s="1472">
        <f t="shared" si="5"/>
        <v>42</v>
      </c>
      <c r="B185" s="1438"/>
      <c r="D185" s="1471"/>
      <c r="F185" s="1451"/>
    </row>
    <row r="186" spans="1:6" ht="14.25" customHeight="1">
      <c r="A186" s="1472">
        <f t="shared" si="5"/>
        <v>43</v>
      </c>
      <c r="B186" s="1438"/>
      <c r="D186" s="1471"/>
      <c r="F186" s="1451"/>
    </row>
    <row r="187" spans="1:6" ht="14.25" customHeight="1">
      <c r="A187" s="1472">
        <f t="shared" si="5"/>
        <v>44</v>
      </c>
      <c r="B187" s="1439"/>
      <c r="C187" s="1440"/>
      <c r="D187" s="1440"/>
      <c r="E187" s="1440"/>
      <c r="F187" s="1456"/>
    </row>
    <row r="188" spans="1:6" ht="14.25" customHeight="1"/>
    <row r="189" spans="1:6" ht="14.25" customHeight="1">
      <c r="A189" s="1402" t="s">
        <v>2764</v>
      </c>
      <c r="B189" s="1402"/>
      <c r="E189" s="1494"/>
    </row>
    <row r="190" spans="1:6" ht="14.25" customHeight="1">
      <c r="A190" s="1402"/>
      <c r="B190" s="1402"/>
    </row>
    <row r="191" spans="1:6" ht="14.25" customHeight="1">
      <c r="A191" s="1473">
        <v>1</v>
      </c>
      <c r="B191" s="1436"/>
      <c r="C191" s="1437"/>
      <c r="D191" s="1437"/>
      <c r="E191" s="1437"/>
      <c r="F191" s="1450"/>
    </row>
    <row r="192" spans="1:6" ht="45">
      <c r="A192" s="1473">
        <v>2</v>
      </c>
      <c r="B192" s="1441"/>
      <c r="C192" s="1460" t="s">
        <v>2789</v>
      </c>
      <c r="F192" s="1451"/>
    </row>
    <row r="193" spans="1:6" ht="14.25" customHeight="1">
      <c r="A193" s="1473">
        <v>3</v>
      </c>
      <c r="B193" s="1441"/>
      <c r="F193" s="1451"/>
    </row>
    <row r="194" spans="1:6" ht="14.25" customHeight="1">
      <c r="A194" s="1473">
        <v>4</v>
      </c>
      <c r="B194" s="1438"/>
      <c r="F194" s="1452"/>
    </row>
    <row r="195" spans="1:6" ht="15" customHeight="1">
      <c r="A195" s="1473">
        <v>5</v>
      </c>
      <c r="B195" s="1438"/>
      <c r="C195" s="1444" t="s">
        <v>2765</v>
      </c>
      <c r="E195" s="1457" t="s">
        <v>2767</v>
      </c>
      <c r="F195" s="1451"/>
    </row>
    <row r="196" spans="1:6" ht="14.25" customHeight="1">
      <c r="A196" s="1473">
        <v>6</v>
      </c>
      <c r="B196" s="1438"/>
      <c r="D196" s="1471" t="s">
        <v>2803</v>
      </c>
      <c r="F196" s="1451"/>
    </row>
    <row r="197" spans="1:6" ht="14.25" customHeight="1">
      <c r="A197" s="1473">
        <f>A196+1</f>
        <v>7</v>
      </c>
      <c r="B197" s="1438"/>
      <c r="D197" s="1471" t="s">
        <v>2803</v>
      </c>
      <c r="F197" s="1451"/>
    </row>
    <row r="198" spans="1:6" ht="14.25" customHeight="1">
      <c r="A198" s="1473">
        <f t="shared" ref="A198:A234" si="6">A197+1</f>
        <v>8</v>
      </c>
      <c r="B198" s="1438"/>
      <c r="D198" s="1471" t="s">
        <v>2803</v>
      </c>
      <c r="F198" s="1451"/>
    </row>
    <row r="199" spans="1:6" ht="14.25" customHeight="1">
      <c r="A199" s="1473">
        <f t="shared" si="6"/>
        <v>9</v>
      </c>
      <c r="B199" s="1438"/>
      <c r="D199" s="1471" t="s">
        <v>2803</v>
      </c>
      <c r="F199" s="1451"/>
    </row>
    <row r="200" spans="1:6" ht="14.25" customHeight="1">
      <c r="A200" s="1473">
        <f t="shared" si="6"/>
        <v>10</v>
      </c>
      <c r="B200" s="1438"/>
      <c r="C200" s="1492" t="s">
        <v>2820</v>
      </c>
      <c r="D200" s="1471" t="s">
        <v>2803</v>
      </c>
      <c r="F200" s="1451"/>
    </row>
    <row r="201" spans="1:6" ht="14.25" customHeight="1">
      <c r="A201" s="1473">
        <f t="shared" si="6"/>
        <v>11</v>
      </c>
      <c r="B201" s="1438"/>
      <c r="D201" s="1471" t="s">
        <v>2803</v>
      </c>
      <c r="F201" s="1451"/>
    </row>
    <row r="202" spans="1:6" ht="14.25" customHeight="1">
      <c r="A202" s="1473">
        <f t="shared" si="6"/>
        <v>12</v>
      </c>
      <c r="B202" s="1438"/>
      <c r="D202" s="1471" t="s">
        <v>2803</v>
      </c>
      <c r="F202" s="1451"/>
    </row>
    <row r="203" spans="1:6" ht="14.25" customHeight="1">
      <c r="A203" s="1473">
        <f t="shared" si="6"/>
        <v>13</v>
      </c>
      <c r="B203" s="1438"/>
      <c r="D203" s="1471" t="s">
        <v>2803</v>
      </c>
      <c r="F203" s="1451"/>
    </row>
    <row r="204" spans="1:6" ht="14.25" customHeight="1">
      <c r="A204" s="1473">
        <f t="shared" si="6"/>
        <v>14</v>
      </c>
      <c r="B204" s="1438"/>
      <c r="D204" s="1471" t="s">
        <v>2803</v>
      </c>
      <c r="F204" s="1451"/>
    </row>
    <row r="205" spans="1:6" ht="14.25" customHeight="1">
      <c r="A205" s="1473">
        <f t="shared" si="6"/>
        <v>15</v>
      </c>
      <c r="B205" s="1438"/>
      <c r="D205" s="1471" t="s">
        <v>2803</v>
      </c>
      <c r="F205" s="1451"/>
    </row>
    <row r="206" spans="1:6" ht="14.25" customHeight="1">
      <c r="A206" s="1473">
        <f t="shared" si="6"/>
        <v>16</v>
      </c>
      <c r="B206" s="1438"/>
      <c r="D206" s="1471" t="s">
        <v>2803</v>
      </c>
      <c r="F206" s="1451"/>
    </row>
    <row r="207" spans="1:6" ht="14.25" customHeight="1">
      <c r="A207" s="1473">
        <f t="shared" si="6"/>
        <v>17</v>
      </c>
      <c r="B207" s="1438"/>
      <c r="D207" s="1471" t="s">
        <v>2803</v>
      </c>
      <c r="F207" s="1451"/>
    </row>
    <row r="208" spans="1:6" ht="14.25" customHeight="1">
      <c r="A208" s="1473">
        <f t="shared" si="6"/>
        <v>18</v>
      </c>
      <c r="B208" s="1438"/>
      <c r="D208" s="1471" t="s">
        <v>2803</v>
      </c>
      <c r="F208" s="1451"/>
    </row>
    <row r="209" spans="1:6" ht="14.25" customHeight="1">
      <c r="A209" s="1473">
        <f t="shared" si="6"/>
        <v>19</v>
      </c>
      <c r="B209" s="1438"/>
      <c r="D209" s="1471" t="s">
        <v>2803</v>
      </c>
      <c r="F209" s="1451"/>
    </row>
    <row r="210" spans="1:6" ht="14.25" customHeight="1">
      <c r="A210" s="1473">
        <f t="shared" si="6"/>
        <v>20</v>
      </c>
      <c r="B210" s="1438"/>
      <c r="D210" s="1471" t="s">
        <v>2803</v>
      </c>
      <c r="F210" s="1451"/>
    </row>
    <row r="211" spans="1:6" ht="14.25" customHeight="1">
      <c r="A211" s="1473">
        <f t="shared" si="6"/>
        <v>21</v>
      </c>
      <c r="B211" s="1438"/>
      <c r="D211" s="1471" t="s">
        <v>2803</v>
      </c>
      <c r="F211" s="1451"/>
    </row>
    <row r="212" spans="1:6" ht="12" customHeight="1">
      <c r="A212" s="1473">
        <f t="shared" si="6"/>
        <v>22</v>
      </c>
      <c r="B212" s="1438"/>
      <c r="F212" s="1452"/>
    </row>
    <row r="213" spans="1:6" ht="15" customHeight="1">
      <c r="A213" s="1473">
        <f t="shared" si="6"/>
        <v>23</v>
      </c>
      <c r="B213" s="1438"/>
      <c r="C213" s="1446" t="s">
        <v>2766</v>
      </c>
      <c r="D213" s="1471" t="s">
        <v>2803</v>
      </c>
      <c r="E213" s="1447" t="s">
        <v>2768</v>
      </c>
      <c r="F213" s="1459"/>
    </row>
    <row r="214" spans="1:6" ht="14.25" customHeight="1">
      <c r="A214" s="1473">
        <f t="shared" si="6"/>
        <v>24</v>
      </c>
      <c r="B214" s="1438"/>
      <c r="D214" s="1471" t="s">
        <v>2803</v>
      </c>
      <c r="E214" s="1458" t="s">
        <v>2769</v>
      </c>
      <c r="F214" s="1451"/>
    </row>
    <row r="215" spans="1:6" ht="14.25" customHeight="1">
      <c r="A215" s="1473">
        <f t="shared" si="6"/>
        <v>25</v>
      </c>
      <c r="B215" s="1438"/>
      <c r="C215" s="1492" t="s">
        <v>2824</v>
      </c>
      <c r="D215" s="1471" t="s">
        <v>2803</v>
      </c>
      <c r="F215" s="1451"/>
    </row>
    <row r="216" spans="1:6" ht="14.25" customHeight="1">
      <c r="A216" s="1473">
        <f t="shared" si="6"/>
        <v>26</v>
      </c>
      <c r="B216" s="1438"/>
      <c r="D216" s="1471" t="s">
        <v>2803</v>
      </c>
      <c r="F216" s="1451"/>
    </row>
    <row r="217" spans="1:6" ht="14.25" customHeight="1">
      <c r="A217" s="1473">
        <f t="shared" si="6"/>
        <v>27</v>
      </c>
      <c r="B217" s="1438"/>
      <c r="D217" s="1471" t="s">
        <v>2803</v>
      </c>
      <c r="F217" s="1451"/>
    </row>
    <row r="218" spans="1:6" ht="14.25" customHeight="1">
      <c r="A218" s="1473">
        <f t="shared" si="6"/>
        <v>28</v>
      </c>
      <c r="B218" s="1438"/>
      <c r="C218" s="1492" t="s">
        <v>2825</v>
      </c>
      <c r="D218" s="1471" t="s">
        <v>2803</v>
      </c>
      <c r="F218" s="1459"/>
    </row>
    <row r="219" spans="1:6" ht="14.25" customHeight="1">
      <c r="A219" s="1473">
        <f t="shared" si="6"/>
        <v>29</v>
      </c>
      <c r="B219" s="1438"/>
      <c r="D219" s="1471" t="s">
        <v>2803</v>
      </c>
      <c r="E219" s="1458" t="s">
        <v>2770</v>
      </c>
      <c r="F219" s="1451"/>
    </row>
    <row r="220" spans="1:6" ht="14.25" customHeight="1">
      <c r="A220" s="1473">
        <f t="shared" si="6"/>
        <v>30</v>
      </c>
      <c r="B220" s="1438"/>
      <c r="D220" s="1471" t="s">
        <v>2803</v>
      </c>
      <c r="F220" s="1451"/>
    </row>
    <row r="221" spans="1:6" ht="14.25" customHeight="1">
      <c r="A221" s="1473">
        <f t="shared" si="6"/>
        <v>31</v>
      </c>
      <c r="B221" s="1438"/>
      <c r="D221" s="1471" t="s">
        <v>2803</v>
      </c>
      <c r="F221" s="1451"/>
    </row>
    <row r="222" spans="1:6" ht="14.25" customHeight="1">
      <c r="A222" s="1473">
        <f t="shared" si="6"/>
        <v>32</v>
      </c>
      <c r="B222" s="1438"/>
      <c r="D222" s="1471" t="s">
        <v>2803</v>
      </c>
      <c r="F222" s="1451"/>
    </row>
    <row r="223" spans="1:6" ht="14.25" customHeight="1">
      <c r="A223" s="1473">
        <f t="shared" si="6"/>
        <v>33</v>
      </c>
      <c r="B223" s="1438"/>
      <c r="D223" s="1471" t="s">
        <v>2803</v>
      </c>
      <c r="F223" s="1451"/>
    </row>
    <row r="224" spans="1:6" ht="14.25" customHeight="1">
      <c r="A224" s="1473">
        <f t="shared" si="6"/>
        <v>34</v>
      </c>
      <c r="B224" s="1438"/>
      <c r="C224" s="1492" t="s">
        <v>2821</v>
      </c>
      <c r="D224" s="1471" t="s">
        <v>2803</v>
      </c>
      <c r="F224" s="1451"/>
    </row>
    <row r="225" spans="1:6" ht="14.25" customHeight="1">
      <c r="A225" s="1473">
        <f t="shared" si="6"/>
        <v>35</v>
      </c>
      <c r="B225" s="1438"/>
      <c r="C225" s="168" t="str">
        <f>Log!I21</f>
        <v xml:space="preserve">The Company primarily operates in India and India. </v>
      </c>
      <c r="D225" s="1471" t="s">
        <v>2803</v>
      </c>
      <c r="F225" s="1451"/>
    </row>
    <row r="226" spans="1:6" ht="14.25" customHeight="1">
      <c r="A226" s="1473">
        <f t="shared" si="6"/>
        <v>36</v>
      </c>
      <c r="B226" s="1438"/>
      <c r="C226" s="168" t="s">
        <v>2823</v>
      </c>
      <c r="D226" s="1471" t="s">
        <v>2803</v>
      </c>
      <c r="F226" s="1451"/>
    </row>
    <row r="227" spans="1:6" ht="14.25" customHeight="1">
      <c r="A227" s="1473">
        <f t="shared" si="6"/>
        <v>37</v>
      </c>
      <c r="B227" s="1438"/>
      <c r="D227" s="1471" t="s">
        <v>2803</v>
      </c>
      <c r="F227" s="1451"/>
    </row>
    <row r="228" spans="1:6" ht="14.25" customHeight="1">
      <c r="A228" s="1473">
        <f t="shared" si="6"/>
        <v>38</v>
      </c>
      <c r="B228" s="1438"/>
      <c r="C228" s="1492" t="s">
        <v>2828</v>
      </c>
      <c r="D228" s="1471" t="s">
        <v>2803</v>
      </c>
      <c r="F228" s="1451"/>
    </row>
    <row r="229" spans="1:6" ht="14.25" customHeight="1">
      <c r="A229" s="1473">
        <f t="shared" si="6"/>
        <v>39</v>
      </c>
      <c r="B229" s="1438"/>
      <c r="D229" s="1471" t="s">
        <v>2803</v>
      </c>
      <c r="F229" s="1451"/>
    </row>
    <row r="230" spans="1:6" ht="14.25" customHeight="1">
      <c r="A230" s="1473">
        <f t="shared" si="6"/>
        <v>40</v>
      </c>
      <c r="B230" s="1438"/>
      <c r="D230" s="1471"/>
      <c r="F230" s="1451"/>
    </row>
    <row r="231" spans="1:6" ht="14.25" customHeight="1">
      <c r="A231" s="1473">
        <f t="shared" si="6"/>
        <v>41</v>
      </c>
      <c r="B231" s="1438"/>
      <c r="D231" s="1471"/>
      <c r="F231" s="1451"/>
    </row>
    <row r="232" spans="1:6" ht="14.25" customHeight="1">
      <c r="A232" s="1473">
        <f t="shared" si="6"/>
        <v>42</v>
      </c>
      <c r="B232" s="1438"/>
      <c r="D232" s="1471"/>
      <c r="F232" s="1451"/>
    </row>
    <row r="233" spans="1:6" ht="14.25" customHeight="1">
      <c r="A233" s="1473">
        <f t="shared" si="6"/>
        <v>43</v>
      </c>
      <c r="B233" s="1438"/>
      <c r="D233" s="1471"/>
      <c r="F233" s="1451"/>
    </row>
    <row r="234" spans="1:6" ht="14.25" customHeight="1">
      <c r="A234" s="1473">
        <f t="shared" si="6"/>
        <v>44</v>
      </c>
      <c r="B234" s="1439"/>
      <c r="C234" s="1440"/>
      <c r="D234" s="1440"/>
      <c r="E234" s="1440"/>
      <c r="F234" s="1456"/>
    </row>
    <row r="235" spans="1:6" ht="14.25" customHeight="1"/>
    <row r="236" spans="1:6" ht="14.25" customHeight="1"/>
    <row r="237" spans="1:6" ht="14.25" customHeight="1">
      <c r="A237" s="1402" t="s">
        <v>2787</v>
      </c>
    </row>
    <row r="238" spans="1:6" ht="14.25" customHeight="1"/>
    <row r="239" spans="1:6" ht="14.25" customHeight="1">
      <c r="A239" s="1473">
        <v>1</v>
      </c>
      <c r="B239" s="1463"/>
      <c r="C239" s="1437"/>
      <c r="D239" s="1437"/>
      <c r="E239" s="1437"/>
      <c r="F239" s="1450"/>
    </row>
    <row r="240" spans="1:6" ht="45">
      <c r="A240" s="1473">
        <v>2</v>
      </c>
      <c r="B240" s="1438"/>
      <c r="C240" s="1460" t="s">
        <v>2790</v>
      </c>
      <c r="F240" s="1451"/>
    </row>
    <row r="241" spans="1:6" ht="14.25" customHeight="1">
      <c r="A241" s="1473">
        <v>3</v>
      </c>
      <c r="B241" s="1438"/>
      <c r="F241" s="1451"/>
    </row>
    <row r="242" spans="1:6" ht="14.25" customHeight="1">
      <c r="A242" s="1473">
        <v>4</v>
      </c>
      <c r="B242" s="1438"/>
      <c r="F242" s="1451"/>
    </row>
    <row r="243" spans="1:6" ht="14.25" customHeight="1">
      <c r="A243" s="1473">
        <v>5</v>
      </c>
      <c r="B243" s="1438"/>
      <c r="C243" s="1464"/>
      <c r="D243" s="1465" t="s">
        <v>2502</v>
      </c>
      <c r="E243" s="1464"/>
      <c r="F243" s="1451"/>
    </row>
    <row r="244" spans="1:6" ht="14.25" customHeight="1">
      <c r="A244" s="1473">
        <v>6</v>
      </c>
      <c r="B244" s="1438"/>
      <c r="F244" s="1451"/>
    </row>
    <row r="245" spans="1:6" ht="14.25" customHeight="1">
      <c r="A245" s="1473">
        <f>A244+1</f>
        <v>7</v>
      </c>
      <c r="B245" s="1438"/>
      <c r="F245" s="1451"/>
    </row>
    <row r="246" spans="1:6" ht="14.25" customHeight="1">
      <c r="A246" s="1473">
        <f t="shared" ref="A246:A282" si="7">A245+1</f>
        <v>8</v>
      </c>
      <c r="B246" s="1438"/>
      <c r="C246" s="1824"/>
      <c r="D246" s="1824"/>
      <c r="E246" s="1824"/>
      <c r="F246" s="1451"/>
    </row>
    <row r="247" spans="1:6" ht="14.25" customHeight="1">
      <c r="A247" s="1473">
        <f t="shared" si="7"/>
        <v>9</v>
      </c>
      <c r="B247" s="1438"/>
      <c r="F247" s="1451"/>
    </row>
    <row r="248" spans="1:6" ht="14.25" customHeight="1">
      <c r="A248" s="1473">
        <f t="shared" si="7"/>
        <v>10</v>
      </c>
      <c r="B248" s="1438"/>
      <c r="F248" s="1451"/>
    </row>
    <row r="249" spans="1:6" ht="14.25" customHeight="1">
      <c r="A249" s="1473">
        <f t="shared" si="7"/>
        <v>11</v>
      </c>
      <c r="B249" s="1438"/>
      <c r="F249" s="1451"/>
    </row>
    <row r="250" spans="1:6" ht="14.25" customHeight="1">
      <c r="A250" s="1473">
        <f t="shared" si="7"/>
        <v>12</v>
      </c>
      <c r="B250" s="1438"/>
      <c r="F250" s="1451"/>
    </row>
    <row r="251" spans="1:6" ht="14.25" customHeight="1">
      <c r="A251" s="1473">
        <f t="shared" si="7"/>
        <v>13</v>
      </c>
      <c r="B251" s="1438"/>
      <c r="F251" s="1451"/>
    </row>
    <row r="252" spans="1:6" ht="14.25" customHeight="1">
      <c r="A252" s="1473">
        <f t="shared" si="7"/>
        <v>14</v>
      </c>
      <c r="B252" s="1438"/>
      <c r="F252" s="1451"/>
    </row>
    <row r="253" spans="1:6" ht="14.25" customHeight="1">
      <c r="A253" s="1473">
        <f t="shared" si="7"/>
        <v>15</v>
      </c>
      <c r="B253" s="1438"/>
      <c r="F253" s="1451"/>
    </row>
    <row r="254" spans="1:6" ht="14.25" customHeight="1">
      <c r="A254" s="1473">
        <f t="shared" si="7"/>
        <v>16</v>
      </c>
      <c r="B254" s="1438"/>
      <c r="F254" s="1451"/>
    </row>
    <row r="255" spans="1:6" ht="14.25" customHeight="1">
      <c r="A255" s="1473">
        <f t="shared" si="7"/>
        <v>17</v>
      </c>
      <c r="B255" s="1438"/>
      <c r="F255" s="1451"/>
    </row>
    <row r="256" spans="1:6" ht="14.25" customHeight="1">
      <c r="A256" s="1473">
        <f t="shared" si="7"/>
        <v>18</v>
      </c>
      <c r="B256" s="1438"/>
      <c r="F256" s="1451"/>
    </row>
    <row r="257" spans="1:6" ht="14.25" customHeight="1">
      <c r="A257" s="1473">
        <f t="shared" si="7"/>
        <v>19</v>
      </c>
      <c r="B257" s="1438"/>
      <c r="F257" s="1451"/>
    </row>
    <row r="258" spans="1:6" ht="14.25" customHeight="1">
      <c r="A258" s="1473">
        <f t="shared" si="7"/>
        <v>20</v>
      </c>
      <c r="B258" s="1438"/>
      <c r="F258" s="1451"/>
    </row>
    <row r="259" spans="1:6" ht="14.25" customHeight="1">
      <c r="A259" s="1473">
        <f t="shared" si="7"/>
        <v>21</v>
      </c>
      <c r="B259" s="1438"/>
      <c r="F259" s="1451"/>
    </row>
    <row r="260" spans="1:6" ht="14.25" customHeight="1">
      <c r="A260" s="1473">
        <f t="shared" si="7"/>
        <v>22</v>
      </c>
      <c r="B260" s="1438"/>
      <c r="F260" s="1451"/>
    </row>
    <row r="261" spans="1:6" ht="14.25" customHeight="1">
      <c r="A261" s="1473">
        <f t="shared" si="7"/>
        <v>23</v>
      </c>
      <c r="B261" s="1438"/>
      <c r="F261" s="1451"/>
    </row>
    <row r="262" spans="1:6" ht="14.25" customHeight="1">
      <c r="A262" s="1473">
        <f t="shared" si="7"/>
        <v>24</v>
      </c>
      <c r="B262" s="1438"/>
      <c r="C262" s="168" t="s">
        <v>2791</v>
      </c>
      <c r="F262" s="1451"/>
    </row>
    <row r="263" spans="1:6" ht="14.25" customHeight="1">
      <c r="A263" s="1473">
        <f t="shared" si="7"/>
        <v>25</v>
      </c>
      <c r="B263" s="1438"/>
      <c r="F263" s="1451"/>
    </row>
    <row r="264" spans="1:6" ht="14.25" customHeight="1">
      <c r="A264" s="1473">
        <f t="shared" si="7"/>
        <v>26</v>
      </c>
      <c r="B264" s="1438"/>
      <c r="F264" s="1451"/>
    </row>
    <row r="265" spans="1:6" ht="14.25" customHeight="1">
      <c r="A265" s="1473">
        <f t="shared" si="7"/>
        <v>27</v>
      </c>
      <c r="B265" s="1438"/>
      <c r="F265" s="1451"/>
    </row>
    <row r="266" spans="1:6" ht="14.25" customHeight="1">
      <c r="A266" s="1473">
        <f t="shared" si="7"/>
        <v>28</v>
      </c>
      <c r="B266" s="1438"/>
      <c r="F266" s="1451"/>
    </row>
    <row r="267" spans="1:6" ht="14.25" customHeight="1">
      <c r="A267" s="1473">
        <f t="shared" si="7"/>
        <v>29</v>
      </c>
      <c r="B267" s="1438"/>
      <c r="F267" s="1451"/>
    </row>
    <row r="268" spans="1:6" ht="14.25" customHeight="1">
      <c r="A268" s="1473">
        <f t="shared" si="7"/>
        <v>30</v>
      </c>
      <c r="B268" s="1438"/>
      <c r="F268" s="1451"/>
    </row>
    <row r="269" spans="1:6" ht="14.25" customHeight="1">
      <c r="A269" s="1473">
        <f t="shared" si="7"/>
        <v>31</v>
      </c>
      <c r="B269" s="1438"/>
      <c r="F269" s="1451"/>
    </row>
    <row r="270" spans="1:6" ht="14.25" customHeight="1">
      <c r="A270" s="1473">
        <f t="shared" si="7"/>
        <v>32</v>
      </c>
      <c r="B270" s="1438"/>
      <c r="F270" s="1451"/>
    </row>
    <row r="271" spans="1:6" ht="14.25" customHeight="1">
      <c r="A271" s="1473">
        <f t="shared" si="7"/>
        <v>33</v>
      </c>
      <c r="B271" s="1438"/>
      <c r="F271" s="1451"/>
    </row>
    <row r="272" spans="1:6" ht="14.25" customHeight="1">
      <c r="A272" s="1473">
        <f t="shared" si="7"/>
        <v>34</v>
      </c>
      <c r="B272" s="1438"/>
      <c r="F272" s="1451"/>
    </row>
    <row r="273" spans="1:6" ht="14.25" customHeight="1">
      <c r="A273" s="1473">
        <f t="shared" si="7"/>
        <v>35</v>
      </c>
      <c r="B273" s="1438"/>
      <c r="F273" s="1451"/>
    </row>
    <row r="274" spans="1:6" ht="14.25" customHeight="1">
      <c r="A274" s="1473">
        <f t="shared" si="7"/>
        <v>36</v>
      </c>
      <c r="B274" s="1438"/>
      <c r="F274" s="1451"/>
    </row>
    <row r="275" spans="1:6" ht="14.25" customHeight="1">
      <c r="A275" s="1473">
        <f t="shared" si="7"/>
        <v>37</v>
      </c>
      <c r="B275" s="1438"/>
      <c r="F275" s="1451"/>
    </row>
    <row r="276" spans="1:6" ht="14.25" customHeight="1">
      <c r="A276" s="1473">
        <f t="shared" si="7"/>
        <v>38</v>
      </c>
      <c r="B276" s="1438"/>
      <c r="F276" s="1451"/>
    </row>
    <row r="277" spans="1:6" ht="14.25" customHeight="1">
      <c r="A277" s="1473">
        <f t="shared" si="7"/>
        <v>39</v>
      </c>
      <c r="B277" s="1438"/>
      <c r="F277" s="1451"/>
    </row>
    <row r="278" spans="1:6" ht="14.25" customHeight="1">
      <c r="A278" s="1473">
        <f t="shared" si="7"/>
        <v>40</v>
      </c>
      <c r="B278" s="1438"/>
      <c r="F278" s="1451"/>
    </row>
    <row r="279" spans="1:6" ht="14.25" customHeight="1">
      <c r="A279" s="1473">
        <f t="shared" si="7"/>
        <v>41</v>
      </c>
      <c r="B279" s="1438"/>
      <c r="F279" s="1451"/>
    </row>
    <row r="280" spans="1:6" ht="14.25" customHeight="1">
      <c r="A280" s="1473">
        <f t="shared" si="7"/>
        <v>42</v>
      </c>
      <c r="B280" s="1438"/>
      <c r="F280" s="1451"/>
    </row>
    <row r="281" spans="1:6" ht="14.25" customHeight="1">
      <c r="A281" s="1473">
        <f t="shared" si="7"/>
        <v>43</v>
      </c>
      <c r="B281" s="1438"/>
      <c r="F281" s="1451"/>
    </row>
    <row r="282" spans="1:6" ht="14.25" customHeight="1">
      <c r="A282" s="1473">
        <f t="shared" si="7"/>
        <v>44</v>
      </c>
      <c r="B282" s="1439"/>
      <c r="C282" s="1440"/>
      <c r="D282" s="1440"/>
      <c r="E282" s="1440"/>
      <c r="F282" s="1456"/>
    </row>
    <row r="283" spans="1:6" ht="14.25" customHeight="1"/>
    <row r="284" spans="1:6" ht="14.25" customHeight="1">
      <c r="A284" s="1402" t="s">
        <v>2792</v>
      </c>
    </row>
    <row r="285" spans="1:6" ht="14.25" customHeight="1"/>
    <row r="286" spans="1:6" ht="14.25" customHeight="1">
      <c r="A286" s="1473">
        <v>1</v>
      </c>
      <c r="B286" s="1463"/>
      <c r="C286" s="1437"/>
      <c r="D286" s="1437"/>
      <c r="E286" s="1437"/>
      <c r="F286" s="1450"/>
    </row>
    <row r="287" spans="1:6" ht="45">
      <c r="A287" s="1473">
        <v>2</v>
      </c>
      <c r="B287" s="1438"/>
      <c r="C287" s="1460" t="s">
        <v>2722</v>
      </c>
      <c r="F287" s="1451"/>
    </row>
    <row r="288" spans="1:6" ht="14.25" customHeight="1">
      <c r="A288" s="1473">
        <v>3</v>
      </c>
      <c r="B288" s="1438"/>
      <c r="D288" s="1471" t="s">
        <v>2803</v>
      </c>
      <c r="F288" s="1451"/>
    </row>
    <row r="289" spans="1:6" ht="14.25" customHeight="1">
      <c r="A289" s="1473">
        <v>4</v>
      </c>
      <c r="B289" s="1438"/>
      <c r="D289" s="1471" t="s">
        <v>2803</v>
      </c>
      <c r="F289" s="1451"/>
    </row>
    <row r="290" spans="1:6" ht="14.25" customHeight="1">
      <c r="A290" s="1473">
        <v>5</v>
      </c>
      <c r="B290" s="1438"/>
      <c r="C290" s="1467" t="s">
        <v>2289</v>
      </c>
      <c r="D290" s="1471" t="s">
        <v>2803</v>
      </c>
      <c r="E290" s="1468" t="s">
        <v>1841</v>
      </c>
      <c r="F290" s="1451"/>
    </row>
    <row r="291" spans="1:6" ht="14.25" customHeight="1">
      <c r="A291" s="1473">
        <v>6</v>
      </c>
      <c r="B291" s="1438"/>
      <c r="D291" s="1471" t="s">
        <v>2803</v>
      </c>
      <c r="F291" s="1451"/>
    </row>
    <row r="292" spans="1:6" ht="14.25" customHeight="1">
      <c r="A292" s="1473">
        <f>A291+1</f>
        <v>7</v>
      </c>
      <c r="B292" s="1438"/>
      <c r="D292" s="1471" t="s">
        <v>2803</v>
      </c>
      <c r="F292" s="1451"/>
    </row>
    <row r="293" spans="1:6" ht="14.25" customHeight="1">
      <c r="A293" s="1473">
        <f t="shared" ref="A293:A329" si="8">A292+1</f>
        <v>8</v>
      </c>
      <c r="B293" s="1438"/>
      <c r="D293" s="1471" t="s">
        <v>2803</v>
      </c>
      <c r="F293" s="1451"/>
    </row>
    <row r="294" spans="1:6" ht="14.25" customHeight="1">
      <c r="A294" s="1473">
        <f t="shared" si="8"/>
        <v>9</v>
      </c>
      <c r="B294" s="1438"/>
      <c r="D294" s="1471" t="s">
        <v>2803</v>
      </c>
      <c r="F294" s="1451"/>
    </row>
    <row r="295" spans="1:6" ht="14.25" customHeight="1">
      <c r="A295" s="1473">
        <f t="shared" si="8"/>
        <v>10</v>
      </c>
      <c r="B295" s="1438"/>
      <c r="D295" s="1471" t="s">
        <v>2803</v>
      </c>
      <c r="F295" s="1451"/>
    </row>
    <row r="296" spans="1:6" ht="14.25" customHeight="1">
      <c r="A296" s="1473">
        <f t="shared" si="8"/>
        <v>11</v>
      </c>
      <c r="B296" s="1438"/>
      <c r="D296" s="1471" t="s">
        <v>2803</v>
      </c>
      <c r="F296" s="1451"/>
    </row>
    <row r="297" spans="1:6" ht="14.25" customHeight="1">
      <c r="A297" s="1473">
        <f t="shared" si="8"/>
        <v>12</v>
      </c>
      <c r="B297" s="1438"/>
      <c r="D297" s="1471" t="s">
        <v>2803</v>
      </c>
      <c r="F297" s="1451"/>
    </row>
    <row r="298" spans="1:6" ht="14.25" customHeight="1">
      <c r="A298" s="1473">
        <f t="shared" si="8"/>
        <v>13</v>
      </c>
      <c r="B298" s="1438"/>
      <c r="D298" s="1471" t="s">
        <v>2803</v>
      </c>
      <c r="F298" s="1451"/>
    </row>
    <row r="299" spans="1:6" ht="14.25" customHeight="1">
      <c r="A299" s="1473">
        <f t="shared" si="8"/>
        <v>14</v>
      </c>
      <c r="B299" s="1438"/>
      <c r="D299" s="1471" t="s">
        <v>2803</v>
      </c>
      <c r="F299" s="1451"/>
    </row>
    <row r="300" spans="1:6" ht="14.25" customHeight="1">
      <c r="A300" s="1473">
        <f t="shared" si="8"/>
        <v>15</v>
      </c>
      <c r="B300" s="1438"/>
      <c r="D300" s="1471" t="s">
        <v>2803</v>
      </c>
      <c r="F300" s="1451"/>
    </row>
    <row r="301" spans="1:6" ht="14.25" customHeight="1">
      <c r="A301" s="1473">
        <f t="shared" si="8"/>
        <v>16</v>
      </c>
      <c r="B301" s="1438"/>
      <c r="D301" s="1471" t="s">
        <v>2803</v>
      </c>
      <c r="F301" s="1451"/>
    </row>
    <row r="302" spans="1:6" ht="14.25" customHeight="1">
      <c r="A302" s="1473">
        <f t="shared" si="8"/>
        <v>17</v>
      </c>
      <c r="B302" s="1438"/>
      <c r="D302" s="1471" t="s">
        <v>2803</v>
      </c>
      <c r="F302" s="1451"/>
    </row>
    <row r="303" spans="1:6" ht="14.25" customHeight="1">
      <c r="A303" s="1473">
        <f t="shared" si="8"/>
        <v>18</v>
      </c>
      <c r="B303" s="1438"/>
      <c r="D303" s="1471" t="s">
        <v>2803</v>
      </c>
      <c r="F303" s="1451"/>
    </row>
    <row r="304" spans="1:6" ht="14.25" customHeight="1">
      <c r="A304" s="1473">
        <f t="shared" si="8"/>
        <v>19</v>
      </c>
      <c r="B304" s="1438"/>
      <c r="D304" s="1471" t="s">
        <v>2803</v>
      </c>
      <c r="F304" s="1451"/>
    </row>
    <row r="305" spans="1:6" ht="14.25" customHeight="1">
      <c r="A305" s="1473">
        <f t="shared" si="8"/>
        <v>20</v>
      </c>
      <c r="B305" s="1438"/>
      <c r="D305" s="1471" t="s">
        <v>2803</v>
      </c>
      <c r="F305" s="1451"/>
    </row>
    <row r="306" spans="1:6" ht="14.25" customHeight="1">
      <c r="A306" s="1473">
        <f t="shared" si="8"/>
        <v>21</v>
      </c>
      <c r="B306" s="1438"/>
      <c r="D306" s="1471" t="s">
        <v>2803</v>
      </c>
      <c r="F306" s="1451"/>
    </row>
    <row r="307" spans="1:6" ht="14.25" customHeight="1">
      <c r="A307" s="1473">
        <f t="shared" si="8"/>
        <v>22</v>
      </c>
      <c r="B307" s="1438"/>
      <c r="D307" s="1471" t="s">
        <v>2803</v>
      </c>
      <c r="F307" s="1451"/>
    </row>
    <row r="308" spans="1:6" ht="14.25" customHeight="1">
      <c r="A308" s="1473">
        <f t="shared" si="8"/>
        <v>23</v>
      </c>
      <c r="B308" s="1438"/>
      <c r="D308" s="1471" t="s">
        <v>2803</v>
      </c>
      <c r="F308" s="1451"/>
    </row>
    <row r="309" spans="1:6" ht="14.25" customHeight="1">
      <c r="A309" s="1473">
        <f t="shared" si="8"/>
        <v>24</v>
      </c>
      <c r="B309" s="1438"/>
      <c r="D309" s="1471" t="s">
        <v>2803</v>
      </c>
      <c r="F309" s="1451"/>
    </row>
    <row r="310" spans="1:6" ht="14.25" customHeight="1">
      <c r="A310" s="1473">
        <f t="shared" si="8"/>
        <v>25</v>
      </c>
      <c r="B310" s="1438"/>
      <c r="D310" s="1471" t="s">
        <v>2803</v>
      </c>
      <c r="F310" s="1451"/>
    </row>
    <row r="311" spans="1:6" ht="14.25" customHeight="1">
      <c r="A311" s="1473">
        <f t="shared" si="8"/>
        <v>26</v>
      </c>
      <c r="B311" s="1438"/>
      <c r="C311" s="168" t="s">
        <v>2791</v>
      </c>
      <c r="D311" s="1471" t="s">
        <v>2803</v>
      </c>
      <c r="E311" s="168" t="s">
        <v>2791</v>
      </c>
      <c r="F311" s="1451"/>
    </row>
    <row r="312" spans="1:6" ht="14.25" customHeight="1">
      <c r="A312" s="1473">
        <f t="shared" si="8"/>
        <v>27</v>
      </c>
      <c r="B312" s="1438"/>
      <c r="D312" s="1471" t="s">
        <v>2803</v>
      </c>
      <c r="F312" s="1451"/>
    </row>
    <row r="313" spans="1:6" ht="14.25" customHeight="1">
      <c r="A313" s="1473">
        <f t="shared" si="8"/>
        <v>28</v>
      </c>
      <c r="B313" s="1438"/>
      <c r="D313" s="1471" t="s">
        <v>2803</v>
      </c>
      <c r="F313" s="1451"/>
    </row>
    <row r="314" spans="1:6" ht="14.25" customHeight="1">
      <c r="A314" s="1473">
        <f t="shared" si="8"/>
        <v>29</v>
      </c>
      <c r="B314" s="1438"/>
      <c r="D314" s="1471" t="s">
        <v>2803</v>
      </c>
      <c r="F314" s="1451"/>
    </row>
    <row r="315" spans="1:6" ht="14.25" customHeight="1">
      <c r="A315" s="1473">
        <f t="shared" si="8"/>
        <v>30</v>
      </c>
      <c r="B315" s="1438"/>
      <c r="D315" s="1471" t="s">
        <v>2803</v>
      </c>
      <c r="F315" s="1451"/>
    </row>
    <row r="316" spans="1:6" ht="14.25" customHeight="1">
      <c r="A316" s="1473">
        <f t="shared" si="8"/>
        <v>31</v>
      </c>
      <c r="B316" s="1438"/>
      <c r="D316" s="1471" t="s">
        <v>2803</v>
      </c>
      <c r="F316" s="1451"/>
    </row>
    <row r="317" spans="1:6" ht="14.25" customHeight="1">
      <c r="A317" s="1473">
        <f t="shared" si="8"/>
        <v>32</v>
      </c>
      <c r="B317" s="1438"/>
      <c r="D317" s="1471" t="s">
        <v>2803</v>
      </c>
      <c r="F317" s="1451"/>
    </row>
    <row r="318" spans="1:6" ht="14.25" customHeight="1">
      <c r="A318" s="1473">
        <f t="shared" si="8"/>
        <v>33</v>
      </c>
      <c r="B318" s="1438"/>
      <c r="D318" s="1471" t="s">
        <v>2803</v>
      </c>
      <c r="F318" s="1451"/>
    </row>
    <row r="319" spans="1:6" ht="14.25" customHeight="1">
      <c r="A319" s="1473">
        <f t="shared" si="8"/>
        <v>34</v>
      </c>
      <c r="B319" s="1438"/>
      <c r="D319" s="1471" t="s">
        <v>2803</v>
      </c>
      <c r="F319" s="1451"/>
    </row>
    <row r="320" spans="1:6" ht="14.25" customHeight="1">
      <c r="A320" s="1473">
        <f t="shared" si="8"/>
        <v>35</v>
      </c>
      <c r="B320" s="1438"/>
      <c r="D320" s="1471" t="s">
        <v>2803</v>
      </c>
      <c r="F320" s="1451"/>
    </row>
    <row r="321" spans="1:6" ht="14.25" customHeight="1">
      <c r="A321" s="1473">
        <f t="shared" si="8"/>
        <v>36</v>
      </c>
      <c r="B321" s="1438"/>
      <c r="D321" s="1471" t="s">
        <v>2803</v>
      </c>
      <c r="F321" s="1451"/>
    </row>
    <row r="322" spans="1:6" ht="14.25" customHeight="1">
      <c r="A322" s="1473">
        <f t="shared" si="8"/>
        <v>37</v>
      </c>
      <c r="B322" s="1438"/>
      <c r="D322" s="1471" t="s">
        <v>2803</v>
      </c>
      <c r="F322" s="1451"/>
    </row>
    <row r="323" spans="1:6" ht="14.25" customHeight="1">
      <c r="A323" s="1473">
        <f t="shared" si="8"/>
        <v>38</v>
      </c>
      <c r="B323" s="1438"/>
      <c r="F323" s="1451"/>
    </row>
    <row r="324" spans="1:6" ht="14.25" customHeight="1">
      <c r="A324" s="1473">
        <f t="shared" si="8"/>
        <v>39</v>
      </c>
      <c r="B324" s="1438"/>
      <c r="F324" s="1451"/>
    </row>
    <row r="325" spans="1:6" ht="14.25" customHeight="1">
      <c r="A325" s="1473">
        <f t="shared" si="8"/>
        <v>40</v>
      </c>
      <c r="B325" s="1438"/>
      <c r="F325" s="1451"/>
    </row>
    <row r="326" spans="1:6" ht="14.25" customHeight="1">
      <c r="A326" s="1473">
        <f t="shared" si="8"/>
        <v>41</v>
      </c>
      <c r="B326" s="1438"/>
      <c r="F326" s="1451"/>
    </row>
    <row r="327" spans="1:6" ht="14.25" customHeight="1">
      <c r="A327" s="1473">
        <f t="shared" si="8"/>
        <v>42</v>
      </c>
      <c r="B327" s="1438"/>
      <c r="F327" s="1451"/>
    </row>
    <row r="328" spans="1:6" ht="14.25" customHeight="1">
      <c r="A328" s="1473">
        <f t="shared" si="8"/>
        <v>43</v>
      </c>
      <c r="B328" s="1438"/>
      <c r="F328" s="1451"/>
    </row>
    <row r="329" spans="1:6" ht="13.7" customHeight="1">
      <c r="A329" s="1473">
        <f t="shared" si="8"/>
        <v>44</v>
      </c>
      <c r="B329" s="1439"/>
      <c r="C329" s="1440"/>
      <c r="D329" s="1440"/>
      <c r="E329" s="1440"/>
      <c r="F329" s="1456"/>
    </row>
    <row r="330" spans="1:6" ht="14.25" customHeight="1"/>
    <row r="331" spans="1:6" ht="14.25" customHeight="1">
      <c r="A331" s="1402" t="s">
        <v>2794</v>
      </c>
    </row>
    <row r="332" spans="1:6" ht="14.25" customHeight="1"/>
    <row r="333" spans="1:6" ht="14.25" customHeight="1">
      <c r="A333" s="1473">
        <v>1</v>
      </c>
      <c r="B333" s="1463"/>
      <c r="C333" s="1437"/>
      <c r="D333" s="1437"/>
      <c r="E333" s="1437"/>
      <c r="F333" s="1450"/>
    </row>
    <row r="334" spans="1:6" ht="45">
      <c r="A334" s="1473">
        <v>2</v>
      </c>
      <c r="B334" s="1438"/>
      <c r="C334" s="1460" t="s">
        <v>2793</v>
      </c>
      <c r="F334" s="1451"/>
    </row>
    <row r="335" spans="1:6" ht="14.25" customHeight="1">
      <c r="A335" s="1473">
        <v>3</v>
      </c>
      <c r="B335" s="1438"/>
      <c r="F335" s="1451"/>
    </row>
    <row r="336" spans="1:6" ht="14.25" customHeight="1">
      <c r="A336" s="1473">
        <v>4</v>
      </c>
      <c r="B336" s="1438"/>
      <c r="F336" s="1451"/>
    </row>
    <row r="337" spans="1:6" ht="14.25" customHeight="1">
      <c r="A337" s="1473">
        <v>5</v>
      </c>
      <c r="B337" s="1438"/>
      <c r="C337" s="1469" t="s">
        <v>2796</v>
      </c>
      <c r="D337" s="1466"/>
      <c r="E337" s="1470" t="s">
        <v>2795</v>
      </c>
      <c r="F337" s="1451"/>
    </row>
    <row r="338" spans="1:6" ht="14.25" customHeight="1">
      <c r="A338" s="1473">
        <v>6</v>
      </c>
      <c r="B338" s="1438"/>
      <c r="F338" s="1451"/>
    </row>
    <row r="339" spans="1:6" ht="14.25" customHeight="1">
      <c r="A339" s="1473">
        <f>A338+1</f>
        <v>7</v>
      </c>
      <c r="B339" s="1438"/>
      <c r="F339" s="1451"/>
    </row>
    <row r="340" spans="1:6" ht="14.25" customHeight="1">
      <c r="A340" s="1473">
        <f t="shared" ref="A340:A376" si="9">A339+1</f>
        <v>8</v>
      </c>
      <c r="B340" s="1438"/>
      <c r="F340" s="1451"/>
    </row>
    <row r="341" spans="1:6" ht="14.25" customHeight="1">
      <c r="A341" s="1473">
        <f t="shared" si="9"/>
        <v>9</v>
      </c>
      <c r="B341" s="1438"/>
      <c r="F341" s="1451"/>
    </row>
    <row r="342" spans="1:6" ht="14.25" customHeight="1">
      <c r="A342" s="1473">
        <f t="shared" si="9"/>
        <v>10</v>
      </c>
      <c r="B342" s="1438"/>
      <c r="F342" s="1451"/>
    </row>
    <row r="343" spans="1:6" ht="14.25" customHeight="1">
      <c r="A343" s="1473">
        <f t="shared" si="9"/>
        <v>11</v>
      </c>
      <c r="B343" s="1438"/>
      <c r="F343" s="1451"/>
    </row>
    <row r="344" spans="1:6" ht="14.25" customHeight="1">
      <c r="A344" s="1473">
        <f t="shared" si="9"/>
        <v>12</v>
      </c>
      <c r="B344" s="1438"/>
      <c r="F344" s="1451"/>
    </row>
    <row r="345" spans="1:6" ht="14.25" customHeight="1">
      <c r="A345" s="1473">
        <f t="shared" si="9"/>
        <v>13</v>
      </c>
      <c r="B345" s="1438"/>
      <c r="F345" s="1451"/>
    </row>
    <row r="346" spans="1:6" ht="14.25" customHeight="1">
      <c r="A346" s="1473">
        <f t="shared" si="9"/>
        <v>14</v>
      </c>
      <c r="B346" s="1438"/>
      <c r="F346" s="1451"/>
    </row>
    <row r="347" spans="1:6" ht="14.25" customHeight="1">
      <c r="A347" s="1473">
        <f t="shared" si="9"/>
        <v>15</v>
      </c>
      <c r="B347" s="1438"/>
      <c r="F347" s="1451"/>
    </row>
    <row r="348" spans="1:6" ht="14.25" customHeight="1">
      <c r="A348" s="1473">
        <f t="shared" si="9"/>
        <v>16</v>
      </c>
      <c r="B348" s="1438"/>
      <c r="F348" s="1451"/>
    </row>
    <row r="349" spans="1:6" ht="14.25" customHeight="1">
      <c r="A349" s="1473">
        <f t="shared" si="9"/>
        <v>17</v>
      </c>
      <c r="B349" s="1438"/>
      <c r="F349" s="1451"/>
    </row>
    <row r="350" spans="1:6" ht="14.25" customHeight="1">
      <c r="A350" s="1473">
        <f t="shared" si="9"/>
        <v>18</v>
      </c>
      <c r="B350" s="1438"/>
      <c r="F350" s="1451"/>
    </row>
    <row r="351" spans="1:6" ht="14.25" customHeight="1">
      <c r="A351" s="1473">
        <f t="shared" si="9"/>
        <v>19</v>
      </c>
      <c r="B351" s="1438"/>
      <c r="F351" s="1451"/>
    </row>
    <row r="352" spans="1:6" ht="14.25" customHeight="1">
      <c r="A352" s="1473">
        <f t="shared" si="9"/>
        <v>20</v>
      </c>
      <c r="B352" s="1438"/>
      <c r="F352" s="1451"/>
    </row>
    <row r="353" spans="1:6" ht="14.25" customHeight="1">
      <c r="A353" s="1473">
        <f t="shared" si="9"/>
        <v>21</v>
      </c>
      <c r="B353" s="1438"/>
      <c r="F353" s="1451"/>
    </row>
    <row r="354" spans="1:6" ht="14.25" customHeight="1">
      <c r="A354" s="1473">
        <f t="shared" si="9"/>
        <v>22</v>
      </c>
      <c r="B354" s="1438"/>
      <c r="F354" s="1451"/>
    </row>
    <row r="355" spans="1:6" ht="14.25" customHeight="1">
      <c r="A355" s="1473">
        <f t="shared" si="9"/>
        <v>23</v>
      </c>
      <c r="B355" s="1438"/>
      <c r="F355" s="1451"/>
    </row>
    <row r="356" spans="1:6" ht="14.25" customHeight="1">
      <c r="A356" s="1473">
        <f t="shared" si="9"/>
        <v>24</v>
      </c>
      <c r="B356" s="1438"/>
      <c r="F356" s="1451"/>
    </row>
    <row r="357" spans="1:6" ht="14.25" customHeight="1">
      <c r="A357" s="1473">
        <f t="shared" si="9"/>
        <v>25</v>
      </c>
      <c r="B357" s="1438"/>
      <c r="F357" s="1451"/>
    </row>
    <row r="358" spans="1:6" ht="14.25" customHeight="1">
      <c r="A358" s="1473">
        <f t="shared" si="9"/>
        <v>26</v>
      </c>
      <c r="B358" s="1438"/>
      <c r="C358" s="168" t="s">
        <v>2791</v>
      </c>
      <c r="E358" s="168" t="s">
        <v>2791</v>
      </c>
      <c r="F358" s="1451"/>
    </row>
    <row r="359" spans="1:6" ht="14.25" customHeight="1">
      <c r="A359" s="1473">
        <f t="shared" si="9"/>
        <v>27</v>
      </c>
      <c r="B359" s="1438"/>
      <c r="F359" s="1451"/>
    </row>
    <row r="360" spans="1:6" ht="14.25" customHeight="1">
      <c r="A360" s="1473">
        <f t="shared" si="9"/>
        <v>28</v>
      </c>
      <c r="B360" s="1438"/>
      <c r="F360" s="1451"/>
    </row>
    <row r="361" spans="1:6" ht="14.25" customHeight="1">
      <c r="A361" s="1473">
        <f t="shared" si="9"/>
        <v>29</v>
      </c>
      <c r="B361" s="1438"/>
      <c r="F361" s="1451"/>
    </row>
    <row r="362" spans="1:6" ht="14.25" customHeight="1">
      <c r="A362" s="1473">
        <f t="shared" si="9"/>
        <v>30</v>
      </c>
      <c r="B362" s="1438"/>
      <c r="F362" s="1451"/>
    </row>
    <row r="363" spans="1:6" ht="14.25" customHeight="1">
      <c r="A363" s="1473">
        <f t="shared" si="9"/>
        <v>31</v>
      </c>
      <c r="B363" s="1438"/>
      <c r="F363" s="1451"/>
    </row>
    <row r="364" spans="1:6" ht="14.25" customHeight="1">
      <c r="A364" s="1473">
        <f t="shared" si="9"/>
        <v>32</v>
      </c>
      <c r="B364" s="1438"/>
      <c r="F364" s="1451"/>
    </row>
    <row r="365" spans="1:6" ht="14.25" customHeight="1">
      <c r="A365" s="1473">
        <f t="shared" si="9"/>
        <v>33</v>
      </c>
      <c r="B365" s="1438"/>
      <c r="F365" s="1451"/>
    </row>
    <row r="366" spans="1:6" ht="14.25" customHeight="1">
      <c r="A366" s="1473">
        <f t="shared" si="9"/>
        <v>34</v>
      </c>
      <c r="B366" s="1438"/>
      <c r="F366" s="1451"/>
    </row>
    <row r="367" spans="1:6" ht="14.25" customHeight="1">
      <c r="A367" s="1473">
        <f t="shared" si="9"/>
        <v>35</v>
      </c>
      <c r="B367" s="1438"/>
      <c r="F367" s="1451"/>
    </row>
    <row r="368" spans="1:6" ht="14.25" customHeight="1">
      <c r="A368" s="1473">
        <f t="shared" si="9"/>
        <v>36</v>
      </c>
      <c r="B368" s="1438"/>
      <c r="F368" s="1451"/>
    </row>
    <row r="369" spans="1:6" ht="14.25" customHeight="1">
      <c r="A369" s="1473">
        <f t="shared" si="9"/>
        <v>37</v>
      </c>
      <c r="B369" s="1438"/>
      <c r="F369" s="1451"/>
    </row>
    <row r="370" spans="1:6" ht="14.25" customHeight="1">
      <c r="A370" s="1473">
        <f t="shared" si="9"/>
        <v>38</v>
      </c>
      <c r="B370" s="1438"/>
      <c r="F370" s="1451"/>
    </row>
    <row r="371" spans="1:6" ht="14.25" customHeight="1">
      <c r="A371" s="1473">
        <f t="shared" si="9"/>
        <v>39</v>
      </c>
      <c r="B371" s="1438"/>
      <c r="F371" s="1451"/>
    </row>
    <row r="372" spans="1:6" ht="14.25" customHeight="1">
      <c r="A372" s="1473">
        <f t="shared" si="9"/>
        <v>40</v>
      </c>
      <c r="B372" s="1438"/>
      <c r="F372" s="1451"/>
    </row>
    <row r="373" spans="1:6" ht="14.25" customHeight="1">
      <c r="A373" s="1473">
        <f t="shared" si="9"/>
        <v>41</v>
      </c>
      <c r="B373" s="1438"/>
      <c r="F373" s="1451"/>
    </row>
    <row r="374" spans="1:6" ht="14.25" customHeight="1">
      <c r="A374" s="1473">
        <f t="shared" si="9"/>
        <v>42</v>
      </c>
      <c r="B374" s="1438"/>
      <c r="F374" s="1451"/>
    </row>
    <row r="375" spans="1:6" ht="13.7" customHeight="1">
      <c r="A375" s="1473">
        <f t="shared" si="9"/>
        <v>43</v>
      </c>
      <c r="B375" s="1438"/>
      <c r="F375" s="1451"/>
    </row>
    <row r="376" spans="1:6" ht="14.25" customHeight="1">
      <c r="A376" s="1473">
        <f t="shared" si="9"/>
        <v>44</v>
      </c>
      <c r="B376" s="1439"/>
      <c r="C376" s="1440"/>
      <c r="D376" s="1440"/>
      <c r="E376" s="1440"/>
      <c r="F376" s="1456"/>
    </row>
    <row r="377" spans="1:6" ht="14.25" customHeight="1"/>
    <row r="378" spans="1:6" ht="14.25" customHeight="1">
      <c r="A378" s="1402" t="s">
        <v>2798</v>
      </c>
    </row>
    <row r="379" spans="1:6" ht="14.25" customHeight="1"/>
    <row r="380" spans="1:6" ht="14.25" customHeight="1">
      <c r="A380" s="1473">
        <v>1</v>
      </c>
      <c r="B380" s="1463"/>
      <c r="C380" s="1437"/>
      <c r="D380" s="1437"/>
      <c r="E380" s="1437"/>
      <c r="F380" s="1450"/>
    </row>
    <row r="381" spans="1:6" ht="45">
      <c r="A381" s="1473">
        <v>2</v>
      </c>
      <c r="B381" s="1438"/>
      <c r="C381" s="1460" t="s">
        <v>2799</v>
      </c>
      <c r="F381" s="1451"/>
    </row>
    <row r="382" spans="1:6" ht="14.25" customHeight="1">
      <c r="A382" s="1473">
        <v>3</v>
      </c>
      <c r="B382" s="1438"/>
      <c r="F382" s="1451"/>
    </row>
    <row r="383" spans="1:6" ht="14.25" customHeight="1">
      <c r="A383" s="1473">
        <v>4</v>
      </c>
      <c r="B383" s="1438"/>
      <c r="F383" s="1451"/>
    </row>
    <row r="384" spans="1:6" ht="14.25" customHeight="1">
      <c r="A384" s="1473">
        <v>5</v>
      </c>
      <c r="B384" s="1438"/>
      <c r="C384" s="1469" t="s">
        <v>2283</v>
      </c>
      <c r="D384" s="1466"/>
      <c r="E384" s="1470" t="s">
        <v>2282</v>
      </c>
      <c r="F384" s="1451"/>
    </row>
    <row r="385" spans="1:6" ht="14.25" customHeight="1">
      <c r="A385" s="1473">
        <v>6</v>
      </c>
      <c r="B385" s="1438"/>
      <c r="F385" s="1451"/>
    </row>
    <row r="386" spans="1:6" ht="14.25" customHeight="1">
      <c r="A386" s="1473">
        <f>A385+1</f>
        <v>7</v>
      </c>
      <c r="B386" s="1438"/>
      <c r="F386" s="1451"/>
    </row>
    <row r="387" spans="1:6" ht="14.25" customHeight="1">
      <c r="A387" s="1473">
        <f t="shared" ref="A387:A423" si="10">A386+1</f>
        <v>8</v>
      </c>
      <c r="B387" s="1438"/>
      <c r="F387" s="1451"/>
    </row>
    <row r="388" spans="1:6" ht="14.25" customHeight="1">
      <c r="A388" s="1473">
        <f t="shared" si="10"/>
        <v>9</v>
      </c>
      <c r="B388" s="1438"/>
      <c r="F388" s="1451"/>
    </row>
    <row r="389" spans="1:6" ht="14.25" customHeight="1">
      <c r="A389" s="1473">
        <f t="shared" si="10"/>
        <v>10</v>
      </c>
      <c r="B389" s="1438"/>
      <c r="F389" s="1451"/>
    </row>
    <row r="390" spans="1:6" ht="14.25" customHeight="1">
      <c r="A390" s="1473">
        <f t="shared" si="10"/>
        <v>11</v>
      </c>
      <c r="B390" s="1438"/>
      <c r="F390" s="1451"/>
    </row>
    <row r="391" spans="1:6" ht="14.25" customHeight="1">
      <c r="A391" s="1473">
        <f t="shared" si="10"/>
        <v>12</v>
      </c>
      <c r="B391" s="1438"/>
      <c r="F391" s="1451"/>
    </row>
    <row r="392" spans="1:6" ht="14.25" customHeight="1">
      <c r="A392" s="1473">
        <f t="shared" si="10"/>
        <v>13</v>
      </c>
      <c r="B392" s="1438"/>
      <c r="F392" s="1451"/>
    </row>
    <row r="393" spans="1:6" ht="14.25" customHeight="1">
      <c r="A393" s="1473">
        <f t="shared" si="10"/>
        <v>14</v>
      </c>
      <c r="B393" s="1438"/>
      <c r="F393" s="1451"/>
    </row>
    <row r="394" spans="1:6" ht="14.25" customHeight="1">
      <c r="A394" s="1473">
        <f t="shared" si="10"/>
        <v>15</v>
      </c>
      <c r="B394" s="1438"/>
      <c r="F394" s="1451"/>
    </row>
    <row r="395" spans="1:6" ht="14.25" customHeight="1">
      <c r="A395" s="1473">
        <f t="shared" si="10"/>
        <v>16</v>
      </c>
      <c r="B395" s="1438"/>
      <c r="F395" s="1451"/>
    </row>
    <row r="396" spans="1:6" ht="14.25" customHeight="1">
      <c r="A396" s="1473">
        <f t="shared" si="10"/>
        <v>17</v>
      </c>
      <c r="B396" s="1438"/>
      <c r="F396" s="1451"/>
    </row>
    <row r="397" spans="1:6" ht="14.25" customHeight="1">
      <c r="A397" s="1473">
        <f t="shared" si="10"/>
        <v>18</v>
      </c>
      <c r="B397" s="1438"/>
      <c r="F397" s="1451"/>
    </row>
    <row r="398" spans="1:6" ht="14.25" customHeight="1">
      <c r="A398" s="1473">
        <f t="shared" si="10"/>
        <v>19</v>
      </c>
      <c r="B398" s="1438"/>
      <c r="F398" s="1451"/>
    </row>
    <row r="399" spans="1:6" ht="14.25" customHeight="1">
      <c r="A399" s="1473">
        <f t="shared" si="10"/>
        <v>20</v>
      </c>
      <c r="B399" s="1438"/>
      <c r="F399" s="1451"/>
    </row>
    <row r="400" spans="1:6" ht="14.25" customHeight="1">
      <c r="A400" s="1473">
        <f t="shared" si="10"/>
        <v>21</v>
      </c>
      <c r="B400" s="1438"/>
      <c r="F400" s="1451"/>
    </row>
    <row r="401" spans="1:6" ht="14.25" customHeight="1">
      <c r="A401" s="1473">
        <f t="shared" si="10"/>
        <v>22</v>
      </c>
      <c r="B401" s="1438"/>
      <c r="F401" s="1451"/>
    </row>
    <row r="402" spans="1:6" ht="14.25" customHeight="1">
      <c r="A402" s="1473">
        <f t="shared" si="10"/>
        <v>23</v>
      </c>
      <c r="B402" s="1438"/>
      <c r="F402" s="1451"/>
    </row>
    <row r="403" spans="1:6" ht="14.25" customHeight="1">
      <c r="A403" s="1473">
        <f t="shared" si="10"/>
        <v>24</v>
      </c>
      <c r="B403" s="1438"/>
      <c r="F403" s="1451"/>
    </row>
    <row r="404" spans="1:6" ht="14.25" customHeight="1">
      <c r="A404" s="1473">
        <f t="shared" si="10"/>
        <v>25</v>
      </c>
      <c r="B404" s="1438"/>
      <c r="F404" s="1451"/>
    </row>
    <row r="405" spans="1:6" ht="14.25" customHeight="1">
      <c r="A405" s="1473">
        <f t="shared" si="10"/>
        <v>26</v>
      </c>
      <c r="B405" s="1438"/>
      <c r="C405" s="168" t="s">
        <v>2791</v>
      </c>
      <c r="E405" s="168" t="s">
        <v>2791</v>
      </c>
      <c r="F405" s="1451"/>
    </row>
    <row r="406" spans="1:6" ht="14.25" customHeight="1">
      <c r="A406" s="1473">
        <f t="shared" si="10"/>
        <v>27</v>
      </c>
      <c r="B406" s="1438"/>
      <c r="F406" s="1451"/>
    </row>
    <row r="407" spans="1:6" ht="14.25" customHeight="1">
      <c r="A407" s="1473">
        <f t="shared" si="10"/>
        <v>28</v>
      </c>
      <c r="B407" s="1438"/>
      <c r="F407" s="1451"/>
    </row>
    <row r="408" spans="1:6" ht="14.25" customHeight="1">
      <c r="A408" s="1473">
        <f t="shared" si="10"/>
        <v>29</v>
      </c>
      <c r="B408" s="1438"/>
      <c r="F408" s="1451"/>
    </row>
    <row r="409" spans="1:6" ht="14.25" customHeight="1">
      <c r="A409" s="1473">
        <f t="shared" si="10"/>
        <v>30</v>
      </c>
      <c r="B409" s="1438"/>
      <c r="F409" s="1451"/>
    </row>
    <row r="410" spans="1:6" ht="14.25" customHeight="1">
      <c r="A410" s="1473">
        <f t="shared" si="10"/>
        <v>31</v>
      </c>
      <c r="B410" s="1438"/>
      <c r="F410" s="1451"/>
    </row>
    <row r="411" spans="1:6" ht="14.25" customHeight="1">
      <c r="A411" s="1473">
        <f t="shared" si="10"/>
        <v>32</v>
      </c>
      <c r="B411" s="1438"/>
      <c r="F411" s="1451"/>
    </row>
    <row r="412" spans="1:6" ht="14.25" customHeight="1">
      <c r="A412" s="1473">
        <f t="shared" si="10"/>
        <v>33</v>
      </c>
      <c r="B412" s="1438"/>
      <c r="F412" s="1451"/>
    </row>
    <row r="413" spans="1:6" ht="14.25" customHeight="1">
      <c r="A413" s="1473">
        <f t="shared" si="10"/>
        <v>34</v>
      </c>
      <c r="B413" s="1438"/>
      <c r="F413" s="1451"/>
    </row>
    <row r="414" spans="1:6" ht="14.25" customHeight="1">
      <c r="A414" s="1473">
        <f t="shared" si="10"/>
        <v>35</v>
      </c>
      <c r="B414" s="1438"/>
      <c r="F414" s="1451"/>
    </row>
    <row r="415" spans="1:6" ht="14.25" customHeight="1">
      <c r="A415" s="1473">
        <f t="shared" si="10"/>
        <v>36</v>
      </c>
      <c r="B415" s="1438"/>
      <c r="F415" s="1451"/>
    </row>
    <row r="416" spans="1:6" ht="14.25" customHeight="1">
      <c r="A416" s="1473">
        <f t="shared" si="10"/>
        <v>37</v>
      </c>
      <c r="B416" s="1438"/>
      <c r="F416" s="1451"/>
    </row>
    <row r="417" spans="1:6" ht="14.25" customHeight="1">
      <c r="A417" s="1473">
        <f t="shared" si="10"/>
        <v>38</v>
      </c>
      <c r="B417" s="1438"/>
      <c r="F417" s="1451"/>
    </row>
    <row r="418" spans="1:6" ht="14.25" customHeight="1">
      <c r="A418" s="1473">
        <f t="shared" si="10"/>
        <v>39</v>
      </c>
      <c r="B418" s="1438"/>
      <c r="F418" s="1451"/>
    </row>
    <row r="419" spans="1:6" ht="14.25" customHeight="1">
      <c r="A419" s="1473">
        <f t="shared" si="10"/>
        <v>40</v>
      </c>
      <c r="B419" s="1438"/>
      <c r="F419" s="1451"/>
    </row>
    <row r="420" spans="1:6" ht="14.25" customHeight="1">
      <c r="A420" s="1473">
        <f t="shared" si="10"/>
        <v>41</v>
      </c>
      <c r="B420" s="1438"/>
      <c r="F420" s="1451"/>
    </row>
    <row r="421" spans="1:6" ht="14.25" customHeight="1">
      <c r="A421" s="1473">
        <f t="shared" si="10"/>
        <v>42</v>
      </c>
      <c r="B421" s="1438"/>
      <c r="F421" s="1451"/>
    </row>
    <row r="422" spans="1:6" ht="14.25" customHeight="1">
      <c r="A422" s="1473">
        <f t="shared" si="10"/>
        <v>43</v>
      </c>
      <c r="B422" s="1438"/>
      <c r="F422" s="1451"/>
    </row>
    <row r="423" spans="1:6" ht="14.25" customHeight="1">
      <c r="A423" s="1473">
        <f t="shared" si="10"/>
        <v>44</v>
      </c>
      <c r="B423" s="1439"/>
      <c r="C423" s="1440"/>
      <c r="D423" s="1440"/>
      <c r="E423" s="1440"/>
      <c r="F423" s="1456"/>
    </row>
    <row r="424" spans="1:6" ht="14.25" customHeight="1"/>
    <row r="425" spans="1:6" ht="14.25" customHeight="1">
      <c r="A425" s="1402" t="s">
        <v>2801</v>
      </c>
    </row>
    <row r="426" spans="1:6" ht="14.25" customHeight="1"/>
    <row r="427" spans="1:6" ht="14.25" customHeight="1">
      <c r="A427" s="1473">
        <v>1</v>
      </c>
      <c r="B427" s="1463"/>
      <c r="C427" s="1437"/>
      <c r="D427" s="1437"/>
      <c r="E427" s="1437"/>
      <c r="F427" s="1450"/>
    </row>
    <row r="428" spans="1:6" ht="45">
      <c r="A428" s="1473">
        <v>2</v>
      </c>
      <c r="B428" s="1438"/>
      <c r="C428" s="1460" t="s">
        <v>2800</v>
      </c>
      <c r="F428" s="1451"/>
    </row>
    <row r="429" spans="1:6" ht="14.25" customHeight="1">
      <c r="A429" s="1473">
        <v>3</v>
      </c>
      <c r="B429" s="1438"/>
      <c r="F429" s="1451"/>
    </row>
    <row r="430" spans="1:6" ht="14.25" customHeight="1">
      <c r="A430" s="1473">
        <v>4</v>
      </c>
      <c r="B430" s="1438"/>
      <c r="F430" s="1451"/>
    </row>
    <row r="431" spans="1:6" ht="14.25" customHeight="1">
      <c r="A431" s="1473">
        <v>5</v>
      </c>
      <c r="B431" s="1438"/>
      <c r="C431" s="1469" t="s">
        <v>2161</v>
      </c>
      <c r="D431" s="1466"/>
      <c r="E431" s="1470" t="s">
        <v>2230</v>
      </c>
      <c r="F431" s="1451"/>
    </row>
    <row r="432" spans="1:6" ht="14.25" customHeight="1">
      <c r="A432" s="1473">
        <v>6</v>
      </c>
      <c r="B432" s="1438"/>
      <c r="F432" s="1451"/>
    </row>
    <row r="433" spans="1:6" ht="14.25" customHeight="1">
      <c r="A433" s="1473">
        <f>A432+1</f>
        <v>7</v>
      </c>
      <c r="B433" s="1438"/>
      <c r="F433" s="1451"/>
    </row>
    <row r="434" spans="1:6" ht="14.25" customHeight="1">
      <c r="A434" s="1473">
        <f t="shared" ref="A434:A470" si="11">A433+1</f>
        <v>8</v>
      </c>
      <c r="B434" s="1438"/>
      <c r="F434" s="1451"/>
    </row>
    <row r="435" spans="1:6" ht="14.25" customHeight="1">
      <c r="A435" s="1473">
        <f t="shared" si="11"/>
        <v>9</v>
      </c>
      <c r="B435" s="1438"/>
      <c r="F435" s="1451"/>
    </row>
    <row r="436" spans="1:6" ht="14.25" customHeight="1">
      <c r="A436" s="1473">
        <f t="shared" si="11"/>
        <v>10</v>
      </c>
      <c r="B436" s="1438"/>
      <c r="F436" s="1451"/>
    </row>
    <row r="437" spans="1:6" ht="14.25" customHeight="1">
      <c r="A437" s="1473">
        <f t="shared" si="11"/>
        <v>11</v>
      </c>
      <c r="B437" s="1438"/>
      <c r="F437" s="1451"/>
    </row>
    <row r="438" spans="1:6" ht="14.25" customHeight="1">
      <c r="A438" s="1473">
        <f t="shared" si="11"/>
        <v>12</v>
      </c>
      <c r="B438" s="1438"/>
      <c r="F438" s="1451"/>
    </row>
    <row r="439" spans="1:6" ht="14.25" customHeight="1">
      <c r="A439" s="1473">
        <f t="shared" si="11"/>
        <v>13</v>
      </c>
      <c r="B439" s="1438"/>
      <c r="F439" s="1451"/>
    </row>
    <row r="440" spans="1:6" ht="14.25" customHeight="1">
      <c r="A440" s="1473">
        <f t="shared" si="11"/>
        <v>14</v>
      </c>
      <c r="B440" s="1438"/>
      <c r="F440" s="1451"/>
    </row>
    <row r="441" spans="1:6" ht="14.25" customHeight="1">
      <c r="A441" s="1473">
        <f t="shared" si="11"/>
        <v>15</v>
      </c>
      <c r="B441" s="1438"/>
      <c r="F441" s="1451"/>
    </row>
    <row r="442" spans="1:6" ht="14.25" customHeight="1">
      <c r="A442" s="1473">
        <f t="shared" si="11"/>
        <v>16</v>
      </c>
      <c r="B442" s="1438"/>
      <c r="F442" s="1451"/>
    </row>
    <row r="443" spans="1:6" ht="14.25" customHeight="1">
      <c r="A443" s="1473">
        <f t="shared" si="11"/>
        <v>17</v>
      </c>
      <c r="B443" s="1438"/>
      <c r="F443" s="1451"/>
    </row>
    <row r="444" spans="1:6" ht="14.25" customHeight="1">
      <c r="A444" s="1473">
        <f t="shared" si="11"/>
        <v>18</v>
      </c>
      <c r="B444" s="1438"/>
      <c r="F444" s="1451"/>
    </row>
    <row r="445" spans="1:6" ht="14.25" customHeight="1">
      <c r="A445" s="1473">
        <f t="shared" si="11"/>
        <v>19</v>
      </c>
      <c r="B445" s="1438"/>
      <c r="F445" s="1451"/>
    </row>
    <row r="446" spans="1:6" ht="14.25" customHeight="1">
      <c r="A446" s="1473">
        <f t="shared" si="11"/>
        <v>20</v>
      </c>
      <c r="B446" s="1438"/>
      <c r="F446" s="1451"/>
    </row>
    <row r="447" spans="1:6" ht="14.25" customHeight="1">
      <c r="A447" s="1473">
        <f t="shared" si="11"/>
        <v>21</v>
      </c>
      <c r="B447" s="1438"/>
      <c r="F447" s="1451"/>
    </row>
    <row r="448" spans="1:6" ht="14.25" customHeight="1">
      <c r="A448" s="1473">
        <f t="shared" si="11"/>
        <v>22</v>
      </c>
      <c r="B448" s="1438"/>
      <c r="F448" s="1451"/>
    </row>
    <row r="449" spans="1:6" ht="14.25" customHeight="1">
      <c r="A449" s="1473">
        <f t="shared" si="11"/>
        <v>23</v>
      </c>
      <c r="B449" s="1438"/>
      <c r="F449" s="1451"/>
    </row>
    <row r="450" spans="1:6" ht="14.25" customHeight="1">
      <c r="A450" s="1473">
        <f t="shared" si="11"/>
        <v>24</v>
      </c>
      <c r="B450" s="1438"/>
      <c r="F450" s="1451"/>
    </row>
    <row r="451" spans="1:6" ht="14.25" customHeight="1">
      <c r="A451" s="1473">
        <f t="shared" si="11"/>
        <v>25</v>
      </c>
      <c r="B451" s="1438"/>
      <c r="F451" s="1451"/>
    </row>
    <row r="452" spans="1:6" ht="14.25" customHeight="1">
      <c r="A452" s="1473">
        <f t="shared" si="11"/>
        <v>26</v>
      </c>
      <c r="B452" s="1438"/>
      <c r="C452" s="168" t="s">
        <v>2791</v>
      </c>
      <c r="E452" s="168" t="s">
        <v>2791</v>
      </c>
      <c r="F452" s="1451"/>
    </row>
    <row r="453" spans="1:6" ht="14.25" customHeight="1">
      <c r="A453" s="1473">
        <f t="shared" si="11"/>
        <v>27</v>
      </c>
      <c r="B453" s="1438"/>
      <c r="F453" s="1451"/>
    </row>
    <row r="454" spans="1:6" ht="14.25" customHeight="1">
      <c r="A454" s="1473">
        <f t="shared" si="11"/>
        <v>28</v>
      </c>
      <c r="B454" s="1438"/>
      <c r="F454" s="1451"/>
    </row>
    <row r="455" spans="1:6" ht="14.25" customHeight="1">
      <c r="A455" s="1473">
        <f t="shared" si="11"/>
        <v>29</v>
      </c>
      <c r="B455" s="1438"/>
      <c r="F455" s="1451"/>
    </row>
    <row r="456" spans="1:6" ht="14.25" customHeight="1">
      <c r="A456" s="1473">
        <f t="shared" si="11"/>
        <v>30</v>
      </c>
      <c r="B456" s="1438"/>
      <c r="F456" s="1451"/>
    </row>
    <row r="457" spans="1:6" ht="14.25" customHeight="1">
      <c r="A457" s="1473">
        <f t="shared" si="11"/>
        <v>31</v>
      </c>
      <c r="B457" s="1438"/>
      <c r="F457" s="1451"/>
    </row>
    <row r="458" spans="1:6" ht="14.25" customHeight="1">
      <c r="A458" s="1473">
        <f t="shared" si="11"/>
        <v>32</v>
      </c>
      <c r="B458" s="1438"/>
      <c r="F458" s="1451"/>
    </row>
    <row r="459" spans="1:6" ht="14.25" customHeight="1">
      <c r="A459" s="1473">
        <f t="shared" si="11"/>
        <v>33</v>
      </c>
      <c r="B459" s="1438"/>
      <c r="F459" s="1451"/>
    </row>
    <row r="460" spans="1:6" ht="14.25" customHeight="1">
      <c r="A460" s="1473">
        <f t="shared" si="11"/>
        <v>34</v>
      </c>
      <c r="B460" s="1438"/>
      <c r="F460" s="1451"/>
    </row>
    <row r="461" spans="1:6" ht="14.25" customHeight="1">
      <c r="A461" s="1473">
        <f t="shared" si="11"/>
        <v>35</v>
      </c>
      <c r="B461" s="1438"/>
      <c r="F461" s="1451"/>
    </row>
    <row r="462" spans="1:6" ht="14.25" customHeight="1">
      <c r="A462" s="1473">
        <f t="shared" si="11"/>
        <v>36</v>
      </c>
      <c r="B462" s="1438"/>
      <c r="F462" s="1451"/>
    </row>
    <row r="463" spans="1:6" ht="14.25" customHeight="1">
      <c r="A463" s="1473">
        <f t="shared" si="11"/>
        <v>37</v>
      </c>
      <c r="B463" s="1438"/>
      <c r="F463" s="1451"/>
    </row>
    <row r="464" spans="1:6" ht="14.25" customHeight="1">
      <c r="A464" s="1473">
        <f t="shared" si="11"/>
        <v>38</v>
      </c>
      <c r="B464" s="1438"/>
      <c r="F464" s="1451"/>
    </row>
    <row r="465" spans="1:6" ht="14.25" customHeight="1">
      <c r="A465" s="1473">
        <f t="shared" si="11"/>
        <v>39</v>
      </c>
      <c r="B465" s="1438"/>
      <c r="F465" s="1451"/>
    </row>
    <row r="466" spans="1:6" ht="14.25" customHeight="1">
      <c r="A466" s="1473">
        <f t="shared" si="11"/>
        <v>40</v>
      </c>
      <c r="B466" s="1438"/>
      <c r="F466" s="1451"/>
    </row>
    <row r="467" spans="1:6" ht="14.25" customHeight="1">
      <c r="A467" s="1473">
        <f t="shared" si="11"/>
        <v>41</v>
      </c>
      <c r="B467" s="1438"/>
      <c r="F467" s="1451"/>
    </row>
    <row r="468" spans="1:6" ht="14.25" customHeight="1">
      <c r="A468" s="1473">
        <f t="shared" si="11"/>
        <v>42</v>
      </c>
      <c r="B468" s="1438"/>
      <c r="F468" s="1451"/>
    </row>
    <row r="469" spans="1:6" ht="14.25" customHeight="1">
      <c r="A469" s="1473">
        <f t="shared" si="11"/>
        <v>43</v>
      </c>
      <c r="B469" s="1438"/>
      <c r="F469" s="1451"/>
    </row>
    <row r="470" spans="1:6" ht="14.25" customHeight="1">
      <c r="A470" s="1473">
        <f t="shared" si="11"/>
        <v>44</v>
      </c>
      <c r="B470" s="1439"/>
      <c r="C470" s="1440"/>
      <c r="D470" s="1440"/>
      <c r="E470" s="1440"/>
      <c r="F470" s="1456"/>
    </row>
    <row r="471" spans="1:6" ht="14.25" customHeight="1"/>
    <row r="472" spans="1:6" ht="14.25" customHeight="1">
      <c r="A472" s="1402" t="s">
        <v>2802</v>
      </c>
    </row>
    <row r="473" spans="1:6" ht="14.25" customHeight="1"/>
    <row r="474" spans="1:6" ht="14.25" customHeight="1">
      <c r="A474" s="1473">
        <v>1</v>
      </c>
      <c r="B474" s="1463"/>
      <c r="C474" s="1437"/>
      <c r="D474" s="1437"/>
      <c r="E474" s="1437"/>
      <c r="F474" s="1450"/>
    </row>
    <row r="475" spans="1:6" ht="45">
      <c r="A475" s="1473">
        <v>2</v>
      </c>
      <c r="B475" s="1438"/>
      <c r="C475" s="1460" t="s">
        <v>2754</v>
      </c>
      <c r="F475" s="1451"/>
    </row>
    <row r="476" spans="1:6" ht="14.25" customHeight="1">
      <c r="A476" s="1473">
        <v>3</v>
      </c>
      <c r="B476" s="1438"/>
      <c r="F476" s="1451"/>
    </row>
    <row r="477" spans="1:6" ht="14.25" customHeight="1">
      <c r="A477" s="1473">
        <v>4</v>
      </c>
      <c r="B477" s="1438"/>
      <c r="F477" s="1451"/>
    </row>
    <row r="478" spans="1:6" ht="14.25" customHeight="1">
      <c r="A478" s="1473">
        <v>5</v>
      </c>
      <c r="B478" s="1438"/>
      <c r="C478"/>
      <c r="D478"/>
      <c r="E478"/>
      <c r="F478" s="1451"/>
    </row>
    <row r="479" spans="1:6" ht="14.25" customHeight="1">
      <c r="A479" s="1473">
        <v>6</v>
      </c>
      <c r="B479" s="1438"/>
      <c r="F479" s="1451"/>
    </row>
    <row r="480" spans="1:6" ht="14.25" customHeight="1">
      <c r="A480" s="1473">
        <f>A479+1</f>
        <v>7</v>
      </c>
      <c r="B480" s="1438"/>
      <c r="F480" s="1451"/>
    </row>
    <row r="481" spans="1:6" ht="14.25" customHeight="1">
      <c r="A481" s="1473">
        <f t="shared" ref="A481:A517" si="12">A480+1</f>
        <v>8</v>
      </c>
      <c r="B481" s="1438"/>
      <c r="F481" s="1451"/>
    </row>
    <row r="482" spans="1:6" ht="14.25" customHeight="1">
      <c r="A482" s="1473">
        <f t="shared" si="12"/>
        <v>9</v>
      </c>
      <c r="B482" s="1438"/>
      <c r="F482" s="1451"/>
    </row>
    <row r="483" spans="1:6" ht="14.25" customHeight="1">
      <c r="A483" s="1473">
        <f t="shared" si="12"/>
        <v>10</v>
      </c>
      <c r="B483" s="1438"/>
      <c r="F483" s="1451"/>
    </row>
    <row r="484" spans="1:6" ht="14.25" customHeight="1">
      <c r="A484" s="1473">
        <f t="shared" si="12"/>
        <v>11</v>
      </c>
      <c r="B484" s="1438"/>
      <c r="F484" s="1451"/>
    </row>
    <row r="485" spans="1:6" ht="14.25" customHeight="1">
      <c r="A485" s="1473">
        <f t="shared" si="12"/>
        <v>12</v>
      </c>
      <c r="B485" s="1438"/>
      <c r="F485" s="1451"/>
    </row>
    <row r="486" spans="1:6" ht="14.25" customHeight="1">
      <c r="A486" s="1473">
        <f t="shared" si="12"/>
        <v>13</v>
      </c>
      <c r="B486" s="1438"/>
      <c r="F486" s="1451"/>
    </row>
    <row r="487" spans="1:6" ht="14.25" customHeight="1">
      <c r="A487" s="1473">
        <f t="shared" si="12"/>
        <v>14</v>
      </c>
      <c r="B487" s="1438"/>
      <c r="F487" s="1451"/>
    </row>
    <row r="488" spans="1:6" ht="14.25" customHeight="1">
      <c r="A488" s="1473">
        <f t="shared" si="12"/>
        <v>15</v>
      </c>
      <c r="B488" s="1438"/>
      <c r="F488" s="1451"/>
    </row>
    <row r="489" spans="1:6" ht="14.25" customHeight="1">
      <c r="A489" s="1473">
        <f t="shared" si="12"/>
        <v>16</v>
      </c>
      <c r="B489" s="1438"/>
      <c r="F489" s="1451"/>
    </row>
    <row r="490" spans="1:6" ht="14.25" customHeight="1">
      <c r="A490" s="1473">
        <f t="shared" si="12"/>
        <v>17</v>
      </c>
      <c r="B490" s="1438"/>
      <c r="C490" s="1474" t="s">
        <v>2754</v>
      </c>
      <c r="F490" s="1451"/>
    </row>
    <row r="491" spans="1:6" ht="14.25" customHeight="1">
      <c r="A491" s="1473">
        <f t="shared" si="12"/>
        <v>18</v>
      </c>
      <c r="B491" s="1438"/>
      <c r="C491" s="168" t="s">
        <v>2791</v>
      </c>
      <c r="F491" s="1451"/>
    </row>
    <row r="492" spans="1:6" ht="14.25" customHeight="1">
      <c r="A492" s="1473">
        <f t="shared" si="12"/>
        <v>19</v>
      </c>
      <c r="B492" s="1438"/>
      <c r="F492" s="1451"/>
    </row>
    <row r="493" spans="1:6" ht="14.25" customHeight="1">
      <c r="A493" s="1473">
        <f t="shared" si="12"/>
        <v>20</v>
      </c>
      <c r="B493" s="1438"/>
      <c r="F493" s="1451"/>
    </row>
    <row r="494" spans="1:6" ht="14.25" customHeight="1">
      <c r="A494" s="1473">
        <f t="shared" si="12"/>
        <v>21</v>
      </c>
      <c r="B494" s="1438"/>
      <c r="F494" s="1451"/>
    </row>
    <row r="495" spans="1:6" ht="14.25" customHeight="1">
      <c r="A495" s="1473">
        <f t="shared" si="12"/>
        <v>22</v>
      </c>
      <c r="B495" s="1438"/>
      <c r="F495" s="1451"/>
    </row>
    <row r="496" spans="1:6" ht="14.25" customHeight="1">
      <c r="A496" s="1473">
        <f t="shared" si="12"/>
        <v>23</v>
      </c>
      <c r="B496" s="1438"/>
      <c r="F496" s="1451"/>
    </row>
    <row r="497" spans="1:6" ht="14.25" customHeight="1">
      <c r="A497" s="1473">
        <f t="shared" si="12"/>
        <v>24</v>
      </c>
      <c r="B497" s="1438"/>
      <c r="F497" s="1451"/>
    </row>
    <row r="498" spans="1:6" ht="14.25" customHeight="1">
      <c r="A498" s="1473">
        <f t="shared" si="12"/>
        <v>25</v>
      </c>
      <c r="B498" s="1438"/>
      <c r="F498" s="1451"/>
    </row>
    <row r="499" spans="1:6" ht="14.25" customHeight="1">
      <c r="A499" s="1473">
        <f t="shared" si="12"/>
        <v>26</v>
      </c>
      <c r="B499" s="1438"/>
      <c r="F499" s="1451"/>
    </row>
    <row r="500" spans="1:6" ht="14.25" customHeight="1">
      <c r="A500" s="1473">
        <f t="shared" si="12"/>
        <v>27</v>
      </c>
      <c r="B500" s="1438"/>
      <c r="F500" s="1451"/>
    </row>
    <row r="501" spans="1:6" ht="14.25" customHeight="1">
      <c r="A501" s="1473">
        <f t="shared" si="12"/>
        <v>28</v>
      </c>
      <c r="B501" s="1438"/>
      <c r="F501" s="1451"/>
    </row>
    <row r="502" spans="1:6" ht="14.25" customHeight="1">
      <c r="A502" s="1473">
        <f t="shared" si="12"/>
        <v>29</v>
      </c>
      <c r="B502" s="1438"/>
      <c r="F502" s="1451"/>
    </row>
    <row r="503" spans="1:6" ht="14.25" customHeight="1">
      <c r="A503" s="1473">
        <f t="shared" si="12"/>
        <v>30</v>
      </c>
      <c r="B503" s="1438"/>
      <c r="F503" s="1451"/>
    </row>
    <row r="504" spans="1:6" ht="14.25" customHeight="1">
      <c r="A504" s="1473">
        <f t="shared" si="12"/>
        <v>31</v>
      </c>
      <c r="B504" s="1438"/>
      <c r="F504" s="1451"/>
    </row>
    <row r="505" spans="1:6" ht="14.25" customHeight="1">
      <c r="A505" s="1473">
        <f t="shared" si="12"/>
        <v>32</v>
      </c>
      <c r="B505" s="1438"/>
      <c r="F505" s="1451"/>
    </row>
    <row r="506" spans="1:6" ht="14.25" customHeight="1">
      <c r="A506" s="1473">
        <f t="shared" si="12"/>
        <v>33</v>
      </c>
      <c r="B506" s="1438"/>
      <c r="F506" s="1451"/>
    </row>
    <row r="507" spans="1:6" ht="14.25" customHeight="1">
      <c r="A507" s="1473">
        <f t="shared" si="12"/>
        <v>34</v>
      </c>
      <c r="B507" s="1438"/>
      <c r="F507" s="1451"/>
    </row>
    <row r="508" spans="1:6" ht="14.25" customHeight="1">
      <c r="A508" s="1473">
        <f t="shared" si="12"/>
        <v>35</v>
      </c>
      <c r="B508" s="1438"/>
      <c r="F508" s="1451"/>
    </row>
    <row r="509" spans="1:6" ht="14.25" customHeight="1">
      <c r="A509" s="1473">
        <f t="shared" si="12"/>
        <v>36</v>
      </c>
      <c r="B509" s="1438"/>
      <c r="F509" s="1451"/>
    </row>
    <row r="510" spans="1:6" ht="14.25" customHeight="1">
      <c r="A510" s="1473">
        <f t="shared" si="12"/>
        <v>37</v>
      </c>
      <c r="B510" s="1438"/>
      <c r="F510" s="1451"/>
    </row>
    <row r="511" spans="1:6" ht="14.25" customHeight="1">
      <c r="A511" s="1473">
        <f t="shared" si="12"/>
        <v>38</v>
      </c>
      <c r="B511" s="1438"/>
      <c r="F511" s="1451"/>
    </row>
    <row r="512" spans="1:6" ht="13.7" customHeight="1">
      <c r="A512" s="1473">
        <f t="shared" si="12"/>
        <v>39</v>
      </c>
      <c r="B512" s="1438"/>
      <c r="F512" s="1451"/>
    </row>
    <row r="513" spans="1:6" ht="13.7" customHeight="1">
      <c r="A513" s="1473">
        <f t="shared" si="12"/>
        <v>40</v>
      </c>
      <c r="B513" s="1438"/>
      <c r="F513" s="1451"/>
    </row>
    <row r="514" spans="1:6" ht="13.7" customHeight="1">
      <c r="A514" s="1473">
        <f t="shared" si="12"/>
        <v>41</v>
      </c>
      <c r="B514" s="1438"/>
      <c r="F514" s="1451"/>
    </row>
    <row r="515" spans="1:6" ht="13.7" customHeight="1">
      <c r="A515" s="1473">
        <f t="shared" si="12"/>
        <v>42</v>
      </c>
      <c r="B515" s="1438"/>
      <c r="F515" s="1451"/>
    </row>
    <row r="516" spans="1:6" ht="13.7" customHeight="1">
      <c r="A516" s="1473">
        <f t="shared" si="12"/>
        <v>43</v>
      </c>
      <c r="B516" s="1438"/>
      <c r="F516" s="1451"/>
    </row>
    <row r="517" spans="1:6" ht="14.25" customHeight="1">
      <c r="A517" s="1473">
        <f t="shared" si="12"/>
        <v>44</v>
      </c>
      <c r="B517" s="1439"/>
      <c r="C517" s="1440"/>
      <c r="D517" s="1440"/>
      <c r="E517" s="1440"/>
      <c r="F517" s="1456"/>
    </row>
  </sheetData>
  <mergeCells count="1">
    <mergeCell ref="C246:E246"/>
  </mergeCells>
  <pageMargins left="7.874015748031496E-2" right="3.937007874015748E-2" top="0.23622047244094491" bottom="0.11811023622047245" header="0.19685039370078741" footer="0.19685039370078741"/>
  <pageSetup paperSize="9" scale="88" orientation="landscape" r:id="rId1"/>
  <rowBreaks count="3" manualBreakCount="3">
    <brk id="47" max="16383" man="1"/>
    <brk id="94" max="16383" man="1"/>
    <brk id="141"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F6C3E-B8F7-4E3A-B4C0-D0CBA16E584B}">
  <dimension ref="A1:X33"/>
  <sheetViews>
    <sheetView showGridLines="0" workbookViewId="0">
      <selection activeCell="C6" sqref="C6"/>
    </sheetView>
  </sheetViews>
  <sheetFormatPr defaultColWidth="0" defaultRowHeight="12.75"/>
  <cols>
    <col min="1" max="1" width="3" style="27" customWidth="1"/>
    <col min="2" max="2" width="2.88671875" style="27" customWidth="1"/>
    <col min="3" max="3" width="47.5546875" style="27" customWidth="1"/>
    <col min="4" max="5" width="10.109375" style="27" customWidth="1"/>
    <col min="6" max="6" width="2.88671875" style="27" customWidth="1"/>
    <col min="7" max="7" width="3.44140625" style="27" customWidth="1"/>
    <col min="8" max="9" width="5.88671875" style="27" customWidth="1"/>
    <col min="10" max="14" width="8.88671875" style="27" bestFit="1" customWidth="1"/>
    <col min="15" max="15" width="25.88671875" style="27" hidden="1" customWidth="1"/>
    <col min="16" max="24" width="0" style="27" hidden="1" customWidth="1"/>
    <col min="25" max="16384" width="8.88671875" style="27" hidden="1"/>
  </cols>
  <sheetData>
    <row r="1" spans="2:24" s="4" customFormat="1"/>
    <row r="2" spans="2:24" s="6" customFormat="1">
      <c r="B2" s="38" t="s">
        <v>92</v>
      </c>
      <c r="C2" s="35"/>
      <c r="D2" s="35"/>
      <c r="E2" s="35"/>
      <c r="F2" s="5" t="s">
        <v>205</v>
      </c>
    </row>
    <row r="3" spans="2:24" s="6" customFormat="1">
      <c r="B3" s="39" t="s">
        <v>2083</v>
      </c>
      <c r="C3" s="37"/>
      <c r="D3" s="37"/>
      <c r="E3" s="37"/>
      <c r="F3" s="7" t="s">
        <v>1962</v>
      </c>
    </row>
    <row r="4" spans="2:24" s="6" customFormat="1">
      <c r="B4" s="40" t="s">
        <v>206</v>
      </c>
      <c r="C4" s="36"/>
      <c r="D4" s="36"/>
      <c r="E4" s="36"/>
      <c r="F4" s="8" t="s">
        <v>2084</v>
      </c>
    </row>
    <row r="5" spans="2:24" s="6" customFormat="1" ht="15.75">
      <c r="B5" s="9"/>
      <c r="C5" s="9"/>
      <c r="D5" s="9"/>
      <c r="E5" s="9"/>
      <c r="F5" s="9"/>
    </row>
    <row r="6" spans="2:24" s="6" customFormat="1" ht="15.75">
      <c r="B6" s="9"/>
      <c r="C6" s="41" t="str">
        <f>client.name.long&amp;"- Indicative enterprise valuation range"</f>
        <v>Hazel Lighting India- Indicative enterprise valuation range</v>
      </c>
      <c r="D6" s="10"/>
      <c r="E6" s="11"/>
      <c r="F6" s="9"/>
      <c r="O6" s="12"/>
      <c r="P6" s="12"/>
      <c r="Q6" s="12"/>
      <c r="R6" s="12"/>
      <c r="S6" s="12"/>
      <c r="T6" s="12"/>
      <c r="U6" s="12"/>
      <c r="V6" s="13"/>
      <c r="W6" s="13"/>
      <c r="X6" s="13"/>
    </row>
    <row r="7" spans="2:24" s="6" customFormat="1" ht="15.75">
      <c r="B7" s="9"/>
      <c r="C7" s="42" t="s">
        <v>2089</v>
      </c>
      <c r="D7" s="43" t="s">
        <v>208</v>
      </c>
      <c r="E7" s="43" t="s">
        <v>209</v>
      </c>
      <c r="F7" s="9"/>
      <c r="O7" s="13"/>
      <c r="P7" s="14"/>
      <c r="Q7" s="14"/>
      <c r="R7" s="14"/>
      <c r="S7" s="14"/>
      <c r="T7" s="12"/>
      <c r="U7" s="12"/>
      <c r="V7" s="13"/>
      <c r="W7" s="13"/>
      <c r="X7" s="13"/>
    </row>
    <row r="8" spans="2:24" s="6" customFormat="1" ht="15.75">
      <c r="B8" s="9"/>
      <c r="C8" s="15" t="s">
        <v>210</v>
      </c>
      <c r="D8" s="16"/>
      <c r="E8" s="16"/>
      <c r="F8" s="9"/>
      <c r="I8" s="17"/>
      <c r="J8" s="17"/>
      <c r="O8" s="18"/>
      <c r="P8" s="18"/>
      <c r="Q8" s="18"/>
      <c r="R8" s="18"/>
      <c r="S8" s="18"/>
      <c r="T8" s="12"/>
      <c r="U8" s="12"/>
      <c r="V8" s="13"/>
      <c r="W8" s="13"/>
      <c r="X8" s="13"/>
    </row>
    <row r="9" spans="2:24" s="6" customFormat="1" ht="15.75">
      <c r="B9" s="9"/>
      <c r="C9" s="19" t="s">
        <v>211</v>
      </c>
      <c r="D9" s="47">
        <f>DCF!L31</f>
        <v>-1780055.100222603</v>
      </c>
      <c r="E9" s="47">
        <f>DCF!M31</f>
        <v>431846.89988741872</v>
      </c>
      <c r="F9" s="21">
        <v>50</v>
      </c>
      <c r="I9" s="17"/>
      <c r="J9" s="17"/>
      <c r="O9" s="18"/>
      <c r="P9" s="18"/>
      <c r="Q9" s="18"/>
      <c r="R9" s="18"/>
      <c r="S9" s="18"/>
      <c r="T9" s="12"/>
      <c r="U9" s="12"/>
      <c r="V9" s="13"/>
      <c r="W9" s="13"/>
      <c r="X9" s="13"/>
    </row>
    <row r="10" spans="2:24" s="6" customFormat="1" ht="15.75">
      <c r="B10" s="9"/>
      <c r="C10" s="19" t="s">
        <v>212</v>
      </c>
      <c r="D10" s="47">
        <f>DCF!K52</f>
        <v>2.9750000000000001</v>
      </c>
      <c r="E10" s="47">
        <f>DCF!M52</f>
        <v>4.0249999999999995</v>
      </c>
      <c r="F10" s="21">
        <v>70</v>
      </c>
      <c r="O10" s="18"/>
      <c r="P10" s="18"/>
      <c r="Q10" s="18"/>
      <c r="R10" s="18"/>
      <c r="S10" s="18"/>
      <c r="T10" s="12"/>
      <c r="U10" s="12"/>
      <c r="V10" s="13"/>
      <c r="W10" s="13"/>
      <c r="X10" s="13"/>
    </row>
    <row r="11" spans="2:24" s="6" customFormat="1" ht="15.75">
      <c r="B11" s="9"/>
      <c r="C11" s="19" t="s">
        <v>213</v>
      </c>
      <c r="D11" s="47"/>
      <c r="E11" s="47"/>
      <c r="F11" s="21">
        <v>30</v>
      </c>
      <c r="O11" s="18"/>
      <c r="P11" s="18"/>
      <c r="Q11" s="18"/>
      <c r="R11" s="18"/>
      <c r="S11" s="18"/>
      <c r="T11" s="12"/>
      <c r="U11" s="12"/>
      <c r="V11" s="13"/>
      <c r="W11" s="13"/>
      <c r="X11" s="13"/>
    </row>
    <row r="12" spans="2:24" s="6" customFormat="1" ht="15.75">
      <c r="B12" s="9"/>
      <c r="C12" s="22" t="s">
        <v>214</v>
      </c>
      <c r="D12" s="48"/>
      <c r="E12" s="48"/>
      <c r="F12" s="21">
        <v>20</v>
      </c>
      <c r="O12" s="13"/>
      <c r="P12" s="13"/>
      <c r="Q12" s="13"/>
      <c r="R12" s="13"/>
      <c r="S12" s="12"/>
      <c r="T12" s="12"/>
      <c r="U12" s="12"/>
      <c r="V12" s="13"/>
      <c r="W12" s="13"/>
      <c r="X12" s="13"/>
    </row>
    <row r="13" spans="2:24" s="6" customFormat="1" ht="15.75">
      <c r="B13" s="9"/>
      <c r="C13" s="33" t="s">
        <v>215</v>
      </c>
      <c r="D13" s="34"/>
      <c r="E13" s="34"/>
      <c r="F13" s="9"/>
      <c r="O13" s="13"/>
      <c r="P13" s="13"/>
      <c r="Q13" s="13"/>
      <c r="R13" s="13"/>
      <c r="S13" s="12"/>
      <c r="T13" s="12"/>
      <c r="U13" s="12"/>
    </row>
    <row r="14" spans="2:24" s="6" customFormat="1" ht="15.75">
      <c r="B14" s="9"/>
      <c r="C14" s="19" t="s">
        <v>216</v>
      </c>
      <c r="D14" s="20"/>
      <c r="E14" s="20"/>
      <c r="F14" s="9"/>
      <c r="O14" s="13"/>
      <c r="P14" s="13"/>
      <c r="Q14" s="13"/>
      <c r="R14" s="13"/>
    </row>
    <row r="15" spans="2:24" s="6" customFormat="1" ht="15.75">
      <c r="B15" s="9"/>
      <c r="C15" s="23" t="s">
        <v>217</v>
      </c>
      <c r="D15" s="24"/>
      <c r="E15" s="24"/>
      <c r="F15" s="9"/>
      <c r="O15" s="13"/>
      <c r="P15" s="13"/>
      <c r="Q15" s="13"/>
      <c r="R15" s="13"/>
    </row>
    <row r="16" spans="2:24" s="6" customFormat="1" ht="15.75">
      <c r="B16" s="9"/>
      <c r="C16" s="19" t="s">
        <v>218</v>
      </c>
      <c r="D16" s="20"/>
      <c r="E16" s="20"/>
      <c r="F16" s="9"/>
      <c r="J16" s="1825"/>
      <c r="K16" s="1825"/>
      <c r="L16" s="1825"/>
    </row>
    <row r="17" spans="2:12" s="6" customFormat="1" ht="15.75">
      <c r="B17" s="9"/>
      <c r="C17" s="25" t="s">
        <v>219</v>
      </c>
      <c r="D17" s="26"/>
      <c r="E17" s="26"/>
      <c r="F17" s="9"/>
      <c r="J17" s="1825"/>
      <c r="K17" s="1825"/>
      <c r="L17" s="1825"/>
    </row>
    <row r="18" spans="2:12" s="6" customFormat="1" ht="15.75">
      <c r="B18" s="9"/>
      <c r="C18" s="9"/>
      <c r="D18" s="9"/>
      <c r="E18" s="9"/>
      <c r="F18" s="9"/>
      <c r="J18" s="1825"/>
      <c r="K18" s="1825"/>
      <c r="L18" s="1825"/>
    </row>
    <row r="19" spans="2:12" s="6" customFormat="1" ht="15.75">
      <c r="B19" s="9"/>
      <c r="C19" s="41" t="s">
        <v>2085</v>
      </c>
      <c r="D19" s="10"/>
      <c r="E19" s="11"/>
      <c r="F19" s="9"/>
    </row>
    <row r="20" spans="2:12" s="6" customFormat="1" ht="15.75">
      <c r="B20" s="9"/>
      <c r="C20" s="42" t="s">
        <v>207</v>
      </c>
      <c r="D20" s="43" t="s">
        <v>208</v>
      </c>
      <c r="E20" s="43" t="s">
        <v>209</v>
      </c>
      <c r="F20" s="9"/>
      <c r="H20" s="27"/>
      <c r="I20" s="27"/>
    </row>
    <row r="21" spans="2:12" s="6" customFormat="1" ht="15.75">
      <c r="B21" s="9"/>
      <c r="C21" s="19" t="s">
        <v>2086</v>
      </c>
      <c r="D21" s="44"/>
      <c r="E21" s="44"/>
      <c r="F21" s="9"/>
      <c r="H21" s="27"/>
      <c r="I21" s="27"/>
    </row>
    <row r="22" spans="2:12" s="6" customFormat="1" ht="15.75">
      <c r="B22" s="9"/>
      <c r="C22" s="19" t="s">
        <v>220</v>
      </c>
      <c r="D22" s="45">
        <v>5</v>
      </c>
      <c r="E22" s="45">
        <v>7</v>
      </c>
      <c r="F22" s="9"/>
      <c r="H22" s="27"/>
      <c r="I22" s="27"/>
    </row>
    <row r="23" spans="2:12" s="6" customFormat="1" ht="15.75">
      <c r="B23" s="9"/>
      <c r="C23" s="19" t="s">
        <v>221</v>
      </c>
      <c r="D23" s="46">
        <v>0</v>
      </c>
      <c r="E23" s="46">
        <v>0</v>
      </c>
      <c r="F23" s="9"/>
    </row>
    <row r="24" spans="2:12" s="6" customFormat="1" ht="15.75">
      <c r="B24" s="9"/>
      <c r="C24" s="31" t="s">
        <v>222</v>
      </c>
      <c r="D24" s="32">
        <v>5</v>
      </c>
      <c r="E24" s="32">
        <v>7</v>
      </c>
      <c r="F24" s="9"/>
    </row>
    <row r="25" spans="2:12" s="6" customFormat="1" ht="15.75">
      <c r="B25" s="9"/>
      <c r="C25" s="28" t="s">
        <v>2087</v>
      </c>
      <c r="D25" s="29" t="s">
        <v>1443</v>
      </c>
      <c r="E25" s="30" t="s">
        <v>1443</v>
      </c>
      <c r="F25" s="9"/>
    </row>
    <row r="27" spans="2:12" ht="15">
      <c r="C27" s="41" t="s">
        <v>2088</v>
      </c>
      <c r="D27" s="10"/>
      <c r="E27" s="11"/>
    </row>
    <row r="28" spans="2:12">
      <c r="C28" s="42" t="s">
        <v>207</v>
      </c>
      <c r="D28" s="43" t="s">
        <v>208</v>
      </c>
      <c r="E28" s="43" t="s">
        <v>209</v>
      </c>
    </row>
    <row r="29" spans="2:12">
      <c r="C29" s="19" t="s">
        <v>2086</v>
      </c>
      <c r="D29" s="44"/>
      <c r="E29" s="44"/>
    </row>
    <row r="30" spans="2:12">
      <c r="C30" s="19" t="s">
        <v>223</v>
      </c>
      <c r="D30" s="45">
        <v>6</v>
      </c>
      <c r="E30" s="45">
        <v>8</v>
      </c>
    </row>
    <row r="31" spans="2:12">
      <c r="C31" s="19" t="s">
        <v>221</v>
      </c>
      <c r="D31" s="46">
        <v>0</v>
      </c>
      <c r="E31" s="46">
        <v>0</v>
      </c>
    </row>
    <row r="32" spans="2:12">
      <c r="C32" s="31" t="s">
        <v>222</v>
      </c>
      <c r="D32" s="32">
        <v>6</v>
      </c>
      <c r="E32" s="32">
        <v>8</v>
      </c>
    </row>
    <row r="33" spans="3:5">
      <c r="C33" s="28" t="s">
        <v>2087</v>
      </c>
      <c r="D33" s="29" t="s">
        <v>1443</v>
      </c>
      <c r="E33" s="30" t="s">
        <v>1443</v>
      </c>
    </row>
  </sheetData>
  <mergeCells count="1">
    <mergeCell ref="J16:L1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625D-06A9-47DD-9565-BCA8792842D9}">
  <dimension ref="A3:T14"/>
  <sheetViews>
    <sheetView showGridLines="0" topLeftCell="A2" zoomScale="69" workbookViewId="0">
      <selection activeCell="R20" sqref="R20:S25"/>
    </sheetView>
  </sheetViews>
  <sheetFormatPr defaultColWidth="0" defaultRowHeight="12.75"/>
  <cols>
    <col min="1" max="1" width="2.88671875" style="168" customWidth="1"/>
    <col min="2" max="2" width="23.44140625" style="168" bestFit="1" customWidth="1"/>
    <col min="3" max="5" width="5.6640625" style="168" bestFit="1" customWidth="1"/>
    <col min="6" max="8" width="7.33203125" style="168" bestFit="1" customWidth="1"/>
    <col min="9" max="12" width="7.109375" style="168" bestFit="1" customWidth="1"/>
    <col min="13" max="15" width="7.33203125" style="168" bestFit="1" customWidth="1"/>
    <col min="16" max="19" width="7.109375" style="168" bestFit="1" customWidth="1"/>
    <col min="20" max="20" width="8.6640625" style="168" customWidth="1"/>
    <col min="21" max="16384" width="8.6640625" style="168" hidden="1"/>
  </cols>
  <sheetData>
    <row r="3" spans="2:19">
      <c r="B3" s="1373"/>
      <c r="C3" s="1826" t="s">
        <v>2691</v>
      </c>
      <c r="D3" s="1826"/>
      <c r="E3" s="1826"/>
      <c r="F3" s="1827" t="s">
        <v>2697</v>
      </c>
      <c r="G3" s="1827"/>
      <c r="H3" s="1827"/>
      <c r="I3" s="1827"/>
      <c r="J3" s="1827"/>
      <c r="K3" s="1827"/>
      <c r="L3" s="1827"/>
      <c r="M3" s="1828" t="s">
        <v>2698</v>
      </c>
      <c r="N3" s="1828"/>
      <c r="O3" s="1828"/>
      <c r="P3" s="1828"/>
      <c r="Q3" s="1828"/>
      <c r="R3" s="1828"/>
      <c r="S3" s="1829"/>
    </row>
    <row r="4" spans="2:19">
      <c r="B4" s="1374"/>
      <c r="C4" s="1375" t="str">
        <f>IS!I7</f>
        <v>FY22</v>
      </c>
      <c r="D4" s="1375" t="str">
        <f>IS!J7</f>
        <v>FY23</v>
      </c>
      <c r="E4" s="1375" t="str">
        <f>IS!K7</f>
        <v>YTD24</v>
      </c>
      <c r="F4" s="1376" t="str">
        <f>IS!L7</f>
        <v>YTG24</v>
      </c>
      <c r="G4" s="1376" t="str">
        <f>IS!M7</f>
        <v>FY24</v>
      </c>
      <c r="H4" s="1376" t="str">
        <f>IS!N7</f>
        <v>FY25</v>
      </c>
      <c r="I4" s="1376" t="str">
        <f>IS!O7</f>
        <v>FY26</v>
      </c>
      <c r="J4" s="1376" t="str">
        <f>IS!P7</f>
        <v>FY27</v>
      </c>
      <c r="K4" s="1376" t="str">
        <f>IS!Q7</f>
        <v>FY28</v>
      </c>
      <c r="L4" s="1376" t="str">
        <f>IS!R7</f>
        <v>FY29</v>
      </c>
      <c r="M4" s="1377" t="str">
        <f t="shared" ref="M4:S5" si="0">F4</f>
        <v>YTG24</v>
      </c>
      <c r="N4" s="1377" t="str">
        <f t="shared" si="0"/>
        <v>FY24</v>
      </c>
      <c r="O4" s="1377" t="str">
        <f t="shared" si="0"/>
        <v>FY25</v>
      </c>
      <c r="P4" s="1377" t="str">
        <f t="shared" si="0"/>
        <v>FY26</v>
      </c>
      <c r="Q4" s="1377" t="str">
        <f t="shared" si="0"/>
        <v>FY27</v>
      </c>
      <c r="R4" s="1377" t="str">
        <f t="shared" si="0"/>
        <v>FY28</v>
      </c>
      <c r="S4" s="1378" t="str">
        <f t="shared" si="0"/>
        <v>FY29</v>
      </c>
    </row>
    <row r="5" spans="2:19">
      <c r="B5" s="1374"/>
      <c r="C5" s="1370" t="str">
        <f>IS!I8</f>
        <v>Actual</v>
      </c>
      <c r="D5" s="1370" t="str">
        <f>IS!J8</f>
        <v>Actual</v>
      </c>
      <c r="E5" s="1370" t="str">
        <f>IS!K8</f>
        <v>Actual</v>
      </c>
      <c r="F5" s="1371" t="str">
        <f>IS!L8</f>
        <v>Estimate</v>
      </c>
      <c r="G5" s="1371" t="str">
        <f>IS!M8</f>
        <v>Estimate</v>
      </c>
      <c r="H5" s="1371" t="str">
        <f>IS!N8</f>
        <v>Estimate</v>
      </c>
      <c r="I5" s="1371" t="str">
        <f>IS!O8</f>
        <v>Forecast</v>
      </c>
      <c r="J5" s="1371" t="str">
        <f>IS!P8</f>
        <v>Forecast</v>
      </c>
      <c r="K5" s="1371" t="str">
        <f>IS!Q8</f>
        <v>Forecast</v>
      </c>
      <c r="L5" s="1371" t="str">
        <f>IS!R8</f>
        <v>Forecast</v>
      </c>
      <c r="M5" s="1372" t="str">
        <f t="shared" si="0"/>
        <v>Estimate</v>
      </c>
      <c r="N5" s="1372" t="str">
        <f t="shared" si="0"/>
        <v>Estimate</v>
      </c>
      <c r="O5" s="1372" t="str">
        <f t="shared" si="0"/>
        <v>Estimate</v>
      </c>
      <c r="P5" s="1372" t="str">
        <f t="shared" si="0"/>
        <v>Forecast</v>
      </c>
      <c r="Q5" s="1372" t="str">
        <f t="shared" si="0"/>
        <v>Forecast</v>
      </c>
      <c r="R5" s="1372" t="str">
        <f t="shared" si="0"/>
        <v>Forecast</v>
      </c>
      <c r="S5" s="1379" t="str">
        <f t="shared" si="0"/>
        <v>Forecast</v>
      </c>
    </row>
    <row r="6" spans="2:19">
      <c r="B6" s="1374" t="s">
        <v>1478</v>
      </c>
      <c r="F6" s="1380"/>
      <c r="G6" s="1380"/>
      <c r="H6" s="1380"/>
      <c r="I6" s="1380"/>
      <c r="J6" s="1380"/>
      <c r="K6" s="1380"/>
      <c r="L6" s="1380"/>
      <c r="M6" s="1381"/>
      <c r="N6" s="1381"/>
      <c r="O6" s="1381"/>
      <c r="P6" s="1381"/>
      <c r="Q6" s="1381"/>
      <c r="R6" s="1381"/>
      <c r="S6" s="1382"/>
    </row>
    <row r="7" spans="2:19">
      <c r="B7" s="1374" t="s">
        <v>1835</v>
      </c>
      <c r="F7" s="1380"/>
      <c r="G7" s="1380"/>
      <c r="H7" s="1380"/>
      <c r="I7" s="1380"/>
      <c r="J7" s="1380"/>
      <c r="K7" s="1380"/>
      <c r="L7" s="1380"/>
      <c r="M7" s="1381"/>
      <c r="N7" s="1381"/>
      <c r="O7" s="1381"/>
      <c r="P7" s="1381"/>
      <c r="Q7" s="1381"/>
      <c r="R7" s="1381"/>
      <c r="S7" s="1382"/>
    </row>
    <row r="8" spans="2:19">
      <c r="B8" s="1374" t="s">
        <v>2694</v>
      </c>
      <c r="F8" s="1380"/>
      <c r="G8" s="1380"/>
      <c r="H8" s="1380"/>
      <c r="I8" s="1380"/>
      <c r="J8" s="1380"/>
      <c r="K8" s="1380"/>
      <c r="L8" s="1380"/>
      <c r="M8" s="1381"/>
      <c r="N8" s="1381"/>
      <c r="O8" s="1381"/>
      <c r="P8" s="1381"/>
      <c r="Q8" s="1381"/>
      <c r="R8" s="1381"/>
      <c r="S8" s="1382"/>
    </row>
    <row r="9" spans="2:19">
      <c r="B9" s="1374" t="s">
        <v>2695</v>
      </c>
      <c r="F9" s="1380"/>
      <c r="G9" s="1380"/>
      <c r="H9" s="1380"/>
      <c r="I9" s="1380"/>
      <c r="J9" s="1380"/>
      <c r="K9" s="1380"/>
      <c r="L9" s="1380"/>
      <c r="M9" s="1381"/>
      <c r="N9" s="1381"/>
      <c r="O9" s="1381"/>
      <c r="P9" s="1381"/>
      <c r="Q9" s="1381"/>
      <c r="R9" s="1381"/>
      <c r="S9" s="1382"/>
    </row>
    <row r="10" spans="2:19">
      <c r="B10" s="1374" t="s">
        <v>2696</v>
      </c>
      <c r="F10" s="1380"/>
      <c r="G10" s="1380"/>
      <c r="H10" s="1380"/>
      <c r="I10" s="1380"/>
      <c r="J10" s="1380"/>
      <c r="K10" s="1380"/>
      <c r="L10" s="1380"/>
      <c r="M10" s="1381"/>
      <c r="N10" s="1381"/>
      <c r="O10" s="1381"/>
      <c r="P10" s="1381"/>
      <c r="Q10" s="1381"/>
      <c r="R10" s="1381"/>
      <c r="S10" s="1382"/>
    </row>
    <row r="11" spans="2:19">
      <c r="B11" s="1374" t="s">
        <v>1407</v>
      </c>
      <c r="F11" s="1380"/>
      <c r="G11" s="1380"/>
      <c r="H11" s="1380"/>
      <c r="I11" s="1380"/>
      <c r="J11" s="1380"/>
      <c r="K11" s="1380"/>
      <c r="L11" s="1380"/>
      <c r="M11" s="1381"/>
      <c r="N11" s="1381"/>
      <c r="O11" s="1381"/>
      <c r="P11" s="1381"/>
      <c r="Q11" s="1381"/>
      <c r="R11" s="1381"/>
      <c r="S11" s="1382"/>
    </row>
    <row r="12" spans="2:19">
      <c r="B12" s="1374" t="s">
        <v>2159</v>
      </c>
      <c r="F12" s="1380"/>
      <c r="G12" s="1380"/>
      <c r="H12" s="1380"/>
      <c r="I12" s="1380"/>
      <c r="J12" s="1380"/>
      <c r="K12" s="1380"/>
      <c r="L12" s="1380"/>
      <c r="M12" s="1381"/>
      <c r="N12" s="1381"/>
      <c r="O12" s="1381"/>
      <c r="P12" s="1381"/>
      <c r="Q12" s="1381"/>
      <c r="R12" s="1381"/>
      <c r="S12" s="1382"/>
    </row>
    <row r="13" spans="2:19">
      <c r="B13" s="1374" t="s">
        <v>2299</v>
      </c>
      <c r="F13" s="1380"/>
      <c r="G13" s="1380"/>
      <c r="H13" s="1380"/>
      <c r="I13" s="1380"/>
      <c r="J13" s="1380"/>
      <c r="K13" s="1380"/>
      <c r="L13" s="1380"/>
      <c r="M13" s="1381"/>
      <c r="N13" s="1381"/>
      <c r="O13" s="1381"/>
      <c r="P13" s="1381"/>
      <c r="Q13" s="1381"/>
      <c r="R13" s="1381"/>
      <c r="S13" s="1382"/>
    </row>
    <row r="14" spans="2:19">
      <c r="B14" s="1383"/>
      <c r="C14" s="1369"/>
      <c r="D14" s="1369"/>
      <c r="E14" s="1369"/>
      <c r="F14" s="1369"/>
      <c r="G14" s="1369"/>
      <c r="H14" s="1369"/>
      <c r="I14" s="1369"/>
      <c r="J14" s="1369"/>
      <c r="K14" s="1369"/>
      <c r="L14" s="1369"/>
      <c r="M14" s="1369"/>
      <c r="N14" s="1369"/>
      <c r="O14" s="1369"/>
      <c r="P14" s="1369"/>
      <c r="Q14" s="1369"/>
      <c r="R14" s="1369"/>
      <c r="S14" s="1384"/>
    </row>
  </sheetData>
  <mergeCells count="3">
    <mergeCell ref="C3:E3"/>
    <mergeCell ref="F3:L3"/>
    <mergeCell ref="M3:S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3DEB8-3DF7-40AB-9B51-C9765DBD062E}">
  <sheetPr>
    <tabColor rgb="FF009B76"/>
  </sheetPr>
  <dimension ref="A1:H30"/>
  <sheetViews>
    <sheetView showGridLines="0" workbookViewId="0">
      <selection sqref="A1:XFD1048576"/>
    </sheetView>
  </sheetViews>
  <sheetFormatPr defaultColWidth="0" defaultRowHeight="0" customHeight="1" zeroHeight="1"/>
  <cols>
    <col min="1" max="1" width="1.6640625" style="63" customWidth="1"/>
    <col min="2" max="8" width="8.6640625" style="63" customWidth="1"/>
    <col min="9" max="16384" width="8.6640625" style="63" hidden="1"/>
  </cols>
  <sheetData>
    <row r="1" spans="2:8" ht="11.25"/>
    <row r="2" spans="2:8" ht="11.25">
      <c r="B2" s="98" t="s">
        <v>2224</v>
      </c>
    </row>
    <row r="3" spans="2:8" ht="11.25">
      <c r="B3" s="225" t="str">
        <f>Inputs!$B$3</f>
        <v>Lazure Worldwide FZCO - Self Valuation using DCF Method, Transaction Multiples Method, &amp; Market Multiples Method as at September 30, 2024</v>
      </c>
    </row>
    <row r="4" spans="2:8" ht="11.25">
      <c r="B4" s="98" t="s">
        <v>1991</v>
      </c>
    </row>
    <row r="5" spans="2:8" ht="5.0999999999999996" customHeight="1" thickBot="1">
      <c r="B5" s="226"/>
      <c r="C5" s="227"/>
      <c r="D5" s="227"/>
      <c r="E5" s="227"/>
      <c r="F5" s="227"/>
      <c r="G5" s="227"/>
      <c r="H5" s="227"/>
    </row>
    <row r="6" spans="2:8" ht="12" thickTop="1"/>
    <row r="7" spans="2:8" ht="11.25">
      <c r="B7" s="98" t="s">
        <v>1990</v>
      </c>
    </row>
    <row r="8" spans="2:8" ht="11.25"/>
    <row r="9" spans="2:8" ht="11.25"/>
    <row r="10" spans="2:8" ht="11.25"/>
    <row r="11" spans="2:8" ht="11.25"/>
    <row r="12" spans="2:8" ht="11.25"/>
    <row r="13" spans="2:8" ht="11.25"/>
    <row r="14" spans="2:8" ht="11.25"/>
    <row r="15" spans="2:8" ht="11.25"/>
    <row r="16" spans="2:8" ht="11.25" hidden="1"/>
    <row r="17" ht="11.25" hidden="1"/>
    <row r="18" ht="11.25" hidden="1"/>
    <row r="19" ht="11.25" hidden="1"/>
    <row r="20" ht="11.25" hidden="1"/>
    <row r="21" ht="11.25" hidden="1"/>
    <row r="22" ht="11.25" hidden="1"/>
    <row r="23" ht="11.25" hidden="1"/>
    <row r="24" ht="11.25" hidden="1"/>
    <row r="25" ht="11.25" hidden="1"/>
    <row r="26" ht="11.25" hidden="1"/>
    <row r="27" ht="11.25" hidden="1"/>
    <row r="28" ht="11.25" hidden="1"/>
    <row r="29" ht="11.25" hidden="1"/>
    <row r="30" ht="11.25" hidden="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5BC67-63AA-4EBE-9859-2AEA7BA25952}">
  <dimension ref="A1:T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defaultColWidth="0" defaultRowHeight="11.25"/>
  <cols>
    <col min="1" max="1" width="2.33203125" style="1690" customWidth="1"/>
    <col min="2" max="2" width="2.21875" style="1690" customWidth="1"/>
    <col min="3" max="3" width="13.109375" style="1690" customWidth="1"/>
    <col min="4" max="4" width="9.21875" style="1690" customWidth="1"/>
    <col min="5" max="5" width="31.44140625" style="1696" customWidth="1"/>
    <col min="6" max="6" width="15.77734375" style="1690" customWidth="1"/>
    <col min="7" max="7" width="9.21875" style="1690" customWidth="1"/>
    <col min="8" max="11" width="5.109375" style="1690" bestFit="1" customWidth="1"/>
    <col min="12" max="14" width="5.88671875" style="1690" bestFit="1" customWidth="1"/>
    <col min="15" max="16" width="5.77734375" style="1690" bestFit="1" customWidth="1"/>
    <col min="17" max="18" width="5.6640625" style="1690" bestFit="1" customWidth="1"/>
    <col min="19" max="19" width="9.21875" style="1690" customWidth="1"/>
    <col min="20" max="20" width="0" style="1690" hidden="1" customWidth="1"/>
    <col min="21" max="16384" width="9.21875" style="1690" hidden="1"/>
  </cols>
  <sheetData>
    <row r="1" spans="1:19" s="63" customFormat="1">
      <c r="E1" s="1692"/>
    </row>
    <row r="2" spans="1:19" s="63" customFormat="1">
      <c r="B2" s="62" t="s">
        <v>2224</v>
      </c>
      <c r="E2" s="1692"/>
    </row>
    <row r="3" spans="1:19" s="63" customFormat="1">
      <c r="B3" s="64" t="str">
        <f>project.title&amp;" as at "&amp;TEXT(valuation.date,"mmmm d, yyy")</f>
        <v>Lazure Worldwide FZCO - Self Valuation using DCF Method, Transaction Multiples Method, &amp; Market Multiples Method as at September 30, 2024</v>
      </c>
      <c r="E3" s="1692"/>
    </row>
    <row r="4" spans="1:19" s="63" customFormat="1">
      <c r="B4" s="65" t="s">
        <v>1979</v>
      </c>
      <c r="E4" s="1692"/>
    </row>
    <row r="5" spans="1:19" s="63" customFormat="1" ht="5.0999999999999996" customHeight="1" thickBot="1">
      <c r="B5" s="66"/>
      <c r="C5" s="66"/>
      <c r="D5" s="66"/>
      <c r="E5" s="1693"/>
      <c r="F5" s="66"/>
      <c r="G5" s="66"/>
      <c r="H5" s="66"/>
      <c r="I5" s="66"/>
      <c r="J5" s="66"/>
      <c r="K5" s="66"/>
      <c r="L5" s="66"/>
      <c r="M5" s="66"/>
      <c r="N5" s="66"/>
      <c r="O5" s="66"/>
      <c r="P5" s="66"/>
      <c r="Q5" s="66"/>
      <c r="R5" s="66"/>
    </row>
    <row r="6" spans="1:19" s="63" customFormat="1" ht="5.0999999999999996" customHeight="1" thickTop="1">
      <c r="E6" s="1692"/>
    </row>
    <row r="7" spans="1:19" s="63" customFormat="1">
      <c r="C7" s="67" t="str">
        <f>IS_Calcs!C7</f>
        <v>All amounts in INR 'Units</v>
      </c>
      <c r="D7" s="68"/>
      <c r="E7" s="1694"/>
      <c r="F7" s="68"/>
      <c r="G7" s="69" t="s">
        <v>1865</v>
      </c>
      <c r="H7" s="69" t="str">
        <f>IS_Calcs!H7</f>
        <v>FY21</v>
      </c>
      <c r="I7" s="69" t="str">
        <f>IS_Calcs!I7</f>
        <v>FY22</v>
      </c>
      <c r="J7" s="69" t="str">
        <f>IS_Calcs!J7</f>
        <v>FY23</v>
      </c>
      <c r="K7" s="69" t="str">
        <f>IS_Calcs!K7</f>
        <v>YTD24</v>
      </c>
      <c r="L7" s="69" t="str">
        <f>IS_Calcs!L7</f>
        <v>YTG24</v>
      </c>
      <c r="M7" s="69" t="str">
        <f>IS_Calcs!M7</f>
        <v>FY24</v>
      </c>
      <c r="N7" s="69" t="str">
        <f>IS_Calcs!N7</f>
        <v>FY25</v>
      </c>
      <c r="O7" s="69" t="str">
        <f>IS_Calcs!O7</f>
        <v>FY26</v>
      </c>
      <c r="P7" s="69" t="str">
        <f>IS_Calcs!P7</f>
        <v>FY27</v>
      </c>
      <c r="Q7" s="69" t="str">
        <f>IS_Calcs!Q7</f>
        <v>FY28</v>
      </c>
      <c r="R7" s="70" t="str">
        <f>IS_Calcs!R7</f>
        <v>FY29</v>
      </c>
    </row>
    <row r="8" spans="1:19" s="63" customFormat="1" ht="15.75">
      <c r="C8" s="68"/>
      <c r="D8" s="68"/>
      <c r="E8" s="1709" t="s">
        <v>1795</v>
      </c>
      <c r="F8" s="1709" t="s">
        <v>3135</v>
      </c>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S8" s="71"/>
    </row>
    <row r="9" spans="1:19" customFormat="1" ht="15">
      <c r="A9" s="1707" t="s">
        <v>3041</v>
      </c>
      <c r="B9" s="1707"/>
      <c r="C9" s="1689"/>
      <c r="D9" s="1689"/>
      <c r="E9" s="1695"/>
      <c r="F9" s="1689"/>
      <c r="G9" s="1689"/>
      <c r="H9" s="1689"/>
      <c r="I9" s="1689"/>
      <c r="J9" s="1689"/>
      <c r="K9" s="1689"/>
      <c r="L9" s="1689"/>
      <c r="M9" s="1689"/>
      <c r="N9" s="1689"/>
      <c r="O9" s="1689"/>
      <c r="P9" s="1689"/>
      <c r="Q9" s="1689"/>
      <c r="R9" s="1689"/>
    </row>
    <row r="10" spans="1:19">
      <c r="B10" s="1708" t="s">
        <v>1477</v>
      </c>
      <c r="C10" s="1705"/>
      <c r="D10" s="1705"/>
      <c r="E10" s="1706"/>
      <c r="F10" s="1705"/>
      <c r="G10" s="1705"/>
    </row>
    <row r="11" spans="1:19">
      <c r="B11" s="1691"/>
      <c r="C11" s="1690" t="s">
        <v>1813</v>
      </c>
      <c r="E11" s="1696" t="s">
        <v>3072</v>
      </c>
      <c r="H11" s="1697" t="str">
        <f>IFERROR(IS!H40/IS!H23,"N/A")</f>
        <v>N/A</v>
      </c>
      <c r="I11" s="1697" t="str">
        <f>IFERROR(IS!I40/IS!I23,"N/A")</f>
        <v>N/A</v>
      </c>
      <c r="J11" s="1697" t="str">
        <f>IFERROR(IS!J40/IS!J23,"N/A")</f>
        <v>N/A</v>
      </c>
      <c r="K11" s="1697" t="str">
        <f>IFERROR(IS!K40/IS!K23,"N/A")</f>
        <v>N/A</v>
      </c>
      <c r="L11" s="1697">
        <f>IFERROR(IS!L40/IS!L23,"N/A")</f>
        <v>0.7</v>
      </c>
      <c r="M11" s="1697">
        <f>IFERROR(IS!M40/IS!M23,"N/A")</f>
        <v>0.7</v>
      </c>
      <c r="N11" s="1697">
        <f>IFERROR(IS!N40/IS!N23,"N/A")</f>
        <v>0.7</v>
      </c>
      <c r="O11" s="1697">
        <f>IFERROR(IS!O40/IS!O23,"N/A")</f>
        <v>0.7</v>
      </c>
      <c r="P11" s="1697">
        <f>IFERROR(IS!P40/IS!P23,"N/A")</f>
        <v>0.7</v>
      </c>
      <c r="Q11" s="1697">
        <f>IFERROR(IS!Q40/IS!Q23,"N/A")</f>
        <v>0.7</v>
      </c>
      <c r="R11" s="1697">
        <f>IFERROR(IS!R40/IS!R23,"N/A")</f>
        <v>0.7</v>
      </c>
    </row>
    <row r="12" spans="1:19">
      <c r="B12" s="1691"/>
      <c r="C12" s="1690" t="s">
        <v>3063</v>
      </c>
      <c r="E12" s="1696" t="s">
        <v>3073</v>
      </c>
      <c r="H12" s="1690" t="str">
        <f>IFERROR(IS!H40/IS!H23,"N/A")</f>
        <v>N/A</v>
      </c>
    </row>
    <row r="13" spans="1:19">
      <c r="B13" s="1691"/>
      <c r="C13" s="1690" t="s">
        <v>1408</v>
      </c>
      <c r="E13" s="1696" t="s">
        <v>3074</v>
      </c>
    </row>
    <row r="14" spans="1:19">
      <c r="B14" s="1691"/>
      <c r="C14" s="1690" t="s">
        <v>3105</v>
      </c>
      <c r="E14" s="1696" t="s">
        <v>3075</v>
      </c>
    </row>
    <row r="15" spans="1:19">
      <c r="B15" s="1691"/>
      <c r="C15" s="1690" t="s">
        <v>1812</v>
      </c>
      <c r="E15" s="1696" t="s">
        <v>3076</v>
      </c>
    </row>
    <row r="16" spans="1:19">
      <c r="B16" s="1691"/>
      <c r="C16" s="1690" t="s">
        <v>1497</v>
      </c>
      <c r="E16" s="1696" t="s">
        <v>3069</v>
      </c>
    </row>
    <row r="17" spans="2:8">
      <c r="B17" s="1708" t="s">
        <v>3064</v>
      </c>
      <c r="C17" s="1705"/>
      <c r="D17" s="1705"/>
      <c r="E17" s="1706"/>
      <c r="F17" s="1705"/>
      <c r="G17" s="1705"/>
    </row>
    <row r="18" spans="2:8">
      <c r="B18" s="1691"/>
      <c r="C18" s="1690" t="s">
        <v>3065</v>
      </c>
      <c r="E18" s="1696" t="s">
        <v>3077</v>
      </c>
    </row>
    <row r="19" spans="2:8">
      <c r="B19" s="1691"/>
      <c r="C19" s="1690" t="s">
        <v>3066</v>
      </c>
      <c r="E19" s="1696" t="s">
        <v>3078</v>
      </c>
    </row>
    <row r="20" spans="2:8">
      <c r="B20" s="1691"/>
      <c r="C20" s="1690" t="s">
        <v>1864</v>
      </c>
      <c r="E20" s="1696" t="s">
        <v>3079</v>
      </c>
    </row>
    <row r="21" spans="2:8">
      <c r="B21" s="1691"/>
      <c r="C21" s="1690" t="s">
        <v>3067</v>
      </c>
      <c r="E21" s="1696" t="s">
        <v>3080</v>
      </c>
    </row>
    <row r="22" spans="2:8">
      <c r="B22" s="1708" t="s">
        <v>3062</v>
      </c>
      <c r="C22" s="1705"/>
      <c r="D22" s="1705"/>
      <c r="E22" s="1706"/>
      <c r="F22" s="1705"/>
      <c r="G22" s="1705"/>
    </row>
    <row r="23" spans="2:8">
      <c r="B23" s="1691"/>
      <c r="C23" s="1690" t="s">
        <v>1498</v>
      </c>
      <c r="E23" s="1696" t="s">
        <v>3068</v>
      </c>
    </row>
    <row r="24" spans="2:8">
      <c r="B24" s="1691"/>
      <c r="C24" s="1690" t="s">
        <v>1499</v>
      </c>
      <c r="E24" s="1696" t="s">
        <v>3070</v>
      </c>
      <c r="G24" s="1690" t="s">
        <v>3071</v>
      </c>
    </row>
    <row r="25" spans="2:8">
      <c r="B25" s="1691"/>
      <c r="C25" s="1690" t="s">
        <v>3106</v>
      </c>
      <c r="E25" s="1696" t="s">
        <v>3121</v>
      </c>
    </row>
    <row r="26" spans="2:8">
      <c r="B26" s="1691"/>
      <c r="C26" s="1690" t="s">
        <v>3099</v>
      </c>
      <c r="E26" s="1696" t="s">
        <v>3100</v>
      </c>
      <c r="G26" s="1696" t="s">
        <v>3101</v>
      </c>
      <c r="H26" s="1696"/>
    </row>
    <row r="27" spans="2:8">
      <c r="B27" s="1691"/>
      <c r="G27" s="1696" t="s">
        <v>3101</v>
      </c>
      <c r="H27" s="1696"/>
    </row>
    <row r="28" spans="2:8">
      <c r="B28" s="1708" t="s">
        <v>3042</v>
      </c>
      <c r="C28" s="1705"/>
      <c r="D28" s="1705"/>
      <c r="E28" s="1706"/>
      <c r="F28" s="1705"/>
      <c r="G28" s="1705"/>
    </row>
    <row r="29" spans="2:8">
      <c r="B29" s="1691"/>
      <c r="C29" s="1690" t="s">
        <v>3044</v>
      </c>
      <c r="E29" s="1696" t="s">
        <v>3086</v>
      </c>
    </row>
    <row r="30" spans="2:8">
      <c r="B30" s="1691"/>
      <c r="C30" s="1690" t="s">
        <v>3045</v>
      </c>
      <c r="E30" s="1696" t="s">
        <v>3087</v>
      </c>
    </row>
    <row r="31" spans="2:8">
      <c r="B31" s="1691"/>
      <c r="C31" s="1690" t="s">
        <v>3046</v>
      </c>
      <c r="E31" s="1696" t="s">
        <v>3088</v>
      </c>
    </row>
    <row r="32" spans="2:8">
      <c r="B32" s="1691"/>
      <c r="C32" s="1690" t="s">
        <v>3107</v>
      </c>
      <c r="E32" s="1696" t="s">
        <v>3108</v>
      </c>
    </row>
    <row r="33" spans="2:7">
      <c r="B33" s="1691"/>
      <c r="C33" s="1690" t="s">
        <v>3048</v>
      </c>
      <c r="E33" s="1696" t="s">
        <v>3110</v>
      </c>
    </row>
    <row r="34" spans="2:7">
      <c r="B34" s="1691"/>
      <c r="C34" s="1690" t="s">
        <v>3043</v>
      </c>
      <c r="E34" s="1696" t="s">
        <v>3111</v>
      </c>
    </row>
    <row r="35" spans="2:7">
      <c r="B35" s="1691"/>
      <c r="C35" s="1690" t="s">
        <v>3084</v>
      </c>
      <c r="E35" s="1696" t="s">
        <v>3085</v>
      </c>
    </row>
    <row r="36" spans="2:7">
      <c r="B36" s="1691"/>
      <c r="C36" s="1690" t="s">
        <v>3047</v>
      </c>
      <c r="E36" s="1696" t="s">
        <v>3081</v>
      </c>
    </row>
    <row r="37" spans="2:7">
      <c r="B37" s="1691"/>
      <c r="C37" s="1690" t="s">
        <v>3112</v>
      </c>
      <c r="E37" s="1696" t="s">
        <v>3113</v>
      </c>
    </row>
    <row r="38" spans="2:7">
      <c r="B38" s="1691"/>
      <c r="C38" s="1690" t="s">
        <v>3049</v>
      </c>
      <c r="E38" s="1696" t="s">
        <v>3122</v>
      </c>
    </row>
    <row r="39" spans="2:7">
      <c r="B39" s="1691"/>
      <c r="C39" s="1690" t="s">
        <v>3082</v>
      </c>
      <c r="E39" s="1696" t="s">
        <v>3083</v>
      </c>
    </row>
    <row r="40" spans="2:7">
      <c r="B40" s="1691"/>
      <c r="C40" s="1690" t="s">
        <v>2295</v>
      </c>
      <c r="E40" s="1696" t="s">
        <v>3114</v>
      </c>
    </row>
    <row r="41" spans="2:7">
      <c r="B41" s="1691"/>
      <c r="C41" s="1690" t="s">
        <v>3109</v>
      </c>
      <c r="E41" s="1696" t="s">
        <v>3115</v>
      </c>
    </row>
    <row r="42" spans="2:7">
      <c r="B42" s="1691"/>
      <c r="C42" s="1690" t="s">
        <v>3061</v>
      </c>
      <c r="E42" s="1696" t="s">
        <v>3123</v>
      </c>
    </row>
    <row r="43" spans="2:7">
      <c r="B43" s="1708" t="s">
        <v>1474</v>
      </c>
      <c r="C43" s="1705"/>
      <c r="D43" s="1705"/>
      <c r="E43" s="1706"/>
      <c r="F43" s="1705"/>
      <c r="G43" s="1705"/>
    </row>
    <row r="44" spans="2:7">
      <c r="B44" s="1691"/>
      <c r="C44" s="1690" t="s">
        <v>1482</v>
      </c>
      <c r="E44" s="1696" t="s">
        <v>3096</v>
      </c>
    </row>
    <row r="45" spans="2:7">
      <c r="B45" s="1691"/>
      <c r="C45" s="1690" t="s">
        <v>1483</v>
      </c>
      <c r="E45" s="1696" t="s">
        <v>3097</v>
      </c>
    </row>
    <row r="46" spans="2:7">
      <c r="B46" s="1691"/>
      <c r="C46" s="1690" t="s">
        <v>3095</v>
      </c>
      <c r="E46" s="1696" t="s">
        <v>3098</v>
      </c>
    </row>
    <row r="47" spans="2:7">
      <c r="B47" s="1691"/>
      <c r="C47" s="1690" t="s">
        <v>3050</v>
      </c>
      <c r="E47" s="1696" t="s">
        <v>3124</v>
      </c>
    </row>
    <row r="48" spans="2:7">
      <c r="B48" s="1708" t="s">
        <v>1475</v>
      </c>
      <c r="C48" s="1705"/>
      <c r="D48" s="1705"/>
      <c r="E48" s="1706"/>
      <c r="F48" s="1705"/>
      <c r="G48" s="1705"/>
    </row>
    <row r="49" spans="2:7">
      <c r="B49" s="1691"/>
      <c r="C49" s="1690" t="s">
        <v>3051</v>
      </c>
      <c r="E49" s="1696" t="s">
        <v>3125</v>
      </c>
    </row>
    <row r="50" spans="2:7">
      <c r="B50" s="1691"/>
      <c r="C50" s="1690" t="s">
        <v>3052</v>
      </c>
      <c r="E50" s="1696" t="s">
        <v>3126</v>
      </c>
    </row>
    <row r="51" spans="2:7">
      <c r="B51" s="1691"/>
      <c r="C51" s="1690" t="s">
        <v>1913</v>
      </c>
      <c r="E51" s="1696" t="s">
        <v>3090</v>
      </c>
    </row>
    <row r="52" spans="2:7">
      <c r="B52" s="1691"/>
      <c r="C52" s="1690" t="s">
        <v>3091</v>
      </c>
      <c r="E52" s="1696" t="s">
        <v>3092</v>
      </c>
    </row>
    <row r="53" spans="2:7">
      <c r="B53" s="1691"/>
      <c r="C53" s="1690" t="s">
        <v>3054</v>
      </c>
      <c r="E53" s="1696" t="s">
        <v>3127</v>
      </c>
    </row>
    <row r="54" spans="2:7">
      <c r="B54" s="1708" t="s">
        <v>3089</v>
      </c>
      <c r="C54" s="1705"/>
      <c r="D54" s="1705"/>
      <c r="E54" s="1706"/>
      <c r="F54" s="1705"/>
      <c r="G54" s="1705"/>
    </row>
    <row r="55" spans="2:7">
      <c r="B55" s="1691"/>
      <c r="C55" s="1690" t="s">
        <v>3093</v>
      </c>
      <c r="E55" s="1696" t="s">
        <v>3094</v>
      </c>
    </row>
    <row r="56" spans="2:7">
      <c r="B56" s="1691"/>
      <c r="C56" s="1690" t="s">
        <v>3053</v>
      </c>
      <c r="E56" s="1696" t="s">
        <v>3128</v>
      </c>
    </row>
    <row r="57" spans="2:7">
      <c r="C57" s="1690" t="s">
        <v>3116</v>
      </c>
      <c r="E57" s="1696" t="s">
        <v>3129</v>
      </c>
    </row>
    <row r="58" spans="2:7">
      <c r="B58" s="1691"/>
      <c r="C58" s="1690" t="s">
        <v>3055</v>
      </c>
      <c r="E58" s="1696" t="s">
        <v>3130</v>
      </c>
    </row>
    <row r="59" spans="2:7">
      <c r="B59" s="1691"/>
      <c r="C59" s="1690" t="s">
        <v>3056</v>
      </c>
      <c r="E59" s="1696" t="s">
        <v>3131</v>
      </c>
    </row>
    <row r="60" spans="2:7">
      <c r="B60" s="1708" t="s">
        <v>3057</v>
      </c>
      <c r="C60" s="1705"/>
      <c r="D60" s="1705"/>
      <c r="E60" s="1706"/>
      <c r="F60" s="1705"/>
      <c r="G60" s="1705"/>
    </row>
    <row r="61" spans="2:7">
      <c r="C61" s="1690" t="s">
        <v>3058</v>
      </c>
    </row>
    <row r="62" spans="2:7">
      <c r="C62" s="1690" t="s">
        <v>3059</v>
      </c>
      <c r="E62" s="1696" t="s">
        <v>3132</v>
      </c>
    </row>
    <row r="63" spans="2:7">
      <c r="C63" s="1690" t="s">
        <v>3060</v>
      </c>
      <c r="E63" s="1696" t="s">
        <v>3133</v>
      </c>
    </row>
    <row r="64" spans="2:7">
      <c r="C64" s="1690" t="s">
        <v>3119</v>
      </c>
    </row>
    <row r="65" spans="2:18">
      <c r="C65" s="1690" t="s">
        <v>3120</v>
      </c>
    </row>
    <row r="66" spans="2:18">
      <c r="C66" s="1690" t="s">
        <v>3117</v>
      </c>
      <c r="F66" s="1690" t="s">
        <v>3134</v>
      </c>
    </row>
    <row r="67" spans="2:18">
      <c r="B67" s="1691"/>
      <c r="C67" s="1690" t="s">
        <v>3118</v>
      </c>
      <c r="F67" s="1690" t="s">
        <v>3134</v>
      </c>
    </row>
    <row r="69" spans="2:18">
      <c r="C69" s="1698" t="s">
        <v>3102</v>
      </c>
      <c r="D69" s="63"/>
      <c r="E69" s="63"/>
      <c r="F69" s="63"/>
      <c r="G69" s="63"/>
      <c r="H69" s="63"/>
      <c r="I69" s="63"/>
      <c r="J69" s="63"/>
      <c r="K69" s="63"/>
      <c r="L69" s="63"/>
      <c r="M69" s="63"/>
      <c r="N69" s="63"/>
      <c r="O69" s="63"/>
      <c r="P69" s="63"/>
      <c r="Q69" s="63"/>
    </row>
    <row r="70" spans="2:18">
      <c r="C70" s="63" t="s">
        <v>3103</v>
      </c>
      <c r="D70" s="228">
        <v>2</v>
      </c>
      <c r="E70" s="1699" t="str">
        <f>IF(SUM(F71:G71)=0,"OK",0)</f>
        <v>OK</v>
      </c>
      <c r="F70" s="1699">
        <f>IF(F71&gt;0,"CAUTION",0)</f>
        <v>0</v>
      </c>
      <c r="G70" s="1699">
        <f>IF(G71&gt;0,"NOT OK",0)</f>
        <v>0</v>
      </c>
      <c r="H70" s="63" t="str">
        <f t="shared" ref="H70:R70" si="0">IF(H56&lt;1,"NOT OK",IF(H56&lt;$D$70,"CAUTION","OK"))</f>
        <v>NOT OK</v>
      </c>
      <c r="I70" s="63" t="str">
        <f t="shared" si="0"/>
        <v>NOT OK</v>
      </c>
      <c r="J70" s="63" t="str">
        <f t="shared" si="0"/>
        <v>NOT OK</v>
      </c>
      <c r="K70" s="63" t="str">
        <f t="shared" si="0"/>
        <v>NOT OK</v>
      </c>
      <c r="L70" s="63" t="str">
        <f t="shared" si="0"/>
        <v>NOT OK</v>
      </c>
      <c r="M70" s="63" t="str">
        <f t="shared" si="0"/>
        <v>NOT OK</v>
      </c>
      <c r="N70" s="63" t="str">
        <f t="shared" si="0"/>
        <v>NOT OK</v>
      </c>
      <c r="O70" s="63" t="str">
        <f t="shared" si="0"/>
        <v>NOT OK</v>
      </c>
      <c r="P70" s="63" t="str">
        <f t="shared" si="0"/>
        <v>NOT OK</v>
      </c>
      <c r="Q70" s="63" t="str">
        <f t="shared" si="0"/>
        <v>NOT OK</v>
      </c>
      <c r="R70" s="63" t="str">
        <f t="shared" si="0"/>
        <v>NOT OK</v>
      </c>
    </row>
    <row r="71" spans="2:18">
      <c r="C71" s="63"/>
      <c r="D71" s="63"/>
      <c r="E71" s="63"/>
      <c r="F71" s="1704">
        <f>COUNTIF($K$17:$O$17,"CAUTION")</f>
        <v>0</v>
      </c>
      <c r="G71" s="1704">
        <f>COUNTIF($K$17:$O$17,"NOT OK")</f>
        <v>0</v>
      </c>
      <c r="H71" s="63"/>
      <c r="I71" s="63"/>
      <c r="J71" s="63"/>
      <c r="K71" s="63"/>
      <c r="L71" s="63"/>
      <c r="M71" s="63"/>
      <c r="N71" s="63"/>
      <c r="O71" s="63"/>
      <c r="P71" s="63"/>
      <c r="Q71" s="63"/>
    </row>
    <row r="72" spans="2:18">
      <c r="C72" s="63" t="s">
        <v>3104</v>
      </c>
      <c r="D72" s="63"/>
      <c r="E72" s="1699" t="str">
        <f>IF(SUM(F73:G73)=0,"HEALTHY",0)</f>
        <v>HEALTHY</v>
      </c>
      <c r="F72" s="1699">
        <f>IF(F73&gt;0,"POSITIVE",0)</f>
        <v>0</v>
      </c>
      <c r="G72" s="1699">
        <f>IF(G73&gt;0,"NEGATIVE",0)</f>
        <v>0</v>
      </c>
      <c r="H72" s="63"/>
      <c r="I72" s="63"/>
      <c r="J72" s="63"/>
      <c r="K72" s="63"/>
      <c r="L72" s="63" t="str">
        <f>IF([6]Model!L114&gt;=-(IF(SUM([6]Model!L121,[6]Model!L133)&lt;0,SUM([6]Model!L121,[6]Model!L133),0)),"HEALTHY",IF([6]Model!L114&gt;0,"POSITIVE","NEGATIVE"))</f>
        <v>HEALTHY</v>
      </c>
      <c r="M72" s="63" t="str">
        <f>IF([6]Model!M114&gt;=-(IF(SUM([6]Model!M121,[6]Model!M133)&lt;0,SUM([6]Model!M121,[6]Model!M133),0)),"HEALTHY",IF([6]Model!M114&gt;0,"POSITIVE","NEGATIVE"))</f>
        <v>HEALTHY</v>
      </c>
      <c r="N72" s="63" t="str">
        <f>IF([6]Model!N114&gt;=-(IF(SUM([6]Model!N121,[6]Model!N133)&lt;0,SUM([6]Model!N121,[6]Model!N133),0)),"HEALTHY",IF([6]Model!N114&gt;0,"POSITIVE","NEGATIVE"))</f>
        <v>HEALTHY</v>
      </c>
      <c r="O72" s="63" t="str">
        <f>IF([6]Model!O114&gt;=-(IF(SUM([6]Model!O121,[6]Model!O133)&lt;0,SUM([6]Model!O121,[6]Model!O133),0)),"HEALTHY",IF([6]Model!O114&gt;0,"POSITIVE","NEGATIVE"))</f>
        <v>HEALTHY</v>
      </c>
      <c r="P72" s="63" t="str">
        <f>IF([6]Model!P114&gt;=-(IF(SUM([6]Model!P121,[6]Model!P133)&lt;0,SUM([6]Model!P121,[6]Model!P133),0)),"HEALTHY",IF([6]Model!P114&gt;0,"POSITIVE","NEGATIVE"))</f>
        <v>HEALTHY</v>
      </c>
      <c r="Q72" s="63"/>
    </row>
    <row r="73" spans="2:18">
      <c r="C73" s="63"/>
      <c r="D73" s="63"/>
      <c r="E73" s="1701"/>
      <c r="F73" s="1700">
        <f>COUNTIF(L72:P72,"POSITIVE")</f>
        <v>0</v>
      </c>
      <c r="G73" s="1700">
        <f>COUNTIF(L72:P72,"NEGATIVE")</f>
        <v>0</v>
      </c>
      <c r="H73" s="63"/>
      <c r="I73" s="63"/>
      <c r="J73" s="63"/>
      <c r="K73" s="63"/>
      <c r="L73" s="63"/>
      <c r="M73" s="63"/>
      <c r="N73" s="63"/>
      <c r="O73" s="63"/>
      <c r="P73" s="63"/>
      <c r="Q73" s="63"/>
    </row>
    <row r="74" spans="2:18">
      <c r="C74" s="63" t="s">
        <v>3043</v>
      </c>
      <c r="D74" s="63"/>
      <c r="E74" s="1702" t="str">
        <f>IF(F75=0,"POSITIVE","NEGATIVE")</f>
        <v>POSITIVE</v>
      </c>
      <c r="F74" s="1700"/>
      <c r="G74" s="1700"/>
      <c r="H74" s="63"/>
      <c r="I74" s="63"/>
      <c r="J74" s="63"/>
      <c r="K74" s="63"/>
      <c r="L74" s="63" t="str">
        <f>IF([6]Ratios!G79&gt;0,"Positive",IF([6]Ratios!G79=0,"NIL","Negative"))</f>
        <v>NIL</v>
      </c>
      <c r="M74" s="63" t="str">
        <f>IF([6]Ratios!H79&gt;0,"Positive",IF([6]Ratios!H79=0,"NIL","Negative"))</f>
        <v>NIL</v>
      </c>
      <c r="N74" s="63" t="str">
        <f>IF([6]Ratios!I79&gt;0,"Positive",IF([6]Ratios!I79=0,"NIL","Negative"))</f>
        <v>NIL</v>
      </c>
      <c r="O74" s="63" t="str">
        <f>IF([6]Ratios!J79&gt;0,"Positive",IF([6]Ratios!J79=0,"NIL","Negative"))</f>
        <v>NIL</v>
      </c>
      <c r="P74" s="63" t="str">
        <f>IF([6]Ratios!K79&gt;0,"Positive",IF([6]Ratios!K79=0,"NIL","Negative"))</f>
        <v>NIL</v>
      </c>
      <c r="Q74" s="63"/>
    </row>
    <row r="75" spans="2:18">
      <c r="C75" s="63"/>
      <c r="D75" s="63"/>
      <c r="E75" s="1703">
        <f>COUNTIF(L74:P74,"Positive")</f>
        <v>0</v>
      </c>
      <c r="F75" s="1700">
        <f>COUNTIF(L74:P74,"Negative")</f>
        <v>0</v>
      </c>
      <c r="G75" s="1700"/>
      <c r="H75" s="63"/>
      <c r="I75" s="63"/>
      <c r="J75" s="63"/>
      <c r="K75" s="63"/>
      <c r="L75" s="63"/>
      <c r="M75" s="63"/>
      <c r="N75" s="63"/>
      <c r="O75" s="63"/>
      <c r="P75" s="63"/>
      <c r="Q75" s="63"/>
    </row>
  </sheetData>
  <conditionalFormatting sqref="E74">
    <cfRule type="containsText" dxfId="34" priority="4" operator="containsText" text="NEGATIVE">
      <formula>NOT(ISERROR(SEARCH("NEGATIVE",E74)))</formula>
    </cfRule>
    <cfRule type="containsText" dxfId="33" priority="5" operator="containsText" text="POSITIVE">
      <formula>NOT(ISERROR(SEARCH("POSITIVE",E74)))</formula>
    </cfRule>
  </conditionalFormatting>
  <conditionalFormatting sqref="H70:R70 K71:P75 L69:P69">
    <cfRule type="containsText" dxfId="28" priority="17" operator="containsText" text="Over-depreciated">
      <formula>NOT(ISERROR(SEARCH("Over-depreciated",H69)))</formula>
    </cfRule>
  </conditionalFormatting>
  <conditionalFormatting sqref="H70:R70">
    <cfRule type="containsText" dxfId="27" priority="15" operator="containsText" text="CAUTION">
      <formula>NOT(ISERROR(SEARCH("CAUTION",H70)))</formula>
    </cfRule>
    <cfRule type="containsText" dxfId="26" priority="16" operator="containsText" text="NOT OK">
      <formula>NOT(ISERROR(SEARCH("NOT OK",H70)))</formula>
    </cfRule>
  </conditionalFormatting>
  <conditionalFormatting sqref="L69:P69 H70:R70 K71:P75">
    <cfRule type="containsText" dxfId="25" priority="18" operator="containsText" text="ok">
      <formula>NOT(ISERROR(SEARCH("ok",H69)))</formula>
    </cfRule>
  </conditionalFormatting>
  <conditionalFormatting sqref="L74:P74">
    <cfRule type="containsText" dxfId="21" priority="1" operator="containsText" text="NIL">
      <formula>NOT(ISERROR(SEARCH("NIL",L74)))</formula>
    </cfRule>
    <cfRule type="containsText" dxfId="20" priority="2" operator="containsText" text="Negative">
      <formula>NOT(ISERROR(SEARCH("Negative",L74)))</formula>
    </cfRule>
    <cfRule type="containsText" dxfId="19" priority="3" operator="containsText" text="Positive">
      <formula>NOT(ISERROR(SEARCH("Positive",L74)))</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2" operator="containsText" id="{10856B46-99A5-47E3-88BB-1BF858DBBE29}">
            <xm:f>NOT(ISERROR(SEARCH("OK",E70)))</xm:f>
            <xm:f>"OK"</xm:f>
            <x14:dxf>
              <fill>
                <patternFill>
                  <bgColor rgb="FF00B050"/>
                </patternFill>
              </fill>
            </x14:dxf>
          </x14:cfRule>
          <xm:sqref>E70</xm:sqref>
        </x14:conditionalFormatting>
        <x14:conditionalFormatting xmlns:xm="http://schemas.microsoft.com/office/excel/2006/main">
          <x14:cfRule type="containsText" priority="9" operator="containsText" id="{AEE9D901-5FB1-49FA-A0E7-1545771137FC}">
            <xm:f>NOT(ISERROR(SEARCH("HEALTHY",E72)))</xm:f>
            <xm:f>"HEALTHY"</xm:f>
            <x14:dxf>
              <fill>
                <patternFill>
                  <bgColor rgb="FF00B050"/>
                </patternFill>
              </fill>
            </x14:dxf>
          </x14:cfRule>
          <xm:sqref>E72</xm:sqref>
        </x14:conditionalFormatting>
        <x14:conditionalFormatting xmlns:xm="http://schemas.microsoft.com/office/excel/2006/main">
          <x14:cfRule type="containsText" priority="14" operator="containsText" id="{43168092-E71A-4FFD-909E-2C454F46D042}">
            <xm:f>NOT(ISERROR(SEARCH("CAUTION",F70)))</xm:f>
            <xm:f>"CAUTION"</xm:f>
            <x14:dxf>
              <fill>
                <patternFill>
                  <bgColor rgb="FFFFC000"/>
                </patternFill>
              </fill>
            </x14:dxf>
          </x14:cfRule>
          <xm:sqref>F70</xm:sqref>
        </x14:conditionalFormatting>
        <x14:conditionalFormatting xmlns:xm="http://schemas.microsoft.com/office/excel/2006/main">
          <x14:cfRule type="containsText" priority="11" operator="containsText" id="{248D260A-8783-46BC-8161-FFD60511568A}">
            <xm:f>NOT(ISERROR(SEARCH("POSITIVE",F72)))</xm:f>
            <xm:f>"POSITIVE"</xm:f>
            <x14:dxf>
              <fill>
                <patternFill>
                  <bgColor rgb="FFFFC000"/>
                </patternFill>
              </fill>
            </x14:dxf>
          </x14:cfRule>
          <xm:sqref>F72</xm:sqref>
        </x14:conditionalFormatting>
        <x14:conditionalFormatting xmlns:xm="http://schemas.microsoft.com/office/excel/2006/main">
          <x14:cfRule type="containsText" priority="13" operator="containsText" id="{BACE5A49-426C-454E-8F3B-B09FBB409AD9}">
            <xm:f>NOT(ISERROR(SEARCH("NOT OK",G70)))</xm:f>
            <xm:f>"NOT OK"</xm:f>
            <x14:dxf>
              <fill>
                <patternFill>
                  <bgColor rgb="FFFF0000"/>
                </patternFill>
              </fill>
            </x14:dxf>
          </x14:cfRule>
          <xm:sqref>G70</xm:sqref>
        </x14:conditionalFormatting>
        <x14:conditionalFormatting xmlns:xm="http://schemas.microsoft.com/office/excel/2006/main">
          <x14:cfRule type="containsText" priority="10" operator="containsText" id="{6E78BA90-352C-4B68-B83E-EFF3D8EAC96E}">
            <xm:f>NOT(ISERROR(SEARCH("NEGATIVE",G72)))</xm:f>
            <xm:f>"NEGATIVE"</xm:f>
            <x14:dxf>
              <fill>
                <patternFill>
                  <bgColor rgb="FFFF0000"/>
                </patternFill>
              </fill>
            </x14:dxf>
          </x14:cfRule>
          <xm:sqref>G72</xm:sqref>
        </x14:conditionalFormatting>
        <x14:conditionalFormatting xmlns:xm="http://schemas.microsoft.com/office/excel/2006/main">
          <x14:cfRule type="containsText" priority="6" operator="containsText" id="{0E32DE63-A944-42E9-994C-E21B9FEA91C8}">
            <xm:f>NOT(ISERROR(SEARCH("POSITIVE",L72)))</xm:f>
            <xm:f>"POSITIVE"</xm:f>
            <x14:dxf>
              <font>
                <color rgb="FF9C5700"/>
              </font>
              <fill>
                <patternFill>
                  <bgColor rgb="FFFFEB9C"/>
                </patternFill>
              </fill>
            </x14:dxf>
          </x14:cfRule>
          <x14:cfRule type="containsText" priority="7" operator="containsText" id="{9F58999A-B31D-4867-8CF4-1A5861E242E3}">
            <xm:f>NOT(ISERROR(SEARCH("NEGATIVE",L72)))</xm:f>
            <xm:f>"NEGATIVE"</xm:f>
            <x14:dxf>
              <font>
                <color rgb="FF9C0006"/>
              </font>
              <fill>
                <patternFill>
                  <bgColor rgb="FFFFC7CE"/>
                </patternFill>
              </fill>
            </x14:dxf>
          </x14:cfRule>
          <x14:cfRule type="containsText" priority="8" operator="containsText" id="{EC6E3468-B4BA-46AE-B9EE-42680FEFE34D}">
            <xm:f>NOT(ISERROR(SEARCH("HEALTHY",L72)))</xm:f>
            <xm:f>"HEALTHY"</xm:f>
            <x14:dxf>
              <font>
                <color rgb="FF006100"/>
              </font>
              <fill>
                <patternFill>
                  <bgColor rgb="FFC6EFCE"/>
                </patternFill>
              </fill>
            </x14:dxf>
          </x14:cfRule>
          <xm:sqref>L72:P72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80F1-67F1-4D25-84EC-A98C2ABFBDA2}">
  <dimension ref="A1:U52"/>
  <sheetViews>
    <sheetView showGridLines="0" zoomScale="76" workbookViewId="0">
      <pane ySplit="6" topLeftCell="A7" activePane="bottomLeft" state="frozen"/>
      <selection pane="bottomLeft" activeCell="G24" sqref="G24"/>
    </sheetView>
  </sheetViews>
  <sheetFormatPr defaultColWidth="0" defaultRowHeight="15"/>
  <cols>
    <col min="1" max="2" width="2.21875" style="730" customWidth="1"/>
    <col min="3" max="3" width="17.33203125" style="730" customWidth="1"/>
    <col min="4" max="4" width="26.88671875" style="730" bestFit="1" customWidth="1"/>
    <col min="5" max="5" width="34.109375" style="730" bestFit="1" customWidth="1"/>
    <col min="6" max="6" width="28.109375" style="730" customWidth="1"/>
    <col min="7" max="7" width="16.33203125" style="1202" customWidth="1"/>
    <col min="8" max="8" width="14.88671875" style="730" bestFit="1" customWidth="1"/>
    <col min="9" max="9" width="34" style="730" bestFit="1" customWidth="1"/>
    <col min="10" max="10" width="26.33203125" style="730" bestFit="1" customWidth="1"/>
    <col min="11" max="15" width="7.21875" style="730" customWidth="1"/>
    <col min="16" max="21" width="0" style="730" hidden="1" customWidth="1"/>
    <col min="22" max="16384" width="7.21875" style="730" hidden="1"/>
  </cols>
  <sheetData>
    <row r="1" spans="2:14">
      <c r="I1" s="731"/>
    </row>
    <row r="2" spans="2:14">
      <c r="I2" s="731"/>
    </row>
    <row r="3" spans="2:14">
      <c r="I3" s="731"/>
    </row>
    <row r="4" spans="2:14">
      <c r="B4" s="1200" t="s">
        <v>2231</v>
      </c>
      <c r="C4" s="1201"/>
      <c r="D4" s="1201"/>
      <c r="E4" s="1201"/>
      <c r="F4" s="1201"/>
      <c r="G4" s="1203"/>
      <c r="H4" s="1201"/>
      <c r="I4" s="1201"/>
      <c r="J4" s="1201"/>
      <c r="K4" s="1201"/>
      <c r="L4" s="1201"/>
      <c r="M4" s="1201"/>
      <c r="N4" s="1201"/>
    </row>
    <row r="5" spans="2:14" ht="15" customHeight="1">
      <c r="B5" s="732"/>
      <c r="C5" s="732"/>
      <c r="D5" s="733" t="s">
        <v>2232</v>
      </c>
      <c r="E5" s="733" t="s">
        <v>2233</v>
      </c>
      <c r="F5" s="1830" t="s">
        <v>2286</v>
      </c>
      <c r="G5" s="1830"/>
      <c r="H5" s="1830"/>
      <c r="I5" s="733" t="s">
        <v>2234</v>
      </c>
      <c r="J5" s="734" t="s">
        <v>2278</v>
      </c>
      <c r="K5" s="733" t="s">
        <v>2235</v>
      </c>
      <c r="L5" s="732"/>
      <c r="M5" s="732"/>
      <c r="N5" s="732"/>
    </row>
    <row r="6" spans="2:14">
      <c r="B6" s="732"/>
      <c r="C6" s="732"/>
      <c r="D6" s="733"/>
      <c r="E6" s="733"/>
      <c r="F6" s="1205" t="s">
        <v>2275</v>
      </c>
      <c r="G6" s="1206" t="s">
        <v>2287</v>
      </c>
      <c r="H6" s="1205" t="s">
        <v>2288</v>
      </c>
      <c r="I6" s="733"/>
      <c r="J6" s="734"/>
      <c r="K6" s="733"/>
      <c r="L6" s="732"/>
      <c r="M6" s="732"/>
      <c r="N6" s="732"/>
    </row>
    <row r="7" spans="2:14">
      <c r="B7" s="1198" t="s">
        <v>2236</v>
      </c>
      <c r="C7" s="1198"/>
      <c r="D7" s="1199"/>
      <c r="E7" s="1199"/>
      <c r="F7" s="1199"/>
      <c r="G7" s="1204"/>
      <c r="H7" s="1199"/>
      <c r="I7" s="1199"/>
      <c r="J7" s="1199"/>
      <c r="K7" s="1199"/>
      <c r="L7" s="1199"/>
      <c r="M7" s="1199"/>
      <c r="N7" s="1199"/>
    </row>
    <row r="8" spans="2:14">
      <c r="C8" s="730" t="s">
        <v>1837</v>
      </c>
      <c r="D8" s="730" t="s">
        <v>2237</v>
      </c>
      <c r="E8" s="730" t="s">
        <v>2238</v>
      </c>
      <c r="F8" s="730" t="s">
        <v>2276</v>
      </c>
      <c r="G8" s="1230">
        <v>0.05</v>
      </c>
      <c r="H8" s="735">
        <f>MEDIAN(IS!M67:Q67)</f>
        <v>0</v>
      </c>
      <c r="I8" s="736" t="str">
        <f>IF(H8&gt;G8,"Forecasted revenue growth is too aggressive","OK")</f>
        <v>OK</v>
      </c>
      <c r="K8" s="730" t="s">
        <v>2239</v>
      </c>
    </row>
    <row r="9" spans="2:14">
      <c r="D9" s="730" t="s">
        <v>2240</v>
      </c>
      <c r="E9" s="730" t="s">
        <v>2241</v>
      </c>
      <c r="F9" s="730" t="s">
        <v>2277</v>
      </c>
      <c r="G9" s="1230">
        <v>0</v>
      </c>
      <c r="H9" s="730">
        <f>COUNTIF(IS!M75:Q75,1)</f>
        <v>0</v>
      </c>
      <c r="J9" s="730" t="s">
        <v>2247</v>
      </c>
    </row>
    <row r="10" spans="2:14">
      <c r="D10" s="730" t="s">
        <v>2242</v>
      </c>
      <c r="E10" s="730" t="s">
        <v>2243</v>
      </c>
      <c r="J10" s="736"/>
      <c r="K10" s="730" t="s">
        <v>2244</v>
      </c>
    </row>
    <row r="11" spans="2:14">
      <c r="J11" s="736"/>
    </row>
    <row r="12" spans="2:14">
      <c r="C12" s="730" t="s">
        <v>2245</v>
      </c>
      <c r="D12" s="730" t="s">
        <v>2290</v>
      </c>
      <c r="E12" s="730" t="s">
        <v>2246</v>
      </c>
      <c r="F12" s="730" t="s">
        <v>2289</v>
      </c>
      <c r="G12" s="1230">
        <v>0.7</v>
      </c>
      <c r="H12" s="735">
        <f>AVERAGE(IS_Calcs!N72:R72)</f>
        <v>0.30233125875910721</v>
      </c>
      <c r="I12" s="730" t="str">
        <f>IF(H12&gt;G12,D12,"-")</f>
        <v>-</v>
      </c>
      <c r="J12" s="730" t="s">
        <v>2247</v>
      </c>
    </row>
    <row r="13" spans="2:14">
      <c r="D13" s="730" t="s">
        <v>2291</v>
      </c>
      <c r="E13" s="730" t="s">
        <v>2248</v>
      </c>
      <c r="F13" s="730" t="s">
        <v>2289</v>
      </c>
      <c r="G13" s="1230">
        <v>0.7</v>
      </c>
      <c r="H13" s="735">
        <f>AVERAGE(IS_Calcs!N73:R73)</f>
        <v>0.35714285714285715</v>
      </c>
      <c r="I13" s="730" t="str">
        <f>IF(H13&gt;G13,D13,"-")</f>
        <v>-</v>
      </c>
      <c r="J13" s="730" t="s">
        <v>2247</v>
      </c>
    </row>
    <row r="14" spans="2:14">
      <c r="D14" s="730" t="s">
        <v>2292</v>
      </c>
      <c r="E14" s="730" t="s">
        <v>2249</v>
      </c>
      <c r="F14" s="730" t="s">
        <v>2289</v>
      </c>
      <c r="G14" s="1230">
        <v>0.7</v>
      </c>
      <c r="H14" s="735">
        <f>AVERAGE(IS_Calcs!N74:R74)</f>
        <v>9.5238095238095233E-2</v>
      </c>
      <c r="I14" s="730" t="str">
        <f>IF(H14&gt;G14,D14,"-")</f>
        <v>-</v>
      </c>
      <c r="J14" s="730" t="s">
        <v>2247</v>
      </c>
    </row>
    <row r="15" spans="2:14">
      <c r="J15" s="736"/>
    </row>
    <row r="16" spans="2:14">
      <c r="B16" s="1198" t="s">
        <v>2250</v>
      </c>
      <c r="C16" s="1198"/>
      <c r="D16" s="1199"/>
      <c r="E16" s="1199"/>
      <c r="F16" s="1199"/>
      <c r="G16" s="1204"/>
      <c r="H16" s="1199"/>
      <c r="I16" s="1199"/>
      <c r="J16" s="1199"/>
      <c r="K16" s="1199"/>
      <c r="L16" s="1199"/>
      <c r="M16" s="1199"/>
      <c r="N16" s="1199"/>
    </row>
    <row r="17" spans="2:14">
      <c r="C17" s="730" t="s">
        <v>1811</v>
      </c>
      <c r="D17" s="730" t="s">
        <v>2251</v>
      </c>
      <c r="E17" s="730" t="s">
        <v>2252</v>
      </c>
      <c r="F17" s="730" t="s">
        <v>2294</v>
      </c>
      <c r="G17" s="1230">
        <v>0.05</v>
      </c>
      <c r="H17" s="737">
        <f>IS!R68-IS!M68</f>
        <v>0</v>
      </c>
      <c r="I17" s="730" t="str">
        <f>IF(H17&gt;G17,"Aggressive decline in COGS as a % of Revenue","-")</f>
        <v>-</v>
      </c>
      <c r="J17" s="736" t="s">
        <v>2253</v>
      </c>
      <c r="K17" s="730" t="s">
        <v>2254</v>
      </c>
    </row>
    <row r="18" spans="2:14">
      <c r="D18" s="730" t="s">
        <v>2296</v>
      </c>
      <c r="F18" s="730" t="s">
        <v>2294</v>
      </c>
      <c r="G18" s="1230">
        <v>-0.03</v>
      </c>
      <c r="H18" s="737">
        <f>IS!M68-IS!J68</f>
        <v>0.30000000000000004</v>
      </c>
      <c r="I18" s="730" t="str">
        <f>IF(H18&lt;=G18,"Forecasted COGS levels are distinctly lower than last historical year","-")</f>
        <v>-</v>
      </c>
      <c r="J18" s="736" t="s">
        <v>2253</v>
      </c>
      <c r="K18" s="730" t="s">
        <v>2254</v>
      </c>
    </row>
    <row r="19" spans="2:14">
      <c r="D19" s="730" t="s">
        <v>2255</v>
      </c>
      <c r="E19" s="730" t="s">
        <v>2243</v>
      </c>
      <c r="G19" s="1230" t="s">
        <v>2293</v>
      </c>
      <c r="J19" s="736"/>
      <c r="K19" s="730" t="s">
        <v>2244</v>
      </c>
    </row>
    <row r="20" spans="2:14">
      <c r="D20" s="730" t="s">
        <v>2256</v>
      </c>
      <c r="E20" s="730" t="s">
        <v>2257</v>
      </c>
      <c r="F20" s="730" t="s">
        <v>2294</v>
      </c>
      <c r="G20" s="1230">
        <v>0.05</v>
      </c>
      <c r="H20" s="735">
        <f>IS!R68-IS!M68</f>
        <v>0</v>
      </c>
      <c r="I20" s="730" t="str">
        <f>IF(H20&gt;G20,"Forecasted COGS levels are rising more than reasonable levels","-")</f>
        <v>-</v>
      </c>
      <c r="J20" s="730" t="s">
        <v>2247</v>
      </c>
    </row>
    <row r="21" spans="2:14">
      <c r="J21" s="736"/>
    </row>
    <row r="22" spans="2:14">
      <c r="B22" s="1198" t="s">
        <v>2258</v>
      </c>
      <c r="C22" s="1198"/>
      <c r="D22" s="1199"/>
      <c r="E22" s="1199"/>
      <c r="F22" s="1199"/>
      <c r="G22" s="1204"/>
      <c r="H22" s="1199"/>
      <c r="I22" s="1199"/>
      <c r="J22" s="1199"/>
      <c r="K22" s="1199"/>
      <c r="L22" s="1199"/>
      <c r="M22" s="1199"/>
      <c r="N22" s="1199"/>
    </row>
    <row r="23" spans="2:14">
      <c r="C23" s="730" t="s">
        <v>2259</v>
      </c>
      <c r="D23" s="730" t="s">
        <v>2260</v>
      </c>
      <c r="E23" s="730" t="s">
        <v>2261</v>
      </c>
      <c r="G23" s="1231"/>
      <c r="H23" s="1232"/>
      <c r="I23" s="1232"/>
      <c r="J23" s="736"/>
    </row>
    <row r="24" spans="2:14">
      <c r="D24" s="730" t="s">
        <v>2262</v>
      </c>
      <c r="F24" s="730" t="s">
        <v>2302</v>
      </c>
      <c r="G24" s="1230">
        <v>0.05</v>
      </c>
      <c r="I24" s="730" t="str">
        <f>IF(H24&lt;G24,"It is likely that the business is underestimating salary inflation over forecast period","-")</f>
        <v>It is likely that the business is underestimating salary inflation over forecast period</v>
      </c>
      <c r="J24" s="736" t="s">
        <v>2253</v>
      </c>
      <c r="K24" s="730" t="s">
        <v>2244</v>
      </c>
    </row>
    <row r="25" spans="2:14">
      <c r="J25" s="736"/>
    </row>
    <row r="26" spans="2:14">
      <c r="C26" s="730" t="s">
        <v>227</v>
      </c>
      <c r="D26" s="730" t="s">
        <v>2263</v>
      </c>
      <c r="E26" s="730" t="s">
        <v>2264</v>
      </c>
      <c r="F26" s="730" t="s">
        <v>2300</v>
      </c>
      <c r="G26" s="1230">
        <v>0.2</v>
      </c>
      <c r="H26" s="735">
        <f>-SUM(IS!M56:R56)/SUM(IS!M23:R23)</f>
        <v>7.8670634920634919E-2</v>
      </c>
      <c r="I26" s="730" t="str">
        <f>IF(H26&gt;G26,"The business is writing off significant depreciation over forecast period","-")</f>
        <v>-</v>
      </c>
      <c r="J26" s="736" t="s">
        <v>2253</v>
      </c>
    </row>
    <row r="27" spans="2:14">
      <c r="J27" s="736"/>
    </row>
    <row r="28" spans="2:14">
      <c r="C28" s="730" t="s">
        <v>2265</v>
      </c>
      <c r="D28" s="730" t="s">
        <v>2266</v>
      </c>
      <c r="E28" s="730" t="s">
        <v>2264</v>
      </c>
      <c r="F28" s="730" t="s">
        <v>2301</v>
      </c>
      <c r="G28" s="1230">
        <v>0.2</v>
      </c>
      <c r="H28" s="735">
        <f>-SUM(IS!M59:R59)/SUM(IS!M23:R23)</f>
        <v>5.9523809523809521E-2</v>
      </c>
      <c r="I28" s="730" t="str">
        <f>IF(H28&gt;G28,"The business is is expected to bear significant finance costs over forecast period","-")</f>
        <v>-</v>
      </c>
      <c r="J28" s="736" t="s">
        <v>2253</v>
      </c>
    </row>
    <row r="29" spans="2:14">
      <c r="J29" s="736"/>
    </row>
    <row r="30" spans="2:14">
      <c r="C30" s="730" t="s">
        <v>1402</v>
      </c>
      <c r="D30" s="730" t="s">
        <v>2267</v>
      </c>
      <c r="E30" s="730" t="s">
        <v>2268</v>
      </c>
      <c r="F30" s="730" t="s">
        <v>2297</v>
      </c>
      <c r="G30" s="1230">
        <v>0.05</v>
      </c>
      <c r="H30" s="735">
        <f>MEDIAN(IS!M71:R71)</f>
        <v>0.43214285714285716</v>
      </c>
      <c r="I30" s="1232"/>
      <c r="J30" s="736" t="s">
        <v>2253</v>
      </c>
      <c r="K30" s="730" t="s">
        <v>2269</v>
      </c>
    </row>
    <row r="31" spans="2:14">
      <c r="H31" s="735"/>
      <c r="J31" s="736"/>
    </row>
    <row r="32" spans="2:14">
      <c r="C32" s="730" t="s">
        <v>2135</v>
      </c>
      <c r="D32" s="730" t="s">
        <v>2270</v>
      </c>
      <c r="E32" s="730" t="s">
        <v>2268</v>
      </c>
      <c r="F32" s="730" t="s">
        <v>2298</v>
      </c>
      <c r="G32" s="1230">
        <v>0.05</v>
      </c>
      <c r="H32" s="737">
        <f>AVERAGE(BS_Calc!M34:R34)</f>
        <v>9.913835453359425E-2</v>
      </c>
      <c r="I32" s="1232"/>
      <c r="J32" s="736" t="s">
        <v>2253</v>
      </c>
      <c r="K32" s="730" t="s">
        <v>2269</v>
      </c>
    </row>
    <row r="33" spans="3:10">
      <c r="J33" s="736"/>
    </row>
    <row r="34" spans="3:10">
      <c r="C34" s="730" t="s">
        <v>1814</v>
      </c>
      <c r="D34" s="730" t="s">
        <v>2271</v>
      </c>
      <c r="E34" s="730" t="s">
        <v>2272</v>
      </c>
      <c r="F34" s="730" t="s">
        <v>2299</v>
      </c>
      <c r="G34" s="1230">
        <v>0.2</v>
      </c>
      <c r="H34" s="735">
        <f>SUM(BS_Calc!M61:R61)/SUM(IS!M23:R23)</f>
        <v>0.19246031746031747</v>
      </c>
      <c r="I34" s="730" t="str">
        <f>IF(H34&gt;G34,"The business is is expected to heavily invest in capital expenditure over forecast period","-")</f>
        <v>-</v>
      </c>
      <c r="J34" s="730" t="s">
        <v>2247</v>
      </c>
    </row>
    <row r="35" spans="3:10">
      <c r="D35" s="730" t="s">
        <v>2273</v>
      </c>
      <c r="E35" s="730" t="s">
        <v>2274</v>
      </c>
      <c r="F35" s="730" t="s">
        <v>1497</v>
      </c>
      <c r="G35" s="1230">
        <v>0.05</v>
      </c>
      <c r="I35" s="1232"/>
      <c r="J35" s="730" t="s">
        <v>2247</v>
      </c>
    </row>
    <row r="36" spans="3:10">
      <c r="J36" s="736"/>
    </row>
    <row r="37" spans="3:10">
      <c r="J37" s="736"/>
    </row>
    <row r="38" spans="3:10">
      <c r="J38" s="736"/>
    </row>
    <row r="39" spans="3:10">
      <c r="J39" s="736"/>
    </row>
    <row r="40" spans="3:10">
      <c r="J40" s="736"/>
    </row>
    <row r="41" spans="3:10">
      <c r="J41" s="736"/>
    </row>
    <row r="42" spans="3:10">
      <c r="J42" s="736"/>
    </row>
    <row r="43" spans="3:10">
      <c r="J43" s="736"/>
    </row>
    <row r="44" spans="3:10">
      <c r="J44" s="736"/>
    </row>
    <row r="45" spans="3:10">
      <c r="J45" s="736"/>
    </row>
    <row r="46" spans="3:10">
      <c r="J46" s="736"/>
    </row>
    <row r="47" spans="3:10">
      <c r="J47" s="736"/>
    </row>
    <row r="48" spans="3:10">
      <c r="J48" s="736"/>
    </row>
    <row r="49" spans="10:10">
      <c r="J49" s="736"/>
    </row>
    <row r="50" spans="10:10">
      <c r="J50" s="736"/>
    </row>
    <row r="51" spans="10:10">
      <c r="J51" s="736"/>
    </row>
    <row r="52" spans="10:10">
      <c r="J52" s="736"/>
    </row>
  </sheetData>
  <mergeCells count="1">
    <mergeCell ref="F5:H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ransitionEvaluation="1" codeName="Sheet2">
    <tabColor rgb="FFA8E0B8"/>
    <pageSetUpPr fitToPage="1"/>
  </sheetPr>
  <dimension ref="A2:X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defaultColWidth="0" defaultRowHeight="11.25" outlineLevelRow="1"/>
  <cols>
    <col min="1" max="1" width="1.6640625" style="229" customWidth="1"/>
    <col min="2" max="2" width="1.88671875" style="229" customWidth="1"/>
    <col min="3" max="4" width="2.88671875" style="229" customWidth="1"/>
    <col min="5" max="5" width="27.88671875" style="229" customWidth="1"/>
    <col min="6" max="6" width="7.88671875" style="229" customWidth="1"/>
    <col min="7" max="19" width="9.88671875" style="229" customWidth="1"/>
    <col min="20" max="20" width="5.6640625" style="234" bestFit="1" customWidth="1"/>
    <col min="21" max="21" width="9.109375" style="234" bestFit="1" customWidth="1"/>
    <col min="22" max="22" width="12.88671875" style="229" bestFit="1" customWidth="1"/>
    <col min="23" max="23" width="9.88671875" style="229" customWidth="1"/>
    <col min="24" max="24" width="0" style="229" hidden="1" customWidth="1"/>
    <col min="25" max="16384" width="9.88671875" style="229" hidden="1"/>
  </cols>
  <sheetData>
    <row r="2" spans="2:22">
      <c r="B2" s="62" t="str">
        <f>Inputs!B2</f>
        <v>Valify - UAE Valuation Services</v>
      </c>
      <c r="C2" s="63"/>
      <c r="D2" s="63"/>
      <c r="E2" s="63"/>
      <c r="F2" s="63"/>
      <c r="G2" s="63"/>
      <c r="H2" s="63"/>
      <c r="I2" s="63"/>
      <c r="J2" s="63"/>
      <c r="K2" s="63"/>
      <c r="L2" s="63"/>
      <c r="M2" s="63"/>
      <c r="N2" s="63"/>
      <c r="O2" s="63"/>
      <c r="P2" s="63"/>
      <c r="Q2" s="63"/>
      <c r="R2" s="63"/>
      <c r="S2" s="63"/>
      <c r="T2" s="228"/>
      <c r="U2" s="228"/>
    </row>
    <row r="3" spans="2:22"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c r="O3" s="63"/>
      <c r="P3" s="63"/>
      <c r="Q3" s="63"/>
      <c r="R3" s="63"/>
      <c r="S3" s="63"/>
      <c r="T3" s="228"/>
      <c r="U3" s="228"/>
    </row>
    <row r="4" spans="2:22" ht="12" customHeight="1">
      <c r="B4" s="65" t="s">
        <v>1882</v>
      </c>
      <c r="C4" s="63"/>
      <c r="D4" s="63"/>
      <c r="E4" s="63"/>
      <c r="F4" s="63"/>
      <c r="G4" s="63"/>
      <c r="H4" s="63"/>
      <c r="I4" s="63"/>
      <c r="J4" s="63"/>
      <c r="K4" s="63"/>
      <c r="L4" s="63"/>
      <c r="M4" s="63"/>
      <c r="N4" s="63"/>
      <c r="O4" s="63"/>
      <c r="P4" s="63"/>
      <c r="Q4" s="63"/>
      <c r="R4" s="63"/>
      <c r="S4" s="63"/>
      <c r="T4" s="228"/>
      <c r="U4" s="228"/>
    </row>
    <row r="5" spans="2:22" s="231" customFormat="1" ht="12" thickBot="1">
      <c r="B5" s="66"/>
      <c r="C5" s="66"/>
      <c r="D5" s="66"/>
      <c r="E5" s="66"/>
      <c r="F5" s="66"/>
      <c r="G5" s="66"/>
      <c r="H5" s="66"/>
      <c r="I5" s="66"/>
      <c r="J5" s="66"/>
      <c r="K5" s="66"/>
      <c r="L5" s="66"/>
      <c r="M5" s="66"/>
      <c r="N5" s="66"/>
      <c r="O5" s="66"/>
      <c r="P5" s="66"/>
      <c r="Q5" s="66"/>
      <c r="R5" s="66"/>
      <c r="S5" s="66"/>
      <c r="T5" s="230"/>
      <c r="U5" s="228"/>
    </row>
    <row r="6" spans="2:22" ht="12" thickTop="1">
      <c r="C6" s="232"/>
      <c r="M6" s="233">
        <v>1</v>
      </c>
      <c r="N6" s="233">
        <v>1</v>
      </c>
      <c r="O6" s="233">
        <v>1</v>
      </c>
      <c r="P6" s="233">
        <v>1</v>
      </c>
      <c r="Q6" s="233">
        <v>1</v>
      </c>
      <c r="R6" s="233">
        <v>1</v>
      </c>
    </row>
    <row r="7" spans="2:22">
      <c r="C7" s="260" t="str">
        <f>IS_Calcs!C7</f>
        <v>All amounts in INR 'Units</v>
      </c>
      <c r="D7" s="261"/>
      <c r="E7" s="261"/>
      <c r="F7" s="261"/>
      <c r="G7" s="115" t="s">
        <v>1865</v>
      </c>
      <c r="H7" s="115" t="str">
        <f>IS_Calcs!H7</f>
        <v>FY21</v>
      </c>
      <c r="I7" s="115" t="str">
        <f>IS_Calcs!I7</f>
        <v>FY22</v>
      </c>
      <c r="J7" s="115" t="str">
        <f>IS_Calcs!J7</f>
        <v>FY23</v>
      </c>
      <c r="K7" s="115" t="str">
        <f>IS_Calcs!K7</f>
        <v>YTD24</v>
      </c>
      <c r="L7" s="115" t="str">
        <f>IS_Calcs!L7</f>
        <v>YTG24</v>
      </c>
      <c r="M7" s="115" t="str">
        <f>IS_Calcs!M7</f>
        <v>FY24</v>
      </c>
      <c r="N7" s="115" t="str">
        <f>IS_Calcs!N7</f>
        <v>FY25</v>
      </c>
      <c r="O7" s="115" t="str">
        <f>IS_Calcs!O7</f>
        <v>FY26</v>
      </c>
      <c r="P7" s="115" t="str">
        <f>IS_Calcs!P7</f>
        <v>FY27</v>
      </c>
      <c r="Q7" s="115" t="str">
        <f>IS_Calcs!Q7</f>
        <v>FY28</v>
      </c>
      <c r="R7" s="281" t="str">
        <f>IS_Calcs!R7</f>
        <v>FY29</v>
      </c>
    </row>
    <row r="8" spans="2:22">
      <c r="C8" s="264"/>
      <c r="D8" s="68"/>
      <c r="E8" s="68"/>
      <c r="F8" s="68"/>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282" t="str">
        <f>IS_Calcs!R8</f>
        <v>Forecast</v>
      </c>
      <c r="T8" s="254" t="s">
        <v>1922</v>
      </c>
      <c r="U8" s="235" t="s">
        <v>2181</v>
      </c>
      <c r="V8" s="236" t="s">
        <v>2180</v>
      </c>
    </row>
    <row r="9" spans="2:22">
      <c r="C9" s="1216"/>
      <c r="D9" s="251"/>
      <c r="E9" s="251"/>
      <c r="F9" s="251"/>
      <c r="G9" s="251"/>
      <c r="H9" s="251"/>
      <c r="I9" s="251"/>
      <c r="J9" s="251"/>
      <c r="K9" s="251"/>
      <c r="L9" s="251"/>
      <c r="M9" s="251"/>
      <c r="N9" s="251"/>
      <c r="O9" s="251"/>
      <c r="P9" s="251"/>
      <c r="Q9" s="251"/>
      <c r="R9" s="1217"/>
      <c r="T9" s="255"/>
      <c r="U9" s="237"/>
      <c r="V9" s="238"/>
    </row>
    <row r="10" spans="2:22" outlineLevel="1">
      <c r="C10" s="1216" t="s">
        <v>1561</v>
      </c>
      <c r="D10" s="251"/>
      <c r="E10" s="251"/>
      <c r="F10" s="251"/>
      <c r="G10" s="251"/>
      <c r="H10" s="251"/>
      <c r="I10" s="251"/>
      <c r="J10" s="251"/>
      <c r="K10" s="251"/>
      <c r="L10" s="251"/>
      <c r="M10" s="251"/>
      <c r="N10" s="251"/>
      <c r="O10" s="251"/>
      <c r="P10" s="251"/>
      <c r="Q10" s="251"/>
      <c r="R10" s="1217"/>
      <c r="T10" s="255"/>
      <c r="U10" s="237"/>
      <c r="V10" s="238"/>
    </row>
    <row r="11" spans="2:22" outlineLevel="1">
      <c r="C11" s="1212"/>
      <c r="D11" s="251" t="str">
        <f>IS_Calcs!D18</f>
        <v>Existing: Residential lighting</v>
      </c>
      <c r="E11" s="251"/>
      <c r="F11" s="251"/>
      <c r="G11" s="251"/>
      <c r="H11" s="689">
        <f>IS_Calcs!H46</f>
        <v>0</v>
      </c>
      <c r="I11" s="689">
        <f>IS_Calcs!I46</f>
        <v>0</v>
      </c>
      <c r="J11" s="689">
        <f>IS_Calcs!J46</f>
        <v>0</v>
      </c>
      <c r="K11" s="689">
        <f>IS_Calcs!K46</f>
        <v>0</v>
      </c>
      <c r="L11" s="689">
        <f>IS_Calcs!L46</f>
        <v>20000</v>
      </c>
      <c r="M11" s="689">
        <f>IS_Calcs!M46</f>
        <v>20000</v>
      </c>
      <c r="N11" s="689">
        <f>IS_Calcs!N46</f>
        <v>20000</v>
      </c>
      <c r="O11" s="689">
        <f>IS_Calcs!O46</f>
        <v>20000</v>
      </c>
      <c r="P11" s="689">
        <f>IS_Calcs!P46</f>
        <v>20000</v>
      </c>
      <c r="Q11" s="689">
        <f>IS_Calcs!Q46</f>
        <v>20000</v>
      </c>
      <c r="R11" s="690">
        <f>IS_Calcs!R46</f>
        <v>20000</v>
      </c>
      <c r="T11" s="255">
        <f>IFERROR((R11/M11)^(1/5)-1,"-")</f>
        <v>0</v>
      </c>
      <c r="U11" s="237" t="str">
        <f t="shared" ref="U11:U40" si="0">IFERROR(IF(K11+L11=M11,"OK","VARIANCE"),"")</f>
        <v>OK</v>
      </c>
      <c r="V11" s="238">
        <f t="shared" ref="V11:V42" si="1">(K11/ytd.months)*12</f>
        <v>0</v>
      </c>
    </row>
    <row r="12" spans="2:22" outlineLevel="1">
      <c r="C12" s="1212"/>
      <c r="D12" s="251" t="str">
        <f>IS_Calcs!D19</f>
        <v>Existing: Hotels &amp; Hospitals</v>
      </c>
      <c r="E12" s="251"/>
      <c r="F12" s="251"/>
      <c r="G12" s="251"/>
      <c r="H12" s="689">
        <f>IS_Calcs!H47</f>
        <v>0</v>
      </c>
      <c r="I12" s="689">
        <f>IS_Calcs!I47</f>
        <v>0</v>
      </c>
      <c r="J12" s="689">
        <f>IS_Calcs!J47</f>
        <v>0</v>
      </c>
      <c r="K12" s="689">
        <f>IS_Calcs!K47</f>
        <v>0</v>
      </c>
      <c r="L12" s="689">
        <f>IS_Calcs!L47</f>
        <v>50000</v>
      </c>
      <c r="M12" s="689">
        <f>IS_Calcs!M47</f>
        <v>50000</v>
      </c>
      <c r="N12" s="689">
        <f>IS_Calcs!N47</f>
        <v>50000</v>
      </c>
      <c r="O12" s="689">
        <f>IS_Calcs!O47</f>
        <v>50000</v>
      </c>
      <c r="P12" s="689">
        <f>IS_Calcs!P47</f>
        <v>50000</v>
      </c>
      <c r="Q12" s="689">
        <f>IS_Calcs!Q47</f>
        <v>50000</v>
      </c>
      <c r="R12" s="690">
        <f>IS_Calcs!R47</f>
        <v>50000</v>
      </c>
      <c r="T12" s="255">
        <f>IFERROR((R12/M12)^(1/5)-1,"-")</f>
        <v>0</v>
      </c>
      <c r="U12" s="237" t="str">
        <f t="shared" si="0"/>
        <v>OK</v>
      </c>
      <c r="V12" s="238">
        <f t="shared" si="1"/>
        <v>0</v>
      </c>
    </row>
    <row r="13" spans="2:22" outlineLevel="1">
      <c r="C13" s="1212"/>
      <c r="D13" s="251" t="str">
        <f>IS_Calcs!D20</f>
        <v>Existing: Government &amp; Infrastructure</v>
      </c>
      <c r="E13" s="251"/>
      <c r="F13" s="251"/>
      <c r="G13" s="251"/>
      <c r="H13" s="689">
        <f>IS_Calcs!H48</f>
        <v>0</v>
      </c>
      <c r="I13" s="689">
        <f>IS_Calcs!I48</f>
        <v>0</v>
      </c>
      <c r="J13" s="689">
        <f>IS_Calcs!J48</f>
        <v>0</v>
      </c>
      <c r="K13" s="689">
        <f>IS_Calcs!K48</f>
        <v>0</v>
      </c>
      <c r="L13" s="689">
        <f>IS_Calcs!L48</f>
        <v>10000</v>
      </c>
      <c r="M13" s="689">
        <f>IS_Calcs!M48</f>
        <v>10000</v>
      </c>
      <c r="N13" s="689">
        <f>IS_Calcs!N48</f>
        <v>10000</v>
      </c>
      <c r="O13" s="689">
        <f>IS_Calcs!O48</f>
        <v>10000</v>
      </c>
      <c r="P13" s="689">
        <f>IS_Calcs!P48</f>
        <v>10000</v>
      </c>
      <c r="Q13" s="689">
        <f>IS_Calcs!Q48</f>
        <v>10000</v>
      </c>
      <c r="R13" s="690">
        <f>IS_Calcs!R48</f>
        <v>10000</v>
      </c>
      <c r="T13" s="255">
        <f t="shared" ref="T13:T63" si="2">IFERROR((R13/M13)^(1/5)-1,"-")</f>
        <v>0</v>
      </c>
      <c r="U13" s="237" t="str">
        <f t="shared" si="0"/>
        <v>OK</v>
      </c>
      <c r="V13" s="238">
        <f t="shared" si="1"/>
        <v>0</v>
      </c>
    </row>
    <row r="14" spans="2:22" outlineLevel="1">
      <c r="C14" s="1212"/>
      <c r="D14" s="251" t="str">
        <f>IS_Calcs!D21</f>
        <v>Existing: Distributorship</v>
      </c>
      <c r="E14" s="251"/>
      <c r="F14" s="251"/>
      <c r="G14" s="251"/>
      <c r="H14" s="689">
        <f>IS_Calcs!H49</f>
        <v>0</v>
      </c>
      <c r="I14" s="689">
        <f>IS_Calcs!I49</f>
        <v>0</v>
      </c>
      <c r="J14" s="689">
        <f>IS_Calcs!J49</f>
        <v>0</v>
      </c>
      <c r="K14" s="689">
        <f>IS_Calcs!K49</f>
        <v>0</v>
      </c>
      <c r="L14" s="689">
        <f>IS_Calcs!L49</f>
        <v>12000</v>
      </c>
      <c r="M14" s="689">
        <f>IS_Calcs!M49</f>
        <v>12000</v>
      </c>
      <c r="N14" s="689">
        <f>IS_Calcs!N49</f>
        <v>12000</v>
      </c>
      <c r="O14" s="689">
        <f>IS_Calcs!O49</f>
        <v>12000</v>
      </c>
      <c r="P14" s="689">
        <f>IS_Calcs!P49</f>
        <v>12000</v>
      </c>
      <c r="Q14" s="689">
        <f>IS_Calcs!Q49</f>
        <v>12000</v>
      </c>
      <c r="R14" s="690">
        <f>IS_Calcs!R49</f>
        <v>12000</v>
      </c>
      <c r="T14" s="255">
        <f t="shared" si="2"/>
        <v>0</v>
      </c>
      <c r="U14" s="237" t="str">
        <f t="shared" si="0"/>
        <v>OK</v>
      </c>
      <c r="V14" s="238">
        <f t="shared" si="1"/>
        <v>0</v>
      </c>
    </row>
    <row r="15" spans="2:22" outlineLevel="1">
      <c r="C15" s="1212"/>
      <c r="D15" s="251" t="str">
        <f>IS_Calcs!D22</f>
        <v>Pipeline: UAE &amp; Oman projects</v>
      </c>
      <c r="E15" s="251"/>
      <c r="F15" s="251"/>
      <c r="G15" s="251"/>
      <c r="H15" s="689">
        <f>IS_Calcs!H54</f>
        <v>0</v>
      </c>
      <c r="I15" s="689">
        <f>IS_Calcs!I54</f>
        <v>0</v>
      </c>
      <c r="J15" s="689">
        <f>IS_Calcs!J54</f>
        <v>0</v>
      </c>
      <c r="K15" s="689">
        <f>IS_Calcs!K54</f>
        <v>0</v>
      </c>
      <c r="L15" s="689">
        <f>IS_Calcs!L54</f>
        <v>15000</v>
      </c>
      <c r="M15" s="689">
        <f>IS_Calcs!M54</f>
        <v>15000</v>
      </c>
      <c r="N15" s="689">
        <f>IS_Calcs!N54</f>
        <v>15000</v>
      </c>
      <c r="O15" s="689">
        <f>IS_Calcs!O54</f>
        <v>15000</v>
      </c>
      <c r="P15" s="689">
        <f>IS_Calcs!P54</f>
        <v>15000</v>
      </c>
      <c r="Q15" s="689">
        <f>IS_Calcs!Q54</f>
        <v>15000</v>
      </c>
      <c r="R15" s="690">
        <f>IS_Calcs!R54</f>
        <v>15000</v>
      </c>
      <c r="T15" s="255">
        <f t="shared" si="2"/>
        <v>0</v>
      </c>
      <c r="U15" s="237" t="str">
        <f t="shared" si="0"/>
        <v>OK</v>
      </c>
      <c r="V15" s="238">
        <f t="shared" si="1"/>
        <v>0</v>
      </c>
    </row>
    <row r="16" spans="2:22" outlineLevel="1">
      <c r="C16" s="1212"/>
      <c r="D16" s="251" t="str">
        <f>IS_Calcs!D23</f>
        <v>Pipeline: NA</v>
      </c>
      <c r="E16" s="251"/>
      <c r="F16" s="251"/>
      <c r="G16" s="251"/>
      <c r="H16" s="689">
        <f>IS_Calcs!H55</f>
        <v>0</v>
      </c>
      <c r="I16" s="689">
        <f>IS_Calcs!I55</f>
        <v>0</v>
      </c>
      <c r="J16" s="689">
        <f>IS_Calcs!J55</f>
        <v>0</v>
      </c>
      <c r="K16" s="689">
        <f>IS_Calcs!K55</f>
        <v>0</v>
      </c>
      <c r="L16" s="689">
        <f>IS_Calcs!L55</f>
        <v>15000</v>
      </c>
      <c r="M16" s="689">
        <f>IS_Calcs!M55</f>
        <v>15000</v>
      </c>
      <c r="N16" s="689">
        <f>IS_Calcs!N55</f>
        <v>15000</v>
      </c>
      <c r="O16" s="689">
        <f>IS_Calcs!O55</f>
        <v>15000</v>
      </c>
      <c r="P16" s="689">
        <f>IS_Calcs!P55</f>
        <v>15000</v>
      </c>
      <c r="Q16" s="689">
        <f>IS_Calcs!Q55</f>
        <v>15000</v>
      </c>
      <c r="R16" s="690">
        <f>IS_Calcs!R55</f>
        <v>15000</v>
      </c>
      <c r="T16" s="255">
        <f t="shared" si="2"/>
        <v>0</v>
      </c>
      <c r="U16" s="237" t="str">
        <f t="shared" si="0"/>
        <v>OK</v>
      </c>
      <c r="V16" s="238">
        <f t="shared" si="1"/>
        <v>0</v>
      </c>
    </row>
    <row r="17" spans="3:22" outlineLevel="1">
      <c r="C17" s="1212"/>
      <c r="D17" s="251" t="str">
        <f>IS_Calcs!D24</f>
        <v>Pipeline: NA</v>
      </c>
      <c r="E17" s="251"/>
      <c r="F17" s="251"/>
      <c r="G17" s="251"/>
      <c r="H17" s="689">
        <f>IS_Calcs!H56</f>
        <v>0</v>
      </c>
      <c r="I17" s="689">
        <f>IS_Calcs!I56</f>
        <v>0</v>
      </c>
      <c r="J17" s="689">
        <f>IS_Calcs!J56</f>
        <v>0</v>
      </c>
      <c r="K17" s="689">
        <f>IS_Calcs!K56</f>
        <v>0</v>
      </c>
      <c r="L17" s="689">
        <f>IS_Calcs!L56</f>
        <v>15000</v>
      </c>
      <c r="M17" s="689">
        <f>IS_Calcs!M56</f>
        <v>15000</v>
      </c>
      <c r="N17" s="689">
        <f>IS_Calcs!N56</f>
        <v>15000</v>
      </c>
      <c r="O17" s="689">
        <f>IS_Calcs!O56</f>
        <v>15000</v>
      </c>
      <c r="P17" s="689">
        <f>IS_Calcs!P56</f>
        <v>15000</v>
      </c>
      <c r="Q17" s="689">
        <f>IS_Calcs!Q56</f>
        <v>15000</v>
      </c>
      <c r="R17" s="690">
        <f>IS_Calcs!R56</f>
        <v>15000</v>
      </c>
      <c r="T17" s="255">
        <f t="shared" si="2"/>
        <v>0</v>
      </c>
      <c r="U17" s="237" t="str">
        <f t="shared" si="0"/>
        <v>OK</v>
      </c>
      <c r="V17" s="238">
        <f t="shared" si="1"/>
        <v>0</v>
      </c>
    </row>
    <row r="18" spans="3:22" outlineLevel="1">
      <c r="C18" s="1212"/>
      <c r="D18" s="251" t="str">
        <f>IS_Calcs!D25</f>
        <v>Pipeline: NA</v>
      </c>
      <c r="E18" s="251"/>
      <c r="F18" s="251"/>
      <c r="G18" s="251"/>
      <c r="H18" s="689">
        <f>IS_Calcs!H57</f>
        <v>0</v>
      </c>
      <c r="I18" s="689">
        <f>IS_Calcs!I57</f>
        <v>0</v>
      </c>
      <c r="J18" s="689">
        <f>IS_Calcs!J57</f>
        <v>0</v>
      </c>
      <c r="K18" s="689">
        <f>IS_Calcs!K57</f>
        <v>0</v>
      </c>
      <c r="L18" s="689">
        <f>IS_Calcs!L57</f>
        <v>15000</v>
      </c>
      <c r="M18" s="689">
        <f>IS_Calcs!M57</f>
        <v>15000</v>
      </c>
      <c r="N18" s="689">
        <f>IS_Calcs!N57</f>
        <v>15000</v>
      </c>
      <c r="O18" s="689">
        <f>IS_Calcs!O57</f>
        <v>15000</v>
      </c>
      <c r="P18" s="689">
        <f>IS_Calcs!P57</f>
        <v>15000</v>
      </c>
      <c r="Q18" s="689">
        <f>IS_Calcs!Q57</f>
        <v>15000</v>
      </c>
      <c r="R18" s="690">
        <f>IS_Calcs!R57</f>
        <v>15000</v>
      </c>
      <c r="T18" s="255">
        <f t="shared" si="2"/>
        <v>0</v>
      </c>
      <c r="U18" s="237" t="str">
        <f t="shared" si="0"/>
        <v>OK</v>
      </c>
      <c r="V18" s="238">
        <f t="shared" si="1"/>
        <v>0</v>
      </c>
    </row>
    <row r="19" spans="3:22" outlineLevel="1">
      <c r="C19" s="1212"/>
      <c r="D19" s="251" t="str">
        <f>IS_Calcs!D26</f>
        <v>Potential: Product contracts by specifiers</v>
      </c>
      <c r="E19" s="251"/>
      <c r="F19" s="251"/>
      <c r="G19" s="251"/>
      <c r="H19" s="689">
        <f>IS_Calcs!H62</f>
        <v>0</v>
      </c>
      <c r="I19" s="689">
        <f>IS_Calcs!I62</f>
        <v>0</v>
      </c>
      <c r="J19" s="689">
        <f>IS_Calcs!J62</f>
        <v>0</v>
      </c>
      <c r="K19" s="689">
        <f>IS_Calcs!K62</f>
        <v>0</v>
      </c>
      <c r="L19" s="689">
        <f>IS_Calcs!L62</f>
        <v>16000</v>
      </c>
      <c r="M19" s="689">
        <f>IS_Calcs!M62</f>
        <v>16000</v>
      </c>
      <c r="N19" s="689">
        <f>IS_Calcs!N62</f>
        <v>16000</v>
      </c>
      <c r="O19" s="689">
        <f>IS_Calcs!O62</f>
        <v>16000</v>
      </c>
      <c r="P19" s="689">
        <f>IS_Calcs!P62</f>
        <v>16000</v>
      </c>
      <c r="Q19" s="689">
        <f>IS_Calcs!Q62</f>
        <v>16000</v>
      </c>
      <c r="R19" s="690">
        <f>IS_Calcs!R62</f>
        <v>16000</v>
      </c>
      <c r="T19" s="255">
        <f t="shared" si="2"/>
        <v>0</v>
      </c>
      <c r="U19" s="237" t="str">
        <f t="shared" si="0"/>
        <v>OK</v>
      </c>
      <c r="V19" s="238">
        <f t="shared" si="1"/>
        <v>0</v>
      </c>
    </row>
    <row r="20" spans="3:22" outlineLevel="1">
      <c r="C20" s="1212"/>
      <c r="D20" s="251" t="str">
        <f>IS_Calcs!D27</f>
        <v>Potential: NA</v>
      </c>
      <c r="E20" s="251"/>
      <c r="F20" s="251"/>
      <c r="G20" s="251"/>
      <c r="H20" s="689">
        <f>IS_Calcs!H63</f>
        <v>0</v>
      </c>
      <c r="I20" s="689">
        <f>IS_Calcs!I63</f>
        <v>0</v>
      </c>
      <c r="J20" s="689">
        <f>IS_Calcs!J63</f>
        <v>0</v>
      </c>
      <c r="K20" s="689">
        <f>IS_Calcs!K63</f>
        <v>0</v>
      </c>
      <c r="L20" s="689">
        <f>IS_Calcs!L63</f>
        <v>0</v>
      </c>
      <c r="M20" s="689">
        <f>IS_Calcs!M63</f>
        <v>0</v>
      </c>
      <c r="N20" s="689">
        <f>IS_Calcs!N63</f>
        <v>0</v>
      </c>
      <c r="O20" s="689">
        <f>IS_Calcs!O63</f>
        <v>0</v>
      </c>
      <c r="P20" s="689">
        <f>IS_Calcs!P63</f>
        <v>0</v>
      </c>
      <c r="Q20" s="689">
        <f>IS_Calcs!Q63</f>
        <v>0</v>
      </c>
      <c r="R20" s="690">
        <f>IS_Calcs!R63</f>
        <v>0</v>
      </c>
      <c r="T20" s="255" t="str">
        <f t="shared" si="2"/>
        <v>-</v>
      </c>
      <c r="U20" s="237" t="str">
        <f t="shared" si="0"/>
        <v>OK</v>
      </c>
      <c r="V20" s="238">
        <f t="shared" si="1"/>
        <v>0</v>
      </c>
    </row>
    <row r="21" spans="3:22" outlineLevel="1">
      <c r="C21" s="1212"/>
      <c r="D21" s="251" t="str">
        <f>IS_Calcs!D28</f>
        <v>Potential: NA</v>
      </c>
      <c r="E21" s="251"/>
      <c r="F21" s="251"/>
      <c r="G21" s="251"/>
      <c r="H21" s="689">
        <f>IS_Calcs!H64</f>
        <v>0</v>
      </c>
      <c r="I21" s="689">
        <f>IS_Calcs!I64</f>
        <v>0</v>
      </c>
      <c r="J21" s="689">
        <f>IS_Calcs!J64</f>
        <v>0</v>
      </c>
      <c r="K21" s="689">
        <f>IS_Calcs!K64</f>
        <v>0</v>
      </c>
      <c r="L21" s="689">
        <f>IS_Calcs!L64</f>
        <v>0</v>
      </c>
      <c r="M21" s="689">
        <f>IS_Calcs!M64</f>
        <v>0</v>
      </c>
      <c r="N21" s="689">
        <f>IS_Calcs!N64</f>
        <v>0</v>
      </c>
      <c r="O21" s="689">
        <f>IS_Calcs!O64</f>
        <v>0</v>
      </c>
      <c r="P21" s="689">
        <f>IS_Calcs!P64</f>
        <v>0</v>
      </c>
      <c r="Q21" s="689">
        <f>IS_Calcs!Q64</f>
        <v>0</v>
      </c>
      <c r="R21" s="690">
        <f>IS_Calcs!R64</f>
        <v>0</v>
      </c>
      <c r="T21" s="255" t="str">
        <f t="shared" si="2"/>
        <v>-</v>
      </c>
      <c r="U21" s="237" t="str">
        <f t="shared" si="0"/>
        <v>OK</v>
      </c>
      <c r="V21" s="238">
        <f t="shared" si="1"/>
        <v>0</v>
      </c>
    </row>
    <row r="22" spans="3:22" outlineLevel="1">
      <c r="C22" s="1212"/>
      <c r="D22" s="251" t="str">
        <f>IS_Calcs!D29</f>
        <v>Potential: NA</v>
      </c>
      <c r="E22" s="251"/>
      <c r="F22" s="251"/>
      <c r="G22" s="251"/>
      <c r="H22" s="689">
        <f>IS_Calcs!H65</f>
        <v>0</v>
      </c>
      <c r="I22" s="689">
        <f>IS_Calcs!I65</f>
        <v>0</v>
      </c>
      <c r="J22" s="689">
        <f>IS_Calcs!J65</f>
        <v>0</v>
      </c>
      <c r="K22" s="689">
        <f>IS_Calcs!K65</f>
        <v>0</v>
      </c>
      <c r="L22" s="689">
        <f>IS_Calcs!L65</f>
        <v>0</v>
      </c>
      <c r="M22" s="689">
        <f>IS_Calcs!M65</f>
        <v>0</v>
      </c>
      <c r="N22" s="689">
        <f>IS_Calcs!N65</f>
        <v>0</v>
      </c>
      <c r="O22" s="689">
        <f>IS_Calcs!O65</f>
        <v>0</v>
      </c>
      <c r="P22" s="689">
        <f>IS_Calcs!P65</f>
        <v>0</v>
      </c>
      <c r="Q22" s="689">
        <f>IS_Calcs!Q65</f>
        <v>0</v>
      </c>
      <c r="R22" s="690">
        <f>IS_Calcs!R65</f>
        <v>0</v>
      </c>
      <c r="T22" s="255" t="str">
        <f t="shared" si="2"/>
        <v>-</v>
      </c>
      <c r="U22" s="237" t="str">
        <f t="shared" si="0"/>
        <v>OK</v>
      </c>
      <c r="V22" s="238">
        <f t="shared" si="1"/>
        <v>0</v>
      </c>
    </row>
    <row r="23" spans="3:22">
      <c r="C23" s="1218" t="s">
        <v>2046</v>
      </c>
      <c r="D23" s="239"/>
      <c r="E23" s="239"/>
      <c r="F23" s="239"/>
      <c r="G23" s="239"/>
      <c r="H23" s="240">
        <f t="shared" ref="H23" si="3">SUM(H11:H22)</f>
        <v>0</v>
      </c>
      <c r="I23" s="240">
        <f t="shared" ref="I23:R23" si="4">SUM(I11:I22)</f>
        <v>0</v>
      </c>
      <c r="J23" s="240">
        <f t="shared" si="4"/>
        <v>0</v>
      </c>
      <c r="K23" s="240">
        <f>SUM(K11:K22)</f>
        <v>0</v>
      </c>
      <c r="L23" s="240">
        <f>SUM(L11:L22)</f>
        <v>168000</v>
      </c>
      <c r="M23" s="240">
        <f t="shared" si="4"/>
        <v>168000</v>
      </c>
      <c r="N23" s="240">
        <f t="shared" si="4"/>
        <v>168000</v>
      </c>
      <c r="O23" s="240">
        <f t="shared" si="4"/>
        <v>168000</v>
      </c>
      <c r="P23" s="240">
        <f t="shared" si="4"/>
        <v>168000</v>
      </c>
      <c r="Q23" s="240">
        <f t="shared" si="4"/>
        <v>168000</v>
      </c>
      <c r="R23" s="1219">
        <f t="shared" si="4"/>
        <v>168000</v>
      </c>
      <c r="T23" s="255">
        <f t="shared" si="2"/>
        <v>0</v>
      </c>
      <c r="U23" s="237" t="str">
        <f t="shared" si="0"/>
        <v>OK</v>
      </c>
      <c r="V23" s="238">
        <f t="shared" si="1"/>
        <v>0</v>
      </c>
    </row>
    <row r="24" spans="3:22" outlineLevel="1">
      <c r="C24" s="1212"/>
      <c r="D24" s="251"/>
      <c r="E24" s="251"/>
      <c r="F24" s="251"/>
      <c r="G24" s="251"/>
      <c r="H24" s="251"/>
      <c r="I24" s="251"/>
      <c r="J24" s="251"/>
      <c r="K24" s="251"/>
      <c r="L24" s="251"/>
      <c r="M24" s="251"/>
      <c r="N24" s="251"/>
      <c r="O24" s="251"/>
      <c r="P24" s="251"/>
      <c r="Q24" s="251"/>
      <c r="R24" s="1217"/>
      <c r="T24" s="255" t="str">
        <f t="shared" si="2"/>
        <v>-</v>
      </c>
      <c r="U24" s="237" t="str">
        <f t="shared" si="0"/>
        <v>OK</v>
      </c>
      <c r="V24" s="238">
        <f t="shared" si="1"/>
        <v>0</v>
      </c>
    </row>
    <row r="25" spans="3:22" outlineLevel="1">
      <c r="C25" s="1216" t="s">
        <v>1562</v>
      </c>
      <c r="D25" s="251"/>
      <c r="E25" s="251"/>
      <c r="F25" s="251"/>
      <c r="G25" s="251"/>
      <c r="H25" s="251"/>
      <c r="I25" s="251"/>
      <c r="J25" s="251"/>
      <c r="K25" s="251"/>
      <c r="L25" s="251"/>
      <c r="M25" s="251"/>
      <c r="N25" s="251"/>
      <c r="O25" s="251"/>
      <c r="P25" s="251"/>
      <c r="Q25" s="251"/>
      <c r="R25" s="1217"/>
      <c r="T25" s="255" t="str">
        <f t="shared" si="2"/>
        <v>-</v>
      </c>
      <c r="U25" s="237" t="str">
        <f t="shared" si="0"/>
        <v>OK</v>
      </c>
      <c r="V25" s="238">
        <f t="shared" si="1"/>
        <v>0</v>
      </c>
    </row>
    <row r="26" spans="3:22" outlineLevel="1">
      <c r="C26" s="1212"/>
      <c r="D26" s="251" t="str">
        <f>D11</f>
        <v>Existing: Residential lighting</v>
      </c>
      <c r="E26" s="251"/>
      <c r="F26" s="251"/>
      <c r="G26" s="251"/>
      <c r="H26" s="689">
        <f>-IS_Calcs!H95</f>
        <v>0</v>
      </c>
      <c r="I26" s="689">
        <f>-IS_Calcs!I95</f>
        <v>0</v>
      </c>
      <c r="J26" s="689">
        <f>-IS_Calcs!J95</f>
        <v>0</v>
      </c>
      <c r="K26" s="689">
        <f>-IS_Calcs!K95</f>
        <v>0</v>
      </c>
      <c r="L26" s="689">
        <f>-IS_Calcs!L95</f>
        <v>-6000.0000000000009</v>
      </c>
      <c r="M26" s="689">
        <f>-IS_Calcs!M95</f>
        <v>-6000.0000000000009</v>
      </c>
      <c r="N26" s="689">
        <f>-IS_Calcs!N95</f>
        <v>-6000.0000000000009</v>
      </c>
      <c r="O26" s="689">
        <f>-IS_Calcs!O95</f>
        <v>-6000.0000000000009</v>
      </c>
      <c r="P26" s="689">
        <f>-IS_Calcs!P95</f>
        <v>-6000.0000000000009</v>
      </c>
      <c r="Q26" s="689">
        <f>-IS_Calcs!Q95</f>
        <v>-6000.0000000000009</v>
      </c>
      <c r="R26" s="690">
        <f>-IS_Calcs!R95</f>
        <v>-6000.0000000000009</v>
      </c>
      <c r="T26" s="255">
        <f t="shared" si="2"/>
        <v>0</v>
      </c>
      <c r="U26" s="237" t="str">
        <f t="shared" si="0"/>
        <v>OK</v>
      </c>
      <c r="V26" s="238">
        <f t="shared" si="1"/>
        <v>0</v>
      </c>
    </row>
    <row r="27" spans="3:22" outlineLevel="1">
      <c r="C27" s="1212"/>
      <c r="D27" s="251" t="str">
        <f>D12</f>
        <v>Existing: Hotels &amp; Hospitals</v>
      </c>
      <c r="E27" s="251"/>
      <c r="F27" s="251"/>
      <c r="G27" s="251"/>
      <c r="H27" s="689">
        <f>-IS_Calcs!H96</f>
        <v>0</v>
      </c>
      <c r="I27" s="689">
        <f>-IS_Calcs!I96</f>
        <v>0</v>
      </c>
      <c r="J27" s="689">
        <f>-IS_Calcs!J96</f>
        <v>0</v>
      </c>
      <c r="K27" s="689">
        <f>-IS_Calcs!K96</f>
        <v>0</v>
      </c>
      <c r="L27" s="689">
        <f>-IS_Calcs!L96</f>
        <v>-15000.000000000002</v>
      </c>
      <c r="M27" s="689">
        <f>-IS_Calcs!M96</f>
        <v>-15000.000000000002</v>
      </c>
      <c r="N27" s="689">
        <f>-IS_Calcs!N96</f>
        <v>-15000.000000000002</v>
      </c>
      <c r="O27" s="689">
        <f>-IS_Calcs!O96</f>
        <v>-15000.000000000002</v>
      </c>
      <c r="P27" s="689">
        <f>-IS_Calcs!P96</f>
        <v>-15000.000000000002</v>
      </c>
      <c r="Q27" s="689">
        <f>-IS_Calcs!Q96</f>
        <v>-15000.000000000002</v>
      </c>
      <c r="R27" s="690">
        <f>-IS_Calcs!R96</f>
        <v>-15000.000000000002</v>
      </c>
      <c r="T27" s="255">
        <f t="shared" si="2"/>
        <v>0</v>
      </c>
      <c r="U27" s="237" t="str">
        <f t="shared" si="0"/>
        <v>OK</v>
      </c>
      <c r="V27" s="238">
        <f t="shared" si="1"/>
        <v>0</v>
      </c>
    </row>
    <row r="28" spans="3:22" outlineLevel="1">
      <c r="C28" s="1212"/>
      <c r="D28" s="251" t="str">
        <f>D13</f>
        <v>Existing: Government &amp; Infrastructure</v>
      </c>
      <c r="E28" s="251"/>
      <c r="F28" s="251"/>
      <c r="G28" s="251"/>
      <c r="H28" s="689">
        <f>-IS_Calcs!H97</f>
        <v>0</v>
      </c>
      <c r="I28" s="689">
        <f>-IS_Calcs!I97</f>
        <v>0</v>
      </c>
      <c r="J28" s="689">
        <f>-IS_Calcs!J97</f>
        <v>0</v>
      </c>
      <c r="K28" s="689">
        <f>-IS_Calcs!K97</f>
        <v>0</v>
      </c>
      <c r="L28" s="689">
        <f>-IS_Calcs!L97</f>
        <v>-3000.0000000000005</v>
      </c>
      <c r="M28" s="689">
        <f>-IS_Calcs!M97</f>
        <v>-3000.0000000000005</v>
      </c>
      <c r="N28" s="689">
        <f>-IS_Calcs!N97</f>
        <v>-3000.0000000000005</v>
      </c>
      <c r="O28" s="689">
        <f>-IS_Calcs!O97</f>
        <v>-3000.0000000000005</v>
      </c>
      <c r="P28" s="689">
        <f>-IS_Calcs!P97</f>
        <v>-3000.0000000000005</v>
      </c>
      <c r="Q28" s="689">
        <f>-IS_Calcs!Q97</f>
        <v>-3000.0000000000005</v>
      </c>
      <c r="R28" s="690">
        <f>-IS_Calcs!R97</f>
        <v>-3000.0000000000005</v>
      </c>
      <c r="T28" s="255">
        <f t="shared" si="2"/>
        <v>0</v>
      </c>
      <c r="U28" s="237" t="str">
        <f t="shared" si="0"/>
        <v>OK</v>
      </c>
      <c r="V28" s="238">
        <f t="shared" si="1"/>
        <v>0</v>
      </c>
    </row>
    <row r="29" spans="3:22" outlineLevel="1">
      <c r="C29" s="1212"/>
      <c r="D29" s="251" t="str">
        <f>D14</f>
        <v>Existing: Distributorship</v>
      </c>
      <c r="E29" s="251"/>
      <c r="F29" s="251"/>
      <c r="G29" s="251"/>
      <c r="H29" s="689">
        <f>-IS_Calcs!H98</f>
        <v>0</v>
      </c>
      <c r="I29" s="689">
        <f>-IS_Calcs!I98</f>
        <v>0</v>
      </c>
      <c r="J29" s="689">
        <f>-IS_Calcs!J98</f>
        <v>0</v>
      </c>
      <c r="K29" s="689">
        <f>-IS_Calcs!K98</f>
        <v>0</v>
      </c>
      <c r="L29" s="689">
        <f>-IS_Calcs!L98</f>
        <v>-3600.0000000000005</v>
      </c>
      <c r="M29" s="689">
        <f>-IS_Calcs!M98</f>
        <v>-3600.0000000000005</v>
      </c>
      <c r="N29" s="689">
        <f>-IS_Calcs!N98</f>
        <v>-3600.0000000000005</v>
      </c>
      <c r="O29" s="689">
        <f>-IS_Calcs!O98</f>
        <v>-3600.0000000000005</v>
      </c>
      <c r="P29" s="689">
        <f>-IS_Calcs!P98</f>
        <v>-3600.0000000000005</v>
      </c>
      <c r="Q29" s="689">
        <f>-IS_Calcs!Q98</f>
        <v>-3600.0000000000005</v>
      </c>
      <c r="R29" s="690">
        <f>-IS_Calcs!R98</f>
        <v>-3600.0000000000005</v>
      </c>
      <c r="T29" s="255">
        <f t="shared" si="2"/>
        <v>0</v>
      </c>
      <c r="U29" s="237" t="str">
        <f>IFERROR(IF(K29+L29=M29,"OK","VARIANCE"),"")</f>
        <v>OK</v>
      </c>
      <c r="V29" s="238">
        <f t="shared" si="1"/>
        <v>0</v>
      </c>
    </row>
    <row r="30" spans="3:22" outlineLevel="1">
      <c r="C30" s="1212"/>
      <c r="D30" s="251" t="str">
        <f t="shared" ref="D30:D37" si="5">D15</f>
        <v>Pipeline: UAE &amp; Oman projects</v>
      </c>
      <c r="E30" s="251"/>
      <c r="F30" s="251"/>
      <c r="G30" s="251"/>
      <c r="H30" s="689">
        <f>-IS_Calcs!H102</f>
        <v>0</v>
      </c>
      <c r="I30" s="689">
        <f>-IS_Calcs!I102</f>
        <v>0</v>
      </c>
      <c r="J30" s="689">
        <f>-IS_Calcs!J102</f>
        <v>0</v>
      </c>
      <c r="K30" s="689">
        <f>-IS_Calcs!K102</f>
        <v>0</v>
      </c>
      <c r="L30" s="689">
        <f>-IS_Calcs!L102</f>
        <v>-4500.0000000000009</v>
      </c>
      <c r="M30" s="689">
        <f>-IS_Calcs!M102</f>
        <v>-4500.0000000000009</v>
      </c>
      <c r="N30" s="689">
        <f>-IS_Calcs!N102</f>
        <v>-4500.0000000000009</v>
      </c>
      <c r="O30" s="689">
        <f>-IS_Calcs!O102</f>
        <v>-4500.0000000000009</v>
      </c>
      <c r="P30" s="689">
        <f>-IS_Calcs!P102</f>
        <v>-4500.0000000000009</v>
      </c>
      <c r="Q30" s="689">
        <f>-IS_Calcs!Q102</f>
        <v>-4500.0000000000009</v>
      </c>
      <c r="R30" s="690">
        <f>-IS_Calcs!R102</f>
        <v>-4500.0000000000009</v>
      </c>
      <c r="T30" s="255">
        <f t="shared" si="2"/>
        <v>0</v>
      </c>
      <c r="U30" s="237" t="str">
        <f t="shared" si="0"/>
        <v>OK</v>
      </c>
      <c r="V30" s="238">
        <f t="shared" si="1"/>
        <v>0</v>
      </c>
    </row>
    <row r="31" spans="3:22" outlineLevel="1">
      <c r="C31" s="1212"/>
      <c r="D31" s="251" t="str">
        <f t="shared" si="5"/>
        <v>Pipeline: NA</v>
      </c>
      <c r="E31" s="251"/>
      <c r="F31" s="251"/>
      <c r="G31" s="251"/>
      <c r="H31" s="689">
        <f>-IS_Calcs!H103</f>
        <v>0</v>
      </c>
      <c r="I31" s="689">
        <f>-IS_Calcs!I103</f>
        <v>0</v>
      </c>
      <c r="J31" s="689">
        <f>-IS_Calcs!J103</f>
        <v>0</v>
      </c>
      <c r="K31" s="689">
        <f>-IS_Calcs!K103</f>
        <v>0</v>
      </c>
      <c r="L31" s="689">
        <f>-IS_Calcs!L103</f>
        <v>-4500.0000000000009</v>
      </c>
      <c r="M31" s="689">
        <f>-IS_Calcs!M103</f>
        <v>-4500.0000000000009</v>
      </c>
      <c r="N31" s="689">
        <f>-IS_Calcs!N103</f>
        <v>-4500.0000000000009</v>
      </c>
      <c r="O31" s="689">
        <f>-IS_Calcs!O103</f>
        <v>-4500.0000000000009</v>
      </c>
      <c r="P31" s="689">
        <f>-IS_Calcs!P103</f>
        <v>-4500.0000000000009</v>
      </c>
      <c r="Q31" s="689">
        <f>-IS_Calcs!Q103</f>
        <v>-4500.0000000000009</v>
      </c>
      <c r="R31" s="690">
        <f>-IS_Calcs!R103</f>
        <v>-4500.0000000000009</v>
      </c>
      <c r="T31" s="255">
        <f t="shared" si="2"/>
        <v>0</v>
      </c>
      <c r="U31" s="237" t="str">
        <f t="shared" si="0"/>
        <v>OK</v>
      </c>
      <c r="V31" s="238">
        <f t="shared" si="1"/>
        <v>0</v>
      </c>
    </row>
    <row r="32" spans="3:22" outlineLevel="1">
      <c r="C32" s="1212"/>
      <c r="D32" s="251" t="str">
        <f t="shared" si="5"/>
        <v>Pipeline: NA</v>
      </c>
      <c r="E32" s="251"/>
      <c r="F32" s="251"/>
      <c r="G32" s="251"/>
      <c r="H32" s="689">
        <f>-IS_Calcs!H104</f>
        <v>0</v>
      </c>
      <c r="I32" s="689">
        <f>-IS_Calcs!I104</f>
        <v>0</v>
      </c>
      <c r="J32" s="689">
        <f>-IS_Calcs!J104</f>
        <v>0</v>
      </c>
      <c r="K32" s="689">
        <f>-IS_Calcs!K104</f>
        <v>0</v>
      </c>
      <c r="L32" s="689">
        <f>-IS_Calcs!L104</f>
        <v>-4500.0000000000009</v>
      </c>
      <c r="M32" s="689">
        <f>-IS_Calcs!M104</f>
        <v>-4500.0000000000009</v>
      </c>
      <c r="N32" s="689">
        <f>-IS_Calcs!N104</f>
        <v>-4500.0000000000009</v>
      </c>
      <c r="O32" s="689">
        <f>-IS_Calcs!O104</f>
        <v>-4500.0000000000009</v>
      </c>
      <c r="P32" s="689">
        <f>-IS_Calcs!P104</f>
        <v>-4500.0000000000009</v>
      </c>
      <c r="Q32" s="689">
        <f>-IS_Calcs!Q104</f>
        <v>-4500.0000000000009</v>
      </c>
      <c r="R32" s="690">
        <f>-IS_Calcs!R104</f>
        <v>-4500.0000000000009</v>
      </c>
      <c r="T32" s="255">
        <f t="shared" si="2"/>
        <v>0</v>
      </c>
      <c r="U32" s="237" t="str">
        <f t="shared" si="0"/>
        <v>OK</v>
      </c>
      <c r="V32" s="238">
        <f t="shared" si="1"/>
        <v>0</v>
      </c>
    </row>
    <row r="33" spans="3:22" outlineLevel="1">
      <c r="C33" s="1212"/>
      <c r="D33" s="251" t="str">
        <f t="shared" si="5"/>
        <v>Pipeline: NA</v>
      </c>
      <c r="E33" s="251"/>
      <c r="F33" s="251"/>
      <c r="G33" s="251"/>
      <c r="H33" s="689">
        <f>-IS_Calcs!H105</f>
        <v>0</v>
      </c>
      <c r="I33" s="689">
        <f>-IS_Calcs!I105</f>
        <v>0</v>
      </c>
      <c r="J33" s="689">
        <f>-IS_Calcs!J105</f>
        <v>0</v>
      </c>
      <c r="K33" s="689">
        <f>-IS_Calcs!K105</f>
        <v>0</v>
      </c>
      <c r="L33" s="689">
        <f>-IS_Calcs!L105</f>
        <v>-4500.0000000000009</v>
      </c>
      <c r="M33" s="689">
        <f>-IS_Calcs!M105</f>
        <v>-4500.0000000000009</v>
      </c>
      <c r="N33" s="689">
        <f>-IS_Calcs!N105</f>
        <v>-4500.0000000000009</v>
      </c>
      <c r="O33" s="689">
        <f>-IS_Calcs!O105</f>
        <v>-4500.0000000000009</v>
      </c>
      <c r="P33" s="689">
        <f>-IS_Calcs!P105</f>
        <v>-4500.0000000000009</v>
      </c>
      <c r="Q33" s="689">
        <f>-IS_Calcs!Q105</f>
        <v>-4500.0000000000009</v>
      </c>
      <c r="R33" s="690">
        <f>-IS_Calcs!R105</f>
        <v>-4500.0000000000009</v>
      </c>
      <c r="T33" s="255">
        <f t="shared" si="2"/>
        <v>0</v>
      </c>
      <c r="U33" s="237" t="str">
        <f t="shared" si="0"/>
        <v>OK</v>
      </c>
      <c r="V33" s="238">
        <f t="shared" si="1"/>
        <v>0</v>
      </c>
    </row>
    <row r="34" spans="3:22" outlineLevel="1">
      <c r="C34" s="1212"/>
      <c r="D34" s="251" t="str">
        <f t="shared" si="5"/>
        <v>Potential: Product contracts by specifiers</v>
      </c>
      <c r="E34" s="251"/>
      <c r="F34" s="251"/>
      <c r="G34" s="251"/>
      <c r="H34" s="689">
        <f>-IS_Calcs!H109</f>
        <v>0</v>
      </c>
      <c r="I34" s="689">
        <f>-IS_Calcs!I109</f>
        <v>0</v>
      </c>
      <c r="J34" s="689">
        <f>-IS_Calcs!J109</f>
        <v>0</v>
      </c>
      <c r="K34" s="689">
        <f>-IS_Calcs!K109</f>
        <v>0</v>
      </c>
      <c r="L34" s="689">
        <f>-IS_Calcs!L109</f>
        <v>-4800.0000000000009</v>
      </c>
      <c r="M34" s="689">
        <f>-IS_Calcs!M109</f>
        <v>-4800.0000000000009</v>
      </c>
      <c r="N34" s="689">
        <f>-IS_Calcs!N109</f>
        <v>-4800.0000000000009</v>
      </c>
      <c r="O34" s="689">
        <f>-IS_Calcs!O109</f>
        <v>-4800.0000000000009</v>
      </c>
      <c r="P34" s="689">
        <f>-IS_Calcs!P109</f>
        <v>-4800.0000000000009</v>
      </c>
      <c r="Q34" s="689">
        <f>-IS_Calcs!Q109</f>
        <v>-4800.0000000000009</v>
      </c>
      <c r="R34" s="690">
        <f>-IS_Calcs!R109</f>
        <v>-4800.0000000000009</v>
      </c>
      <c r="T34" s="255">
        <f t="shared" si="2"/>
        <v>0</v>
      </c>
      <c r="U34" s="237" t="str">
        <f t="shared" si="0"/>
        <v>OK</v>
      </c>
      <c r="V34" s="238">
        <f t="shared" si="1"/>
        <v>0</v>
      </c>
    </row>
    <row r="35" spans="3:22" outlineLevel="1">
      <c r="C35" s="1212"/>
      <c r="D35" s="251" t="str">
        <f t="shared" si="5"/>
        <v>Potential: NA</v>
      </c>
      <c r="E35" s="251"/>
      <c r="F35" s="251"/>
      <c r="G35" s="251"/>
      <c r="H35" s="689">
        <f>-IS_Calcs!H110</f>
        <v>0</v>
      </c>
      <c r="I35" s="689">
        <f>-IS_Calcs!I110</f>
        <v>0</v>
      </c>
      <c r="J35" s="689">
        <f>-IS_Calcs!J110</f>
        <v>0</v>
      </c>
      <c r="K35" s="689">
        <f>-IS_Calcs!K110</f>
        <v>0</v>
      </c>
      <c r="L35" s="689">
        <f>-IS_Calcs!L110</f>
        <v>0</v>
      </c>
      <c r="M35" s="689">
        <f>-IS_Calcs!M110</f>
        <v>0</v>
      </c>
      <c r="N35" s="689">
        <f>-IS_Calcs!N110</f>
        <v>0</v>
      </c>
      <c r="O35" s="689">
        <f>-IS_Calcs!O110</f>
        <v>0</v>
      </c>
      <c r="P35" s="689">
        <f>-IS_Calcs!P110</f>
        <v>0</v>
      </c>
      <c r="Q35" s="689">
        <f>-IS_Calcs!Q110</f>
        <v>0</v>
      </c>
      <c r="R35" s="690">
        <f>-IS_Calcs!R110</f>
        <v>0</v>
      </c>
      <c r="T35" s="255" t="str">
        <f t="shared" si="2"/>
        <v>-</v>
      </c>
      <c r="U35" s="237" t="str">
        <f t="shared" si="0"/>
        <v>OK</v>
      </c>
      <c r="V35" s="238">
        <f t="shared" si="1"/>
        <v>0</v>
      </c>
    </row>
    <row r="36" spans="3:22" outlineLevel="1">
      <c r="C36" s="1212"/>
      <c r="D36" s="251" t="str">
        <f t="shared" si="5"/>
        <v>Potential: NA</v>
      </c>
      <c r="E36" s="251"/>
      <c r="F36" s="251"/>
      <c r="G36" s="251"/>
      <c r="H36" s="689">
        <f>-IS_Calcs!H111</f>
        <v>0</v>
      </c>
      <c r="I36" s="689">
        <f>-IS_Calcs!I111</f>
        <v>0</v>
      </c>
      <c r="J36" s="689">
        <f>-IS_Calcs!J111</f>
        <v>0</v>
      </c>
      <c r="K36" s="689">
        <f>-IS_Calcs!K111</f>
        <v>0</v>
      </c>
      <c r="L36" s="689">
        <f>-IS_Calcs!L111</f>
        <v>0</v>
      </c>
      <c r="M36" s="689">
        <f>-IS_Calcs!M111</f>
        <v>0</v>
      </c>
      <c r="N36" s="689">
        <f>-IS_Calcs!N111</f>
        <v>0</v>
      </c>
      <c r="O36" s="689">
        <f>-IS_Calcs!O111</f>
        <v>0</v>
      </c>
      <c r="P36" s="689">
        <f>-IS_Calcs!P111</f>
        <v>0</v>
      </c>
      <c r="Q36" s="689">
        <f>-IS_Calcs!Q111</f>
        <v>0</v>
      </c>
      <c r="R36" s="690">
        <f>-IS_Calcs!R111</f>
        <v>0</v>
      </c>
      <c r="T36" s="255" t="str">
        <f t="shared" si="2"/>
        <v>-</v>
      </c>
      <c r="U36" s="237" t="str">
        <f t="shared" si="0"/>
        <v>OK</v>
      </c>
      <c r="V36" s="238">
        <f t="shared" si="1"/>
        <v>0</v>
      </c>
    </row>
    <row r="37" spans="3:22" outlineLevel="1">
      <c r="C37" s="1212"/>
      <c r="D37" s="251" t="str">
        <f t="shared" si="5"/>
        <v>Potential: NA</v>
      </c>
      <c r="E37" s="251"/>
      <c r="F37" s="251"/>
      <c r="G37" s="251"/>
      <c r="H37" s="689">
        <f>-IS_Calcs!H112</f>
        <v>0</v>
      </c>
      <c r="I37" s="689">
        <f>-IS_Calcs!I112</f>
        <v>0</v>
      </c>
      <c r="J37" s="689">
        <f>-IS_Calcs!J112</f>
        <v>0</v>
      </c>
      <c r="K37" s="689">
        <f>-IS_Calcs!K112</f>
        <v>0</v>
      </c>
      <c r="L37" s="689">
        <f>-IS_Calcs!L112</f>
        <v>0</v>
      </c>
      <c r="M37" s="689">
        <f>-IS_Calcs!M112</f>
        <v>0</v>
      </c>
      <c r="N37" s="689">
        <f>-IS_Calcs!N112</f>
        <v>0</v>
      </c>
      <c r="O37" s="689">
        <f>-IS_Calcs!O112</f>
        <v>0</v>
      </c>
      <c r="P37" s="689">
        <f>-IS_Calcs!P112</f>
        <v>0</v>
      </c>
      <c r="Q37" s="689">
        <f>-IS_Calcs!Q112</f>
        <v>0</v>
      </c>
      <c r="R37" s="690">
        <f>-IS_Calcs!R112</f>
        <v>0</v>
      </c>
      <c r="T37" s="255" t="str">
        <f t="shared" si="2"/>
        <v>-</v>
      </c>
      <c r="U37" s="237" t="str">
        <f t="shared" si="0"/>
        <v>OK</v>
      </c>
      <c r="V37" s="238">
        <f t="shared" si="1"/>
        <v>0</v>
      </c>
    </row>
    <row r="38" spans="3:22">
      <c r="C38" s="1220" t="s">
        <v>2047</v>
      </c>
      <c r="D38" s="241"/>
      <c r="E38" s="241"/>
      <c r="F38" s="241"/>
      <c r="G38" s="241"/>
      <c r="H38" s="242">
        <f>SUM(H26:H37)</f>
        <v>0</v>
      </c>
      <c r="I38" s="242">
        <f t="shared" ref="I38:R38" si="6">SUM(I26:I37)</f>
        <v>0</v>
      </c>
      <c r="J38" s="242">
        <f t="shared" si="6"/>
        <v>0</v>
      </c>
      <c r="K38" s="242">
        <f t="shared" si="6"/>
        <v>0</v>
      </c>
      <c r="L38" s="242">
        <f t="shared" si="6"/>
        <v>-50400.000000000007</v>
      </c>
      <c r="M38" s="242">
        <f t="shared" si="6"/>
        <v>-50400.000000000007</v>
      </c>
      <c r="N38" s="242">
        <f t="shared" si="6"/>
        <v>-50400.000000000007</v>
      </c>
      <c r="O38" s="242">
        <f t="shared" si="6"/>
        <v>-50400.000000000007</v>
      </c>
      <c r="P38" s="242">
        <f t="shared" si="6"/>
        <v>-50400.000000000007</v>
      </c>
      <c r="Q38" s="242">
        <f t="shared" si="6"/>
        <v>-50400.000000000007</v>
      </c>
      <c r="R38" s="1221">
        <f t="shared" si="6"/>
        <v>-50400.000000000007</v>
      </c>
      <c r="T38" s="255">
        <f t="shared" si="2"/>
        <v>0</v>
      </c>
      <c r="U38" s="237" t="str">
        <f t="shared" si="0"/>
        <v>OK</v>
      </c>
      <c r="V38" s="238">
        <f t="shared" si="1"/>
        <v>0</v>
      </c>
    </row>
    <row r="39" spans="3:22" hidden="1">
      <c r="C39" s="1212"/>
      <c r="D39" s="251"/>
      <c r="E39" s="251"/>
      <c r="F39" s="251"/>
      <c r="G39" s="251"/>
      <c r="H39" s="251"/>
      <c r="I39" s="251"/>
      <c r="J39" s="251"/>
      <c r="K39" s="251"/>
      <c r="L39" s="251"/>
      <c r="M39" s="251"/>
      <c r="N39" s="251"/>
      <c r="O39" s="251"/>
      <c r="P39" s="251"/>
      <c r="Q39" s="251"/>
      <c r="R39" s="1217"/>
      <c r="T39" s="255" t="str">
        <f t="shared" si="2"/>
        <v>-</v>
      </c>
      <c r="U39" s="237" t="str">
        <f t="shared" si="0"/>
        <v>OK</v>
      </c>
      <c r="V39" s="238">
        <f t="shared" si="1"/>
        <v>0</v>
      </c>
    </row>
    <row r="40" spans="3:22">
      <c r="C40" s="1216" t="s">
        <v>226</v>
      </c>
      <c r="D40" s="432"/>
      <c r="E40" s="432"/>
      <c r="F40" s="432"/>
      <c r="G40" s="432"/>
      <c r="H40" s="1222">
        <f>H23+H38</f>
        <v>0</v>
      </c>
      <c r="I40" s="1222">
        <f>I23+I38</f>
        <v>0</v>
      </c>
      <c r="J40" s="1222">
        <f t="shared" ref="J40:R40" si="7">J23+J38</f>
        <v>0</v>
      </c>
      <c r="K40" s="1222">
        <f>K23+K38</f>
        <v>0</v>
      </c>
      <c r="L40" s="1222">
        <f>L23+L38</f>
        <v>117600</v>
      </c>
      <c r="M40" s="1222">
        <f t="shared" si="7"/>
        <v>117600</v>
      </c>
      <c r="N40" s="1222">
        <f t="shared" si="7"/>
        <v>117600</v>
      </c>
      <c r="O40" s="1222">
        <f t="shared" si="7"/>
        <v>117600</v>
      </c>
      <c r="P40" s="1222">
        <f t="shared" si="7"/>
        <v>117600</v>
      </c>
      <c r="Q40" s="1222">
        <f t="shared" si="7"/>
        <v>117600</v>
      </c>
      <c r="R40" s="1223">
        <f t="shared" si="7"/>
        <v>117600</v>
      </c>
      <c r="T40" s="255">
        <f t="shared" si="2"/>
        <v>0</v>
      </c>
      <c r="U40" s="237" t="str">
        <f t="shared" si="0"/>
        <v>OK</v>
      </c>
      <c r="V40" s="238">
        <f t="shared" si="1"/>
        <v>0</v>
      </c>
    </row>
    <row r="41" spans="3:22" ht="6.95" customHeight="1">
      <c r="C41" s="1212"/>
      <c r="D41" s="251"/>
      <c r="E41" s="251"/>
      <c r="F41" s="251"/>
      <c r="G41" s="251"/>
      <c r="H41" s="251"/>
      <c r="I41" s="251"/>
      <c r="J41" s="251"/>
      <c r="K41" s="251"/>
      <c r="L41" s="251"/>
      <c r="M41" s="251"/>
      <c r="N41" s="251"/>
      <c r="O41" s="251"/>
      <c r="P41" s="251"/>
      <c r="Q41" s="251"/>
      <c r="R41" s="1217"/>
      <c r="T41" s="255" t="str">
        <f t="shared" si="2"/>
        <v>-</v>
      </c>
      <c r="U41" s="237" t="str">
        <f t="shared" ref="U41:U63" si="8">IFERROR(IF(K41+L41=M41,"OK","VARIANCE"),"")</f>
        <v>OK</v>
      </c>
      <c r="V41" s="238">
        <f t="shared" si="1"/>
        <v>0</v>
      </c>
    </row>
    <row r="42" spans="3:22">
      <c r="C42" s="1216" t="s">
        <v>1563</v>
      </c>
      <c r="D42" s="251"/>
      <c r="E42" s="251"/>
      <c r="F42" s="251"/>
      <c r="G42" s="251"/>
      <c r="H42" s="251"/>
      <c r="I42" s="251"/>
      <c r="J42" s="251"/>
      <c r="K42" s="251"/>
      <c r="L42" s="251"/>
      <c r="M42" s="251"/>
      <c r="N42" s="251"/>
      <c r="O42" s="251"/>
      <c r="P42" s="251"/>
      <c r="Q42" s="251"/>
      <c r="R42" s="1217"/>
      <c r="T42" s="255" t="str">
        <f t="shared" si="2"/>
        <v>-</v>
      </c>
      <c r="U42" s="237" t="str">
        <f t="shared" si="8"/>
        <v>OK</v>
      </c>
      <c r="V42" s="238">
        <f t="shared" si="1"/>
        <v>0</v>
      </c>
    </row>
    <row r="43" spans="3:22">
      <c r="C43" s="1216"/>
      <c r="D43" s="251" t="str">
        <f>IS_Calcs!C146</f>
        <v>Staff cost</v>
      </c>
      <c r="E43" s="251"/>
      <c r="F43" s="251"/>
      <c r="G43" s="251"/>
      <c r="H43" s="689">
        <f>-IS_Calcs!H146</f>
        <v>0</v>
      </c>
      <c r="I43" s="689">
        <f>-IS_Calcs!I146</f>
        <v>0</v>
      </c>
      <c r="J43" s="689">
        <f>-IS_Calcs!J146</f>
        <v>0</v>
      </c>
      <c r="K43" s="689">
        <f>-IS_Calcs!K146</f>
        <v>0</v>
      </c>
      <c r="L43" s="689">
        <f>-IS_Calcs!L146</f>
        <v>-5000</v>
      </c>
      <c r="M43" s="689">
        <f>-IS_Calcs!M146</f>
        <v>-5000</v>
      </c>
      <c r="N43" s="689">
        <f>-IS_Calcs!N146</f>
        <v>-5000</v>
      </c>
      <c r="O43" s="689">
        <f>-IS_Calcs!O146</f>
        <v>-5000</v>
      </c>
      <c r="P43" s="689">
        <f>-IS_Calcs!P146</f>
        <v>-5000</v>
      </c>
      <c r="Q43" s="689">
        <f>-IS_Calcs!Q146</f>
        <v>-5000</v>
      </c>
      <c r="R43" s="690">
        <f>-IS_Calcs!R146</f>
        <v>-5000</v>
      </c>
      <c r="T43" s="255">
        <f t="shared" si="2"/>
        <v>0</v>
      </c>
      <c r="U43" s="237" t="str">
        <f t="shared" si="8"/>
        <v>OK</v>
      </c>
      <c r="V43" s="238">
        <f t="shared" ref="V43:V63" si="9">(K43/ytd.months)*12</f>
        <v>0</v>
      </c>
    </row>
    <row r="44" spans="3:22">
      <c r="C44" s="1216"/>
      <c r="D44" s="251" t="str">
        <f>IS_Calcs!C147</f>
        <v>Sales Commission</v>
      </c>
      <c r="E44" s="251"/>
      <c r="F44" s="251"/>
      <c r="G44" s="251"/>
      <c r="H44" s="689">
        <f>-IS_Calcs!H147</f>
        <v>0</v>
      </c>
      <c r="I44" s="689">
        <f>-IS_Calcs!I147</f>
        <v>0</v>
      </c>
      <c r="J44" s="689">
        <f>-IS_Calcs!J147</f>
        <v>0</v>
      </c>
      <c r="K44" s="689">
        <f>-IS_Calcs!K147</f>
        <v>0</v>
      </c>
      <c r="L44" s="689">
        <f>-IS_Calcs!L147</f>
        <v>-5000</v>
      </c>
      <c r="M44" s="689">
        <f>-IS_Calcs!M147</f>
        <v>-5000</v>
      </c>
      <c r="N44" s="689">
        <f>-IS_Calcs!N147</f>
        <v>-5000</v>
      </c>
      <c r="O44" s="689">
        <f>-IS_Calcs!O147</f>
        <v>-5000</v>
      </c>
      <c r="P44" s="689">
        <f>-IS_Calcs!P147</f>
        <v>-5000</v>
      </c>
      <c r="Q44" s="689">
        <f>-IS_Calcs!Q147</f>
        <v>-5000</v>
      </c>
      <c r="R44" s="690">
        <f>-IS_Calcs!R147</f>
        <v>-5000</v>
      </c>
      <c r="T44" s="255">
        <f t="shared" si="2"/>
        <v>0</v>
      </c>
      <c r="U44" s="237" t="str">
        <f t="shared" si="8"/>
        <v>OK</v>
      </c>
      <c r="V44" s="238">
        <f t="shared" si="9"/>
        <v>0</v>
      </c>
    </row>
    <row r="45" spans="3:22">
      <c r="C45" s="1216"/>
      <c r="D45" s="251" t="str">
        <f>IS_Calcs!C148</f>
        <v>Rent</v>
      </c>
      <c r="E45" s="251"/>
      <c r="F45" s="251"/>
      <c r="G45" s="251"/>
      <c r="H45" s="689">
        <f>-IS_Calcs!H148</f>
        <v>0</v>
      </c>
      <c r="I45" s="689">
        <f>-IS_Calcs!I148</f>
        <v>0</v>
      </c>
      <c r="J45" s="689">
        <f>-IS_Calcs!J148</f>
        <v>0</v>
      </c>
      <c r="K45" s="689">
        <f>-IS_Calcs!K148</f>
        <v>0</v>
      </c>
      <c r="L45" s="689">
        <f>-IS_Calcs!L148</f>
        <v>-5000</v>
      </c>
      <c r="M45" s="689">
        <f>-IS_Calcs!M148</f>
        <v>-5000</v>
      </c>
      <c r="N45" s="689">
        <f>-IS_Calcs!N148</f>
        <v>-5000</v>
      </c>
      <c r="O45" s="689">
        <f>-IS_Calcs!O148</f>
        <v>-5000</v>
      </c>
      <c r="P45" s="689">
        <f>-IS_Calcs!P148</f>
        <v>-5000</v>
      </c>
      <c r="Q45" s="689">
        <f>-IS_Calcs!Q148</f>
        <v>-5000</v>
      </c>
      <c r="R45" s="690">
        <f>-IS_Calcs!R148</f>
        <v>-5000</v>
      </c>
      <c r="T45" s="255">
        <f t="shared" si="2"/>
        <v>0</v>
      </c>
      <c r="U45" s="237" t="str">
        <f t="shared" si="8"/>
        <v>OK</v>
      </c>
      <c r="V45" s="238">
        <f t="shared" si="9"/>
        <v>0</v>
      </c>
    </row>
    <row r="46" spans="3:22">
      <c r="C46" s="1216"/>
      <c r="D46" s="251" t="str">
        <f>IS_Calcs!C149</f>
        <v>Legal and professional fee</v>
      </c>
      <c r="E46" s="251"/>
      <c r="F46" s="251"/>
      <c r="G46" s="251"/>
      <c r="H46" s="689">
        <f>-IS_Calcs!H149</f>
        <v>0</v>
      </c>
      <c r="I46" s="689">
        <f>-IS_Calcs!I149</f>
        <v>0</v>
      </c>
      <c r="J46" s="689">
        <f>-IS_Calcs!J149</f>
        <v>0</v>
      </c>
      <c r="K46" s="689">
        <f>-IS_Calcs!K149</f>
        <v>0</v>
      </c>
      <c r="L46" s="689">
        <f>-IS_Calcs!L149</f>
        <v>-5000</v>
      </c>
      <c r="M46" s="689">
        <f>-IS_Calcs!M149</f>
        <v>-5000</v>
      </c>
      <c r="N46" s="689">
        <f>-IS_Calcs!N149</f>
        <v>-5000</v>
      </c>
      <c r="O46" s="689">
        <f>-IS_Calcs!O149</f>
        <v>-5000</v>
      </c>
      <c r="P46" s="689">
        <f>-IS_Calcs!P149</f>
        <v>-5000</v>
      </c>
      <c r="Q46" s="689">
        <f>-IS_Calcs!Q149</f>
        <v>-5000</v>
      </c>
      <c r="R46" s="690">
        <f>-IS_Calcs!R149</f>
        <v>-5000</v>
      </c>
      <c r="T46" s="255">
        <f t="shared" si="2"/>
        <v>0</v>
      </c>
      <c r="U46" s="237" t="str">
        <f t="shared" si="8"/>
        <v>OK</v>
      </c>
      <c r="V46" s="238">
        <f t="shared" si="9"/>
        <v>0</v>
      </c>
    </row>
    <row r="47" spans="3:22">
      <c r="C47" s="1212"/>
      <c r="D47" s="251" t="str">
        <f>IS_Calcs!C150</f>
        <v>Travelling &amp; communication</v>
      </c>
      <c r="E47" s="251"/>
      <c r="F47" s="251"/>
      <c r="G47" s="251"/>
      <c r="H47" s="689">
        <f>-IS_Calcs!H150</f>
        <v>0</v>
      </c>
      <c r="I47" s="689">
        <f>-IS_Calcs!I150</f>
        <v>0</v>
      </c>
      <c r="J47" s="689">
        <f>-IS_Calcs!J150</f>
        <v>0</v>
      </c>
      <c r="K47" s="689">
        <f>-IS_Calcs!K150</f>
        <v>0</v>
      </c>
      <c r="L47" s="689">
        <f>-IS_Calcs!L150</f>
        <v>-5000</v>
      </c>
      <c r="M47" s="689">
        <f>-IS_Calcs!M150</f>
        <v>-5000</v>
      </c>
      <c r="N47" s="689">
        <f>-IS_Calcs!N150</f>
        <v>-5000</v>
      </c>
      <c r="O47" s="689">
        <f>-IS_Calcs!O150</f>
        <v>-5000</v>
      </c>
      <c r="P47" s="689">
        <f>-IS_Calcs!P150</f>
        <v>-5000</v>
      </c>
      <c r="Q47" s="689">
        <f>-IS_Calcs!Q150</f>
        <v>-5000</v>
      </c>
      <c r="R47" s="690">
        <f>-IS_Calcs!R150</f>
        <v>-5000</v>
      </c>
      <c r="T47" s="255">
        <f t="shared" si="2"/>
        <v>0</v>
      </c>
      <c r="U47" s="237" t="str">
        <f t="shared" si="8"/>
        <v>OK</v>
      </c>
      <c r="V47" s="238">
        <f t="shared" si="9"/>
        <v>0</v>
      </c>
    </row>
    <row r="48" spans="3:22">
      <c r="C48" s="1212"/>
      <c r="D48" s="251" t="str">
        <f>IS_Calcs!C151</f>
        <v>Marketing &amp; PR cost</v>
      </c>
      <c r="E48" s="251"/>
      <c r="F48" s="251"/>
      <c r="G48" s="251"/>
      <c r="H48" s="689">
        <f>-IS_Calcs!H151</f>
        <v>0</v>
      </c>
      <c r="I48" s="689">
        <f>-IS_Calcs!I151</f>
        <v>0</v>
      </c>
      <c r="J48" s="689">
        <f>-IS_Calcs!J151</f>
        <v>0</v>
      </c>
      <c r="K48" s="689">
        <f>-IS_Calcs!K151</f>
        <v>0</v>
      </c>
      <c r="L48" s="689">
        <f>-IS_Calcs!L151</f>
        <v>-5000</v>
      </c>
      <c r="M48" s="689">
        <f>-IS_Calcs!M151</f>
        <v>-5000</v>
      </c>
      <c r="N48" s="689">
        <f>-IS_Calcs!N151</f>
        <v>-5000</v>
      </c>
      <c r="O48" s="689">
        <f>-IS_Calcs!O151</f>
        <v>-5000</v>
      </c>
      <c r="P48" s="689">
        <f>-IS_Calcs!P151</f>
        <v>-5000</v>
      </c>
      <c r="Q48" s="689">
        <f>-IS_Calcs!Q151</f>
        <v>-5000</v>
      </c>
      <c r="R48" s="690">
        <f>-IS_Calcs!R151</f>
        <v>-5000</v>
      </c>
      <c r="T48" s="255"/>
      <c r="U48" s="237"/>
      <c r="V48" s="238"/>
    </row>
    <row r="49" spans="3:22">
      <c r="C49" s="1212"/>
      <c r="D49" s="251" t="str">
        <f>IS_Calcs!C152</f>
        <v>Office &amp; sundry expenses</v>
      </c>
      <c r="E49" s="251"/>
      <c r="F49" s="251"/>
      <c r="G49" s="251"/>
      <c r="H49" s="689">
        <f>-IS_Calcs!H152</f>
        <v>0</v>
      </c>
      <c r="I49" s="689">
        <f>-IS_Calcs!I152</f>
        <v>0</v>
      </c>
      <c r="J49" s="689">
        <f>-IS_Calcs!J152</f>
        <v>0</v>
      </c>
      <c r="K49" s="689">
        <f>-IS_Calcs!K152</f>
        <v>0</v>
      </c>
      <c r="L49" s="689">
        <f>-IS_Calcs!L152</f>
        <v>-5000</v>
      </c>
      <c r="M49" s="689">
        <f>-IS_Calcs!M152</f>
        <v>-5000</v>
      </c>
      <c r="N49" s="689">
        <f>-IS_Calcs!N152</f>
        <v>-5000</v>
      </c>
      <c r="O49" s="689">
        <f>-IS_Calcs!O152</f>
        <v>-5000</v>
      </c>
      <c r="P49" s="689">
        <f>-IS_Calcs!P152</f>
        <v>-5000</v>
      </c>
      <c r="Q49" s="689">
        <f>-IS_Calcs!Q152</f>
        <v>-5000</v>
      </c>
      <c r="R49" s="690">
        <f>-IS_Calcs!R152</f>
        <v>-5000</v>
      </c>
      <c r="T49" s="255"/>
      <c r="U49" s="237"/>
      <c r="V49" s="238"/>
    </row>
    <row r="50" spans="3:22">
      <c r="C50" s="1212"/>
      <c r="D50" s="251" t="str">
        <f>IS_Calcs!C153</f>
        <v>Printing &amp; Stationery</v>
      </c>
      <c r="E50" s="251"/>
      <c r="F50" s="251"/>
      <c r="G50" s="251"/>
      <c r="H50" s="689">
        <f>-IS_Calcs!H153</f>
        <v>0</v>
      </c>
      <c r="I50" s="689">
        <f>-IS_Calcs!I153</f>
        <v>0</v>
      </c>
      <c r="J50" s="689">
        <f>-IS_Calcs!J153</f>
        <v>0</v>
      </c>
      <c r="K50" s="689">
        <f>-IS_Calcs!K153</f>
        <v>0</v>
      </c>
      <c r="L50" s="689">
        <f>-IS_Calcs!L153</f>
        <v>-5000</v>
      </c>
      <c r="M50" s="689">
        <f>-IS_Calcs!M153</f>
        <v>-5000</v>
      </c>
      <c r="N50" s="689">
        <f>-IS_Calcs!N153</f>
        <v>-5000</v>
      </c>
      <c r="O50" s="689">
        <f>-IS_Calcs!O153</f>
        <v>-5000</v>
      </c>
      <c r="P50" s="689">
        <f>-IS_Calcs!P153</f>
        <v>-5000</v>
      </c>
      <c r="Q50" s="689">
        <f>-IS_Calcs!Q153</f>
        <v>-5000</v>
      </c>
      <c r="R50" s="690">
        <f>-IS_Calcs!R153</f>
        <v>-5000</v>
      </c>
      <c r="T50" s="255">
        <f t="shared" si="2"/>
        <v>0</v>
      </c>
      <c r="U50" s="237" t="str">
        <f t="shared" si="8"/>
        <v>OK</v>
      </c>
      <c r="V50" s="238">
        <f t="shared" si="9"/>
        <v>0</v>
      </c>
    </row>
    <row r="51" spans="3:22">
      <c r="C51" s="1212"/>
      <c r="D51" s="251" t="str">
        <f>IS_Calcs!C154</f>
        <v>Utilities</v>
      </c>
      <c r="E51" s="251"/>
      <c r="F51" s="251"/>
      <c r="G51" s="251"/>
      <c r="H51" s="689">
        <f>-IS_Calcs!H154</f>
        <v>0</v>
      </c>
      <c r="I51" s="689">
        <f>-IS_Calcs!I154</f>
        <v>0</v>
      </c>
      <c r="J51" s="689">
        <f>-IS_Calcs!J154</f>
        <v>0</v>
      </c>
      <c r="K51" s="689">
        <f>-IS_Calcs!K154</f>
        <v>0</v>
      </c>
      <c r="L51" s="689">
        <f>-IS_Calcs!L154</f>
        <v>-5000</v>
      </c>
      <c r="M51" s="689">
        <f>-IS_Calcs!M154</f>
        <v>-5000</v>
      </c>
      <c r="N51" s="689">
        <f>-IS_Calcs!N154</f>
        <v>-5000</v>
      </c>
      <c r="O51" s="689">
        <f>-IS_Calcs!O154</f>
        <v>-5000</v>
      </c>
      <c r="P51" s="689">
        <f>-IS_Calcs!P154</f>
        <v>-5000</v>
      </c>
      <c r="Q51" s="689">
        <f>-IS_Calcs!Q154</f>
        <v>-5000</v>
      </c>
      <c r="R51" s="690">
        <f>-IS_Calcs!R154</f>
        <v>-5000</v>
      </c>
      <c r="T51" s="255">
        <f t="shared" si="2"/>
        <v>0</v>
      </c>
      <c r="U51" s="237" t="str">
        <f t="shared" si="8"/>
        <v>OK</v>
      </c>
      <c r="V51" s="238">
        <f t="shared" si="9"/>
        <v>0</v>
      </c>
    </row>
    <row r="52" spans="3:22">
      <c r="C52" s="1224" t="s">
        <v>1564</v>
      </c>
      <c r="D52" s="244"/>
      <c r="E52" s="244"/>
      <c r="F52" s="244"/>
      <c r="G52" s="244"/>
      <c r="H52" s="245">
        <f t="shared" ref="H52" si="10">SUM(H43:H51)</f>
        <v>0</v>
      </c>
      <c r="I52" s="245">
        <f t="shared" ref="I52:R52" si="11">SUM(I43:I51)</f>
        <v>0</v>
      </c>
      <c r="J52" s="245">
        <f t="shared" si="11"/>
        <v>0</v>
      </c>
      <c r="K52" s="245">
        <f>SUM(K43:K51)</f>
        <v>0</v>
      </c>
      <c r="L52" s="245">
        <f>SUM(L43:L51)</f>
        <v>-45000</v>
      </c>
      <c r="M52" s="245">
        <f t="shared" si="11"/>
        <v>-45000</v>
      </c>
      <c r="N52" s="245">
        <f t="shared" si="11"/>
        <v>-45000</v>
      </c>
      <c r="O52" s="245">
        <f t="shared" si="11"/>
        <v>-45000</v>
      </c>
      <c r="P52" s="245">
        <f t="shared" si="11"/>
        <v>-45000</v>
      </c>
      <c r="Q52" s="245">
        <f t="shared" si="11"/>
        <v>-45000</v>
      </c>
      <c r="R52" s="1225">
        <f t="shared" si="11"/>
        <v>-45000</v>
      </c>
      <c r="T52" s="255">
        <f t="shared" si="2"/>
        <v>0</v>
      </c>
      <c r="U52" s="237" t="str">
        <f t="shared" si="8"/>
        <v>OK</v>
      </c>
      <c r="V52" s="238">
        <f t="shared" si="9"/>
        <v>0</v>
      </c>
    </row>
    <row r="53" spans="3:22" ht="6.95" customHeight="1">
      <c r="C53" s="1212"/>
      <c r="D53" s="251"/>
      <c r="E53" s="251"/>
      <c r="F53" s="251"/>
      <c r="G53" s="251"/>
      <c r="H53" s="251"/>
      <c r="I53" s="251"/>
      <c r="J53" s="251"/>
      <c r="K53" s="251"/>
      <c r="L53" s="251"/>
      <c r="M53" s="251"/>
      <c r="N53" s="251"/>
      <c r="O53" s="251"/>
      <c r="P53" s="251"/>
      <c r="Q53" s="251"/>
      <c r="R53" s="1217"/>
      <c r="T53" s="255" t="str">
        <f t="shared" si="2"/>
        <v>-</v>
      </c>
      <c r="U53" s="237" t="str">
        <f t="shared" si="8"/>
        <v>OK</v>
      </c>
      <c r="V53" s="238">
        <f t="shared" si="9"/>
        <v>0</v>
      </c>
    </row>
    <row r="54" spans="3:22" s="232" customFormat="1">
      <c r="C54" s="1216" t="s">
        <v>1401</v>
      </c>
      <c r="D54" s="432"/>
      <c r="E54" s="432"/>
      <c r="F54" s="432"/>
      <c r="G54" s="432"/>
      <c r="H54" s="1222">
        <f>H40+H52</f>
        <v>0</v>
      </c>
      <c r="I54" s="1222">
        <f>I40+I52</f>
        <v>0</v>
      </c>
      <c r="J54" s="1222">
        <f t="shared" ref="J54:R54" si="12">J40+J52</f>
        <v>0</v>
      </c>
      <c r="K54" s="1222">
        <f>K40+K52</f>
        <v>0</v>
      </c>
      <c r="L54" s="1222">
        <f>L40+L52</f>
        <v>72600</v>
      </c>
      <c r="M54" s="1222">
        <f t="shared" si="12"/>
        <v>72600</v>
      </c>
      <c r="N54" s="1222">
        <f t="shared" si="12"/>
        <v>72600</v>
      </c>
      <c r="O54" s="1222">
        <f t="shared" si="12"/>
        <v>72600</v>
      </c>
      <c r="P54" s="1222">
        <f t="shared" si="12"/>
        <v>72600</v>
      </c>
      <c r="Q54" s="1222">
        <f t="shared" si="12"/>
        <v>72600</v>
      </c>
      <c r="R54" s="1223">
        <f t="shared" si="12"/>
        <v>72600</v>
      </c>
      <c r="T54" s="255">
        <f t="shared" si="2"/>
        <v>0</v>
      </c>
      <c r="U54" s="237" t="str">
        <f t="shared" si="8"/>
        <v>OK</v>
      </c>
      <c r="V54" s="238">
        <f t="shared" si="9"/>
        <v>0</v>
      </c>
    </row>
    <row r="55" spans="3:22" ht="6.95" customHeight="1">
      <c r="C55" s="1212"/>
      <c r="D55" s="251"/>
      <c r="E55" s="251"/>
      <c r="F55" s="251"/>
      <c r="G55" s="251"/>
      <c r="H55" s="251"/>
      <c r="I55" s="251"/>
      <c r="J55" s="251"/>
      <c r="K55" s="251"/>
      <c r="L55" s="251"/>
      <c r="M55" s="251"/>
      <c r="N55" s="251"/>
      <c r="O55" s="251"/>
      <c r="P55" s="251"/>
      <c r="Q55" s="251"/>
      <c r="R55" s="1217"/>
      <c r="T55" s="255" t="str">
        <f t="shared" si="2"/>
        <v>-</v>
      </c>
      <c r="U55" s="237" t="str">
        <f t="shared" si="8"/>
        <v>OK</v>
      </c>
      <c r="V55" s="238">
        <f t="shared" si="9"/>
        <v>0</v>
      </c>
    </row>
    <row r="56" spans="3:22">
      <c r="C56" s="1212"/>
      <c r="D56" s="251" t="s">
        <v>2050</v>
      </c>
      <c r="E56" s="251"/>
      <c r="F56" s="251"/>
      <c r="G56" s="251"/>
      <c r="H56" s="1287"/>
      <c r="I56" s="1287"/>
      <c r="J56" s="1287"/>
      <c r="K56" s="1288"/>
      <c r="L56" s="689">
        <f>-BS_Calc!L62</f>
        <v>-9583.3333333333321</v>
      </c>
      <c r="M56" s="689">
        <f>-BS_Calc!M62</f>
        <v>-10383.333333333332</v>
      </c>
      <c r="N56" s="689">
        <f>-BS_Calc!N62</f>
        <v>-11516.666666666666</v>
      </c>
      <c r="O56" s="689">
        <f>-BS_Calc!O62</f>
        <v>-12650</v>
      </c>
      <c r="P56" s="689">
        <f>-BS_Calc!P62</f>
        <v>-13783.333333333332</v>
      </c>
      <c r="Q56" s="689">
        <f>-BS_Calc!Q62</f>
        <v>-14916.666666666664</v>
      </c>
      <c r="R56" s="690">
        <f>-BS_Calc!R62</f>
        <v>-16050</v>
      </c>
      <c r="T56" s="255">
        <f t="shared" si="2"/>
        <v>9.1007278904841504E-2</v>
      </c>
      <c r="U56" s="237" t="str">
        <f t="shared" si="8"/>
        <v>VARIANCE</v>
      </c>
      <c r="V56" s="238">
        <f t="shared" si="9"/>
        <v>0</v>
      </c>
    </row>
    <row r="57" spans="3:22">
      <c r="C57" s="1226" t="s">
        <v>2052</v>
      </c>
      <c r="D57" s="247"/>
      <c r="E57" s="247"/>
      <c r="F57" s="247"/>
      <c r="G57" s="247"/>
      <c r="H57" s="248">
        <f t="shared" ref="H57:K57" si="13">SUM(H54,H56)</f>
        <v>0</v>
      </c>
      <c r="I57" s="248">
        <f t="shared" si="13"/>
        <v>0</v>
      </c>
      <c r="J57" s="248">
        <f t="shared" si="13"/>
        <v>0</v>
      </c>
      <c r="K57" s="248">
        <f t="shared" si="13"/>
        <v>0</v>
      </c>
      <c r="L57" s="248">
        <f>SUM(L54,L56)</f>
        <v>63016.666666666672</v>
      </c>
      <c r="M57" s="248">
        <f t="shared" ref="M57:R57" si="14">SUM(M54,M56)</f>
        <v>62216.666666666672</v>
      </c>
      <c r="N57" s="248">
        <f t="shared" si="14"/>
        <v>61083.333333333336</v>
      </c>
      <c r="O57" s="248">
        <f t="shared" si="14"/>
        <v>59950</v>
      </c>
      <c r="P57" s="248">
        <f t="shared" si="14"/>
        <v>58816.666666666672</v>
      </c>
      <c r="Q57" s="248">
        <f t="shared" si="14"/>
        <v>57683.333333333336</v>
      </c>
      <c r="R57" s="1227">
        <f t="shared" si="14"/>
        <v>56550</v>
      </c>
      <c r="T57" s="255">
        <f t="shared" si="2"/>
        <v>-1.8918302262812881E-2</v>
      </c>
      <c r="U57" s="237" t="str">
        <f t="shared" si="8"/>
        <v>VARIANCE</v>
      </c>
      <c r="V57" s="238">
        <f t="shared" si="9"/>
        <v>0</v>
      </c>
    </row>
    <row r="58" spans="3:22" ht="6.95" customHeight="1">
      <c r="C58" s="1212"/>
      <c r="D58" s="251"/>
      <c r="E58" s="251"/>
      <c r="F58" s="251"/>
      <c r="G58" s="251"/>
      <c r="H58" s="251"/>
      <c r="I58" s="251"/>
      <c r="J58" s="251"/>
      <c r="K58" s="251"/>
      <c r="L58" s="251"/>
      <c r="M58" s="251"/>
      <c r="N58" s="251"/>
      <c r="O58" s="251"/>
      <c r="P58" s="251"/>
      <c r="Q58" s="251"/>
      <c r="R58" s="1217"/>
      <c r="T58" s="255" t="str">
        <f t="shared" si="2"/>
        <v>-</v>
      </c>
      <c r="U58" s="237" t="str">
        <f t="shared" si="8"/>
        <v>OK</v>
      </c>
      <c r="V58" s="238">
        <f t="shared" si="9"/>
        <v>0</v>
      </c>
    </row>
    <row r="59" spans="3:22">
      <c r="C59" s="1212"/>
      <c r="D59" s="251" t="s">
        <v>2048</v>
      </c>
      <c r="E59" s="251"/>
      <c r="F59" s="251"/>
      <c r="G59" s="251"/>
      <c r="H59" s="689">
        <f>-IS_Calcs!H174</f>
        <v>0</v>
      </c>
      <c r="I59" s="689">
        <f>-IS_Calcs!I174</f>
        <v>0</v>
      </c>
      <c r="J59" s="689">
        <f>-IS_Calcs!J174</f>
        <v>0</v>
      </c>
      <c r="K59" s="689">
        <f>-IS_Calcs!K174</f>
        <v>0</v>
      </c>
      <c r="L59" s="689">
        <f>-IS_Calcs!L174</f>
        <v>-10000</v>
      </c>
      <c r="M59" s="689">
        <f>-IS_Calcs!M174</f>
        <v>-10000</v>
      </c>
      <c r="N59" s="689">
        <f>-IS_Calcs!N174</f>
        <v>-10000</v>
      </c>
      <c r="O59" s="689">
        <f>-IS_Calcs!O174</f>
        <v>-10000</v>
      </c>
      <c r="P59" s="689">
        <f>-IS_Calcs!P174</f>
        <v>-10000</v>
      </c>
      <c r="Q59" s="689">
        <f>-IS_Calcs!Q174</f>
        <v>-10000</v>
      </c>
      <c r="R59" s="690">
        <f>-IS_Calcs!R174</f>
        <v>-10000</v>
      </c>
      <c r="T59" s="255">
        <f t="shared" si="2"/>
        <v>0</v>
      </c>
      <c r="U59" s="237" t="str">
        <f t="shared" si="8"/>
        <v>OK</v>
      </c>
      <c r="V59" s="238">
        <f t="shared" si="9"/>
        <v>0</v>
      </c>
    </row>
    <row r="60" spans="3:22">
      <c r="C60" s="1226" t="s">
        <v>2053</v>
      </c>
      <c r="D60" s="247"/>
      <c r="E60" s="247"/>
      <c r="F60" s="247"/>
      <c r="G60" s="247"/>
      <c r="H60" s="248">
        <f t="shared" ref="H60" si="15">SUM(H57,H59)</f>
        <v>0</v>
      </c>
      <c r="I60" s="248">
        <f t="shared" ref="I60:R60" si="16">SUM(I57,I59)</f>
        <v>0</v>
      </c>
      <c r="J60" s="248">
        <f t="shared" si="16"/>
        <v>0</v>
      </c>
      <c r="K60" s="248">
        <f t="shared" si="16"/>
        <v>0</v>
      </c>
      <c r="L60" s="248">
        <f>SUM(L57,L59)</f>
        <v>53016.666666666672</v>
      </c>
      <c r="M60" s="248">
        <f t="shared" si="16"/>
        <v>52216.666666666672</v>
      </c>
      <c r="N60" s="248">
        <f t="shared" si="16"/>
        <v>51083.333333333336</v>
      </c>
      <c r="O60" s="248">
        <f t="shared" si="16"/>
        <v>49950</v>
      </c>
      <c r="P60" s="248">
        <f t="shared" si="16"/>
        <v>48816.666666666672</v>
      </c>
      <c r="Q60" s="248">
        <f t="shared" si="16"/>
        <v>47683.333333333336</v>
      </c>
      <c r="R60" s="1227">
        <f t="shared" si="16"/>
        <v>46550</v>
      </c>
      <c r="T60" s="255">
        <f t="shared" si="2"/>
        <v>-2.2713030609820883E-2</v>
      </c>
      <c r="U60" s="237" t="str">
        <f t="shared" si="8"/>
        <v>VARIANCE</v>
      </c>
      <c r="V60" s="238">
        <f t="shared" si="9"/>
        <v>0</v>
      </c>
    </row>
    <row r="61" spans="3:22" ht="6.95" customHeight="1">
      <c r="C61" s="1212"/>
      <c r="D61" s="251"/>
      <c r="E61" s="251"/>
      <c r="F61" s="251"/>
      <c r="G61" s="251"/>
      <c r="H61" s="251"/>
      <c r="I61" s="251"/>
      <c r="J61" s="251"/>
      <c r="K61" s="251"/>
      <c r="L61" s="251"/>
      <c r="M61" s="251"/>
      <c r="N61" s="251"/>
      <c r="O61" s="251"/>
      <c r="P61" s="251"/>
      <c r="Q61" s="251"/>
      <c r="R61" s="1217"/>
      <c r="T61" s="255" t="str">
        <f t="shared" si="2"/>
        <v>-</v>
      </c>
      <c r="U61" s="237" t="str">
        <f t="shared" si="8"/>
        <v>OK</v>
      </c>
      <c r="V61" s="238">
        <f t="shared" si="9"/>
        <v>0</v>
      </c>
    </row>
    <row r="62" spans="3:22">
      <c r="C62" s="1212"/>
      <c r="D62" s="251" t="s">
        <v>2539</v>
      </c>
      <c r="E62" s="251"/>
      <c r="F62" s="1286">
        <f>IS_Calcs!F184</f>
        <v>0.34939999999999999</v>
      </c>
      <c r="G62" s="251"/>
      <c r="H62" s="258">
        <f>-IS_Calcs!H188</f>
        <v>0</v>
      </c>
      <c r="I62" s="258">
        <f>-IS_Calcs!I188</f>
        <v>0</v>
      </c>
      <c r="J62" s="147">
        <f>-IS_Calcs!J188</f>
        <v>0</v>
      </c>
      <c r="K62" s="147">
        <f>-IS_Calcs!K188</f>
        <v>0</v>
      </c>
      <c r="L62" s="147">
        <f>-IS_Calcs!L188</f>
        <v>-18524.023333333334</v>
      </c>
      <c r="M62" s="147">
        <f>-IS_Calcs!M188</f>
        <v>-18244.503333333334</v>
      </c>
      <c r="N62" s="147">
        <f>-IS_Calcs!N188</f>
        <v>-17848.516666666666</v>
      </c>
      <c r="O62" s="147">
        <f>-IS_Calcs!O188</f>
        <v>-17452.53</v>
      </c>
      <c r="P62" s="147">
        <f>-IS_Calcs!P188</f>
        <v>-17056.543333333335</v>
      </c>
      <c r="Q62" s="147">
        <f>-IS_Calcs!Q188</f>
        <v>-16660.556666666667</v>
      </c>
      <c r="R62" s="1285">
        <f>-IS_Calcs!R188</f>
        <v>-16264.57</v>
      </c>
      <c r="T62" s="255">
        <f t="shared" si="2"/>
        <v>-2.2713030609820883E-2</v>
      </c>
      <c r="U62" s="237" t="str">
        <f t="shared" si="8"/>
        <v>VARIANCE</v>
      </c>
      <c r="V62" s="238">
        <f t="shared" si="9"/>
        <v>0</v>
      </c>
    </row>
    <row r="63" spans="3:22" s="232" customFormat="1">
      <c r="C63" s="1226" t="s">
        <v>2656</v>
      </c>
      <c r="D63" s="247"/>
      <c r="E63" s="247"/>
      <c r="F63" s="247"/>
      <c r="G63" s="247"/>
      <c r="H63" s="249">
        <f t="shared" ref="H63" si="17">SUM(H60,H62:H62)</f>
        <v>0</v>
      </c>
      <c r="I63" s="249">
        <f t="shared" ref="I63:R63" si="18">SUM(I60,I62:I62)</f>
        <v>0</v>
      </c>
      <c r="J63" s="249">
        <f t="shared" si="18"/>
        <v>0</v>
      </c>
      <c r="K63" s="249">
        <f t="shared" si="18"/>
        <v>0</v>
      </c>
      <c r="L63" s="249">
        <f t="shared" si="18"/>
        <v>34492.643333333341</v>
      </c>
      <c r="M63" s="249">
        <f t="shared" si="18"/>
        <v>33972.163333333338</v>
      </c>
      <c r="N63" s="249">
        <f t="shared" si="18"/>
        <v>33234.816666666666</v>
      </c>
      <c r="O63" s="249">
        <f t="shared" si="18"/>
        <v>32497.47</v>
      </c>
      <c r="P63" s="249">
        <f t="shared" si="18"/>
        <v>31760.123333333337</v>
      </c>
      <c r="Q63" s="249">
        <f t="shared" si="18"/>
        <v>31022.776666666668</v>
      </c>
      <c r="R63" s="1228">
        <f t="shared" si="18"/>
        <v>30285.43</v>
      </c>
      <c r="T63" s="255">
        <f t="shared" si="2"/>
        <v>-2.2713030609820883E-2</v>
      </c>
      <c r="U63" s="237" t="str">
        <f t="shared" si="8"/>
        <v>VARIANCE</v>
      </c>
      <c r="V63" s="238">
        <f t="shared" si="9"/>
        <v>0</v>
      </c>
    </row>
    <row r="64" spans="3:22">
      <c r="C64" s="1213"/>
      <c r="D64" s="412"/>
      <c r="E64" s="412"/>
      <c r="F64" s="412"/>
      <c r="G64" s="412"/>
      <c r="H64" s="412"/>
      <c r="I64" s="412"/>
      <c r="J64" s="412"/>
      <c r="K64" s="412"/>
      <c r="L64" s="412"/>
      <c r="M64" s="412"/>
      <c r="N64" s="412"/>
      <c r="O64" s="412"/>
      <c r="P64" s="412"/>
      <c r="Q64" s="412"/>
      <c r="R64" s="1229"/>
      <c r="T64" s="229"/>
      <c r="U64" s="229"/>
    </row>
    <row r="65" spans="3:21">
      <c r="C65" s="251"/>
      <c r="D65" s="251"/>
      <c r="E65" s="251"/>
      <c r="F65" s="251"/>
      <c r="T65" s="229"/>
      <c r="U65" s="229"/>
    </row>
    <row r="66" spans="3:21">
      <c r="C66" s="1207" t="s">
        <v>2127</v>
      </c>
      <c r="D66" s="1208"/>
      <c r="E66" s="1208"/>
      <c r="F66" s="1208"/>
      <c r="G66" s="1208"/>
      <c r="H66" s="1208"/>
      <c r="I66" s="1208"/>
      <c r="J66" s="1208"/>
      <c r="K66" s="1208"/>
      <c r="L66" s="1208"/>
      <c r="M66" s="1208"/>
      <c r="N66" s="1208"/>
      <c r="O66" s="1208"/>
      <c r="P66" s="1208"/>
      <c r="Q66" s="1208"/>
      <c r="R66" s="1209"/>
      <c r="T66" s="229"/>
      <c r="U66" s="229"/>
    </row>
    <row r="67" spans="3:21">
      <c r="C67" s="1210" t="s">
        <v>1837</v>
      </c>
      <c r="D67" s="251"/>
      <c r="E67" s="251"/>
      <c r="F67" s="251"/>
      <c r="G67" s="251"/>
      <c r="H67" s="966">
        <f>IFERROR(H23/F23-1,0)</f>
        <v>0</v>
      </c>
      <c r="I67" s="966">
        <f>IFERROR(I23/G23-1,0)</f>
        <v>0</v>
      </c>
      <c r="J67" s="966">
        <f t="shared" ref="J67:R67" si="19">IFERROR(J23/I23-1,0)</f>
        <v>0</v>
      </c>
      <c r="K67" s="966">
        <f t="shared" si="19"/>
        <v>0</v>
      </c>
      <c r="L67" s="966">
        <f t="shared" si="19"/>
        <v>0</v>
      </c>
      <c r="M67" s="966">
        <f t="shared" si="19"/>
        <v>0</v>
      </c>
      <c r="N67" s="966">
        <f t="shared" si="19"/>
        <v>0</v>
      </c>
      <c r="O67" s="966">
        <f t="shared" si="19"/>
        <v>0</v>
      </c>
      <c r="P67" s="966">
        <f t="shared" si="19"/>
        <v>0</v>
      </c>
      <c r="Q67" s="966">
        <f t="shared" si="19"/>
        <v>0</v>
      </c>
      <c r="R67" s="1211">
        <f t="shared" si="19"/>
        <v>0</v>
      </c>
      <c r="T67" s="229"/>
      <c r="U67" s="229"/>
    </row>
    <row r="68" spans="3:21">
      <c r="C68" s="1210" t="s">
        <v>2295</v>
      </c>
      <c r="D68" s="251"/>
      <c r="E68" s="251"/>
      <c r="F68" s="251"/>
      <c r="G68" s="251"/>
      <c r="H68" s="966">
        <f t="shared" ref="H68:R68" si="20">IFERROR((-H38)/H23,0)</f>
        <v>0</v>
      </c>
      <c r="I68" s="966">
        <f t="shared" si="20"/>
        <v>0</v>
      </c>
      <c r="J68" s="966">
        <f t="shared" si="20"/>
        <v>0</v>
      </c>
      <c r="K68" s="966">
        <f t="shared" si="20"/>
        <v>0</v>
      </c>
      <c r="L68" s="966">
        <f t="shared" si="20"/>
        <v>0.30000000000000004</v>
      </c>
      <c r="M68" s="966">
        <f t="shared" si="20"/>
        <v>0.30000000000000004</v>
      </c>
      <c r="N68" s="966">
        <f t="shared" si="20"/>
        <v>0.30000000000000004</v>
      </c>
      <c r="O68" s="966">
        <f t="shared" si="20"/>
        <v>0.30000000000000004</v>
      </c>
      <c r="P68" s="966">
        <f t="shared" si="20"/>
        <v>0.30000000000000004</v>
      </c>
      <c r="Q68" s="966">
        <f t="shared" si="20"/>
        <v>0.30000000000000004</v>
      </c>
      <c r="R68" s="1211">
        <f t="shared" si="20"/>
        <v>0.30000000000000004</v>
      </c>
      <c r="T68" s="229"/>
      <c r="U68" s="229"/>
    </row>
    <row r="69" spans="3:21">
      <c r="C69" s="1212" t="s">
        <v>2128</v>
      </c>
      <c r="D69" s="251"/>
      <c r="E69" s="251"/>
      <c r="F69" s="251"/>
      <c r="G69" s="251"/>
      <c r="H69" s="966">
        <f t="shared" ref="H69:R69" si="21">IFERROR(H40/H23,0)</f>
        <v>0</v>
      </c>
      <c r="I69" s="966">
        <f t="shared" si="21"/>
        <v>0</v>
      </c>
      <c r="J69" s="966">
        <f t="shared" si="21"/>
        <v>0</v>
      </c>
      <c r="K69" s="966">
        <f t="shared" si="21"/>
        <v>0</v>
      </c>
      <c r="L69" s="966">
        <f t="shared" si="21"/>
        <v>0.7</v>
      </c>
      <c r="M69" s="966">
        <f t="shared" si="21"/>
        <v>0.7</v>
      </c>
      <c r="N69" s="966">
        <f t="shared" si="21"/>
        <v>0.7</v>
      </c>
      <c r="O69" s="966">
        <f t="shared" si="21"/>
        <v>0.7</v>
      </c>
      <c r="P69" s="966">
        <f t="shared" si="21"/>
        <v>0.7</v>
      </c>
      <c r="Q69" s="966">
        <f t="shared" si="21"/>
        <v>0.7</v>
      </c>
      <c r="R69" s="1211">
        <f t="shared" si="21"/>
        <v>0.7</v>
      </c>
      <c r="T69" s="229"/>
      <c r="U69" s="229"/>
    </row>
    <row r="70" spans="3:21">
      <c r="C70" s="1212" t="s">
        <v>2129</v>
      </c>
      <c r="D70" s="251"/>
      <c r="E70" s="251"/>
      <c r="F70" s="251"/>
      <c r="G70" s="251"/>
      <c r="H70" s="966">
        <f t="shared" ref="H70:R70" si="22">IFERROR(-H52/H23,0)</f>
        <v>0</v>
      </c>
      <c r="I70" s="966">
        <f t="shared" si="22"/>
        <v>0</v>
      </c>
      <c r="J70" s="966">
        <f t="shared" si="22"/>
        <v>0</v>
      </c>
      <c r="K70" s="966">
        <f t="shared" si="22"/>
        <v>0</v>
      </c>
      <c r="L70" s="966">
        <f t="shared" si="22"/>
        <v>0.26785714285714285</v>
      </c>
      <c r="M70" s="966">
        <f t="shared" si="22"/>
        <v>0.26785714285714285</v>
      </c>
      <c r="N70" s="966">
        <f t="shared" si="22"/>
        <v>0.26785714285714285</v>
      </c>
      <c r="O70" s="966">
        <f t="shared" si="22"/>
        <v>0.26785714285714285</v>
      </c>
      <c r="P70" s="966">
        <f t="shared" si="22"/>
        <v>0.26785714285714285</v>
      </c>
      <c r="Q70" s="966">
        <f t="shared" si="22"/>
        <v>0.26785714285714285</v>
      </c>
      <c r="R70" s="1211">
        <f t="shared" si="22"/>
        <v>0.26785714285714285</v>
      </c>
      <c r="T70" s="229"/>
      <c r="U70" s="229"/>
    </row>
    <row r="71" spans="3:21">
      <c r="C71" s="1212" t="s">
        <v>1402</v>
      </c>
      <c r="D71" s="251"/>
      <c r="E71" s="251"/>
      <c r="F71" s="251"/>
      <c r="G71" s="251"/>
      <c r="H71" s="966">
        <f>IFERROR(H54/H23,0)</f>
        <v>0</v>
      </c>
      <c r="I71" s="966">
        <f t="shared" ref="I71:R71" si="23">IFERROR(I54/I23,0)</f>
        <v>0</v>
      </c>
      <c r="J71" s="966">
        <f t="shared" si="23"/>
        <v>0</v>
      </c>
      <c r="K71" s="966">
        <f t="shared" si="23"/>
        <v>0</v>
      </c>
      <c r="L71" s="966">
        <f t="shared" si="23"/>
        <v>0.43214285714285716</v>
      </c>
      <c r="M71" s="966">
        <f t="shared" si="23"/>
        <v>0.43214285714285716</v>
      </c>
      <c r="N71" s="966">
        <f t="shared" si="23"/>
        <v>0.43214285714285716</v>
      </c>
      <c r="O71" s="966">
        <f t="shared" si="23"/>
        <v>0.43214285714285716</v>
      </c>
      <c r="P71" s="966">
        <f t="shared" si="23"/>
        <v>0.43214285714285716</v>
      </c>
      <c r="Q71" s="966">
        <f t="shared" si="23"/>
        <v>0.43214285714285716</v>
      </c>
      <c r="R71" s="1211">
        <f t="shared" si="23"/>
        <v>0.43214285714285716</v>
      </c>
      <c r="T71" s="229"/>
      <c r="U71" s="229"/>
    </row>
    <row r="72" spans="3:21">
      <c r="C72" s="1212" t="s">
        <v>2130</v>
      </c>
      <c r="D72" s="251"/>
      <c r="E72" s="251"/>
      <c r="F72" s="251"/>
      <c r="G72" s="251"/>
      <c r="H72" s="966">
        <f t="shared" ref="H72:R72" si="24">IFERROR(-H56/H23,0)</f>
        <v>0</v>
      </c>
      <c r="I72" s="966">
        <f t="shared" si="24"/>
        <v>0</v>
      </c>
      <c r="J72" s="966">
        <f t="shared" si="24"/>
        <v>0</v>
      </c>
      <c r="K72" s="966">
        <f t="shared" si="24"/>
        <v>0</v>
      </c>
      <c r="L72" s="966">
        <f t="shared" si="24"/>
        <v>5.7043650793650785E-2</v>
      </c>
      <c r="M72" s="966">
        <f t="shared" si="24"/>
        <v>6.1805555555555551E-2</v>
      </c>
      <c r="N72" s="966">
        <f t="shared" si="24"/>
        <v>6.8551587301587294E-2</v>
      </c>
      <c r="O72" s="966">
        <f t="shared" si="24"/>
        <v>7.5297619047619044E-2</v>
      </c>
      <c r="P72" s="966">
        <f t="shared" si="24"/>
        <v>8.204365079365078E-2</v>
      </c>
      <c r="Q72" s="966">
        <f t="shared" si="24"/>
        <v>8.878968253968253E-2</v>
      </c>
      <c r="R72" s="1211">
        <f t="shared" si="24"/>
        <v>9.5535714285714279E-2</v>
      </c>
      <c r="T72" s="229"/>
      <c r="U72" s="229"/>
    </row>
    <row r="73" spans="3:21">
      <c r="C73" s="1213" t="s">
        <v>1838</v>
      </c>
      <c r="D73" s="412"/>
      <c r="E73" s="412"/>
      <c r="F73" s="412"/>
      <c r="G73" s="412"/>
      <c r="H73" s="1214">
        <f t="shared" ref="H73:R73" si="25">IFERROR(H63/H23,0)</f>
        <v>0</v>
      </c>
      <c r="I73" s="1214">
        <f t="shared" si="25"/>
        <v>0</v>
      </c>
      <c r="J73" s="1214">
        <f t="shared" si="25"/>
        <v>0</v>
      </c>
      <c r="K73" s="1214">
        <f t="shared" si="25"/>
        <v>0</v>
      </c>
      <c r="L73" s="1214">
        <f t="shared" si="25"/>
        <v>0.20531335317460322</v>
      </c>
      <c r="M73" s="1214">
        <f t="shared" si="25"/>
        <v>0.20221525793650796</v>
      </c>
      <c r="N73" s="1214">
        <f t="shared" si="25"/>
        <v>0.19782628968253968</v>
      </c>
      <c r="O73" s="1214">
        <f t="shared" si="25"/>
        <v>0.19343732142857142</v>
      </c>
      <c r="P73" s="1214">
        <f t="shared" si="25"/>
        <v>0.1890483531746032</v>
      </c>
      <c r="Q73" s="1214">
        <f t="shared" si="25"/>
        <v>0.18465938492063494</v>
      </c>
      <c r="R73" s="1215">
        <f t="shared" si="25"/>
        <v>0.18027041666666666</v>
      </c>
      <c r="T73" s="229"/>
      <c r="U73" s="229"/>
    </row>
    <row r="75" spans="3:21">
      <c r="C75" s="1717" t="s">
        <v>2279</v>
      </c>
      <c r="D75" s="1717"/>
      <c r="E75" s="1717"/>
      <c r="F75" s="1717"/>
      <c r="G75" s="1717"/>
      <c r="H75" s="1717">
        <f t="shared" ref="H75" si="26">IF(H67&lt;0,1,0)</f>
        <v>0</v>
      </c>
      <c r="I75" s="1717">
        <f t="shared" ref="I75:R75" si="27">IF(I67&lt;0,1,0)</f>
        <v>0</v>
      </c>
      <c r="J75" s="1717">
        <f t="shared" si="27"/>
        <v>0</v>
      </c>
      <c r="K75" s="1717">
        <f t="shared" si="27"/>
        <v>0</v>
      </c>
      <c r="L75" s="1717">
        <f t="shared" si="27"/>
        <v>0</v>
      </c>
      <c r="M75" s="1717">
        <f t="shared" si="27"/>
        <v>0</v>
      </c>
      <c r="N75" s="1717">
        <f t="shared" si="27"/>
        <v>0</v>
      </c>
      <c r="O75" s="1717">
        <f t="shared" si="27"/>
        <v>0</v>
      </c>
      <c r="P75" s="1717">
        <f t="shared" si="27"/>
        <v>0</v>
      </c>
      <c r="Q75" s="1717">
        <f t="shared" si="27"/>
        <v>0</v>
      </c>
      <c r="R75" s="1717">
        <f t="shared" si="27"/>
        <v>0</v>
      </c>
    </row>
  </sheetData>
  <phoneticPr fontId="19" type="noConversion"/>
  <printOptions horizontalCentered="1"/>
  <pageMargins left="0.25" right="0.25" top="0.75" bottom="0.25" header="0.25" footer="0.25"/>
  <pageSetup scale="56" orientation="landscape" horizontalDpi="300" verticalDpi="300" r:id="rId1"/>
  <headerFooter alignWithMargins="0">
    <oddHeader>&amp;R&amp;"Arial"&amp;8&amp;K000000Confidential&amp;1#</oddHeader>
  </headerFooter>
  <rowBreaks count="1" manualBreakCount="1">
    <brk id="68" min="2" max="18"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4">
    <tabColor rgb="FFA8E0B8"/>
    <pageSetUpPr fitToPage="1"/>
  </sheetPr>
  <dimension ref="A2:T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defaultColWidth="0" defaultRowHeight="11.25"/>
  <cols>
    <col min="1" max="1" width="1.88671875" style="229" customWidth="1"/>
    <col min="2" max="2" width="2.33203125" style="229" customWidth="1"/>
    <col min="3" max="4" width="2.88671875" style="229" customWidth="1"/>
    <col min="5" max="5" width="27.88671875" style="229" customWidth="1"/>
    <col min="6" max="6" width="11.88671875" style="229" customWidth="1"/>
    <col min="7" max="14" width="8.88671875" style="229" customWidth="1"/>
    <col min="15" max="20" width="0" style="229" hidden="1" customWidth="1"/>
    <col min="21" max="16384" width="8.88671875" style="229" hidden="1"/>
  </cols>
  <sheetData>
    <row r="2" spans="2:14">
      <c r="B2" s="62" t="str">
        <f>Inputs!B2</f>
        <v>Valify - UAE Valuation Services</v>
      </c>
      <c r="C2" s="63"/>
      <c r="D2" s="63"/>
      <c r="E2" s="63"/>
      <c r="F2" s="63"/>
      <c r="G2" s="63"/>
      <c r="H2" s="63"/>
      <c r="I2" s="63"/>
      <c r="J2" s="63"/>
      <c r="K2" s="63"/>
      <c r="L2" s="63"/>
      <c r="M2" s="63"/>
      <c r="N2" s="63"/>
    </row>
    <row r="3" spans="2:14"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row>
    <row r="4" spans="2:14" ht="12" customHeight="1">
      <c r="B4" s="65" t="s">
        <v>1884</v>
      </c>
      <c r="C4" s="63"/>
      <c r="D4" s="63"/>
      <c r="E4" s="63"/>
      <c r="F4" s="63"/>
      <c r="G4" s="63"/>
      <c r="H4" s="63"/>
      <c r="I4" s="63"/>
      <c r="J4" s="63"/>
      <c r="K4" s="63"/>
      <c r="L4" s="63"/>
      <c r="M4" s="63"/>
      <c r="N4" s="63"/>
    </row>
    <row r="5" spans="2:14" s="231" customFormat="1" ht="12" thickBot="1">
      <c r="B5" s="66"/>
      <c r="C5" s="66"/>
      <c r="D5" s="66"/>
      <c r="E5" s="66"/>
      <c r="F5" s="66"/>
      <c r="G5" s="66"/>
      <c r="H5" s="66"/>
      <c r="I5" s="66"/>
      <c r="J5" s="66"/>
      <c r="K5" s="66"/>
      <c r="L5" s="66"/>
      <c r="M5" s="66"/>
      <c r="N5" s="63"/>
    </row>
    <row r="6" spans="2:14" ht="12" customHeight="1" thickTop="1">
      <c r="C6" s="257"/>
      <c r="D6" s="258"/>
      <c r="E6" s="258"/>
      <c r="F6" s="258"/>
      <c r="G6" s="259"/>
      <c r="H6" s="259"/>
      <c r="I6" s="259"/>
      <c r="J6" s="259"/>
      <c r="K6" s="259"/>
      <c r="L6" s="259"/>
    </row>
    <row r="7" spans="2:14">
      <c r="C7" s="260" t="str">
        <f>IS_Calcs!C7</f>
        <v>All amounts in INR 'Units</v>
      </c>
      <c r="D7" s="261"/>
      <c r="E7" s="261"/>
      <c r="F7" s="261"/>
      <c r="G7" s="262"/>
      <c r="H7" s="263" t="str">
        <f>IS_Calcs!H7</f>
        <v>FY21</v>
      </c>
      <c r="I7" s="263" t="str">
        <f>IS_Calcs!I7</f>
        <v>FY22</v>
      </c>
      <c r="J7" s="115" t="str">
        <f>IS_Calcs!J7</f>
        <v>FY23</v>
      </c>
      <c r="K7" s="115" t="str">
        <f>IS_Calcs!K7</f>
        <v>YTD24</v>
      </c>
      <c r="L7" s="115" t="str">
        <f>IS_Calcs!L7</f>
        <v>YTG24</v>
      </c>
      <c r="M7" s="115" t="str">
        <f>IS_Calcs!M7</f>
        <v>FY24</v>
      </c>
    </row>
    <row r="8" spans="2:14">
      <c r="C8" s="264"/>
      <c r="D8" s="68"/>
      <c r="E8" s="68"/>
      <c r="F8" s="68"/>
      <c r="G8" s="265"/>
      <c r="H8" s="266" t="str">
        <f>IS_Calcs!H8</f>
        <v>Actual</v>
      </c>
      <c r="I8" s="266" t="str">
        <f>IS_Calcs!I8</f>
        <v>Actual</v>
      </c>
      <c r="J8" s="69" t="str">
        <f>IS_Calcs!J8</f>
        <v>Actual</v>
      </c>
      <c r="K8" s="69" t="str">
        <f>IS_Calcs!K8</f>
        <v>Actual</v>
      </c>
      <c r="L8" s="69" t="str">
        <f>IS_Calcs!L8</f>
        <v>Estimate</v>
      </c>
      <c r="M8" s="69" t="str">
        <f>IS_Calcs!M8</f>
        <v>Estimate</v>
      </c>
    </row>
    <row r="9" spans="2:14" customFormat="1" ht="15"/>
    <row r="10" spans="2:14" collapsed="1">
      <c r="D10" s="229" t="s">
        <v>1518</v>
      </c>
      <c r="H10" s="267">
        <f>FS!G106</f>
        <v>0</v>
      </c>
      <c r="I10" s="267">
        <f>FS!H106</f>
        <v>0</v>
      </c>
      <c r="J10" s="267">
        <f>FS!I106</f>
        <v>0</v>
      </c>
      <c r="K10" s="267">
        <f>FS!J106</f>
        <v>0</v>
      </c>
      <c r="L10" s="268">
        <v>0</v>
      </c>
      <c r="M10" s="268">
        <v>0</v>
      </c>
    </row>
    <row r="11" spans="2:14">
      <c r="D11" s="229" t="s">
        <v>1507</v>
      </c>
      <c r="H11" s="267">
        <f>FS!G89</f>
        <v>0</v>
      </c>
      <c r="I11" s="267">
        <f>FS!H89</f>
        <v>0</v>
      </c>
      <c r="J11" s="267">
        <f>FS!I89</f>
        <v>0</v>
      </c>
      <c r="K11" s="267">
        <f>FS!J89</f>
        <v>0</v>
      </c>
      <c r="L11" s="268">
        <v>0</v>
      </c>
      <c r="M11" s="268">
        <v>0</v>
      </c>
    </row>
    <row r="12" spans="2:14">
      <c r="D12" s="229" t="s">
        <v>1510</v>
      </c>
      <c r="H12" s="267">
        <f>FS!G92</f>
        <v>0</v>
      </c>
      <c r="I12" s="267">
        <f>FS!H92</f>
        <v>0</v>
      </c>
      <c r="J12" s="267">
        <f>FS!I92</f>
        <v>0</v>
      </c>
      <c r="K12" s="267">
        <f>FS!J92</f>
        <v>0</v>
      </c>
      <c r="L12" s="268">
        <v>0</v>
      </c>
      <c r="M12" s="268">
        <v>0</v>
      </c>
    </row>
    <row r="13" spans="2:14">
      <c r="D13" s="229" t="s">
        <v>1511</v>
      </c>
      <c r="H13" s="267">
        <f>FS!G93</f>
        <v>0</v>
      </c>
      <c r="I13" s="267">
        <f>FS!H93</f>
        <v>0</v>
      </c>
      <c r="J13" s="267">
        <f>FS!I93</f>
        <v>0</v>
      </c>
      <c r="K13" s="267">
        <f>FS!J93</f>
        <v>0</v>
      </c>
      <c r="L13" s="268">
        <v>0</v>
      </c>
      <c r="M13" s="268">
        <v>0</v>
      </c>
    </row>
    <row r="14" spans="2:14">
      <c r="D14" s="229" t="s">
        <v>1512</v>
      </c>
      <c r="H14" s="267">
        <f>FS!G94</f>
        <v>0</v>
      </c>
      <c r="I14" s="267">
        <f>FS!H94</f>
        <v>0</v>
      </c>
      <c r="J14" s="267">
        <f>FS!I94</f>
        <v>0</v>
      </c>
      <c r="K14" s="267">
        <f>FS!J94</f>
        <v>0</v>
      </c>
      <c r="L14" s="268">
        <v>0</v>
      </c>
      <c r="M14" s="268">
        <v>0</v>
      </c>
    </row>
    <row r="15" spans="2:14">
      <c r="D15" s="229" t="s">
        <v>1516</v>
      </c>
      <c r="H15" s="267">
        <f>FS!G98</f>
        <v>0</v>
      </c>
      <c r="I15" s="267">
        <f>FS!H98</f>
        <v>0</v>
      </c>
      <c r="J15" s="267">
        <f>FS!I98</f>
        <v>0</v>
      </c>
      <c r="K15" s="267">
        <f>FS!J98</f>
        <v>0</v>
      </c>
      <c r="L15" s="268">
        <v>0</v>
      </c>
      <c r="M15" s="268">
        <v>0</v>
      </c>
    </row>
    <row r="16" spans="2:14">
      <c r="C16" s="247" t="s">
        <v>3136</v>
      </c>
      <c r="D16" s="247"/>
      <c r="E16" s="247"/>
      <c r="F16" s="247"/>
      <c r="G16" s="247"/>
      <c r="H16" s="269">
        <f>FS!G99</f>
        <v>0</v>
      </c>
      <c r="I16" s="269">
        <f>FS!H99</f>
        <v>0</v>
      </c>
      <c r="J16" s="269">
        <f>FS!I99</f>
        <v>0</v>
      </c>
      <c r="K16" s="269">
        <f>FS!J99</f>
        <v>0</v>
      </c>
      <c r="L16" s="270">
        <f>SUM(L10:L15)</f>
        <v>0</v>
      </c>
      <c r="M16" s="270">
        <f>SUM(M10:M15)</f>
        <v>0</v>
      </c>
    </row>
    <row r="17" spans="3:13" customFormat="1" ht="6.95" customHeight="1"/>
    <row r="18" spans="3:13">
      <c r="D18" s="229" t="s">
        <v>1527</v>
      </c>
      <c r="H18" s="267">
        <f>FS!G111</f>
        <v>0</v>
      </c>
      <c r="I18" s="267">
        <f>FS!H111</f>
        <v>0</v>
      </c>
      <c r="J18" s="267">
        <f>FS!I111</f>
        <v>0</v>
      </c>
      <c r="K18" s="267">
        <f>FS!J111</f>
        <v>0</v>
      </c>
      <c r="L18" s="268">
        <v>0</v>
      </c>
      <c r="M18" s="268">
        <v>0</v>
      </c>
    </row>
    <row r="19" spans="3:13">
      <c r="D19" s="229" t="s">
        <v>1528</v>
      </c>
      <c r="H19" s="267">
        <f>FS!G112</f>
        <v>0</v>
      </c>
      <c r="I19" s="267">
        <f>FS!H112</f>
        <v>0</v>
      </c>
      <c r="J19" s="267">
        <f>FS!I112</f>
        <v>0</v>
      </c>
      <c r="K19" s="267">
        <f>FS!J112</f>
        <v>0</v>
      </c>
      <c r="L19" s="268">
        <v>0</v>
      </c>
      <c r="M19" s="268">
        <v>0</v>
      </c>
    </row>
    <row r="20" spans="3:13">
      <c r="E20" s="229" t="s">
        <v>1529</v>
      </c>
      <c r="H20" s="267">
        <f>FS!G113</f>
        <v>0</v>
      </c>
      <c r="I20" s="267">
        <f>FS!H113</f>
        <v>0</v>
      </c>
      <c r="J20" s="267">
        <f>FS!I113</f>
        <v>0</v>
      </c>
      <c r="K20" s="267">
        <f>FS!J113</f>
        <v>0</v>
      </c>
      <c r="L20" s="268">
        <v>0</v>
      </c>
      <c r="M20" s="268">
        <v>0</v>
      </c>
    </row>
    <row r="21" spans="3:13">
      <c r="E21" s="229" t="s">
        <v>1530</v>
      </c>
      <c r="H21" s="267">
        <f>FS!G114</f>
        <v>0</v>
      </c>
      <c r="I21" s="267">
        <f>FS!H114</f>
        <v>0</v>
      </c>
      <c r="J21" s="267">
        <f>FS!I114</f>
        <v>0</v>
      </c>
      <c r="K21" s="267">
        <f>FS!J114</f>
        <v>0</v>
      </c>
      <c r="L21" s="268">
        <v>0</v>
      </c>
      <c r="M21" s="268">
        <v>0</v>
      </c>
    </row>
    <row r="22" spans="3:13">
      <c r="D22" s="229" t="s">
        <v>1531</v>
      </c>
      <c r="H22" s="267">
        <f>FS!G115</f>
        <v>0</v>
      </c>
      <c r="I22" s="267">
        <f>FS!H115</f>
        <v>0</v>
      </c>
      <c r="J22" s="267">
        <f>FS!I115</f>
        <v>0</v>
      </c>
      <c r="K22" s="267">
        <f>FS!J115</f>
        <v>0</v>
      </c>
      <c r="L22" s="268">
        <v>0</v>
      </c>
      <c r="M22" s="268">
        <v>0</v>
      </c>
    </row>
    <row r="23" spans="3:13">
      <c r="E23" s="229" t="s">
        <v>1516</v>
      </c>
      <c r="H23" s="267">
        <f>FS!G116</f>
        <v>0</v>
      </c>
      <c r="I23" s="267">
        <f>FS!H116</f>
        <v>0</v>
      </c>
      <c r="J23" s="267">
        <f>FS!I116</f>
        <v>0</v>
      </c>
      <c r="K23" s="267">
        <f>FS!J116</f>
        <v>0</v>
      </c>
      <c r="L23" s="268">
        <v>0</v>
      </c>
      <c r="M23" s="268">
        <v>0</v>
      </c>
    </row>
    <row r="24" spans="3:13">
      <c r="E24" s="229" t="s">
        <v>1530</v>
      </c>
      <c r="H24" s="267">
        <f>FS!G117</f>
        <v>0</v>
      </c>
      <c r="I24" s="267">
        <f>FS!H117</f>
        <v>0</v>
      </c>
      <c r="J24" s="267">
        <f>FS!I117</f>
        <v>0</v>
      </c>
      <c r="K24" s="267">
        <f>FS!J117</f>
        <v>0</v>
      </c>
      <c r="L24" s="268">
        <v>0</v>
      </c>
      <c r="M24" s="268">
        <v>0</v>
      </c>
    </row>
    <row r="25" spans="3:13">
      <c r="D25" s="229" t="s">
        <v>1532</v>
      </c>
      <c r="H25" s="267">
        <f>FS!G118</f>
        <v>0</v>
      </c>
      <c r="I25" s="267">
        <f>FS!H118</f>
        <v>0</v>
      </c>
      <c r="J25" s="267">
        <f>FS!I118</f>
        <v>0</v>
      </c>
      <c r="K25" s="267">
        <f>FS!J118</f>
        <v>0</v>
      </c>
      <c r="L25" s="268">
        <v>0</v>
      </c>
      <c r="M25" s="268">
        <v>0</v>
      </c>
    </row>
    <row r="26" spans="3:13">
      <c r="D26" s="229" t="s">
        <v>1533</v>
      </c>
      <c r="H26" s="267">
        <f>FS!G119</f>
        <v>0</v>
      </c>
      <c r="I26" s="267">
        <f>FS!H119</f>
        <v>0</v>
      </c>
      <c r="J26" s="267">
        <f>FS!I119</f>
        <v>0</v>
      </c>
      <c r="K26" s="267">
        <f>FS!J119</f>
        <v>0</v>
      </c>
      <c r="L26" s="268">
        <v>0</v>
      </c>
      <c r="M26" s="268">
        <v>0</v>
      </c>
    </row>
    <row r="27" spans="3:13">
      <c r="D27" s="229" t="s">
        <v>1534</v>
      </c>
      <c r="H27" s="267">
        <f>FS!G120</f>
        <v>0</v>
      </c>
      <c r="I27" s="267">
        <f>FS!H120</f>
        <v>0</v>
      </c>
      <c r="J27" s="267">
        <f>FS!I120</f>
        <v>0</v>
      </c>
      <c r="K27" s="267">
        <f>FS!J120</f>
        <v>0</v>
      </c>
      <c r="L27" s="268">
        <v>0</v>
      </c>
      <c r="M27" s="268">
        <v>0</v>
      </c>
    </row>
    <row r="28" spans="3:13">
      <c r="D28" s="229" t="s">
        <v>1514</v>
      </c>
      <c r="H28" s="267">
        <f>FS!G121</f>
        <v>0</v>
      </c>
      <c r="I28" s="267">
        <f>FS!H121</f>
        <v>0</v>
      </c>
      <c r="J28" s="267">
        <f>FS!I121</f>
        <v>0</v>
      </c>
      <c r="K28" s="267">
        <f>FS!J121</f>
        <v>0</v>
      </c>
      <c r="L28" s="268">
        <v>0</v>
      </c>
      <c r="M28" s="268">
        <v>0</v>
      </c>
    </row>
    <row r="29" spans="3:13">
      <c r="C29" s="247" t="s">
        <v>1535</v>
      </c>
      <c r="D29" s="247"/>
      <c r="E29" s="247"/>
      <c r="F29" s="247"/>
      <c r="G29" s="247"/>
      <c r="H29" s="269">
        <f>FS!G122</f>
        <v>0</v>
      </c>
      <c r="I29" s="269">
        <f>FS!H122</f>
        <v>0</v>
      </c>
      <c r="J29" s="269">
        <f>FS!I122</f>
        <v>0</v>
      </c>
      <c r="K29" s="269">
        <f>FS!J122</f>
        <v>0</v>
      </c>
      <c r="L29" s="270">
        <f>SUM(L18:L28)</f>
        <v>0</v>
      </c>
      <c r="M29" s="270">
        <f>SUM(M18:M28)</f>
        <v>0</v>
      </c>
    </row>
    <row r="30" spans="3:13" ht="6.95" customHeight="1">
      <c r="H30" s="271">
        <f>FS!G123</f>
        <v>0</v>
      </c>
      <c r="I30" s="271">
        <f>FS!H123</f>
        <v>0</v>
      </c>
      <c r="J30" s="271">
        <f>FS!I123</f>
        <v>0</v>
      </c>
      <c r="K30" s="271">
        <f>FS!J123</f>
        <v>0</v>
      </c>
      <c r="L30" s="272"/>
      <c r="M30" s="272"/>
    </row>
    <row r="31" spans="3:13">
      <c r="C31" s="232" t="s">
        <v>1536</v>
      </c>
      <c r="D31" s="232"/>
      <c r="E31" s="232"/>
      <c r="F31" s="232"/>
      <c r="H31" s="273">
        <f>FS!G124</f>
        <v>0</v>
      </c>
      <c r="I31" s="273">
        <f>FS!H124</f>
        <v>0</v>
      </c>
      <c r="J31" s="274">
        <f>FS!I124</f>
        <v>0</v>
      </c>
      <c r="K31" s="274">
        <f>FS!J124</f>
        <v>0</v>
      </c>
      <c r="L31" s="275" t="e">
        <f>L29+#REF!+L16</f>
        <v>#REF!</v>
      </c>
      <c r="M31" s="275" t="e">
        <f>M29+#REF!+M16</f>
        <v>#REF!</v>
      </c>
    </row>
    <row r="32" spans="3:13" ht="6.95" customHeight="1">
      <c r="H32" s="271">
        <f>FS!G125</f>
        <v>0</v>
      </c>
      <c r="I32" s="271">
        <f>FS!H125</f>
        <v>0</v>
      </c>
      <c r="J32" s="271">
        <f>FS!I125</f>
        <v>0</v>
      </c>
      <c r="K32" s="271">
        <f>FS!J125</f>
        <v>0</v>
      </c>
      <c r="L32" s="272"/>
      <c r="M32" s="272"/>
    </row>
    <row r="33" spans="3:13">
      <c r="C33" s="232" t="s">
        <v>1537</v>
      </c>
      <c r="H33" s="271">
        <f>FS!G126</f>
        <v>0</v>
      </c>
      <c r="I33" s="271">
        <f>FS!H126</f>
        <v>0</v>
      </c>
      <c r="J33" s="271">
        <f>FS!I126</f>
        <v>0</v>
      </c>
      <c r="K33" s="271">
        <f>FS!J126</f>
        <v>0</v>
      </c>
      <c r="L33" s="272"/>
      <c r="M33" s="272"/>
    </row>
    <row r="34" spans="3:13">
      <c r="D34" s="229" t="s">
        <v>1538</v>
      </c>
      <c r="H34" s="267">
        <f>FS!G127</f>
        <v>0</v>
      </c>
      <c r="I34" s="267">
        <f>FS!H127</f>
        <v>0</v>
      </c>
      <c r="J34" s="267">
        <f>FS!I127</f>
        <v>0</v>
      </c>
      <c r="K34" s="267">
        <f>FS!J127</f>
        <v>0</v>
      </c>
      <c r="L34" s="268">
        <v>0</v>
      </c>
      <c r="M34" s="268">
        <v>0</v>
      </c>
    </row>
    <row r="35" spans="3:13">
      <c r="D35" s="229" t="s">
        <v>1539</v>
      </c>
      <c r="H35" s="267">
        <f>FS!G128</f>
        <v>0</v>
      </c>
      <c r="I35" s="267">
        <f>FS!H128</f>
        <v>0</v>
      </c>
      <c r="J35" s="267">
        <f>FS!I128</f>
        <v>0</v>
      </c>
      <c r="K35" s="267">
        <f>FS!J128</f>
        <v>0</v>
      </c>
      <c r="L35" s="268">
        <v>0</v>
      </c>
      <c r="M35" s="268">
        <v>0</v>
      </c>
    </row>
    <row r="36" spans="3:13">
      <c r="D36" s="229" t="s">
        <v>1540</v>
      </c>
      <c r="H36" s="267">
        <f>FS!G129</f>
        <v>0</v>
      </c>
      <c r="I36" s="267">
        <f>FS!H129</f>
        <v>0</v>
      </c>
      <c r="J36" s="267">
        <f>FS!I129</f>
        <v>0</v>
      </c>
      <c r="K36" s="267">
        <f>FS!J129</f>
        <v>0</v>
      </c>
      <c r="L36" s="268">
        <v>0</v>
      </c>
      <c r="M36" s="268">
        <v>0</v>
      </c>
    </row>
    <row r="37" spans="3:13">
      <c r="D37" s="229" t="s">
        <v>1541</v>
      </c>
      <c r="H37" s="267">
        <f>FS!G130</f>
        <v>0</v>
      </c>
      <c r="I37" s="267">
        <f>FS!H130</f>
        <v>0</v>
      </c>
      <c r="J37" s="267">
        <f>FS!I130</f>
        <v>0</v>
      </c>
      <c r="K37" s="267">
        <f>FS!J130</f>
        <v>0</v>
      </c>
      <c r="L37" s="268">
        <v>0</v>
      </c>
      <c r="M37" s="268">
        <v>0</v>
      </c>
    </row>
    <row r="38" spans="3:13">
      <c r="D38" s="229" t="s">
        <v>1389</v>
      </c>
      <c r="H38" s="267">
        <f>FS!G131</f>
        <v>0</v>
      </c>
      <c r="I38" s="267">
        <f>FS!H131</f>
        <v>0</v>
      </c>
      <c r="J38" s="267">
        <f>FS!I131</f>
        <v>0</v>
      </c>
      <c r="K38" s="267">
        <f>FS!J131</f>
        <v>0</v>
      </c>
      <c r="L38" s="268">
        <v>0</v>
      </c>
      <c r="M38" s="268">
        <v>0</v>
      </c>
    </row>
    <row r="39" spans="3:13">
      <c r="D39" s="229" t="s">
        <v>1542</v>
      </c>
      <c r="H39" s="267">
        <f>FS!G132</f>
        <v>0</v>
      </c>
      <c r="I39" s="267">
        <f>FS!H132</f>
        <v>0</v>
      </c>
      <c r="J39" s="267">
        <f>FS!I132</f>
        <v>0</v>
      </c>
      <c r="K39" s="267">
        <f>FS!J132</f>
        <v>0</v>
      </c>
      <c r="L39" s="268">
        <v>0</v>
      </c>
      <c r="M39" s="268">
        <v>0</v>
      </c>
    </row>
    <row r="40" spans="3:13">
      <c r="D40" s="229" t="s">
        <v>1543</v>
      </c>
      <c r="H40" s="267">
        <f>FS!G133</f>
        <v>0</v>
      </c>
      <c r="I40" s="267">
        <f>FS!H133</f>
        <v>0</v>
      </c>
      <c r="J40" s="267">
        <f>FS!I133</f>
        <v>0</v>
      </c>
      <c r="K40" s="267">
        <f>FS!J133</f>
        <v>0</v>
      </c>
      <c r="L40" s="268">
        <v>0</v>
      </c>
      <c r="M40" s="268">
        <v>0</v>
      </c>
    </row>
    <row r="41" spans="3:13">
      <c r="D41" s="229" t="s">
        <v>1544</v>
      </c>
      <c r="H41" s="267">
        <f>FS!G134</f>
        <v>0</v>
      </c>
      <c r="I41" s="267">
        <f>FS!H134</f>
        <v>0</v>
      </c>
      <c r="J41" s="267">
        <f>FS!I134</f>
        <v>0</v>
      </c>
      <c r="K41" s="267">
        <f>FS!J134</f>
        <v>0</v>
      </c>
      <c r="L41" s="268">
        <v>0</v>
      </c>
      <c r="M41" s="268">
        <v>0</v>
      </c>
    </row>
    <row r="42" spans="3:13">
      <c r="D42" s="229" t="s">
        <v>1545</v>
      </c>
      <c r="H42" s="267">
        <f>FS!G135</f>
        <v>0</v>
      </c>
      <c r="I42" s="267">
        <f>FS!H135</f>
        <v>0</v>
      </c>
      <c r="J42" s="267">
        <f>FS!I135</f>
        <v>0</v>
      </c>
      <c r="K42" s="267">
        <f>FS!J135</f>
        <v>0</v>
      </c>
      <c r="L42" s="268">
        <v>0</v>
      </c>
      <c r="M42" s="268">
        <v>0</v>
      </c>
    </row>
    <row r="43" spans="3:13">
      <c r="C43" s="276" t="s">
        <v>1390</v>
      </c>
      <c r="D43" s="276"/>
      <c r="E43" s="276"/>
      <c r="F43" s="276"/>
      <c r="G43" s="276"/>
      <c r="H43" s="277">
        <f>FS!G136</f>
        <v>0</v>
      </c>
      <c r="I43" s="277">
        <f>FS!H136</f>
        <v>0</v>
      </c>
      <c r="J43" s="277">
        <f>FS!I136</f>
        <v>0</v>
      </c>
      <c r="K43" s="277">
        <f>FS!J136</f>
        <v>0</v>
      </c>
      <c r="L43" s="278">
        <f>SUM(L33:L42)</f>
        <v>0</v>
      </c>
      <c r="M43" s="278">
        <f>SUM(M33:M42)</f>
        <v>0</v>
      </c>
    </row>
    <row r="44" spans="3:13" ht="6.95" customHeight="1">
      <c r="H44" s="271">
        <f>FS!G137</f>
        <v>0</v>
      </c>
      <c r="I44" s="271">
        <f>FS!H137</f>
        <v>0</v>
      </c>
      <c r="J44" s="271">
        <f>FS!I137</f>
        <v>0</v>
      </c>
      <c r="K44" s="271">
        <f>FS!J137</f>
        <v>0</v>
      </c>
      <c r="L44" s="272"/>
      <c r="M44" s="272"/>
    </row>
    <row r="45" spans="3:13">
      <c r="C45" s="232" t="s">
        <v>1546</v>
      </c>
      <c r="H45" s="271">
        <f>FS!G138</f>
        <v>0</v>
      </c>
      <c r="I45" s="271">
        <f>FS!H138</f>
        <v>0</v>
      </c>
      <c r="J45" s="271">
        <f>FS!I138</f>
        <v>0</v>
      </c>
      <c r="K45" s="271">
        <f>FS!J138</f>
        <v>0</v>
      </c>
      <c r="L45" s="272"/>
      <c r="M45" s="272"/>
    </row>
    <row r="46" spans="3:13">
      <c r="D46" s="229" t="s">
        <v>1547</v>
      </c>
      <c r="H46" s="267">
        <f>FS!G139</f>
        <v>0</v>
      </c>
      <c r="I46" s="267">
        <f>FS!H139</f>
        <v>0</v>
      </c>
      <c r="J46" s="267">
        <f>FS!I139</f>
        <v>0</v>
      </c>
      <c r="K46" s="267">
        <f>FS!J139</f>
        <v>0</v>
      </c>
      <c r="L46" s="268">
        <v>0</v>
      </c>
      <c r="M46" s="268">
        <v>0</v>
      </c>
    </row>
    <row r="47" spans="3:13">
      <c r="D47" s="229" t="s">
        <v>1514</v>
      </c>
      <c r="H47" s="267">
        <f>FS!G140</f>
        <v>0</v>
      </c>
      <c r="I47" s="267">
        <f>FS!H140</f>
        <v>0</v>
      </c>
      <c r="J47" s="267">
        <f>FS!I140</f>
        <v>0</v>
      </c>
      <c r="K47" s="267">
        <f>FS!J140</f>
        <v>0</v>
      </c>
      <c r="L47" s="268">
        <v>0</v>
      </c>
      <c r="M47" s="268">
        <v>0</v>
      </c>
    </row>
    <row r="48" spans="3:13">
      <c r="D48" s="229" t="s">
        <v>1548</v>
      </c>
      <c r="H48" s="267">
        <f>FS!G141</f>
        <v>0</v>
      </c>
      <c r="I48" s="267">
        <f>FS!H141</f>
        <v>0</v>
      </c>
      <c r="J48" s="267">
        <f>FS!I141</f>
        <v>0</v>
      </c>
      <c r="K48" s="267">
        <f>FS!J141</f>
        <v>0</v>
      </c>
      <c r="L48" s="268">
        <v>0</v>
      </c>
      <c r="M48" s="268">
        <v>0</v>
      </c>
    </row>
    <row r="49" spans="3:13">
      <c r="D49" s="229" t="s">
        <v>1431</v>
      </c>
      <c r="H49" s="267">
        <f>FS!G142</f>
        <v>0</v>
      </c>
      <c r="I49" s="267">
        <f>FS!H142</f>
        <v>0</v>
      </c>
      <c r="J49" s="267">
        <f>FS!I142</f>
        <v>0</v>
      </c>
      <c r="K49" s="267">
        <f>FS!J142</f>
        <v>0</v>
      </c>
      <c r="L49" s="268">
        <v>0</v>
      </c>
      <c r="M49" s="268">
        <v>0</v>
      </c>
    </row>
    <row r="50" spans="3:13">
      <c r="D50" s="229" t="s">
        <v>1549</v>
      </c>
      <c r="H50" s="267">
        <f>FS!G143</f>
        <v>0</v>
      </c>
      <c r="I50" s="267">
        <f>FS!H143</f>
        <v>0</v>
      </c>
      <c r="J50" s="267">
        <f>FS!I143</f>
        <v>0</v>
      </c>
      <c r="K50" s="267">
        <f>FS!J143</f>
        <v>0</v>
      </c>
      <c r="L50" s="268">
        <v>0</v>
      </c>
      <c r="M50" s="268">
        <v>0</v>
      </c>
    </row>
    <row r="51" spans="3:13">
      <c r="C51" s="276" t="s">
        <v>1550</v>
      </c>
      <c r="D51" s="276"/>
      <c r="E51" s="276"/>
      <c r="F51" s="276"/>
      <c r="G51" s="276"/>
      <c r="H51" s="277">
        <f>FS!G144</f>
        <v>0</v>
      </c>
      <c r="I51" s="277">
        <f>FS!H144</f>
        <v>0</v>
      </c>
      <c r="J51" s="277">
        <f>FS!I144</f>
        <v>0</v>
      </c>
      <c r="K51" s="277">
        <f>FS!J144</f>
        <v>0</v>
      </c>
      <c r="L51" s="278">
        <f>SUM(L46:L50)</f>
        <v>0</v>
      </c>
      <c r="M51" s="278">
        <f>SUM(M46:M50)</f>
        <v>0</v>
      </c>
    </row>
    <row r="52" spans="3:13" ht="6.95" customHeight="1">
      <c r="H52" s="271">
        <f>FS!G145</f>
        <v>0</v>
      </c>
      <c r="I52" s="271">
        <f>FS!H145</f>
        <v>0</v>
      </c>
      <c r="J52" s="271">
        <f>FS!I145</f>
        <v>0</v>
      </c>
      <c r="K52" s="271">
        <f>FS!J145</f>
        <v>0</v>
      </c>
      <c r="L52" s="272"/>
      <c r="M52" s="272"/>
    </row>
    <row r="53" spans="3:13">
      <c r="C53" s="232" t="s">
        <v>1551</v>
      </c>
      <c r="D53" s="232"/>
      <c r="E53" s="232"/>
      <c r="F53" s="232"/>
      <c r="H53" s="279">
        <f>FS!G146</f>
        <v>0</v>
      </c>
      <c r="I53" s="279">
        <f>FS!H146</f>
        <v>0</v>
      </c>
      <c r="J53" s="274">
        <f>FS!I146</f>
        <v>0</v>
      </c>
      <c r="K53" s="274">
        <f>FS!J146</f>
        <v>0</v>
      </c>
      <c r="L53" s="275">
        <f>L51+L43</f>
        <v>0</v>
      </c>
      <c r="M53" s="275">
        <f>M51+M43</f>
        <v>0</v>
      </c>
    </row>
    <row r="54" spans="3:13" ht="6.95" customHeight="1">
      <c r="H54" s="271">
        <f>FS!G147</f>
        <v>0</v>
      </c>
      <c r="I54" s="271">
        <f>FS!H147</f>
        <v>0</v>
      </c>
      <c r="J54" s="271">
        <f>FS!I147</f>
        <v>0</v>
      </c>
      <c r="K54" s="271">
        <f>FS!J147</f>
        <v>0</v>
      </c>
      <c r="L54" s="272"/>
      <c r="M54" s="272"/>
    </row>
    <row r="55" spans="3:13">
      <c r="C55" s="232" t="s">
        <v>1552</v>
      </c>
      <c r="H55" s="271">
        <f>FS!G148</f>
        <v>0</v>
      </c>
      <c r="I55" s="271">
        <f>FS!H148</f>
        <v>0</v>
      </c>
      <c r="J55" s="271">
        <f>FS!I148</f>
        <v>0</v>
      </c>
      <c r="K55" s="271">
        <f>FS!J148</f>
        <v>0</v>
      </c>
      <c r="L55" s="272"/>
      <c r="M55" s="272"/>
    </row>
    <row r="56" spans="3:13">
      <c r="D56" s="229" t="s">
        <v>1429</v>
      </c>
      <c r="H56" s="267">
        <f>FS!G149</f>
        <v>0</v>
      </c>
      <c r="I56" s="267">
        <f>FS!H149</f>
        <v>0</v>
      </c>
      <c r="J56" s="267">
        <f>FS!I149</f>
        <v>0</v>
      </c>
      <c r="K56" s="267">
        <f>FS!J149</f>
        <v>0</v>
      </c>
      <c r="L56" s="268">
        <v>0</v>
      </c>
      <c r="M56" s="268">
        <v>0</v>
      </c>
    </row>
    <row r="57" spans="3:13">
      <c r="D57" s="229" t="s">
        <v>1553</v>
      </c>
      <c r="H57" s="267">
        <f>FS!G150</f>
        <v>0</v>
      </c>
      <c r="I57" s="267">
        <f>FS!H150</f>
        <v>0</v>
      </c>
      <c r="J57" s="267">
        <f>FS!I150</f>
        <v>0</v>
      </c>
      <c r="K57" s="267">
        <f>FS!J150</f>
        <v>0</v>
      </c>
      <c r="L57" s="268">
        <v>0</v>
      </c>
      <c r="M57" s="268">
        <v>0</v>
      </c>
    </row>
    <row r="58" spans="3:13">
      <c r="D58" s="229" t="s">
        <v>1554</v>
      </c>
      <c r="H58" s="267">
        <f>FS!G151</f>
        <v>0</v>
      </c>
      <c r="I58" s="267">
        <f>FS!H151</f>
        <v>0</v>
      </c>
      <c r="J58" s="267">
        <f>FS!I151</f>
        <v>0</v>
      </c>
      <c r="K58" s="267">
        <f>FS!J151</f>
        <v>0</v>
      </c>
      <c r="L58" s="268">
        <v>0</v>
      </c>
      <c r="M58" s="268">
        <v>0</v>
      </c>
    </row>
    <row r="59" spans="3:13">
      <c r="D59" s="229" t="s">
        <v>1555</v>
      </c>
      <c r="H59" s="267">
        <f>FS!G152</f>
        <v>0</v>
      </c>
      <c r="I59" s="267">
        <f>FS!H152</f>
        <v>0</v>
      </c>
      <c r="J59" s="267">
        <f>FS!I152</f>
        <v>0</v>
      </c>
      <c r="K59" s="267">
        <f>FS!J152</f>
        <v>0</v>
      </c>
      <c r="L59" s="268">
        <v>0</v>
      </c>
      <c r="M59" s="268">
        <v>0</v>
      </c>
    </row>
    <row r="60" spans="3:13">
      <c r="D60" s="229" t="s">
        <v>1556</v>
      </c>
      <c r="H60" s="267">
        <f>FS!G153</f>
        <v>0</v>
      </c>
      <c r="I60" s="267">
        <f>FS!H153</f>
        <v>0</v>
      </c>
      <c r="J60" s="267">
        <f>FS!I153</f>
        <v>0</v>
      </c>
      <c r="K60" s="267">
        <f>FS!J153</f>
        <v>0</v>
      </c>
      <c r="L60" s="268">
        <v>0</v>
      </c>
      <c r="M60" s="268">
        <v>0</v>
      </c>
    </row>
    <row r="61" spans="3:13">
      <c r="D61" s="229" t="s">
        <v>1557</v>
      </c>
      <c r="H61" s="267">
        <f>FS!G154</f>
        <v>0</v>
      </c>
      <c r="I61" s="267">
        <f>FS!H154</f>
        <v>0</v>
      </c>
      <c r="J61" s="267">
        <f>FS!I154</f>
        <v>0</v>
      </c>
      <c r="K61" s="267">
        <f>FS!J154</f>
        <v>0</v>
      </c>
      <c r="L61" s="268">
        <v>0</v>
      </c>
      <c r="M61" s="268">
        <v>0</v>
      </c>
    </row>
    <row r="62" spans="3:13">
      <c r="D62" s="229" t="s">
        <v>1558</v>
      </c>
      <c r="H62" s="267">
        <f>FS!G155</f>
        <v>0</v>
      </c>
      <c r="I62" s="267">
        <f>FS!H155</f>
        <v>0</v>
      </c>
      <c r="J62" s="267">
        <f>FS!I155</f>
        <v>0</v>
      </c>
      <c r="K62" s="267">
        <f>FS!J155</f>
        <v>0</v>
      </c>
      <c r="L62" s="268">
        <v>0</v>
      </c>
      <c r="M62" s="268">
        <v>0</v>
      </c>
    </row>
    <row r="63" spans="3:13">
      <c r="C63" s="276" t="s">
        <v>1559</v>
      </c>
      <c r="D63" s="276"/>
      <c r="E63" s="276"/>
      <c r="F63" s="276"/>
      <c r="G63" s="276"/>
      <c r="H63" s="277">
        <f>FS!G156</f>
        <v>0</v>
      </c>
      <c r="I63" s="277">
        <f>FS!H156</f>
        <v>0</v>
      </c>
      <c r="J63" s="277">
        <f>FS!I156</f>
        <v>0</v>
      </c>
      <c r="K63" s="277">
        <f>FS!J156</f>
        <v>0</v>
      </c>
      <c r="L63" s="278">
        <f>SUM(L56:L62)</f>
        <v>0</v>
      </c>
      <c r="M63" s="278">
        <f>SUM(M56:M62)</f>
        <v>0</v>
      </c>
    </row>
    <row r="64" spans="3:13" ht="6.95" customHeight="1">
      <c r="H64" s="271">
        <f>FS!G157</f>
        <v>0</v>
      </c>
      <c r="I64" s="271">
        <f>FS!H157</f>
        <v>0</v>
      </c>
      <c r="J64" s="271">
        <f>FS!I157</f>
        <v>0</v>
      </c>
      <c r="K64" s="271">
        <f>FS!J157</f>
        <v>0</v>
      </c>
      <c r="L64" s="272"/>
      <c r="M64" s="272"/>
    </row>
    <row r="65" spans="3:13">
      <c r="C65" s="232" t="s">
        <v>1560</v>
      </c>
      <c r="D65" s="232"/>
      <c r="E65" s="232"/>
      <c r="F65" s="232"/>
      <c r="H65" s="279">
        <f>FS!G158</f>
        <v>0</v>
      </c>
      <c r="I65" s="279">
        <f>FS!H158</f>
        <v>0</v>
      </c>
      <c r="J65" s="274">
        <f>FS!I158</f>
        <v>0</v>
      </c>
      <c r="K65" s="274">
        <f>FS!J158</f>
        <v>0</v>
      </c>
      <c r="L65" s="275">
        <f>L63+L53</f>
        <v>0</v>
      </c>
      <c r="M65" s="275">
        <f>M63+M53</f>
        <v>0</v>
      </c>
    </row>
    <row r="67" spans="3:13">
      <c r="C67" s="251"/>
      <c r="D67" s="251"/>
      <c r="E67" s="251"/>
      <c r="F67" s="251"/>
    </row>
    <row r="69" spans="3:13">
      <c r="C69" s="251"/>
      <c r="D69" s="251"/>
      <c r="E69" s="251"/>
      <c r="F69" s="251"/>
    </row>
    <row r="70" spans="3:13">
      <c r="C70" s="251"/>
      <c r="D70" s="251"/>
      <c r="E70" s="251"/>
      <c r="F70" s="251"/>
    </row>
    <row r="71" spans="3:13">
      <c r="C71" s="251"/>
      <c r="D71" s="251"/>
      <c r="E71" s="251"/>
      <c r="F71" s="251"/>
    </row>
  </sheetData>
  <printOptions horizontalCentered="1"/>
  <pageMargins left="0.25" right="0.25" top="0.75" bottom="0.25" header="0.25" footer="0.25"/>
  <pageSetup scale="63" orientation="landscape" r:id="rId1"/>
  <headerFooter alignWithMargins="0">
    <oddHeader>&amp;R&amp;"Arial"&amp;8&amp;K000000Confidential&amp;1#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34C1C-CBE2-4A29-AA46-963630D1953A}">
  <sheetPr codeName="Sheet57">
    <tabColor rgb="FFA8E0B8"/>
    <pageSetUpPr fitToPage="1"/>
  </sheetPr>
  <dimension ref="A2:U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defaultColWidth="0" defaultRowHeight="11.25"/>
  <cols>
    <col min="1" max="1" width="1.88671875" style="229" customWidth="1"/>
    <col min="2" max="2" width="2.33203125" style="229" customWidth="1"/>
    <col min="3" max="4" width="2.88671875" style="229" customWidth="1"/>
    <col min="5" max="5" width="27.88671875" style="229" customWidth="1"/>
    <col min="6" max="6" width="0.5546875" style="229" customWidth="1"/>
    <col min="7" max="7" width="1.21875" style="229" customWidth="1"/>
    <col min="8" max="16" width="5.109375" style="229" customWidth="1"/>
    <col min="17" max="18" width="6.109375" style="229" customWidth="1"/>
    <col min="19" max="21" width="8.88671875" style="229" customWidth="1"/>
    <col min="22" max="16384" width="8.88671875" style="229" hidden="1"/>
  </cols>
  <sheetData>
    <row r="2" spans="2:20" ht="10.7" customHeight="1">
      <c r="B2" s="62" t="str">
        <f>Inputs!B2</f>
        <v>Valify - UAE Valuation Services</v>
      </c>
      <c r="C2" s="63"/>
      <c r="D2" s="63"/>
      <c r="E2" s="63"/>
      <c r="F2" s="63"/>
      <c r="G2" s="63"/>
      <c r="H2" s="63"/>
      <c r="I2" s="63"/>
      <c r="J2" s="280" t="s">
        <v>2054</v>
      </c>
      <c r="K2" s="63"/>
      <c r="L2" s="63"/>
      <c r="M2" s="63"/>
      <c r="N2" s="63"/>
      <c r="O2" s="63"/>
      <c r="P2" s="63"/>
      <c r="Q2" s="63"/>
      <c r="R2" s="63"/>
      <c r="S2" s="63"/>
    </row>
    <row r="3" spans="2:20"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c r="O3" s="63"/>
      <c r="P3" s="63"/>
      <c r="Q3" s="63"/>
      <c r="R3" s="63"/>
      <c r="S3" s="63"/>
    </row>
    <row r="4" spans="2:20" ht="12" customHeight="1">
      <c r="B4" s="65" t="s">
        <v>2055</v>
      </c>
      <c r="C4" s="63"/>
      <c r="D4" s="63"/>
      <c r="E4" s="63"/>
      <c r="F4" s="63"/>
      <c r="G4" s="63"/>
      <c r="H4" s="63"/>
      <c r="I4" s="63"/>
      <c r="J4" s="63"/>
      <c r="K4" s="63"/>
      <c r="L4" s="63"/>
      <c r="M4" s="63"/>
      <c r="N4" s="63"/>
      <c r="O4" s="63"/>
      <c r="P4" s="63"/>
      <c r="Q4" s="63"/>
      <c r="R4" s="63"/>
      <c r="S4" s="63"/>
    </row>
    <row r="5" spans="2:20" s="231" customFormat="1" ht="5.0999999999999996" customHeight="1" thickBot="1">
      <c r="B5" s="66"/>
      <c r="C5" s="66"/>
      <c r="D5" s="66"/>
      <c r="E5" s="66"/>
      <c r="F5" s="66"/>
      <c r="G5" s="66"/>
      <c r="H5" s="66"/>
      <c r="I5" s="66"/>
      <c r="J5" s="66"/>
      <c r="K5" s="66"/>
      <c r="L5" s="66"/>
      <c r="M5" s="66"/>
      <c r="N5" s="66"/>
      <c r="O5" s="66"/>
      <c r="P5" s="66"/>
      <c r="Q5" s="66"/>
      <c r="R5" s="66"/>
      <c r="S5" s="63"/>
    </row>
    <row r="6" spans="2:20" ht="12" customHeight="1" thickTop="1">
      <c r="C6" s="257"/>
      <c r="D6" s="258"/>
      <c r="E6" s="258"/>
      <c r="F6" s="258"/>
      <c r="G6" s="259"/>
      <c r="H6" s="259"/>
      <c r="I6" s="259"/>
      <c r="J6" s="259"/>
    </row>
    <row r="7" spans="2:20">
      <c r="C7" s="260" t="str">
        <f>IS_Calcs!C7</f>
        <v>All amounts in INR 'Units</v>
      </c>
      <c r="D7" s="261"/>
      <c r="E7" s="261"/>
      <c r="F7" s="261"/>
      <c r="G7" s="262"/>
      <c r="H7" s="263" t="str">
        <f>IS_Calcs!H7</f>
        <v>FY21</v>
      </c>
      <c r="I7" s="263" t="str">
        <f>IS_Calcs!I7</f>
        <v>FY22</v>
      </c>
      <c r="J7" s="115" t="str">
        <f>IS_Calcs!J7</f>
        <v>FY23</v>
      </c>
      <c r="K7" s="115" t="str">
        <f>IS_Calcs!K7</f>
        <v>YTD24</v>
      </c>
      <c r="L7" s="115" t="str">
        <f>IS_Calcs!L7</f>
        <v>YTG24</v>
      </c>
      <c r="M7" s="115" t="str">
        <f>IS_Calcs!M7</f>
        <v>FY24</v>
      </c>
      <c r="N7" s="115" t="str">
        <f>IS_Calcs!N7</f>
        <v>FY25</v>
      </c>
      <c r="O7" s="115" t="str">
        <f>IS_Calcs!O7</f>
        <v>FY26</v>
      </c>
      <c r="P7" s="115" t="str">
        <f>IS_Calcs!P7</f>
        <v>FY27</v>
      </c>
      <c r="Q7" s="115" t="str">
        <f>IS_Calcs!Q7</f>
        <v>FY28</v>
      </c>
      <c r="R7" s="115" t="str">
        <f>IS_Calcs!R7</f>
        <v>FY29</v>
      </c>
    </row>
    <row r="8" spans="2:20">
      <c r="C8" s="264"/>
      <c r="D8" s="68"/>
      <c r="E8" s="68"/>
      <c r="F8" s="68"/>
      <c r="G8" s="265"/>
      <c r="H8" s="266" t="str">
        <f>IS_Calcs!H8</f>
        <v>Actual</v>
      </c>
      <c r="I8" s="266"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T8" s="283" t="s">
        <v>1922</v>
      </c>
    </row>
    <row r="9" spans="2:20">
      <c r="C9" s="284"/>
      <c r="D9" s="285" t="s">
        <v>2056</v>
      </c>
      <c r="E9" s="285"/>
      <c r="F9" s="285"/>
      <c r="T9" s="286"/>
    </row>
    <row r="10" spans="2:20">
      <c r="C10" s="284"/>
      <c r="D10" s="287" t="s">
        <v>1453</v>
      </c>
      <c r="E10" s="287"/>
      <c r="F10" s="287"/>
      <c r="H10" s="198">
        <f>IS!H57</f>
        <v>0</v>
      </c>
      <c r="I10" s="198">
        <f>IS!I57</f>
        <v>0</v>
      </c>
      <c r="J10" s="198">
        <f>IS!J57</f>
        <v>0</v>
      </c>
      <c r="K10" s="198">
        <f>IS!K57</f>
        <v>0</v>
      </c>
      <c r="L10" s="198">
        <f>IS!L57</f>
        <v>63016.666666666672</v>
      </c>
      <c r="M10" s="198">
        <f>IS!M57</f>
        <v>62216.666666666672</v>
      </c>
      <c r="N10" s="198">
        <f>IS!N57</f>
        <v>61083.333333333336</v>
      </c>
      <c r="O10" s="198">
        <f>IS!O57</f>
        <v>59950</v>
      </c>
      <c r="P10" s="198">
        <f>IS!P57</f>
        <v>58816.666666666672</v>
      </c>
      <c r="Q10" s="198">
        <f>IS!Q57</f>
        <v>57683.333333333336</v>
      </c>
      <c r="R10" s="198">
        <f>IS!R57</f>
        <v>56550</v>
      </c>
      <c r="T10" s="286"/>
    </row>
    <row r="11" spans="2:20">
      <c r="C11" s="284" t="s">
        <v>2057</v>
      </c>
      <c r="D11" s="284" t="s">
        <v>227</v>
      </c>
      <c r="E11" s="284"/>
      <c r="F11" s="284"/>
      <c r="H11" s="198">
        <f>-IS!H56</f>
        <v>0</v>
      </c>
      <c r="I11" s="198">
        <f>-IS!I56</f>
        <v>0</v>
      </c>
      <c r="J11" s="198">
        <f>-IS!J56</f>
        <v>0</v>
      </c>
      <c r="K11" s="198">
        <f>-IS!K56</f>
        <v>0</v>
      </c>
      <c r="L11" s="198">
        <f>-IS!L56</f>
        <v>9583.3333333333321</v>
      </c>
      <c r="M11" s="198">
        <f>-IS!M56</f>
        <v>10383.333333333332</v>
      </c>
      <c r="N11" s="198">
        <f>-IS!N56</f>
        <v>11516.666666666666</v>
      </c>
      <c r="O11" s="198">
        <f>-IS!O56</f>
        <v>12650</v>
      </c>
      <c r="P11" s="198">
        <f>-IS!P56</f>
        <v>13783.333333333332</v>
      </c>
      <c r="Q11" s="198">
        <f>-IS!Q56</f>
        <v>14916.666666666664</v>
      </c>
      <c r="R11" s="198">
        <f>-IS!R56</f>
        <v>16050</v>
      </c>
      <c r="T11" s="286">
        <f>IFERROR((R11/M11)^(1/5)-1,"-")</f>
        <v>9.1007278904841504E-2</v>
      </c>
    </row>
    <row r="12" spans="2:20">
      <c r="C12" s="284" t="s">
        <v>2057</v>
      </c>
      <c r="D12" s="284" t="s">
        <v>2058</v>
      </c>
      <c r="E12" s="284"/>
      <c r="F12" s="284"/>
      <c r="H12" s="1420"/>
      <c r="I12" s="1420"/>
      <c r="J12" s="1420"/>
      <c r="K12" s="1420"/>
      <c r="L12" s="1420"/>
      <c r="M12" s="1420"/>
      <c r="N12" s="1420"/>
      <c r="O12" s="1420"/>
      <c r="P12" s="1420"/>
      <c r="Q12" s="1420"/>
      <c r="R12" s="1420"/>
      <c r="T12" s="286" t="str">
        <f t="shared" ref="T12:T43" si="0">IFERROR((R12/M12)^(1/5)-1,"-")</f>
        <v>-</v>
      </c>
    </row>
    <row r="13" spans="2:20">
      <c r="C13" s="284" t="s">
        <v>1405</v>
      </c>
      <c r="D13" s="284" t="s">
        <v>2059</v>
      </c>
      <c r="E13" s="284"/>
      <c r="F13" s="284"/>
      <c r="H13" s="1420"/>
      <c r="I13" s="1420"/>
      <c r="J13" s="1420"/>
      <c r="K13" s="1420"/>
      <c r="L13" s="1420"/>
      <c r="M13" s="1420"/>
      <c r="N13" s="1420"/>
      <c r="O13" s="1420"/>
      <c r="P13" s="1420"/>
      <c r="Q13" s="1420"/>
      <c r="R13" s="1420"/>
      <c r="T13" s="286" t="str">
        <f t="shared" si="0"/>
        <v>-</v>
      </c>
    </row>
    <row r="14" spans="2:20">
      <c r="C14" s="284" t="s">
        <v>1405</v>
      </c>
      <c r="D14" s="284" t="s">
        <v>2060</v>
      </c>
      <c r="E14" s="284"/>
      <c r="F14" s="284"/>
      <c r="H14" s="198">
        <f>IS!H62</f>
        <v>0</v>
      </c>
      <c r="I14" s="198">
        <f>IS!I62</f>
        <v>0</v>
      </c>
      <c r="J14" s="198">
        <f>IS!J62</f>
        <v>0</v>
      </c>
      <c r="K14" s="198">
        <f>IS!K62</f>
        <v>0</v>
      </c>
      <c r="L14" s="198">
        <f>IS!L62</f>
        <v>-18524.023333333334</v>
      </c>
      <c r="M14" s="198">
        <f>IS!M62</f>
        <v>-18244.503333333334</v>
      </c>
      <c r="N14" s="198">
        <f>IS!N62</f>
        <v>-17848.516666666666</v>
      </c>
      <c r="O14" s="198">
        <f>IS!O62</f>
        <v>-17452.53</v>
      </c>
      <c r="P14" s="198">
        <f>IS!P62</f>
        <v>-17056.543333333335</v>
      </c>
      <c r="Q14" s="198">
        <f>IS!Q62</f>
        <v>-16660.556666666667</v>
      </c>
      <c r="R14" s="198">
        <f>IS!R62</f>
        <v>-16264.57</v>
      </c>
      <c r="T14" s="286">
        <f t="shared" si="0"/>
        <v>-2.2713030609820883E-2</v>
      </c>
    </row>
    <row r="15" spans="2:20">
      <c r="C15" s="284" t="s">
        <v>1405</v>
      </c>
      <c r="D15" s="284" t="s">
        <v>2078</v>
      </c>
      <c r="E15" s="284"/>
      <c r="F15" s="284"/>
      <c r="H15" s="1420"/>
      <c r="I15" s="1420"/>
      <c r="J15" s="1420"/>
      <c r="K15" s="1420"/>
      <c r="L15" s="1420"/>
      <c r="M15" s="1420"/>
      <c r="N15" s="1420"/>
      <c r="O15" s="1420"/>
      <c r="P15" s="1420"/>
      <c r="Q15" s="1420"/>
      <c r="R15" s="1420"/>
      <c r="T15" s="286" t="str">
        <f t="shared" si="0"/>
        <v>-</v>
      </c>
    </row>
    <row r="16" spans="2:20">
      <c r="C16" s="284" t="s">
        <v>2057</v>
      </c>
      <c r="D16" s="284" t="s">
        <v>2061</v>
      </c>
      <c r="E16" s="284"/>
      <c r="F16" s="284"/>
      <c r="H16" s="1420"/>
      <c r="I16" s="1420"/>
      <c r="J16" s="1420"/>
      <c r="K16" s="1420"/>
      <c r="L16" s="1420"/>
      <c r="M16" s="1420"/>
      <c r="N16" s="1420"/>
      <c r="O16" s="1420"/>
      <c r="P16" s="1420"/>
      <c r="Q16" s="1420"/>
      <c r="R16" s="1420"/>
      <c r="T16" s="286" t="str">
        <f t="shared" si="0"/>
        <v>-</v>
      </c>
    </row>
    <row r="17" spans="3:20">
      <c r="C17" s="284" t="s">
        <v>1405</v>
      </c>
      <c r="D17" s="284" t="s">
        <v>2062</v>
      </c>
      <c r="E17" s="284"/>
      <c r="F17" s="284"/>
      <c r="H17" s="1420"/>
      <c r="I17" s="1420"/>
      <c r="J17" s="1420"/>
      <c r="K17" s="1420"/>
      <c r="L17" s="1420"/>
      <c r="M17" s="1420"/>
      <c r="N17" s="1420"/>
      <c r="O17" s="1420"/>
      <c r="P17" s="1420"/>
      <c r="Q17" s="1420"/>
      <c r="R17" s="1420"/>
      <c r="T17" s="286" t="str">
        <f t="shared" si="0"/>
        <v>-</v>
      </c>
    </row>
    <row r="18" spans="3:20">
      <c r="C18" s="284"/>
      <c r="D18" s="288" t="s">
        <v>2063</v>
      </c>
      <c r="E18" s="288"/>
      <c r="F18" s="288"/>
      <c r="G18" s="288"/>
      <c r="H18" s="289">
        <f>SUM(H10:H17)</f>
        <v>0</v>
      </c>
      <c r="I18" s="289">
        <f>SUM(I10:I17)</f>
        <v>0</v>
      </c>
      <c r="J18" s="289">
        <f t="shared" ref="J18:R18" si="1">SUM(J10:J17)</f>
        <v>0</v>
      </c>
      <c r="K18" s="289">
        <f t="shared" si="1"/>
        <v>0</v>
      </c>
      <c r="L18" s="289">
        <f t="shared" si="1"/>
        <v>54075.976666666669</v>
      </c>
      <c r="M18" s="289">
        <f t="shared" si="1"/>
        <v>54355.496666666666</v>
      </c>
      <c r="N18" s="289">
        <f t="shared" si="1"/>
        <v>54751.483333333337</v>
      </c>
      <c r="O18" s="289">
        <f t="shared" si="1"/>
        <v>55147.47</v>
      </c>
      <c r="P18" s="289">
        <f t="shared" si="1"/>
        <v>55543.456666666665</v>
      </c>
      <c r="Q18" s="289">
        <f t="shared" si="1"/>
        <v>55939.443333333329</v>
      </c>
      <c r="R18" s="289">
        <f t="shared" si="1"/>
        <v>56335.43</v>
      </c>
      <c r="T18" s="286">
        <f t="shared" si="0"/>
        <v>7.1812426222324088E-3</v>
      </c>
    </row>
    <row r="19" spans="3:20" ht="6.95" customHeight="1">
      <c r="C19" s="284"/>
      <c r="D19" s="287"/>
      <c r="E19" s="287"/>
      <c r="F19" s="287"/>
      <c r="G19" s="287"/>
      <c r="H19" s="287"/>
      <c r="I19" s="287"/>
      <c r="J19" s="287"/>
      <c r="K19" s="287"/>
      <c r="L19" s="287"/>
      <c r="M19" s="287"/>
      <c r="N19" s="287"/>
      <c r="O19" s="287"/>
      <c r="P19" s="287"/>
      <c r="Q19" s="287"/>
      <c r="R19" s="287"/>
      <c r="T19" s="286" t="str">
        <f t="shared" si="0"/>
        <v>-</v>
      </c>
    </row>
    <row r="20" spans="3:20">
      <c r="C20" s="284"/>
      <c r="D20" s="287" t="s">
        <v>2064</v>
      </c>
      <c r="E20" s="287"/>
      <c r="F20" s="287"/>
      <c r="G20" s="287"/>
      <c r="H20" s="287"/>
      <c r="I20" s="287"/>
      <c r="J20" s="287"/>
      <c r="K20" s="287"/>
      <c r="L20" s="287"/>
      <c r="M20" s="287"/>
      <c r="N20" s="287"/>
      <c r="O20" s="287"/>
      <c r="P20" s="287"/>
      <c r="Q20" s="287"/>
      <c r="R20" s="287"/>
      <c r="T20" s="286" t="str">
        <f t="shared" si="0"/>
        <v>-</v>
      </c>
    </row>
    <row r="21" spans="3:20">
      <c r="C21" s="284"/>
      <c r="D21" s="284" t="s">
        <v>2065</v>
      </c>
      <c r="E21" s="284"/>
      <c r="F21" s="284"/>
      <c r="G21" s="284"/>
      <c r="H21" s="290">
        <f>-BS_Calc!H33</f>
        <v>0</v>
      </c>
      <c r="I21" s="290">
        <f>-BS_Calc!I33</f>
        <v>0</v>
      </c>
      <c r="J21" s="290">
        <f>-BS_Calc!J33</f>
        <v>0</v>
      </c>
      <c r="K21" s="290">
        <f>-BS_Calc!K33</f>
        <v>0</v>
      </c>
      <c r="L21" s="290">
        <f>-BS_Calc!L33</f>
        <v>-15523.504931506846</v>
      </c>
      <c r="M21" s="290">
        <f>-BS_Calc!M33</f>
        <v>-15546.479178082189</v>
      </c>
      <c r="N21" s="290">
        <f>-BS_Calc!N33</f>
        <v>-1265.4235616438364</v>
      </c>
      <c r="O21" s="290">
        <f>-BS_Calc!O33</f>
        <v>-32.546849315069267</v>
      </c>
      <c r="P21" s="290">
        <f>-BS_Calc!P33</f>
        <v>-32.546849315065629</v>
      </c>
      <c r="Q21" s="290">
        <f>-BS_Calc!Q33</f>
        <v>-32.546849315069267</v>
      </c>
      <c r="R21" s="290">
        <f>-BS_Calc!R33</f>
        <v>-32.546849315069267</v>
      </c>
      <c r="T21" s="286">
        <f t="shared" si="0"/>
        <v>-0.70881072123469158</v>
      </c>
    </row>
    <row r="22" spans="3:20">
      <c r="C22" s="284"/>
      <c r="D22" s="288" t="s">
        <v>2066</v>
      </c>
      <c r="E22" s="288"/>
      <c r="F22" s="288"/>
      <c r="G22" s="288"/>
      <c r="H22" s="289">
        <f>H21</f>
        <v>0</v>
      </c>
      <c r="I22" s="289">
        <f t="shared" ref="I22:R22" si="2">I21</f>
        <v>0</v>
      </c>
      <c r="J22" s="289">
        <f t="shared" si="2"/>
        <v>0</v>
      </c>
      <c r="K22" s="289">
        <f t="shared" si="2"/>
        <v>0</v>
      </c>
      <c r="L22" s="289">
        <f t="shared" si="2"/>
        <v>-15523.504931506846</v>
      </c>
      <c r="M22" s="289">
        <f t="shared" si="2"/>
        <v>-15546.479178082189</v>
      </c>
      <c r="N22" s="289">
        <f t="shared" si="2"/>
        <v>-1265.4235616438364</v>
      </c>
      <c r="O22" s="289">
        <f t="shared" si="2"/>
        <v>-32.546849315069267</v>
      </c>
      <c r="P22" s="289">
        <f t="shared" si="2"/>
        <v>-32.546849315065629</v>
      </c>
      <c r="Q22" s="289">
        <f t="shared" si="2"/>
        <v>-32.546849315069267</v>
      </c>
      <c r="R22" s="289">
        <f t="shared" si="2"/>
        <v>-32.546849315069267</v>
      </c>
      <c r="T22" s="286">
        <f t="shared" si="0"/>
        <v>-0.70881072123469158</v>
      </c>
    </row>
    <row r="23" spans="3:20" ht="6.95" customHeight="1">
      <c r="C23" s="284"/>
      <c r="D23" s="288"/>
      <c r="E23" s="288"/>
      <c r="F23" s="288"/>
      <c r="G23" s="288"/>
      <c r="H23" s="288"/>
      <c r="I23" s="288"/>
      <c r="J23" s="288"/>
      <c r="K23" s="288"/>
      <c r="L23" s="288"/>
      <c r="M23" s="288"/>
      <c r="N23" s="288"/>
      <c r="O23" s="288"/>
      <c r="P23" s="288"/>
      <c r="Q23" s="288"/>
      <c r="R23" s="288"/>
      <c r="T23" s="286" t="str">
        <f t="shared" si="0"/>
        <v>-</v>
      </c>
    </row>
    <row r="24" spans="3:20">
      <c r="C24" s="284"/>
      <c r="D24" s="291" t="s">
        <v>2056</v>
      </c>
      <c r="E24" s="291"/>
      <c r="F24" s="291"/>
      <c r="G24" s="292"/>
      <c r="H24" s="293">
        <f>SUM(H18,H22)</f>
        <v>0</v>
      </c>
      <c r="I24" s="293">
        <f>SUM(I18,I22)</f>
        <v>0</v>
      </c>
      <c r="J24" s="293">
        <f t="shared" ref="J24:R24" si="3">SUM(J18,J22)</f>
        <v>0</v>
      </c>
      <c r="K24" s="293">
        <f t="shared" si="3"/>
        <v>0</v>
      </c>
      <c r="L24" s="293">
        <f t="shared" si="3"/>
        <v>38552.471735159823</v>
      </c>
      <c r="M24" s="293">
        <f>SUM(M18,M22)</f>
        <v>38809.017488584475</v>
      </c>
      <c r="N24" s="293">
        <f t="shared" si="3"/>
        <v>53486.059771689499</v>
      </c>
      <c r="O24" s="293">
        <f t="shared" si="3"/>
        <v>55114.923150684932</v>
      </c>
      <c r="P24" s="293">
        <f t="shared" si="3"/>
        <v>55510.909817351596</v>
      </c>
      <c r="Q24" s="293">
        <f t="shared" si="3"/>
        <v>55906.89648401826</v>
      </c>
      <c r="R24" s="293">
        <f t="shared" si="3"/>
        <v>56302.883150684931</v>
      </c>
      <c r="T24" s="286">
        <f t="shared" si="0"/>
        <v>7.7257676000489051E-2</v>
      </c>
    </row>
    <row r="25" spans="3:20" s="259" customFormat="1" ht="6.95" customHeight="1">
      <c r="C25" s="284"/>
      <c r="D25" s="294"/>
      <c r="E25" s="294"/>
      <c r="F25" s="294"/>
      <c r="T25" s="286" t="str">
        <f t="shared" si="0"/>
        <v>-</v>
      </c>
    </row>
    <row r="26" spans="3:20">
      <c r="C26" s="284"/>
      <c r="D26" s="285" t="s">
        <v>2067</v>
      </c>
      <c r="E26" s="287"/>
      <c r="F26" s="287"/>
      <c r="T26" s="286" t="str">
        <f t="shared" si="0"/>
        <v>-</v>
      </c>
    </row>
    <row r="27" spans="3:20">
      <c r="C27" s="284"/>
      <c r="D27" s="284" t="s">
        <v>2068</v>
      </c>
      <c r="E27" s="284"/>
      <c r="F27" s="284"/>
      <c r="H27" s="198">
        <v>0</v>
      </c>
      <c r="I27" s="198">
        <v>0</v>
      </c>
      <c r="J27" s="198">
        <v>0</v>
      </c>
      <c r="K27" s="198">
        <v>0</v>
      </c>
      <c r="L27" s="198">
        <v>0</v>
      </c>
      <c r="M27" s="198">
        <v>0</v>
      </c>
      <c r="N27" s="198">
        <v>0</v>
      </c>
      <c r="O27" s="198">
        <v>0</v>
      </c>
      <c r="P27" s="198">
        <v>0</v>
      </c>
      <c r="Q27" s="198">
        <v>0</v>
      </c>
      <c r="R27" s="198">
        <v>0</v>
      </c>
      <c r="T27" s="286" t="str">
        <f t="shared" si="0"/>
        <v>-</v>
      </c>
    </row>
    <row r="28" spans="3:20">
      <c r="C28" s="284"/>
      <c r="D28" s="284" t="s">
        <v>2079</v>
      </c>
      <c r="E28" s="284"/>
      <c r="F28" s="284"/>
      <c r="H28" s="198">
        <v>0</v>
      </c>
      <c r="I28" s="198">
        <v>0</v>
      </c>
      <c r="J28" s="198">
        <v>0</v>
      </c>
      <c r="K28" s="198">
        <v>0</v>
      </c>
      <c r="L28" s="198">
        <v>0</v>
      </c>
      <c r="M28" s="198">
        <v>0</v>
      </c>
      <c r="N28" s="198">
        <v>0</v>
      </c>
      <c r="O28" s="198">
        <v>0</v>
      </c>
      <c r="P28" s="198">
        <v>0</v>
      </c>
      <c r="Q28" s="198">
        <v>0</v>
      </c>
      <c r="R28" s="198">
        <v>0</v>
      </c>
      <c r="T28" s="286" t="str">
        <f t="shared" si="0"/>
        <v>-</v>
      </c>
    </row>
    <row r="29" spans="3:20">
      <c r="C29" s="284"/>
      <c r="D29" s="291" t="s">
        <v>2067</v>
      </c>
      <c r="E29" s="291"/>
      <c r="F29" s="291"/>
      <c r="G29" s="292"/>
      <c r="H29" s="293">
        <f>SUM(H27:H28)</f>
        <v>0</v>
      </c>
      <c r="I29" s="293">
        <f>SUM(I27:I28)</f>
        <v>0</v>
      </c>
      <c r="J29" s="293">
        <f t="shared" ref="J29:R29" si="4">SUM(J27:J28)</f>
        <v>0</v>
      </c>
      <c r="K29" s="293">
        <f t="shared" si="4"/>
        <v>0</v>
      </c>
      <c r="L29" s="293">
        <f t="shared" si="4"/>
        <v>0</v>
      </c>
      <c r="M29" s="293">
        <f t="shared" si="4"/>
        <v>0</v>
      </c>
      <c r="N29" s="293">
        <f t="shared" si="4"/>
        <v>0</v>
      </c>
      <c r="O29" s="293">
        <f t="shared" si="4"/>
        <v>0</v>
      </c>
      <c r="P29" s="293">
        <f t="shared" si="4"/>
        <v>0</v>
      </c>
      <c r="Q29" s="293">
        <f t="shared" si="4"/>
        <v>0</v>
      </c>
      <c r="R29" s="293">
        <f t="shared" si="4"/>
        <v>0</v>
      </c>
      <c r="T29" s="286" t="str">
        <f t="shared" si="0"/>
        <v>-</v>
      </c>
    </row>
    <row r="30" spans="3:20" s="259" customFormat="1" ht="6.95" customHeight="1">
      <c r="C30" s="284"/>
      <c r="D30" s="294"/>
      <c r="E30" s="294"/>
      <c r="F30" s="294"/>
      <c r="T30" s="286" t="str">
        <f t="shared" si="0"/>
        <v>-</v>
      </c>
    </row>
    <row r="31" spans="3:20">
      <c r="C31" s="284"/>
      <c r="D31" s="285" t="s">
        <v>2069</v>
      </c>
      <c r="E31" s="285"/>
      <c r="F31" s="285"/>
      <c r="T31" s="286" t="str">
        <f t="shared" si="0"/>
        <v>-</v>
      </c>
    </row>
    <row r="32" spans="3:20">
      <c r="C32" s="284"/>
      <c r="D32" s="284" t="s">
        <v>2070</v>
      </c>
      <c r="E32" s="285"/>
      <c r="F32" s="285"/>
      <c r="H32" s="198">
        <v>0</v>
      </c>
      <c r="I32" s="198">
        <v>0</v>
      </c>
      <c r="J32" s="198">
        <v>0</v>
      </c>
      <c r="K32" s="198">
        <v>0</v>
      </c>
      <c r="L32" s="198">
        <v>0</v>
      </c>
      <c r="M32" s="198">
        <v>0</v>
      </c>
      <c r="N32" s="198">
        <v>0</v>
      </c>
      <c r="O32" s="198">
        <v>0</v>
      </c>
      <c r="P32" s="198">
        <v>0</v>
      </c>
      <c r="Q32" s="198">
        <v>0</v>
      </c>
      <c r="R32" s="198">
        <v>0</v>
      </c>
      <c r="T32" s="286" t="str">
        <f t="shared" si="0"/>
        <v>-</v>
      </c>
    </row>
    <row r="33" spans="3:20">
      <c r="C33" s="284"/>
      <c r="D33" s="284" t="s">
        <v>2082</v>
      </c>
      <c r="E33" s="285"/>
      <c r="F33" s="285"/>
      <c r="H33" s="198">
        <v>0</v>
      </c>
      <c r="I33" s="198">
        <v>0</v>
      </c>
      <c r="J33" s="198">
        <v>0</v>
      </c>
      <c r="K33" s="198">
        <v>0</v>
      </c>
      <c r="L33" s="198">
        <v>0</v>
      </c>
      <c r="M33" s="198">
        <v>0</v>
      </c>
      <c r="N33" s="198">
        <v>0</v>
      </c>
      <c r="O33" s="198">
        <v>0</v>
      </c>
      <c r="P33" s="198">
        <v>0</v>
      </c>
      <c r="Q33" s="198">
        <v>0</v>
      </c>
      <c r="R33" s="198">
        <v>0</v>
      </c>
      <c r="T33" s="286" t="str">
        <f t="shared" si="0"/>
        <v>-</v>
      </c>
    </row>
    <row r="34" spans="3:20">
      <c r="C34" s="284"/>
      <c r="D34" s="284" t="s">
        <v>2071</v>
      </c>
      <c r="E34" s="285"/>
      <c r="F34" s="285"/>
      <c r="H34" s="198">
        <v>0</v>
      </c>
      <c r="I34" s="198">
        <v>0</v>
      </c>
      <c r="J34" s="198">
        <v>0</v>
      </c>
      <c r="K34" s="198">
        <v>0</v>
      </c>
      <c r="L34" s="198">
        <v>0</v>
      </c>
      <c r="M34" s="198">
        <v>0</v>
      </c>
      <c r="N34" s="198">
        <v>0</v>
      </c>
      <c r="O34" s="198">
        <v>0</v>
      </c>
      <c r="P34" s="198">
        <v>0</v>
      </c>
      <c r="Q34" s="198">
        <v>0</v>
      </c>
      <c r="R34" s="198">
        <v>0</v>
      </c>
      <c r="T34" s="286" t="str">
        <f t="shared" si="0"/>
        <v>-</v>
      </c>
    </row>
    <row r="35" spans="3:20">
      <c r="C35" s="284"/>
      <c r="D35" s="284" t="s">
        <v>2081</v>
      </c>
      <c r="E35" s="285"/>
      <c r="F35" s="285"/>
      <c r="H35" s="198">
        <v>0</v>
      </c>
      <c r="I35" s="198">
        <v>0</v>
      </c>
      <c r="J35" s="198">
        <v>0</v>
      </c>
      <c r="K35" s="198">
        <v>0</v>
      </c>
      <c r="L35" s="198">
        <v>0</v>
      </c>
      <c r="M35" s="198">
        <v>0</v>
      </c>
      <c r="N35" s="198">
        <v>0</v>
      </c>
      <c r="O35" s="198">
        <v>0</v>
      </c>
      <c r="P35" s="198">
        <v>0</v>
      </c>
      <c r="Q35" s="198">
        <v>0</v>
      </c>
      <c r="R35" s="198">
        <v>0</v>
      </c>
      <c r="T35" s="286" t="str">
        <f t="shared" si="0"/>
        <v>-</v>
      </c>
    </row>
    <row r="36" spans="3:20">
      <c r="C36" s="284"/>
      <c r="D36" s="284" t="s">
        <v>2072</v>
      </c>
      <c r="E36" s="284"/>
      <c r="F36" s="284"/>
      <c r="H36" s="198">
        <v>0</v>
      </c>
      <c r="I36" s="198">
        <v>0</v>
      </c>
      <c r="J36" s="198">
        <v>0</v>
      </c>
      <c r="K36" s="198">
        <v>0</v>
      </c>
      <c r="L36" s="198">
        <v>0</v>
      </c>
      <c r="M36" s="198">
        <v>0</v>
      </c>
      <c r="N36" s="198">
        <v>0</v>
      </c>
      <c r="O36" s="198">
        <v>0</v>
      </c>
      <c r="P36" s="198">
        <v>0</v>
      </c>
      <c r="Q36" s="198">
        <v>0</v>
      </c>
      <c r="R36" s="198">
        <v>0</v>
      </c>
      <c r="T36" s="286" t="str">
        <f t="shared" si="0"/>
        <v>-</v>
      </c>
    </row>
    <row r="37" spans="3:20">
      <c r="C37" s="284"/>
      <c r="D37" s="284" t="s">
        <v>2073</v>
      </c>
      <c r="E37" s="284"/>
      <c r="F37" s="284"/>
      <c r="H37" s="198">
        <v>0</v>
      </c>
      <c r="I37" s="198">
        <v>0</v>
      </c>
      <c r="J37" s="198">
        <v>0</v>
      </c>
      <c r="K37" s="198">
        <v>0</v>
      </c>
      <c r="L37" s="198">
        <v>0</v>
      </c>
      <c r="M37" s="198">
        <v>0</v>
      </c>
      <c r="N37" s="198">
        <v>0</v>
      </c>
      <c r="O37" s="198">
        <v>0</v>
      </c>
      <c r="P37" s="198">
        <v>0</v>
      </c>
      <c r="Q37" s="198">
        <v>0</v>
      </c>
      <c r="R37" s="198">
        <v>0</v>
      </c>
      <c r="T37" s="286" t="str">
        <f t="shared" si="0"/>
        <v>-</v>
      </c>
    </row>
    <row r="38" spans="3:20">
      <c r="C38" s="284"/>
      <c r="D38" s="284" t="s">
        <v>2074</v>
      </c>
      <c r="E38" s="284"/>
      <c r="F38" s="284"/>
      <c r="H38" s="198">
        <v>0</v>
      </c>
      <c r="I38" s="198">
        <v>0</v>
      </c>
      <c r="J38" s="198">
        <v>0</v>
      </c>
      <c r="K38" s="198">
        <v>0</v>
      </c>
      <c r="L38" s="198">
        <v>0</v>
      </c>
      <c r="M38" s="198">
        <v>0</v>
      </c>
      <c r="N38" s="198">
        <v>0</v>
      </c>
      <c r="O38" s="198">
        <v>0</v>
      </c>
      <c r="P38" s="198">
        <v>0</v>
      </c>
      <c r="Q38" s="198">
        <v>0</v>
      </c>
      <c r="R38" s="198">
        <v>0</v>
      </c>
      <c r="T38" s="286" t="str">
        <f t="shared" si="0"/>
        <v>-</v>
      </c>
    </row>
    <row r="39" spans="3:20">
      <c r="C39" s="284"/>
      <c r="D39" s="291" t="s">
        <v>2069</v>
      </c>
      <c r="E39" s="291"/>
      <c r="F39" s="291"/>
      <c r="G39" s="292"/>
      <c r="H39" s="293">
        <f>SUM(H32:H38)</f>
        <v>0</v>
      </c>
      <c r="I39" s="293">
        <f>SUM(I32:I38)</f>
        <v>0</v>
      </c>
      <c r="J39" s="293">
        <f t="shared" ref="J39:R39" si="5">SUM(J32:J38)</f>
        <v>0</v>
      </c>
      <c r="K39" s="293">
        <f t="shared" si="5"/>
        <v>0</v>
      </c>
      <c r="L39" s="293">
        <f t="shared" si="5"/>
        <v>0</v>
      </c>
      <c r="M39" s="293">
        <f t="shared" si="5"/>
        <v>0</v>
      </c>
      <c r="N39" s="293">
        <f t="shared" si="5"/>
        <v>0</v>
      </c>
      <c r="O39" s="293">
        <f t="shared" si="5"/>
        <v>0</v>
      </c>
      <c r="P39" s="293">
        <f t="shared" si="5"/>
        <v>0</v>
      </c>
      <c r="Q39" s="293">
        <f t="shared" si="5"/>
        <v>0</v>
      </c>
      <c r="R39" s="293">
        <f t="shared" si="5"/>
        <v>0</v>
      </c>
      <c r="T39" s="286" t="str">
        <f t="shared" si="0"/>
        <v>-</v>
      </c>
    </row>
    <row r="40" spans="3:20" s="259" customFormat="1" ht="6.95" customHeight="1">
      <c r="C40" s="284"/>
      <c r="D40" s="295"/>
      <c r="E40" s="295"/>
      <c r="F40" s="295"/>
      <c r="G40" s="257"/>
      <c r="H40" s="257"/>
      <c r="I40" s="257"/>
      <c r="J40" s="257"/>
      <c r="K40" s="257"/>
      <c r="L40" s="257"/>
      <c r="M40" s="257"/>
      <c r="N40" s="257"/>
      <c r="O40" s="257"/>
      <c r="P40" s="257"/>
      <c r="Q40" s="257"/>
      <c r="R40" s="257"/>
      <c r="T40" s="286" t="str">
        <f t="shared" si="0"/>
        <v>-</v>
      </c>
    </row>
    <row r="41" spans="3:20">
      <c r="C41" s="284"/>
      <c r="D41" s="284" t="s">
        <v>2075</v>
      </c>
      <c r="E41" s="284"/>
      <c r="F41" s="284"/>
      <c r="H41" s="198">
        <f>SUM(H39,H29,H24)</f>
        <v>0</v>
      </c>
      <c r="I41" s="198">
        <f>SUM(I39,I29,I24)</f>
        <v>0</v>
      </c>
      <c r="J41" s="198">
        <f t="shared" ref="J41:R41" si="6">SUM(J39,J29,J24)</f>
        <v>0</v>
      </c>
      <c r="K41" s="198">
        <f t="shared" si="6"/>
        <v>0</v>
      </c>
      <c r="L41" s="198">
        <f t="shared" si="6"/>
        <v>38552.471735159823</v>
      </c>
      <c r="M41" s="198">
        <f t="shared" si="6"/>
        <v>38809.017488584475</v>
      </c>
      <c r="N41" s="198">
        <f t="shared" si="6"/>
        <v>53486.059771689499</v>
      </c>
      <c r="O41" s="198">
        <f t="shared" si="6"/>
        <v>55114.923150684932</v>
      </c>
      <c r="P41" s="198">
        <f t="shared" si="6"/>
        <v>55510.909817351596</v>
      </c>
      <c r="Q41" s="198">
        <f t="shared" si="6"/>
        <v>55906.89648401826</v>
      </c>
      <c r="R41" s="198">
        <f t="shared" si="6"/>
        <v>56302.883150684931</v>
      </c>
      <c r="T41" s="286">
        <f t="shared" si="0"/>
        <v>7.7257676000489051E-2</v>
      </c>
    </row>
    <row r="42" spans="3:20">
      <c r="C42" s="284"/>
      <c r="D42" s="284" t="s">
        <v>2076</v>
      </c>
      <c r="E42" s="284"/>
      <c r="F42" s="284"/>
      <c r="H42" s="1420">
        <v>0</v>
      </c>
      <c r="I42" s="1420">
        <v>0</v>
      </c>
      <c r="J42" s="198">
        <f>I43</f>
        <v>0</v>
      </c>
      <c r="K42" s="198">
        <f t="shared" ref="K42:R42" si="7">J43</f>
        <v>0</v>
      </c>
      <c r="L42" s="198">
        <f t="shared" si="7"/>
        <v>0</v>
      </c>
      <c r="M42" s="198">
        <f t="shared" si="7"/>
        <v>38552.471735159823</v>
      </c>
      <c r="N42" s="198">
        <f t="shared" si="7"/>
        <v>77361.489223744298</v>
      </c>
      <c r="O42" s="198">
        <f t="shared" si="7"/>
        <v>130847.5489954338</v>
      </c>
      <c r="P42" s="198">
        <f t="shared" si="7"/>
        <v>185962.47214611873</v>
      </c>
      <c r="Q42" s="198">
        <f t="shared" si="7"/>
        <v>241473.38196347031</v>
      </c>
      <c r="R42" s="198">
        <f t="shared" si="7"/>
        <v>297380.27844748856</v>
      </c>
      <c r="T42" s="286">
        <f t="shared" si="0"/>
        <v>0.50470715910677555</v>
      </c>
    </row>
    <row r="43" spans="3:20" ht="12" thickBot="1">
      <c r="C43" s="284"/>
      <c r="D43" s="296" t="s">
        <v>2077</v>
      </c>
      <c r="E43" s="296"/>
      <c r="F43" s="296"/>
      <c r="G43" s="297"/>
      <c r="H43" s="298">
        <f>SUM(H41:H42)</f>
        <v>0</v>
      </c>
      <c r="I43" s="298">
        <f>SUM(I41:I42)</f>
        <v>0</v>
      </c>
      <c r="J43" s="298">
        <f t="shared" ref="J43:R43" si="8">SUM(J41:J42)</f>
        <v>0</v>
      </c>
      <c r="K43" s="298">
        <f t="shared" si="8"/>
        <v>0</v>
      </c>
      <c r="L43" s="298">
        <f t="shared" si="8"/>
        <v>38552.471735159823</v>
      </c>
      <c r="M43" s="298">
        <f t="shared" si="8"/>
        <v>77361.489223744298</v>
      </c>
      <c r="N43" s="298">
        <f t="shared" si="8"/>
        <v>130847.5489954338</v>
      </c>
      <c r="O43" s="298">
        <f t="shared" si="8"/>
        <v>185962.47214611873</v>
      </c>
      <c r="P43" s="298">
        <f t="shared" si="8"/>
        <v>241473.38196347031</v>
      </c>
      <c r="Q43" s="298">
        <f t="shared" si="8"/>
        <v>297380.27844748856</v>
      </c>
      <c r="R43" s="298">
        <f t="shared" si="8"/>
        <v>353683.16159817349</v>
      </c>
      <c r="T43" s="286">
        <f t="shared" si="0"/>
        <v>0.35524530848773428</v>
      </c>
    </row>
    <row r="44" spans="3:20" ht="15.75">
      <c r="T44" s="71"/>
    </row>
    <row r="45" spans="3:20" ht="15.75">
      <c r="T45" s="71"/>
    </row>
    <row r="46" spans="3:20" ht="15.75">
      <c r="T46" s="71"/>
    </row>
    <row r="47" spans="3:20" ht="15.75">
      <c r="T47" s="71"/>
    </row>
    <row r="48" spans="3:20" ht="15.75">
      <c r="T48" s="71"/>
    </row>
    <row r="49" spans="20:20" ht="15.75">
      <c r="T49" s="71"/>
    </row>
    <row r="50" spans="20:20" ht="15.75">
      <c r="T50" s="71"/>
    </row>
    <row r="51" spans="20:20" ht="15.75">
      <c r="T51" s="71"/>
    </row>
    <row r="52" spans="20:20" ht="15.75">
      <c r="T52" s="71"/>
    </row>
    <row r="53" spans="20:20" ht="15.75">
      <c r="T53" s="71"/>
    </row>
    <row r="54" spans="20:20" ht="15.75">
      <c r="T54" s="71"/>
    </row>
    <row r="55" spans="20:20" ht="15.75">
      <c r="T55" s="71"/>
    </row>
    <row r="56" spans="20:20" ht="15.75">
      <c r="T56" s="71"/>
    </row>
    <row r="57" spans="20:20" ht="15.75">
      <c r="T57" s="71"/>
    </row>
    <row r="58" spans="20:20" ht="15.75">
      <c r="T58" s="71"/>
    </row>
    <row r="59" spans="20:20" ht="15.75">
      <c r="T59" s="71"/>
    </row>
    <row r="60" spans="20:20" ht="15.75">
      <c r="T60" s="71"/>
    </row>
    <row r="61" spans="20:20" ht="15.75">
      <c r="T61" s="71"/>
    </row>
    <row r="62" spans="20:20" ht="15.75">
      <c r="T62" s="71"/>
    </row>
    <row r="63" spans="20:20" ht="15.75">
      <c r="T63" s="71"/>
    </row>
    <row r="64" spans="20:20" ht="15.75">
      <c r="T64" s="71"/>
    </row>
    <row r="65" spans="20:20" ht="15.75">
      <c r="T65" s="71"/>
    </row>
    <row r="66" spans="20:20" ht="15.75">
      <c r="T66" s="71"/>
    </row>
    <row r="67" spans="20:20" ht="15.75">
      <c r="T67" s="71"/>
    </row>
    <row r="68" spans="20:20" ht="15.75">
      <c r="T68" s="71"/>
    </row>
    <row r="69" spans="20:20" ht="15.75">
      <c r="T69" s="71"/>
    </row>
    <row r="70" spans="20:20" ht="15.75">
      <c r="T70" s="71"/>
    </row>
    <row r="71" spans="20:20" ht="15.75">
      <c r="T71" s="71"/>
    </row>
    <row r="72" spans="20:20" ht="15.75">
      <c r="T72" s="71"/>
    </row>
    <row r="73" spans="20:20" ht="15.75">
      <c r="T73" s="71"/>
    </row>
    <row r="74" spans="20:20" ht="15.75">
      <c r="T74" s="71"/>
    </row>
    <row r="75" spans="20:20" ht="15.75">
      <c r="T75" s="71"/>
    </row>
    <row r="76" spans="20:20" ht="15.75">
      <c r="T76" s="71"/>
    </row>
    <row r="77" spans="20:20" ht="15.75">
      <c r="T77" s="71"/>
    </row>
    <row r="78" spans="20:20" ht="15.75">
      <c r="T78" s="71"/>
    </row>
    <row r="79" spans="20:20" ht="15.75">
      <c r="T79" s="71"/>
    </row>
    <row r="80" spans="20:20" ht="15.75">
      <c r="T80" s="71"/>
    </row>
    <row r="81" spans="20:20" ht="15.75">
      <c r="T81" s="71"/>
    </row>
    <row r="82" spans="20:20" ht="15.75">
      <c r="T82" s="71"/>
    </row>
    <row r="83" spans="20:20" ht="15.75">
      <c r="T83" s="71"/>
    </row>
    <row r="84" spans="20:20" ht="15.75">
      <c r="T84" s="71"/>
    </row>
    <row r="85" spans="20:20" ht="15.75">
      <c r="T85" s="71"/>
    </row>
    <row r="86" spans="20:20" ht="15.75">
      <c r="T86" s="71"/>
    </row>
    <row r="87" spans="20:20" ht="15.75">
      <c r="T87" s="71"/>
    </row>
    <row r="88" spans="20:20" ht="15.75">
      <c r="T88" s="71"/>
    </row>
  </sheetData>
  <printOptions horizontalCentered="1"/>
  <pageMargins left="0.25" right="0.25" top="0.75" bottom="0.25" header="0.25" footer="0.25"/>
  <pageSetup scale="63" orientation="landscape" r:id="rId1"/>
  <headerFooter alignWithMargins="0">
    <oddHeader>&amp;R&amp;"Arial"&amp;8&amp;K000000Confidential&amp;1#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741E4-6828-4008-99C2-58621FAE661C}">
  <sheetPr>
    <tabColor rgb="FFA8E0B8"/>
    <pageSetUpPr autoPageBreaks="0"/>
  </sheetPr>
  <dimension ref="C2:T65"/>
  <sheetViews>
    <sheetView showGridLines="0" topLeftCell="A34" zoomScale="97" zoomScaleNormal="97" zoomScaleSheetLayoutView="83" workbookViewId="0">
      <selection activeCell="K52" sqref="K52"/>
    </sheetView>
  </sheetViews>
  <sheetFormatPr defaultColWidth="8.6640625" defaultRowHeight="15.75"/>
  <cols>
    <col min="1" max="1" width="2.6640625" style="71" customWidth="1"/>
    <col min="2" max="3" width="1.5546875" style="71" customWidth="1"/>
    <col min="4" max="5" width="8.6640625" style="71" customWidth="1"/>
    <col min="6" max="10" width="7.6640625" style="71" bestFit="1" customWidth="1"/>
    <col min="11" max="11" width="7.5546875" style="71" bestFit="1" customWidth="1"/>
    <col min="12" max="13" width="8.33203125" style="71" bestFit="1" customWidth="1"/>
    <col min="14" max="14" width="7.109375" style="71" customWidth="1"/>
    <col min="15" max="15" width="14.109375" style="71" customWidth="1"/>
    <col min="16" max="18" width="7.109375" style="71" customWidth="1"/>
    <col min="19" max="19" width="7.5546875" style="71" customWidth="1"/>
    <col min="20" max="20" width="5" style="71" customWidth="1"/>
    <col min="21" max="21" width="9.44140625" style="71" customWidth="1"/>
    <col min="22" max="16384" width="8.6640625" style="71"/>
  </cols>
  <sheetData>
    <row r="2" spans="3:20">
      <c r="C2" s="62" t="s">
        <v>2224</v>
      </c>
      <c r="D2" s="299"/>
      <c r="E2" s="299"/>
      <c r="F2" s="300"/>
      <c r="G2" s="299"/>
      <c r="H2" s="299"/>
      <c r="I2" s="299"/>
      <c r="J2" s="299"/>
      <c r="K2" s="301"/>
      <c r="L2" s="301"/>
      <c r="M2" s="301"/>
      <c r="N2" s="300"/>
      <c r="O2" s="300"/>
      <c r="P2" s="300"/>
      <c r="Q2" s="300"/>
      <c r="R2" s="300"/>
      <c r="S2" s="302"/>
      <c r="T2" s="303"/>
    </row>
    <row r="3" spans="3:20">
      <c r="C3" s="1718" t="str">
        <f>Inputs!B3</f>
        <v>Lazure Worldwide FZCO - Self Valuation using DCF Method, Transaction Multiples Method, &amp; Market Multiples Method as at September 30, 2024</v>
      </c>
      <c r="D3" s="304"/>
      <c r="E3" s="304"/>
      <c r="F3" s="300"/>
      <c r="G3" s="304"/>
      <c r="H3" s="304"/>
      <c r="I3" s="304"/>
      <c r="J3" s="304"/>
      <c r="K3" s="305"/>
      <c r="L3" s="305"/>
      <c r="M3" s="305"/>
      <c r="N3" s="300"/>
      <c r="O3" s="300"/>
      <c r="P3" s="300"/>
      <c r="Q3" s="300"/>
      <c r="R3" s="300"/>
      <c r="S3" s="306"/>
      <c r="T3" s="306"/>
    </row>
    <row r="4" spans="3:20">
      <c r="C4" s="1718" t="s">
        <v>224</v>
      </c>
      <c r="D4" s="304"/>
      <c r="E4" s="304"/>
      <c r="F4" s="307"/>
      <c r="G4" s="304"/>
      <c r="H4" s="304"/>
      <c r="I4" s="304"/>
      <c r="J4" s="304"/>
      <c r="K4" s="308"/>
      <c r="L4" s="308"/>
      <c r="M4" s="308"/>
      <c r="N4" s="307"/>
      <c r="O4" s="307"/>
      <c r="P4" s="307"/>
      <c r="Q4" s="307"/>
      <c r="R4" s="307"/>
      <c r="S4" s="503" t="str">
        <f>valuation.date.header</f>
        <v>Valuation Date:  September 30, 2024</v>
      </c>
      <c r="T4" s="310"/>
    </row>
    <row r="5" spans="3:20" ht="5.0999999999999996" customHeight="1" thickBot="1">
      <c r="C5" s="307"/>
      <c r="D5" s="311"/>
      <c r="E5" s="311"/>
      <c r="F5" s="311"/>
      <c r="G5" s="311"/>
      <c r="H5" s="311"/>
      <c r="I5" s="311"/>
      <c r="J5" s="311"/>
      <c r="K5" s="311"/>
      <c r="L5" s="311"/>
      <c r="M5" s="311"/>
      <c r="N5" s="311"/>
      <c r="O5" s="311"/>
      <c r="P5" s="311"/>
      <c r="Q5" s="311"/>
      <c r="R5" s="311"/>
      <c r="S5" s="311"/>
      <c r="T5" s="307"/>
    </row>
    <row r="6" spans="3:20" ht="10.5" customHeight="1" thickTop="1">
      <c r="C6" s="307"/>
      <c r="D6" s="300"/>
      <c r="E6" s="300"/>
      <c r="F6" s="300"/>
      <c r="G6" s="300"/>
      <c r="H6" s="300"/>
      <c r="I6" s="300"/>
      <c r="J6" s="300"/>
      <c r="K6" s="300"/>
      <c r="L6" s="300"/>
      <c r="M6" s="300"/>
      <c r="N6" s="300"/>
      <c r="O6" s="300"/>
      <c r="P6" s="300"/>
      <c r="Q6" s="300"/>
      <c r="R6" s="300"/>
      <c r="S6" s="300"/>
      <c r="T6" s="300"/>
    </row>
    <row r="7" spans="3:20" ht="12.95" customHeight="1">
      <c r="C7" s="307"/>
      <c r="D7" s="312" t="str">
        <f>"Enterprise Valuation of "&amp;target.name</f>
        <v>Enterprise Valuation of Lazure Worldwide FZCO</v>
      </c>
      <c r="E7" s="304"/>
      <c r="F7" s="304"/>
      <c r="G7" s="304"/>
      <c r="H7" s="304"/>
      <c r="I7" s="304"/>
      <c r="J7" s="304"/>
      <c r="K7" s="300"/>
      <c r="L7" s="300"/>
      <c r="M7" s="300"/>
      <c r="N7" s="300"/>
      <c r="O7" s="300"/>
      <c r="P7" s="300"/>
      <c r="Q7" s="300"/>
      <c r="R7" s="300"/>
      <c r="S7" s="300"/>
      <c r="T7" s="300"/>
    </row>
    <row r="8" spans="3:20" ht="12.95" customHeight="1">
      <c r="C8" s="307"/>
      <c r="D8" s="313"/>
      <c r="E8" s="314"/>
      <c r="F8" s="314"/>
      <c r="G8" s="314"/>
      <c r="H8" s="314"/>
      <c r="I8" s="314"/>
      <c r="J8" s="314"/>
      <c r="K8" s="314"/>
      <c r="L8" s="314" t="str">
        <f>TEXT(stub.period,"0.0")&amp;" Months"</f>
        <v>3.0 Months</v>
      </c>
      <c r="M8" s="314"/>
      <c r="N8" s="314"/>
      <c r="O8" s="314"/>
      <c r="P8" s="314"/>
      <c r="Q8" s="314"/>
      <c r="R8" s="315"/>
      <c r="S8" s="300"/>
      <c r="T8" s="300"/>
    </row>
    <row r="9" spans="3:20" ht="12.95" customHeight="1">
      <c r="C9" s="307"/>
      <c r="D9" s="316" t="str" cm="1">
        <f t="array" ref="D9">currency.heading1</f>
        <v>INR 'Units</v>
      </c>
      <c r="E9" s="317"/>
      <c r="F9" s="317"/>
      <c r="G9" s="317"/>
      <c r="H9" s="317"/>
      <c r="I9" s="317"/>
      <c r="J9" s="317"/>
      <c r="K9" s="317"/>
      <c r="L9" s="318" t="str">
        <f>IS!L7</f>
        <v>YTG24</v>
      </c>
      <c r="M9" s="318" t="str">
        <f>IS!N7</f>
        <v>FY25</v>
      </c>
      <c r="N9" s="318" t="str">
        <f>IS!O7</f>
        <v>FY26</v>
      </c>
      <c r="O9" s="318" t="str">
        <f>IS!P7</f>
        <v>FY27</v>
      </c>
      <c r="P9" s="318" t="str">
        <f>IS!Q7</f>
        <v>FY28</v>
      </c>
      <c r="Q9" s="318" t="str">
        <f>IS!R7</f>
        <v>FY29</v>
      </c>
      <c r="R9" s="319" t="s">
        <v>1944</v>
      </c>
      <c r="S9" s="300"/>
      <c r="T9" s="300"/>
    </row>
    <row r="10" spans="3:20" ht="12.95" customHeight="1">
      <c r="C10" s="307"/>
      <c r="D10" s="325" t="s">
        <v>1945</v>
      </c>
      <c r="E10" s="326"/>
      <c r="F10" s="326"/>
      <c r="G10" s="326"/>
      <c r="H10" s="326"/>
      <c r="I10" s="326"/>
      <c r="J10" s="326"/>
      <c r="K10" s="307"/>
      <c r="L10" s="323">
        <f>IS!L57</f>
        <v>63016.666666666672</v>
      </c>
      <c r="M10" s="357">
        <f>IS!N57</f>
        <v>61083.333333333336</v>
      </c>
      <c r="N10" s="323">
        <f>IS!N57</f>
        <v>61083.333333333336</v>
      </c>
      <c r="O10" s="323">
        <f>IS!O57</f>
        <v>59950</v>
      </c>
      <c r="P10" s="323">
        <f>IS!P57</f>
        <v>58816.666666666672</v>
      </c>
      <c r="Q10" s="323">
        <f>IS!Q57</f>
        <v>57683.333333333336</v>
      </c>
      <c r="R10" s="324">
        <f>Q10*(1+long.term.growth)</f>
        <v>58837</v>
      </c>
      <c r="S10" s="1475"/>
      <c r="T10" s="331"/>
    </row>
    <row r="11" spans="3:20" ht="12.95" customHeight="1">
      <c r="C11" s="307"/>
      <c r="D11" s="327" t="s">
        <v>2539</v>
      </c>
      <c r="E11" s="307"/>
      <c r="F11" s="307"/>
      <c r="G11" s="307"/>
      <c r="H11" s="307"/>
      <c r="I11" s="307"/>
      <c r="J11" s="307"/>
      <c r="K11" s="307"/>
      <c r="L11" s="329">
        <f>IS!L62</f>
        <v>-18524.023333333334</v>
      </c>
      <c r="M11" s="1720">
        <f>IS!N62</f>
        <v>-17848.516666666666</v>
      </c>
      <c r="N11" s="329">
        <f>IS!O62</f>
        <v>-17452.53</v>
      </c>
      <c r="O11" s="329">
        <f>IS!P62</f>
        <v>-17056.543333333335</v>
      </c>
      <c r="P11" s="329">
        <f>IS!Q62</f>
        <v>-16660.556666666667</v>
      </c>
      <c r="Q11" s="329">
        <f>IS!R62</f>
        <v>-16264.57</v>
      </c>
      <c r="R11" s="330">
        <f>(Q11/Q10)*R10</f>
        <v>-16589.861399999998</v>
      </c>
      <c r="S11" s="300"/>
      <c r="T11" s="300"/>
    </row>
    <row r="12" spans="3:20" ht="12.95" customHeight="1">
      <c r="C12" s="307"/>
      <c r="D12" s="320" t="s">
        <v>1946</v>
      </c>
      <c r="E12" s="321"/>
      <c r="F12" s="321"/>
      <c r="G12" s="321"/>
      <c r="H12" s="321"/>
      <c r="I12" s="321"/>
      <c r="J12" s="321"/>
      <c r="K12" s="322"/>
      <c r="L12" s="323">
        <f t="shared" ref="L12:R12" si="0">SUM(L10,L11)</f>
        <v>44492.643333333341</v>
      </c>
      <c r="M12" s="323">
        <f t="shared" si="0"/>
        <v>43234.816666666666</v>
      </c>
      <c r="N12" s="323">
        <f t="shared" si="0"/>
        <v>43630.803333333337</v>
      </c>
      <c r="O12" s="323">
        <f t="shared" si="0"/>
        <v>42893.456666666665</v>
      </c>
      <c r="P12" s="323">
        <f t="shared" si="0"/>
        <v>42156.11</v>
      </c>
      <c r="Q12" s="323">
        <f t="shared" si="0"/>
        <v>41418.763333333336</v>
      </c>
      <c r="R12" s="324">
        <f t="shared" si="0"/>
        <v>42247.138600000006</v>
      </c>
      <c r="S12" s="300"/>
      <c r="T12" s="300"/>
    </row>
    <row r="13" spans="3:20" ht="12.95" customHeight="1">
      <c r="C13" s="307"/>
      <c r="D13" s="327" t="s">
        <v>2804</v>
      </c>
      <c r="E13" s="307"/>
      <c r="F13" s="307"/>
      <c r="G13" s="307"/>
      <c r="H13" s="307"/>
      <c r="I13" s="307"/>
      <c r="J13" s="307"/>
      <c r="K13" s="307"/>
      <c r="L13" s="329">
        <f>-IS!L56</f>
        <v>9583.3333333333321</v>
      </c>
      <c r="M13" s="1720">
        <f>-IS!N56</f>
        <v>11516.666666666666</v>
      </c>
      <c r="N13" s="329">
        <f>-IS!O56</f>
        <v>12650</v>
      </c>
      <c r="O13" s="329">
        <f>-IS!P56</f>
        <v>13783.333333333332</v>
      </c>
      <c r="P13" s="329">
        <f>-IS!Q56</f>
        <v>14916.666666666664</v>
      </c>
      <c r="Q13" s="329">
        <f>-IS!R56</f>
        <v>16050</v>
      </c>
      <c r="R13" s="330">
        <f>Q13*long.term.growth</f>
        <v>321</v>
      </c>
      <c r="S13" s="300"/>
      <c r="T13" s="300"/>
    </row>
    <row r="14" spans="3:20" ht="12.95" customHeight="1">
      <c r="C14" s="307"/>
      <c r="D14" s="327" t="s">
        <v>2805</v>
      </c>
      <c r="E14" s="307"/>
      <c r="F14" s="307"/>
      <c r="G14" s="307"/>
      <c r="H14" s="307"/>
      <c r="I14" s="307"/>
      <c r="J14" s="307"/>
      <c r="K14" s="307"/>
      <c r="L14" s="329">
        <f>-BS_Calc!L61</f>
        <v>-24000</v>
      </c>
      <c r="M14" s="1720">
        <f>-BS_Calc!N61</f>
        <v>-34000</v>
      </c>
      <c r="N14" s="329">
        <f>-BS_Calc!O61</f>
        <v>-34000</v>
      </c>
      <c r="O14" s="329">
        <f>-BS_Calc!P61</f>
        <v>-34000</v>
      </c>
      <c r="P14" s="329">
        <f>-BS_Calc!Q61</f>
        <v>-34000</v>
      </c>
      <c r="Q14" s="329">
        <f>-BS_Calc!R61</f>
        <v>-34000</v>
      </c>
      <c r="R14" s="330">
        <f>-R13</f>
        <v>-321</v>
      </c>
      <c r="S14" s="300"/>
      <c r="T14" s="300"/>
    </row>
    <row r="15" spans="3:20" ht="12.95" customHeight="1">
      <c r="C15" s="307"/>
      <c r="D15" s="1478" t="s">
        <v>2806</v>
      </c>
      <c r="E15" s="334"/>
      <c r="F15" s="334"/>
      <c r="G15" s="334"/>
      <c r="H15" s="334"/>
      <c r="I15" s="334"/>
      <c r="J15" s="334"/>
      <c r="K15" s="1479"/>
      <c r="L15" s="1480">
        <f>-BS_Calc!M33</f>
        <v>-15546.479178082189</v>
      </c>
      <c r="M15" s="1721">
        <f>-BS_Calc!N33</f>
        <v>-1265.4235616438364</v>
      </c>
      <c r="N15" s="1480">
        <f>-BS_Calc!O33</f>
        <v>-32.546849315069267</v>
      </c>
      <c r="O15" s="1480">
        <f>-BS_Calc!P33</f>
        <v>-32.546849315065629</v>
      </c>
      <c r="P15" s="1480">
        <f>-BS_Calc!Q33</f>
        <v>-32.546849315069267</v>
      </c>
      <c r="Q15" s="1480">
        <f>-BS_Calc!R33</f>
        <v>-32.546849315069267</v>
      </c>
      <c r="R15" s="1481">
        <f>-BS_Calc!R32*long.term.growth</f>
        <v>-338.84180273972601</v>
      </c>
      <c r="S15" s="300"/>
      <c r="T15" s="300"/>
    </row>
    <row r="16" spans="3:20" ht="12.95" customHeight="1">
      <c r="C16" s="307"/>
      <c r="D16" s="332" t="s">
        <v>1949</v>
      </c>
      <c r="E16" s="333"/>
      <c r="F16" s="333"/>
      <c r="G16" s="333"/>
      <c r="H16" s="333"/>
      <c r="I16" s="333"/>
      <c r="J16" s="333"/>
      <c r="K16" s="334"/>
      <c r="L16" s="1476">
        <f t="shared" ref="L16:Q16" si="1">SUM(L12:L15)</f>
        <v>14529.49748858448</v>
      </c>
      <c r="M16" s="1476">
        <f t="shared" si="1"/>
        <v>19486.059771689492</v>
      </c>
      <c r="N16" s="1476">
        <f t="shared" si="1"/>
        <v>22248.256484018268</v>
      </c>
      <c r="O16" s="1476">
        <f t="shared" si="1"/>
        <v>22644.243150684928</v>
      </c>
      <c r="P16" s="1476">
        <f t="shared" si="1"/>
        <v>23040.229817351596</v>
      </c>
      <c r="Q16" s="1476">
        <f t="shared" si="1"/>
        <v>23436.216484018267</v>
      </c>
      <c r="R16" s="1477">
        <f>SUM(R12:R15)</f>
        <v>41908.296797260278</v>
      </c>
      <c r="S16" s="300"/>
      <c r="T16" s="300"/>
    </row>
    <row r="17" spans="3:20" ht="12.95" customHeight="1">
      <c r="C17" s="307"/>
      <c r="D17" s="327"/>
      <c r="E17" s="307"/>
      <c r="F17" s="307"/>
      <c r="G17" s="307"/>
      <c r="H17" s="307"/>
      <c r="I17" s="307"/>
      <c r="J17" s="307"/>
      <c r="K17" s="307"/>
      <c r="L17" s="338"/>
      <c r="M17" s="338"/>
      <c r="N17" s="338"/>
      <c r="O17" s="338"/>
      <c r="P17" s="338"/>
      <c r="Q17" s="338"/>
      <c r="R17" s="337"/>
      <c r="S17" s="300"/>
      <c r="T17" s="300"/>
    </row>
    <row r="18" spans="3:20" ht="12.95" customHeight="1">
      <c r="C18" s="307"/>
      <c r="D18" s="327" t="s">
        <v>1950</v>
      </c>
      <c r="E18" s="307"/>
      <c r="F18" s="307"/>
      <c r="G18" s="307"/>
      <c r="H18" s="307"/>
      <c r="I18" s="307"/>
      <c r="J18" s="307"/>
      <c r="K18" s="307"/>
      <c r="L18" s="339">
        <f>(stub.period/2)/12</f>
        <v>0.125</v>
      </c>
      <c r="M18" s="339">
        <f>(12-stub.period)/12</f>
        <v>0.75</v>
      </c>
      <c r="N18" s="339">
        <f>M18+1</f>
        <v>1.75</v>
      </c>
      <c r="O18" s="339">
        <f>N18+1</f>
        <v>2.75</v>
      </c>
      <c r="P18" s="339">
        <f>O18+1</f>
        <v>3.75</v>
      </c>
      <c r="Q18" s="339">
        <f>P18+1</f>
        <v>4.75</v>
      </c>
      <c r="R18" s="337"/>
      <c r="S18" s="300"/>
      <c r="T18" s="300"/>
    </row>
    <row r="19" spans="3:20" ht="12.95" customHeight="1">
      <c r="C19" s="307"/>
      <c r="D19" s="327" t="s">
        <v>1951</v>
      </c>
      <c r="E19" s="307"/>
      <c r="F19" s="307"/>
      <c r="G19" s="307"/>
      <c r="H19" s="307"/>
      <c r="I19" s="307"/>
      <c r="J19" s="307"/>
      <c r="K19" s="340">
        <f>Inputs!E253</f>
        <v>0.12698399999999999</v>
      </c>
      <c r="L19" s="339">
        <f>1/(1+$K$19)^L18</f>
        <v>0.98516796476164925</v>
      </c>
      <c r="M19" s="339">
        <f t="shared" ref="M19:Q19" si="2">1/(1+$K$19)^M18</f>
        <v>0.91424309147070415</v>
      </c>
      <c r="N19" s="339">
        <f t="shared" si="2"/>
        <v>0.81122987679568148</v>
      </c>
      <c r="O19" s="339">
        <f t="shared" si="2"/>
        <v>0.7198237746016638</v>
      </c>
      <c r="P19" s="339">
        <f>1/(1+$K$19)^P18</f>
        <v>0.63871694238930077</v>
      </c>
      <c r="Q19" s="339">
        <f t="shared" si="2"/>
        <v>0.56674890006362177</v>
      </c>
      <c r="R19" s="337"/>
      <c r="S19" s="300"/>
      <c r="T19" s="300"/>
    </row>
    <row r="20" spans="3:20" ht="12.95" customHeight="1">
      <c r="C20" s="307"/>
      <c r="D20" s="327" t="s">
        <v>1952</v>
      </c>
      <c r="E20" s="307"/>
      <c r="F20" s="307"/>
      <c r="G20" s="307"/>
      <c r="H20" s="307"/>
      <c r="I20" s="307"/>
      <c r="J20" s="307"/>
      <c r="K20" s="341">
        <f>Inputs!E251</f>
        <v>0</v>
      </c>
      <c r="L20" s="339">
        <f>1/(1+$K$20)^L18</f>
        <v>1</v>
      </c>
      <c r="M20" s="339">
        <f t="shared" ref="M20:Q20" si="3">1/(1+$K$20)^M18</f>
        <v>1</v>
      </c>
      <c r="N20" s="339">
        <f t="shared" si="3"/>
        <v>1</v>
      </c>
      <c r="O20" s="339">
        <f t="shared" si="3"/>
        <v>1</v>
      </c>
      <c r="P20" s="339">
        <f t="shared" si="3"/>
        <v>1</v>
      </c>
      <c r="Q20" s="339">
        <f t="shared" si="3"/>
        <v>1</v>
      </c>
      <c r="R20" s="337"/>
      <c r="S20" s="300"/>
      <c r="T20" s="300"/>
    </row>
    <row r="21" spans="3:20" ht="12.95" customHeight="1">
      <c r="C21" s="307"/>
      <c r="D21" s="354" t="s">
        <v>1953</v>
      </c>
      <c r="E21" s="355"/>
      <c r="F21" s="355"/>
      <c r="G21" s="355"/>
      <c r="H21" s="355"/>
      <c r="I21" s="355"/>
      <c r="J21" s="355"/>
      <c r="K21" s="355"/>
      <c r="L21" s="357">
        <f t="shared" ref="L21:Q22" si="4">L$16*L$18*L19</f>
        <v>1789.2494337297833</v>
      </c>
      <c r="M21" s="357">
        <f t="shared" si="4"/>
        <v>13361.246644689243</v>
      </c>
      <c r="N21" s="357">
        <f t="shared" si="4"/>
        <v>31584.788141285509</v>
      </c>
      <c r="O21" s="357">
        <f t="shared" si="4"/>
        <v>44824.627588740717</v>
      </c>
      <c r="P21" s="357">
        <f t="shared" si="4"/>
        <v>55185.694278321032</v>
      </c>
      <c r="Q21" s="357">
        <f t="shared" si="4"/>
        <v>63091.637091358803</v>
      </c>
      <c r="R21" s="1482"/>
      <c r="S21" s="300"/>
      <c r="T21" s="300"/>
    </row>
    <row r="22" spans="3:20" ht="12.95" customHeight="1">
      <c r="C22" s="307"/>
      <c r="D22" s="1483" t="s">
        <v>1954</v>
      </c>
      <c r="E22" s="1484"/>
      <c r="F22" s="1484"/>
      <c r="G22" s="1484"/>
      <c r="H22" s="1484"/>
      <c r="I22" s="1484"/>
      <c r="J22" s="1484"/>
      <c r="K22" s="1484"/>
      <c r="L22" s="1485">
        <f t="shared" si="4"/>
        <v>1816.18718607306</v>
      </c>
      <c r="M22" s="1485">
        <f t="shared" si="4"/>
        <v>14614.544828767119</v>
      </c>
      <c r="N22" s="1485">
        <f t="shared" si="4"/>
        <v>38934.44884703197</v>
      </c>
      <c r="O22" s="1485">
        <f t="shared" si="4"/>
        <v>62271.668664383549</v>
      </c>
      <c r="P22" s="1485">
        <f t="shared" si="4"/>
        <v>86400.861815068478</v>
      </c>
      <c r="Q22" s="1485">
        <f t="shared" si="4"/>
        <v>111322.02829908677</v>
      </c>
      <c r="R22" s="1486"/>
      <c r="S22" s="300"/>
      <c r="T22" s="300"/>
    </row>
    <row r="23" spans="3:20" ht="12.95" customHeight="1">
      <c r="C23" s="307"/>
      <c r="D23" s="300"/>
      <c r="E23" s="300"/>
      <c r="F23" s="300"/>
      <c r="G23" s="300"/>
      <c r="H23" s="300"/>
      <c r="I23" s="300"/>
      <c r="J23" s="300"/>
      <c r="K23" s="300"/>
      <c r="L23" s="300"/>
      <c r="M23" s="300"/>
      <c r="N23" s="300"/>
      <c r="O23" s="300"/>
      <c r="P23" s="300"/>
      <c r="Q23" s="300"/>
      <c r="R23" s="300"/>
      <c r="S23" s="300"/>
      <c r="T23" s="300"/>
    </row>
    <row r="24" spans="3:20" ht="12.95" customHeight="1">
      <c r="C24" s="307"/>
      <c r="D24" s="342"/>
      <c r="E24" s="343"/>
      <c r="F24" s="343"/>
      <c r="G24" s="343"/>
      <c r="H24" s="343"/>
      <c r="I24" s="343"/>
      <c r="J24" s="343"/>
      <c r="K24" s="343"/>
      <c r="L24" s="344" t="s">
        <v>208</v>
      </c>
      <c r="M24" s="345" t="s">
        <v>209</v>
      </c>
      <c r="N24" s="300"/>
      <c r="O24" s="300"/>
      <c r="P24" s="300"/>
      <c r="Q24" s="300"/>
      <c r="R24" s="300"/>
      <c r="S24" s="300"/>
      <c r="T24" s="300"/>
    </row>
    <row r="25" spans="3:20" ht="12.95" customHeight="1">
      <c r="C25" s="307"/>
      <c r="D25" s="346" t="s">
        <v>1955</v>
      </c>
      <c r="E25" s="347"/>
      <c r="F25" s="347"/>
      <c r="G25" s="347"/>
      <c r="H25" s="347"/>
      <c r="I25" s="347"/>
      <c r="J25" s="347"/>
      <c r="K25" s="348"/>
      <c r="L25" s="335">
        <f>SUM(L22:Q22)</f>
        <v>315359.73964041093</v>
      </c>
      <c r="M25" s="336">
        <f>SUM(L21:Q21)</f>
        <v>209837.24317812509</v>
      </c>
      <c r="N25" s="300"/>
      <c r="O25" s="300"/>
      <c r="P25" s="300"/>
      <c r="Q25" s="300"/>
      <c r="R25" s="300"/>
      <c r="S25" s="300"/>
      <c r="T25" s="300"/>
    </row>
    <row r="26" spans="3:20" ht="12.95" customHeight="1">
      <c r="C26" s="307"/>
      <c r="D26" s="327"/>
      <c r="E26" s="307"/>
      <c r="F26" s="307"/>
      <c r="G26" s="307"/>
      <c r="H26" s="307"/>
      <c r="I26" s="307"/>
      <c r="J26" s="307"/>
      <c r="K26" s="307"/>
      <c r="L26" s="307"/>
      <c r="M26" s="328"/>
      <c r="N26" s="300"/>
      <c r="O26" s="300"/>
      <c r="P26" s="300"/>
      <c r="Q26" s="300"/>
      <c r="R26" s="300"/>
      <c r="S26" s="300"/>
      <c r="T26" s="300"/>
    </row>
    <row r="27" spans="3:20" ht="12.95" customHeight="1">
      <c r="C27" s="307"/>
      <c r="D27" s="327" t="s">
        <v>1956</v>
      </c>
      <c r="E27" s="307"/>
      <c r="F27" s="307"/>
      <c r="G27" s="307"/>
      <c r="H27" s="307"/>
      <c r="I27" s="307"/>
      <c r="J27" s="307"/>
      <c r="K27" s="307"/>
      <c r="L27" s="349">
        <f>long.term.growth</f>
        <v>0.02</v>
      </c>
      <c r="M27" s="350">
        <f>long.term.growth</f>
        <v>0.02</v>
      </c>
      <c r="N27" s="300"/>
      <c r="S27" s="300"/>
      <c r="T27" s="300"/>
    </row>
    <row r="28" spans="3:20" ht="12.95" customHeight="1">
      <c r="C28" s="307"/>
      <c r="D28" s="327" t="s">
        <v>1957</v>
      </c>
      <c r="E28" s="307"/>
      <c r="F28" s="307"/>
      <c r="G28" s="307"/>
      <c r="H28" s="307"/>
      <c r="I28" s="307"/>
      <c r="J28" s="307"/>
      <c r="K28" s="307"/>
      <c r="L28" s="329">
        <f>$R$16/(K20-L27)</f>
        <v>-2095414.8398630139</v>
      </c>
      <c r="M28" s="330">
        <f>$R$16/(K19-M27)</f>
        <v>391724.90089415509</v>
      </c>
      <c r="N28" s="300"/>
      <c r="O28" s="1756" t="s">
        <v>2080</v>
      </c>
      <c r="P28" s="1757"/>
      <c r="Q28" s="1757"/>
      <c r="R28" s="1758"/>
      <c r="S28" s="300"/>
      <c r="T28" s="300"/>
    </row>
    <row r="29" spans="3:20" ht="12.95" customHeight="1">
      <c r="C29" s="307"/>
      <c r="D29" s="327" t="s">
        <v>1958</v>
      </c>
      <c r="E29" s="307"/>
      <c r="F29" s="307"/>
      <c r="G29" s="307"/>
      <c r="H29" s="307"/>
      <c r="I29" s="307"/>
      <c r="J29" s="307"/>
      <c r="K29" s="307"/>
      <c r="L29" s="339">
        <f>Q20</f>
        <v>1</v>
      </c>
      <c r="M29" s="351">
        <f>Q19</f>
        <v>0.56674890006362177</v>
      </c>
      <c r="N29" s="300"/>
      <c r="O29" s="1249" t="s">
        <v>2036</v>
      </c>
      <c r="P29" s="359"/>
      <c r="Q29" s="360" t="str">
        <f>currency.type</f>
        <v>INR</v>
      </c>
      <c r="R29" s="361">
        <f>_xlfn.XLOOKUP(Q29,Inputs!$C$265:$C$271,Inputs!$E$265:$E$271)</f>
        <v>83.34</v>
      </c>
      <c r="S29" s="300"/>
      <c r="T29" s="300"/>
    </row>
    <row r="30" spans="3:20" ht="12.95" customHeight="1">
      <c r="C30" s="307"/>
      <c r="D30" s="346" t="s">
        <v>1959</v>
      </c>
      <c r="E30" s="347"/>
      <c r="F30" s="347"/>
      <c r="G30" s="347"/>
      <c r="H30" s="347"/>
      <c r="I30" s="347"/>
      <c r="J30" s="347"/>
      <c r="K30" s="347"/>
      <c r="L30" s="352">
        <f>SUM(L28*L29)</f>
        <v>-2095414.8398630139</v>
      </c>
      <c r="M30" s="353">
        <f>SUM(M28*M29)</f>
        <v>222009.65670929363</v>
      </c>
      <c r="N30" s="300"/>
      <c r="O30" s="1755" t="s">
        <v>2037</v>
      </c>
      <c r="P30" s="363"/>
      <c r="Q30" s="364" t="s">
        <v>113</v>
      </c>
      <c r="R30" s="365">
        <f>_xlfn.XLOOKUP(Q30,Inputs!$C$265:$C$271,Inputs!$E$265:$E$271)</f>
        <v>3.6749999999999998</v>
      </c>
      <c r="S30" s="300"/>
      <c r="T30" s="300"/>
    </row>
    <row r="31" spans="3:20" ht="12.95" customHeight="1">
      <c r="C31" s="307"/>
      <c r="D31" s="354" t="s">
        <v>1960</v>
      </c>
      <c r="E31" s="355"/>
      <c r="F31" s="355"/>
      <c r="G31" s="355"/>
      <c r="H31" s="355"/>
      <c r="I31" s="355"/>
      <c r="J31" s="355"/>
      <c r="K31" s="356" t="str">
        <f>currency.heading1</f>
        <v>INR 'Units</v>
      </c>
      <c r="L31" s="357">
        <f>SUM(L25,L30)</f>
        <v>-1780055.100222603</v>
      </c>
      <c r="M31" s="358">
        <f>SUM(M25,M30)</f>
        <v>431846.89988741872</v>
      </c>
      <c r="N31" s="300"/>
      <c r="O31" s="1759" t="s">
        <v>2162</v>
      </c>
      <c r="P31" s="1760"/>
      <c r="Q31" s="1760"/>
      <c r="R31" s="1761"/>
      <c r="S31" s="300"/>
      <c r="T31" s="300"/>
    </row>
    <row r="32" spans="3:20" ht="12.95" customHeight="1">
      <c r="C32" s="307"/>
      <c r="D32" s="346" t="s">
        <v>1960</v>
      </c>
      <c r="E32" s="348"/>
      <c r="F32" s="348"/>
      <c r="G32" s="348"/>
      <c r="H32" s="348"/>
      <c r="I32" s="348"/>
      <c r="J32" s="348"/>
      <c r="K32" s="362" t="str">
        <f>Q30&amp;" "&amp;P32</f>
        <v>AED 000s</v>
      </c>
      <c r="L32" s="335">
        <f>L31*$R$30*curr.unit.conversion</f>
        <v>-6541.7024933180655</v>
      </c>
      <c r="M32" s="336">
        <f>M31*$R$30*curr.unit.conversion</f>
        <v>1587.0373570862639</v>
      </c>
      <c r="N32" s="300"/>
      <c r="O32" s="1725" t="str">
        <f>currency.denomination</f>
        <v>Units</v>
      </c>
      <c r="P32" s="348" t="str">
        <f>IF(O32="Units","000s",IF(O32="000s","million",IF(O32="million",O32)))</f>
        <v>000s</v>
      </c>
      <c r="Q32" s="348">
        <f>IF(O32="million",0,1/1000)</f>
        <v>1E-3</v>
      </c>
      <c r="R32" s="1723"/>
      <c r="S32" s="300"/>
      <c r="T32" s="300"/>
    </row>
    <row r="33" spans="3:20" ht="12.95" customHeight="1">
      <c r="C33" s="307"/>
      <c r="D33" s="366"/>
      <c r="E33" s="300"/>
      <c r="F33" s="300"/>
      <c r="G33" s="300"/>
      <c r="H33" s="300"/>
      <c r="I33" s="300"/>
      <c r="J33" s="300"/>
      <c r="K33" s="300"/>
      <c r="L33" s="300"/>
      <c r="M33" s="300"/>
      <c r="N33" s="300"/>
      <c r="S33" s="300"/>
      <c r="T33" s="300"/>
    </row>
    <row r="34" spans="3:20" ht="12.95" customHeight="1">
      <c r="C34" s="307"/>
      <c r="D34" s="313" t="s">
        <v>1977</v>
      </c>
      <c r="E34" s="343"/>
      <c r="F34" s="343"/>
      <c r="G34" s="343"/>
      <c r="H34" s="343"/>
      <c r="I34" s="343"/>
      <c r="J34" s="343"/>
      <c r="K34" s="343"/>
      <c r="L34" s="344" t="s">
        <v>208</v>
      </c>
      <c r="M34" s="345" t="s">
        <v>209</v>
      </c>
      <c r="N34" s="300"/>
      <c r="S34" s="300"/>
      <c r="T34" s="300"/>
    </row>
    <row r="35" spans="3:20" ht="12.95" customHeight="1">
      <c r="C35" s="307"/>
      <c r="D35" s="367" t="s">
        <v>1960</v>
      </c>
      <c r="E35" s="307"/>
      <c r="F35" s="307"/>
      <c r="G35" s="307"/>
      <c r="H35" s="307"/>
      <c r="I35" s="307"/>
      <c r="J35" s="307"/>
      <c r="K35" s="1722" t="str">
        <f>currency.heading1</f>
        <v>INR 'Units</v>
      </c>
      <c r="L35" s="368">
        <f>L31</f>
        <v>-1780055.100222603</v>
      </c>
      <c r="M35" s="369">
        <f>M31</f>
        <v>431846.89988741872</v>
      </c>
      <c r="N35" s="300"/>
      <c r="O35"/>
      <c r="P35"/>
      <c r="Q35"/>
      <c r="R35"/>
      <c r="S35"/>
      <c r="T35" s="300"/>
    </row>
    <row r="36" spans="3:20" ht="12.95" customHeight="1">
      <c r="C36" s="307"/>
      <c r="D36" s="367" t="s">
        <v>2156</v>
      </c>
      <c r="E36" s="307"/>
      <c r="F36" s="307"/>
      <c r="G36" s="307"/>
      <c r="H36" s="307"/>
      <c r="I36" s="307"/>
      <c r="J36" s="307"/>
      <c r="K36" s="1722" t="str">
        <f>currency.heading1</f>
        <v>INR 'Units</v>
      </c>
      <c r="L36" s="370">
        <f>Inputs!E257</f>
        <v>45</v>
      </c>
      <c r="M36" s="371">
        <f>L36</f>
        <v>45</v>
      </c>
      <c r="N36" s="300"/>
      <c r="O36"/>
      <c r="P36"/>
      <c r="Q36"/>
      <c r="R36"/>
      <c r="S36"/>
      <c r="T36" s="300"/>
    </row>
    <row r="37" spans="3:20" ht="12.95" customHeight="1">
      <c r="C37" s="307"/>
      <c r="D37" s="367" t="s">
        <v>2157</v>
      </c>
      <c r="E37" s="307"/>
      <c r="F37" s="307"/>
      <c r="G37" s="307"/>
      <c r="H37" s="307"/>
      <c r="I37" s="307"/>
      <c r="J37" s="307"/>
      <c r="K37" s="1722" t="str">
        <f>currency.heading1</f>
        <v>INR 'Units</v>
      </c>
      <c r="L37" s="370">
        <f>-Inputs!E258</f>
        <v>-65</v>
      </c>
      <c r="M37" s="371">
        <f>L37</f>
        <v>-65</v>
      </c>
      <c r="N37" s="300"/>
      <c r="O37"/>
      <c r="P37"/>
      <c r="Q37"/>
      <c r="R37"/>
      <c r="S37"/>
      <c r="T37" s="300"/>
    </row>
    <row r="38" spans="3:20" ht="12.95" customHeight="1">
      <c r="C38" s="307"/>
      <c r="D38" s="346" t="s">
        <v>1961</v>
      </c>
      <c r="E38" s="347"/>
      <c r="F38" s="347"/>
      <c r="G38" s="347"/>
      <c r="H38" s="347"/>
      <c r="I38" s="347"/>
      <c r="J38" s="347"/>
      <c r="K38" s="362" t="str">
        <f>currency.heading1</f>
        <v>INR 'Units</v>
      </c>
      <c r="L38" s="372">
        <f>SUM(L35:L37)</f>
        <v>-1780075.100222603</v>
      </c>
      <c r="M38" s="373">
        <f>SUM(M35:M37)</f>
        <v>431826.89988741872</v>
      </c>
      <c r="N38" s="300"/>
      <c r="O38"/>
      <c r="P38"/>
      <c r="Q38"/>
      <c r="R38"/>
      <c r="S38"/>
      <c r="T38" s="300"/>
    </row>
    <row r="39" spans="3:20" ht="12.95" customHeight="1">
      <c r="C39" s="307"/>
      <c r="D39" s="300"/>
      <c r="E39" s="300"/>
      <c r="F39" s="300"/>
      <c r="G39" s="300"/>
      <c r="H39" s="300"/>
      <c r="I39" s="300"/>
      <c r="J39" s="300"/>
      <c r="K39" s="300"/>
      <c r="L39" s="300"/>
      <c r="M39" s="300"/>
      <c r="N39" s="300"/>
      <c r="O39"/>
      <c r="P39"/>
      <c r="Q39"/>
      <c r="R39"/>
      <c r="S39"/>
      <c r="T39" s="300"/>
    </row>
    <row r="40" spans="3:20" ht="12.95" customHeight="1">
      <c r="C40" s="307"/>
      <c r="D40" s="1726" t="s">
        <v>229</v>
      </c>
      <c r="E40" s="1727"/>
      <c r="F40" s="1727"/>
      <c r="G40" s="1727"/>
      <c r="H40" s="1727"/>
      <c r="I40" s="1727"/>
      <c r="J40" s="1727"/>
      <c r="K40" s="314" t="s">
        <v>208</v>
      </c>
      <c r="L40" s="314" t="s">
        <v>209</v>
      </c>
      <c r="M40" s="1728" t="s">
        <v>209</v>
      </c>
      <c r="N40" s="375"/>
      <c r="O40" s="375"/>
      <c r="P40" s="375"/>
      <c r="Q40" s="375"/>
      <c r="R40" s="300"/>
      <c r="S40" s="300"/>
      <c r="T40" s="300"/>
    </row>
    <row r="41" spans="3:20" ht="12.95" customHeight="1">
      <c r="C41" s="307"/>
      <c r="D41" s="1212" t="s">
        <v>3140</v>
      </c>
      <c r="E41" s="432"/>
      <c r="F41" s="432"/>
      <c r="G41" s="432"/>
      <c r="H41" s="432"/>
      <c r="I41" s="432"/>
      <c r="J41" s="432"/>
      <c r="K41" s="689">
        <f>IS!M54</f>
        <v>72600</v>
      </c>
      <c r="L41" s="689">
        <f>K41</f>
        <v>72600</v>
      </c>
      <c r="M41" s="690">
        <f>K41</f>
        <v>72600</v>
      </c>
      <c r="N41" s="375"/>
      <c r="O41" s="375"/>
      <c r="P41" s="375"/>
      <c r="Q41" s="375"/>
      <c r="R41" s="300"/>
      <c r="S41" s="300"/>
      <c r="T41" s="300"/>
    </row>
    <row r="42" spans="3:20" ht="12.95" customHeight="1">
      <c r="C42" s="307"/>
      <c r="D42" s="1212" t="s">
        <v>3141</v>
      </c>
      <c r="E42" s="432"/>
      <c r="F42" s="432"/>
      <c r="G42" s="432"/>
      <c r="H42" s="432"/>
      <c r="I42" s="432"/>
      <c r="J42" s="432"/>
      <c r="K42" s="689">
        <f>IS!M23</f>
        <v>168000</v>
      </c>
      <c r="L42" s="689">
        <f>K42</f>
        <v>168000</v>
      </c>
      <c r="M42" s="690">
        <f>K42</f>
        <v>168000</v>
      </c>
      <c r="N42" s="375"/>
      <c r="O42" s="375"/>
      <c r="P42" s="375"/>
      <c r="Q42" s="375"/>
      <c r="R42" s="300"/>
      <c r="S42" s="300"/>
      <c r="T42" s="300"/>
    </row>
    <row r="43" spans="3:20" ht="12.95" customHeight="1">
      <c r="C43" s="307"/>
      <c r="D43" s="1226" t="s">
        <v>3138</v>
      </c>
      <c r="E43" s="247"/>
      <c r="F43" s="247"/>
      <c r="G43" s="247"/>
      <c r="H43" s="247"/>
      <c r="I43" s="247"/>
      <c r="J43" s="247"/>
      <c r="K43" s="1733">
        <f>L31/K41</f>
        <v>-24.518665292322353</v>
      </c>
      <c r="L43" s="1733">
        <f>AVERAGE(K43,M43)</f>
        <v>-9.2851804430797813</v>
      </c>
      <c r="M43" s="1734">
        <f>M31/M41</f>
        <v>5.9483044061627925</v>
      </c>
      <c r="N43" s="375"/>
      <c r="O43" s="375"/>
      <c r="P43" s="375"/>
      <c r="Q43" s="375"/>
      <c r="R43" s="300"/>
      <c r="S43" s="300"/>
      <c r="T43" s="300"/>
    </row>
    <row r="44" spans="3:20" ht="12.95" customHeight="1">
      <c r="C44" s="307"/>
      <c r="D44" s="1730" t="s">
        <v>3139</v>
      </c>
      <c r="E44" s="1729"/>
      <c r="F44" s="1729"/>
      <c r="G44" s="1729"/>
      <c r="H44" s="1729"/>
      <c r="I44" s="1729"/>
      <c r="J44" s="1729"/>
      <c r="K44" s="1731">
        <f>L31/K42</f>
        <v>-10.59556607275359</v>
      </c>
      <c r="L44" s="1731">
        <f>AVERAGE(K44,M44)</f>
        <v>-4.0125244057594767</v>
      </c>
      <c r="M44" s="1732">
        <f>M31/M42</f>
        <v>2.5705172612346354</v>
      </c>
      <c r="N44" s="375"/>
      <c r="O44" s="375"/>
      <c r="P44" s="375"/>
      <c r="Q44" s="375"/>
      <c r="R44" s="300"/>
      <c r="S44" s="300"/>
      <c r="T44" s="300"/>
    </row>
    <row r="45" spans="3:20" ht="12.95" customHeight="1">
      <c r="C45" s="307"/>
      <c r="D45" s="1212" t="s">
        <v>3146</v>
      </c>
      <c r="E45" s="432"/>
      <c r="F45" s="432"/>
      <c r="G45" s="432"/>
      <c r="H45" s="432"/>
      <c r="I45" s="432"/>
      <c r="J45" s="432"/>
      <c r="K45" s="689">
        <f>IS!R23</f>
        <v>168000</v>
      </c>
      <c r="L45" s="689">
        <f>K45</f>
        <v>168000</v>
      </c>
      <c r="M45" s="690">
        <f>K45</f>
        <v>168000</v>
      </c>
      <c r="N45" s="375"/>
      <c r="O45" s="375"/>
      <c r="P45" s="375"/>
      <c r="Q45" s="375"/>
      <c r="R45" s="300"/>
      <c r="S45" s="300"/>
      <c r="T45" s="300"/>
    </row>
    <row r="46" spans="3:20" ht="12.95" customHeight="1">
      <c r="C46" s="307"/>
      <c r="D46" s="1212" t="s">
        <v>3147</v>
      </c>
      <c r="E46" s="432"/>
      <c r="F46" s="432"/>
      <c r="G46" s="432"/>
      <c r="H46" s="432"/>
      <c r="I46" s="432"/>
      <c r="J46" s="432"/>
      <c r="K46" s="689">
        <f>IS!R54</f>
        <v>72600</v>
      </c>
      <c r="L46" s="689">
        <f>K46</f>
        <v>72600</v>
      </c>
      <c r="M46" s="690">
        <f>K46</f>
        <v>72600</v>
      </c>
      <c r="N46" s="375"/>
      <c r="O46" s="375"/>
      <c r="P46" s="375"/>
      <c r="Q46" s="375"/>
      <c r="R46" s="300"/>
      <c r="S46" s="300"/>
      <c r="T46" s="300"/>
    </row>
    <row r="47" spans="3:20" ht="12.95" customHeight="1">
      <c r="C47" s="307"/>
      <c r="D47" s="1226" t="s">
        <v>3138</v>
      </c>
      <c r="E47" s="247"/>
      <c r="F47" s="247"/>
      <c r="G47" s="247"/>
      <c r="H47" s="247"/>
      <c r="I47" s="247"/>
      <c r="J47" s="247"/>
      <c r="K47" s="1733">
        <f>L31/K45</f>
        <v>-10.59556607275359</v>
      </c>
      <c r="L47" s="1733">
        <f>AVERAGE(K47,M47)</f>
        <v>-4.0125244057594767</v>
      </c>
      <c r="M47" s="1734">
        <f>M31/M45</f>
        <v>2.5705172612346354</v>
      </c>
      <c r="N47" s="375"/>
      <c r="O47" s="375"/>
      <c r="P47" s="375"/>
      <c r="Q47" s="375"/>
      <c r="R47" s="300"/>
      <c r="S47" s="300"/>
      <c r="T47" s="300"/>
    </row>
    <row r="48" spans="3:20" ht="12.95" customHeight="1">
      <c r="C48" s="307"/>
      <c r="D48" s="1730" t="s">
        <v>3139</v>
      </c>
      <c r="E48" s="1729"/>
      <c r="F48" s="1729"/>
      <c r="G48" s="1729"/>
      <c r="H48" s="1729"/>
      <c r="I48" s="1729"/>
      <c r="J48" s="1729"/>
      <c r="K48" s="1731">
        <f>L31/K46</f>
        <v>-24.518665292322353</v>
      </c>
      <c r="L48" s="1731">
        <f>AVERAGE(K48,M48)</f>
        <v>-9.2851804430797813</v>
      </c>
      <c r="M48" s="1732">
        <f>M31/M46</f>
        <v>5.9483044061627925</v>
      </c>
      <c r="N48" s="375"/>
      <c r="O48" s="375"/>
      <c r="P48" s="375"/>
      <c r="Q48" s="375"/>
      <c r="R48" s="300"/>
      <c r="S48" s="300"/>
      <c r="T48" s="300"/>
    </row>
    <row r="49" spans="3:20" ht="12.95" customHeight="1">
      <c r="C49" s="307"/>
      <c r="D49" s="366"/>
      <c r="E49" s="374"/>
      <c r="F49" s="374"/>
      <c r="G49" s="374"/>
      <c r="H49" s="374"/>
      <c r="I49" s="374"/>
      <c r="J49" s="374"/>
      <c r="K49" s="300"/>
      <c r="L49" s="300"/>
      <c r="M49" s="300"/>
      <c r="N49" s="375"/>
      <c r="O49" s="375"/>
      <c r="P49" s="375"/>
      <c r="Q49" s="375"/>
      <c r="R49" s="300"/>
      <c r="S49" s="300"/>
      <c r="T49" s="300"/>
    </row>
    <row r="50" spans="3:20" ht="12.95" customHeight="1">
      <c r="C50" s="307"/>
      <c r="D50" s="1735" t="s">
        <v>3144</v>
      </c>
      <c r="E50" s="1736"/>
      <c r="F50" s="1736"/>
      <c r="G50" s="1736"/>
      <c r="H50" s="1736"/>
      <c r="I50" s="1736" t="s">
        <v>3137</v>
      </c>
      <c r="J50" s="1736"/>
      <c r="K50" s="1736" t="s">
        <v>208</v>
      </c>
      <c r="L50" s="1736" t="s">
        <v>209</v>
      </c>
      <c r="M50" s="1737" t="s">
        <v>209</v>
      </c>
      <c r="N50" s="375"/>
      <c r="O50" s="1752" t="s">
        <v>3145</v>
      </c>
      <c r="P50" s="1753"/>
      <c r="Q50" s="1753" t="s">
        <v>2143</v>
      </c>
      <c r="R50" s="1754" t="s">
        <v>2234</v>
      </c>
      <c r="S50" s="300"/>
      <c r="T50" s="300"/>
    </row>
    <row r="51" spans="3:20" ht="12.95" customHeight="1">
      <c r="C51" s="307"/>
      <c r="D51" s="1738" t="s">
        <v>3142</v>
      </c>
      <c r="E51" s="1739"/>
      <c r="F51" s="1739"/>
      <c r="G51" s="1739"/>
      <c r="H51" s="1739"/>
      <c r="I51" s="1740">
        <v>0.15</v>
      </c>
      <c r="J51" s="1739"/>
      <c r="K51" s="1744">
        <f>MROUND(Multiples!AA31,0.1)*(1-$I51)</f>
        <v>4.6749999999999998</v>
      </c>
      <c r="L51" s="1744">
        <f t="shared" ref="L51:L52" si="5">AVERAGE(K51,M51)</f>
        <v>5.5</v>
      </c>
      <c r="M51" s="1745">
        <f>MROUND(Multiples!AA31,0.1)*(1+$I51)</f>
        <v>6.3249999999999993</v>
      </c>
      <c r="N51" s="375"/>
      <c r="O51" s="1748" t="s">
        <v>1804</v>
      </c>
      <c r="P51" s="1740">
        <v>0.15</v>
      </c>
      <c r="Q51" s="1749">
        <f>ABS(L51/L44-1)</f>
        <v>2.3707081736638012</v>
      </c>
      <c r="R51" s="328" t="str">
        <f>IF(Q51&gt;P51,"ERROR","Aligned")</f>
        <v>ERROR</v>
      </c>
      <c r="S51" s="300"/>
      <c r="T51" s="300"/>
    </row>
    <row r="52" spans="3:20" ht="12.95" customHeight="1">
      <c r="C52" s="307"/>
      <c r="D52" s="1741" t="s">
        <v>3143</v>
      </c>
      <c r="E52" s="1742"/>
      <c r="F52" s="1742"/>
      <c r="G52" s="1742"/>
      <c r="H52" s="1742"/>
      <c r="I52" s="1743">
        <v>0.15</v>
      </c>
      <c r="J52" s="1742"/>
      <c r="K52" s="1746">
        <f>MROUND(Multiples!X31,0.1)*(1-$I51)</f>
        <v>2.9750000000000001</v>
      </c>
      <c r="L52" s="1746">
        <f t="shared" si="5"/>
        <v>3.5</v>
      </c>
      <c r="M52" s="1747">
        <f>MROUND(Multiples!X31,0.1)*(1+$I51)</f>
        <v>4.0249999999999995</v>
      </c>
      <c r="N52" s="375"/>
      <c r="O52" s="1750" t="s">
        <v>1918</v>
      </c>
      <c r="P52" s="1743">
        <v>0.15</v>
      </c>
      <c r="Q52" s="1751">
        <f>ABS(L52/L43-1)</f>
        <v>1.3769447477575452</v>
      </c>
      <c r="R52" s="1724" t="str">
        <f>IF(Q52&gt;P52,"Not aligned","Aligned")</f>
        <v>Not aligned</v>
      </c>
      <c r="S52" s="300"/>
      <c r="T52" s="300"/>
    </row>
    <row r="53" spans="3:20" ht="12.95" customHeight="1">
      <c r="C53" s="307"/>
      <c r="D53" s="375"/>
      <c r="E53" s="375"/>
      <c r="F53" s="375"/>
      <c r="G53" s="375"/>
      <c r="H53" s="375"/>
      <c r="I53" s="375"/>
      <c r="J53" s="375"/>
      <c r="K53" s="375"/>
      <c r="L53" s="375"/>
      <c r="M53" s="375"/>
      <c r="N53" s="375"/>
      <c r="O53" s="375"/>
      <c r="P53" s="375"/>
      <c r="Q53" s="375"/>
      <c r="R53" s="300"/>
      <c r="S53" s="300"/>
      <c r="T53" s="300"/>
    </row>
    <row r="54" spans="3:20" ht="12.95" customHeight="1">
      <c r="C54" s="307"/>
      <c r="D54" s="366" t="s">
        <v>230</v>
      </c>
      <c r="E54" s="374"/>
      <c r="F54" s="374"/>
      <c r="G54" s="374"/>
      <c r="H54" s="374"/>
      <c r="I54" s="374"/>
      <c r="J54" s="374"/>
      <c r="K54" s="300"/>
      <c r="L54" s="375"/>
      <c r="M54" s="375"/>
      <c r="N54" s="375"/>
      <c r="O54" s="375"/>
      <c r="P54" s="375"/>
      <c r="Q54" s="375"/>
      <c r="R54" s="300"/>
      <c r="S54" s="300"/>
      <c r="T54" s="300"/>
    </row>
    <row r="55" spans="3:20" ht="12.95" customHeight="1">
      <c r="C55" s="307"/>
      <c r="D55" s="375" t="s">
        <v>231</v>
      </c>
      <c r="E55" s="375"/>
      <c r="F55" s="375"/>
      <c r="G55" s="375"/>
      <c r="H55" s="375"/>
      <c r="I55" s="375"/>
      <c r="J55" s="375"/>
      <c r="K55" s="376">
        <v>5.0000000000000001E-3</v>
      </c>
      <c r="L55" s="300"/>
      <c r="M55" s="375"/>
      <c r="N55" s="375"/>
      <c r="O55" s="375"/>
      <c r="P55" s="375"/>
      <c r="Q55" s="375"/>
      <c r="R55" s="300"/>
      <c r="S55" s="300"/>
      <c r="T55" s="300"/>
    </row>
    <row r="56" spans="3:20" ht="12.95" customHeight="1">
      <c r="C56" s="307"/>
      <c r="D56" s="375" t="s">
        <v>232</v>
      </c>
      <c r="E56" s="375"/>
      <c r="F56" s="375"/>
      <c r="G56" s="375"/>
      <c r="H56" s="375"/>
      <c r="I56" s="375"/>
      <c r="J56" s="375"/>
      <c r="K56" s="376">
        <v>5.0000000000000001E-3</v>
      </c>
      <c r="L56" s="300"/>
      <c r="M56" s="375"/>
      <c r="N56" s="375"/>
      <c r="O56" s="375"/>
      <c r="P56" s="375"/>
      <c r="Q56" s="375"/>
      <c r="R56" s="300"/>
      <c r="S56" s="300"/>
      <c r="T56" s="300"/>
    </row>
    <row r="57" spans="3:20" ht="12.95" customHeight="1">
      <c r="C57" s="307"/>
      <c r="D57" s="375"/>
      <c r="E57" s="375"/>
      <c r="F57" s="375"/>
      <c r="G57" s="375"/>
      <c r="H57" s="375"/>
      <c r="I57" s="375"/>
      <c r="J57" s="375"/>
      <c r="K57" s="375"/>
      <c r="L57" s="375"/>
      <c r="M57" s="375"/>
      <c r="N57" s="375"/>
      <c r="O57" s="375"/>
      <c r="P57" s="375"/>
      <c r="Q57" s="375"/>
      <c r="R57" s="300"/>
      <c r="S57" s="300"/>
      <c r="T57" s="300"/>
    </row>
    <row r="58" spans="3:20" ht="12.95" customHeight="1">
      <c r="C58" s="307"/>
      <c r="D58" s="377" t="s">
        <v>233</v>
      </c>
      <c r="E58" s="378"/>
      <c r="F58" s="378"/>
      <c r="G58" s="378"/>
      <c r="H58" s="378"/>
      <c r="I58" s="378"/>
      <c r="J58" s="378"/>
      <c r="K58" s="375"/>
      <c r="L58" s="375"/>
      <c r="M58" s="375"/>
      <c r="N58" s="300"/>
      <c r="O58" s="375"/>
      <c r="P58" s="375"/>
      <c r="Q58" s="375"/>
      <c r="R58" s="300"/>
      <c r="S58" s="300"/>
      <c r="T58" s="300"/>
    </row>
    <row r="59" spans="3:20" ht="12.95" customHeight="1">
      <c r="C59" s="307"/>
      <c r="D59" s="379"/>
      <c r="E59" s="380"/>
      <c r="F59" s="1831" t="s">
        <v>234</v>
      </c>
      <c r="G59" s="1831"/>
      <c r="H59" s="1831"/>
      <c r="I59" s="1831"/>
      <c r="J59" s="1831"/>
      <c r="K59" s="381"/>
      <c r="L59" s="381"/>
      <c r="M59" s="381"/>
      <c r="N59" s="381"/>
      <c r="O59" s="381"/>
      <c r="P59" s="381"/>
      <c r="Q59" s="300"/>
      <c r="R59" s="300"/>
      <c r="S59" s="300"/>
      <c r="T59" s="300"/>
    </row>
    <row r="60" spans="3:20" ht="12.95" customHeight="1">
      <c r="C60" s="307"/>
      <c r="D60" s="382"/>
      <c r="E60" s="383">
        <f>M31</f>
        <v>431846.89988741872</v>
      </c>
      <c r="F60" s="384">
        <f>G60-$K$55</f>
        <v>-0.01</v>
      </c>
      <c r="G60" s="384">
        <f>H60-$K$55</f>
        <v>-5.0000000000000001E-3</v>
      </c>
      <c r="H60" s="384">
        <f>Inputs!E252</f>
        <v>0</v>
      </c>
      <c r="I60" s="384">
        <f>H60+$K$55</f>
        <v>5.0000000000000001E-3</v>
      </c>
      <c r="J60" s="384">
        <f>I60+$K$55</f>
        <v>0.01</v>
      </c>
      <c r="K60" s="300"/>
      <c r="L60" s="300"/>
      <c r="M60" s="300"/>
      <c r="N60" s="300"/>
      <c r="O60" s="300"/>
      <c r="P60" s="300"/>
      <c r="Q60" s="300"/>
      <c r="R60" s="300"/>
      <c r="S60" s="300"/>
      <c r="T60" s="300"/>
    </row>
    <row r="61" spans="3:20" ht="12.95" customHeight="1">
      <c r="C61" s="307"/>
      <c r="D61" s="1832" t="s">
        <v>225</v>
      </c>
      <c r="E61" s="385">
        <f>E62-K56</f>
        <v>1.4999999999999999E-2</v>
      </c>
      <c r="F61" s="386">
        <f t="dataTable" ref="F61:J63" dt2D="1" dtr="1" r1="K38" r2="N40"/>
        <v>431846.89988741872</v>
      </c>
      <c r="G61" s="386">
        <v>431846.89988741872</v>
      </c>
      <c r="H61" s="387">
        <v>431846.89988741872</v>
      </c>
      <c r="I61" s="386">
        <v>431846.89988741872</v>
      </c>
      <c r="J61" s="388">
        <v>431846.89988741872</v>
      </c>
      <c r="K61" s="300"/>
      <c r="L61" s="300"/>
      <c r="M61" s="300"/>
      <c r="N61" s="300"/>
      <c r="O61" s="300"/>
      <c r="P61" s="300"/>
      <c r="Q61" s="300"/>
      <c r="R61" s="300"/>
      <c r="S61" s="300"/>
      <c r="T61" s="300"/>
    </row>
    <row r="62" spans="3:20" ht="12.95" customHeight="1">
      <c r="C62" s="307"/>
      <c r="D62" s="1832"/>
      <c r="E62" s="385">
        <f>long.term.growth</f>
        <v>0.02</v>
      </c>
      <c r="F62" s="387">
        <v>431846.89988741872</v>
      </c>
      <c r="G62" s="387">
        <v>431846.89988741872</v>
      </c>
      <c r="H62" s="389">
        <v>431846.89988741872</v>
      </c>
      <c r="I62" s="387">
        <v>431846.89988741872</v>
      </c>
      <c r="J62" s="390">
        <v>431846.89988741872</v>
      </c>
      <c r="K62" s="300"/>
      <c r="L62" s="300"/>
      <c r="M62" s="300"/>
      <c r="N62" s="300"/>
      <c r="O62" s="300"/>
      <c r="P62" s="300"/>
      <c r="Q62" s="300"/>
      <c r="R62" s="300"/>
      <c r="S62" s="300"/>
      <c r="T62" s="300"/>
    </row>
    <row r="63" spans="3:20" ht="12.95" customHeight="1">
      <c r="C63" s="307"/>
      <c r="D63" s="1832"/>
      <c r="E63" s="385">
        <f>E62+K56</f>
        <v>2.5000000000000001E-2</v>
      </c>
      <c r="F63" s="386">
        <v>431846.89988741872</v>
      </c>
      <c r="G63" s="386">
        <v>431846.89988741872</v>
      </c>
      <c r="H63" s="387">
        <v>431846.89988741872</v>
      </c>
      <c r="I63" s="386">
        <v>431846.89988741872</v>
      </c>
      <c r="J63" s="388">
        <v>431846.89988741872</v>
      </c>
      <c r="K63" s="300"/>
      <c r="L63" s="300"/>
      <c r="M63" s="300"/>
      <c r="N63" s="300"/>
      <c r="O63" s="300"/>
      <c r="P63" s="300"/>
      <c r="Q63" s="300"/>
      <c r="R63" s="300"/>
      <c r="S63" s="300"/>
      <c r="T63" s="300"/>
    </row>
    <row r="64" spans="3:20" ht="12.95" customHeight="1">
      <c r="C64" s="307"/>
      <c r="D64" s="391"/>
      <c r="E64" s="391"/>
      <c r="F64" s="391"/>
      <c r="G64" s="391"/>
      <c r="H64" s="391"/>
      <c r="I64" s="391"/>
      <c r="J64" s="391"/>
      <c r="K64" s="391"/>
      <c r="L64" s="391"/>
      <c r="M64" s="391"/>
      <c r="N64" s="391"/>
      <c r="O64" s="391"/>
      <c r="P64" s="391"/>
      <c r="Q64" s="391"/>
      <c r="R64" s="300"/>
      <c r="S64" s="300"/>
      <c r="T64" s="300"/>
    </row>
    <row r="65" spans="3:20">
      <c r="C65" s="307"/>
      <c r="D65" s="300"/>
      <c r="E65" s="300"/>
      <c r="F65" s="300"/>
      <c r="G65" s="300"/>
      <c r="H65" s="300"/>
      <c r="I65" s="300"/>
      <c r="J65" s="300"/>
      <c r="K65" s="300"/>
      <c r="L65" s="300"/>
      <c r="M65" s="300"/>
      <c r="N65" s="300"/>
      <c r="O65" s="300"/>
      <c r="P65" s="300"/>
      <c r="Q65" s="300"/>
      <c r="R65" s="300"/>
      <c r="S65" s="300"/>
      <c r="T65" s="300"/>
    </row>
  </sheetData>
  <mergeCells count="2">
    <mergeCell ref="F59:J59"/>
    <mergeCell ref="D61:D63"/>
  </mergeCells>
  <conditionalFormatting sqref="R51:R52">
    <cfRule type="containsText" dxfId="18" priority="1" operator="containsText" text="Not aligned">
      <formula>NOT(ISERROR(SEARCH("Not aligned",R51)))</formula>
    </cfRule>
    <cfRule type="containsText" dxfId="17" priority="2" operator="containsText" text="Aligned">
      <formula>NOT(ISERROR(SEARCH("Aligned",R51)))</formula>
    </cfRule>
  </conditionalFormatting>
  <pageMargins left="0.7" right="0.7" top="0.75" bottom="0.75" header="0.3" footer="0.3"/>
  <pageSetup scale="5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9AC50-A11F-4D10-9A9F-4ED69E7524B3}">
  <sheetPr>
    <tabColor rgb="FF92A4FC"/>
    <pageSetUpPr autoPageBreaks="0"/>
  </sheetPr>
  <dimension ref="A2:U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defaultColWidth="0" defaultRowHeight="11.25"/>
  <cols>
    <col min="1" max="1" width="2" style="63" customWidth="1"/>
    <col min="2" max="2" width="8.6640625" style="63" customWidth="1"/>
    <col min="3" max="3" width="22.6640625" style="63" customWidth="1"/>
    <col min="4" max="4" width="8.6640625" style="63" customWidth="1"/>
    <col min="5" max="6" width="8.6640625" style="63" hidden="1" customWidth="1"/>
    <col min="7" max="7" width="8.6640625" style="63" customWidth="1"/>
    <col min="8" max="9" width="7" style="63" bestFit="1" customWidth="1"/>
    <col min="10" max="11" width="6.109375" style="63" bestFit="1" customWidth="1"/>
    <col min="12" max="12" width="5.5546875" style="63" bestFit="1" customWidth="1"/>
    <col min="13" max="13" width="6.109375" style="63" bestFit="1" customWidth="1"/>
    <col min="14" max="14" width="5.5546875" style="63" bestFit="1" customWidth="1"/>
    <col min="15" max="18" width="5.44140625" style="63" bestFit="1" customWidth="1"/>
    <col min="19" max="21" width="8.6640625" style="63" customWidth="1"/>
    <col min="22" max="16384" width="8.6640625" style="63" hidden="1"/>
  </cols>
  <sheetData>
    <row r="2" spans="2:20">
      <c r="B2" s="62" t="str">
        <f>Inputs!B2</f>
        <v>Valify - UAE Valuation Services</v>
      </c>
    </row>
    <row r="3" spans="2:20">
      <c r="B3" s="64" t="str">
        <f>Inputs!$B$3</f>
        <v>Lazure Worldwide FZCO - Self Valuation using DCF Method, Transaction Multiples Method, &amp; Market Multiples Method as at September 30, 2024</v>
      </c>
    </row>
    <row r="4" spans="2:20">
      <c r="B4" s="65" t="s">
        <v>1889</v>
      </c>
    </row>
    <row r="5" spans="2:20" ht="12" thickBot="1">
      <c r="B5" s="66"/>
      <c r="C5" s="66"/>
      <c r="D5" s="66"/>
      <c r="E5" s="66"/>
      <c r="F5" s="66"/>
      <c r="G5" s="66"/>
      <c r="H5" s="66"/>
      <c r="I5" s="66"/>
      <c r="J5" s="66"/>
      <c r="K5" s="66"/>
      <c r="L5" s="66"/>
      <c r="M5" s="66"/>
      <c r="N5" s="66"/>
      <c r="O5" s="66"/>
      <c r="P5" s="66"/>
      <c r="Q5" s="66"/>
      <c r="R5" s="66"/>
      <c r="S5" s="66"/>
      <c r="T5" s="66"/>
    </row>
    <row r="6" spans="2:20" ht="12" thickTop="1"/>
    <row r="7" spans="2:20">
      <c r="C7" s="67" t="str">
        <f>"All amounts in "&amp;currency.heading1</f>
        <v>All amounts in INR 'Units</v>
      </c>
      <c r="D7" s="68"/>
      <c r="E7" s="68"/>
      <c r="F7" s="68"/>
      <c r="G7" s="68"/>
      <c r="H7" s="69" t="str">
        <f>IS_Calcs!H7</f>
        <v>FY21</v>
      </c>
      <c r="I7" s="69" t="str">
        <f>IS_Calcs!I7</f>
        <v>FY22</v>
      </c>
      <c r="J7" s="69" t="str">
        <f>IS_Calcs!J7</f>
        <v>FY23</v>
      </c>
      <c r="K7" s="69" t="str">
        <f>IS_Calcs!K7</f>
        <v>YTD24</v>
      </c>
      <c r="L7" s="69" t="str">
        <f>IS_Calcs!L7</f>
        <v>YTG24</v>
      </c>
      <c r="M7" s="69" t="str">
        <f>IS_Calcs!M7</f>
        <v>FY24</v>
      </c>
      <c r="N7" s="69" t="str">
        <f>IS_Calcs!N7</f>
        <v>FY25</v>
      </c>
      <c r="O7" s="69" t="str">
        <f>IS_Calcs!O7</f>
        <v>FY26</v>
      </c>
      <c r="P7" s="69" t="str">
        <f>IS_Calcs!P7</f>
        <v>FY27</v>
      </c>
      <c r="Q7" s="69" t="str">
        <f>IS_Calcs!Q7</f>
        <v>FY28</v>
      </c>
      <c r="R7" s="70" t="str">
        <f>IS_Calcs!R7</f>
        <v>FY29</v>
      </c>
    </row>
    <row r="8" spans="2:20">
      <c r="C8" s="68"/>
      <c r="D8" s="68"/>
      <c r="E8" s="68"/>
      <c r="F8" s="68"/>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T8" s="283" t="s">
        <v>1922</v>
      </c>
    </row>
    <row r="9" spans="2:20">
      <c r="C9" s="82" t="s">
        <v>1905</v>
      </c>
      <c r="T9" s="286"/>
    </row>
    <row r="10" spans="2:20">
      <c r="C10" s="63" t="s">
        <v>1400</v>
      </c>
      <c r="H10" s="198">
        <f>IS!H23</f>
        <v>0</v>
      </c>
      <c r="I10" s="198">
        <f>IS!I23</f>
        <v>0</v>
      </c>
      <c r="J10" s="198">
        <f>IS!J23</f>
        <v>0</v>
      </c>
      <c r="K10" s="198">
        <f>IS!K23</f>
        <v>0</v>
      </c>
      <c r="L10" s="198">
        <f>IS!L23</f>
        <v>168000</v>
      </c>
      <c r="M10" s="198">
        <f>IS!M23</f>
        <v>168000</v>
      </c>
      <c r="N10" s="198">
        <f>IS!N23</f>
        <v>168000</v>
      </c>
      <c r="O10" s="198">
        <f>IS!O23</f>
        <v>168000</v>
      </c>
      <c r="P10" s="198">
        <f>IS!P23</f>
        <v>168000</v>
      </c>
      <c r="Q10" s="198">
        <f>IS!Q23</f>
        <v>168000</v>
      </c>
      <c r="R10" s="198">
        <f>IS!R23</f>
        <v>168000</v>
      </c>
      <c r="T10" s="286"/>
    </row>
    <row r="11" spans="2:20">
      <c r="C11" s="63" t="s">
        <v>1883</v>
      </c>
      <c r="H11" s="198">
        <f>IS!H38</f>
        <v>0</v>
      </c>
      <c r="I11" s="198">
        <f>IS!I38</f>
        <v>0</v>
      </c>
      <c r="J11" s="198">
        <f>IS!J38</f>
        <v>0</v>
      </c>
      <c r="K11" s="198">
        <f>IS!K38</f>
        <v>0</v>
      </c>
      <c r="L11" s="198">
        <f>IS!L38</f>
        <v>-50400.000000000007</v>
      </c>
      <c r="M11" s="198">
        <f>IS!M38</f>
        <v>-50400.000000000007</v>
      </c>
      <c r="N11" s="198">
        <f>IS!N38</f>
        <v>-50400.000000000007</v>
      </c>
      <c r="O11" s="198">
        <f>IS!O38</f>
        <v>-50400.000000000007</v>
      </c>
      <c r="P11" s="198">
        <f>IS!P38</f>
        <v>-50400.000000000007</v>
      </c>
      <c r="Q11" s="198">
        <f>IS!Q38</f>
        <v>-50400.000000000007</v>
      </c>
      <c r="R11" s="198">
        <f>IS!R38</f>
        <v>-50400.000000000007</v>
      </c>
      <c r="T11" s="286"/>
    </row>
    <row r="12" spans="2:20">
      <c r="C12" s="63" t="s">
        <v>1906</v>
      </c>
      <c r="H12" s="198">
        <f>IS!H52</f>
        <v>0</v>
      </c>
      <c r="I12" s="198">
        <f>IS!I52</f>
        <v>0</v>
      </c>
      <c r="J12" s="198">
        <f>IS!J52</f>
        <v>0</v>
      </c>
      <c r="K12" s="198">
        <f>IS!K52</f>
        <v>0</v>
      </c>
      <c r="L12" s="198">
        <f>IS!L52</f>
        <v>-45000</v>
      </c>
      <c r="M12" s="198">
        <f>IS!M52</f>
        <v>-45000</v>
      </c>
      <c r="N12" s="198">
        <f>IS!N52</f>
        <v>-45000</v>
      </c>
      <c r="O12" s="198">
        <f>IS!O52</f>
        <v>-45000</v>
      </c>
      <c r="P12" s="198">
        <f>IS!P52</f>
        <v>-45000</v>
      </c>
      <c r="Q12" s="198">
        <f>IS!Q52</f>
        <v>-45000</v>
      </c>
      <c r="R12" s="198">
        <f>IS!R52</f>
        <v>-45000</v>
      </c>
      <c r="T12" s="286"/>
    </row>
    <row r="13" spans="2:20">
      <c r="C13" s="63" t="s">
        <v>3168</v>
      </c>
      <c r="H13" s="198">
        <f>IS!H43</f>
        <v>0</v>
      </c>
      <c r="I13" s="198">
        <f>IS!I43</f>
        <v>0</v>
      </c>
      <c r="J13" s="198">
        <f>IS!J43</f>
        <v>0</v>
      </c>
      <c r="K13" s="198">
        <f>IS!K43</f>
        <v>0</v>
      </c>
      <c r="L13" s="198">
        <f>IS!L43</f>
        <v>-5000</v>
      </c>
      <c r="M13" s="198">
        <f>IS!M43</f>
        <v>-5000</v>
      </c>
      <c r="N13" s="198">
        <f>IS!N43</f>
        <v>-5000</v>
      </c>
      <c r="O13" s="198">
        <f>IS!O43</f>
        <v>-5000</v>
      </c>
      <c r="P13" s="198">
        <f>IS!P43</f>
        <v>-5000</v>
      </c>
      <c r="Q13" s="198">
        <f>IS!Q43</f>
        <v>-5000</v>
      </c>
      <c r="R13" s="198">
        <f>IS!R43</f>
        <v>-5000</v>
      </c>
      <c r="T13" s="286"/>
    </row>
    <row r="14" spans="2:20">
      <c r="C14" s="63" t="s">
        <v>2539</v>
      </c>
      <c r="H14" s="198">
        <f>IS!H62</f>
        <v>0</v>
      </c>
      <c r="I14" s="198">
        <f>IS!I62</f>
        <v>0</v>
      </c>
      <c r="J14" s="198">
        <f>IS!J62</f>
        <v>0</v>
      </c>
      <c r="K14" s="198">
        <f>IS!K62</f>
        <v>0</v>
      </c>
      <c r="L14" s="198">
        <f>IS!L62</f>
        <v>-18524.023333333334</v>
      </c>
      <c r="M14" s="198">
        <f>IS!M62</f>
        <v>-18244.503333333334</v>
      </c>
      <c r="N14" s="198">
        <f>IS!N62</f>
        <v>-17848.516666666666</v>
      </c>
      <c r="O14" s="198">
        <f>IS!O62</f>
        <v>-17452.53</v>
      </c>
      <c r="P14" s="198">
        <f>IS!P62</f>
        <v>-17056.543333333335</v>
      </c>
      <c r="Q14" s="198">
        <f>IS!Q62</f>
        <v>-16660.556666666667</v>
      </c>
      <c r="R14" s="198">
        <f>IS!R62</f>
        <v>-16264.57</v>
      </c>
      <c r="T14" s="286"/>
    </row>
    <row r="15" spans="2:20">
      <c r="T15" s="286"/>
    </row>
    <row r="16" spans="2:20">
      <c r="C16" s="113" t="s">
        <v>1900</v>
      </c>
      <c r="D16" s="114"/>
      <c r="E16" s="114"/>
      <c r="F16" s="114"/>
      <c r="G16" s="114"/>
      <c r="H16" s="115" t="str">
        <f>IS_Calcs!H14</f>
        <v>FY21</v>
      </c>
      <c r="I16" s="115" t="str">
        <f>IS_Calcs!I14</f>
        <v>FY22</v>
      </c>
      <c r="J16" s="115" t="str">
        <f>IS_Calcs!J14</f>
        <v>FY23</v>
      </c>
      <c r="K16" s="115" t="str">
        <f>IS_Calcs!K14</f>
        <v>YTD24</v>
      </c>
      <c r="L16" s="115" t="str">
        <f>IS_Calcs!L14</f>
        <v>YTG24</v>
      </c>
      <c r="M16" s="115" t="str">
        <f>IS_Calcs!M14</f>
        <v>FY24</v>
      </c>
      <c r="N16" s="115" t="str">
        <f>IS_Calcs!N14</f>
        <v>FY25</v>
      </c>
      <c r="O16" s="115" t="str">
        <f>IS_Calcs!O14</f>
        <v>FY26</v>
      </c>
      <c r="P16" s="115" t="str">
        <f>IS_Calcs!P14</f>
        <v>FY27</v>
      </c>
      <c r="Q16" s="115" t="str">
        <f>IS_Calcs!Q14</f>
        <v>FY28</v>
      </c>
      <c r="R16" s="281" t="str">
        <f>IS_Calcs!R14</f>
        <v>FY29</v>
      </c>
      <c r="T16" s="286"/>
    </row>
    <row r="17" spans="3:20">
      <c r="C17" s="665" t="str">
        <f>currency.heading1</f>
        <v>INR 'Units</v>
      </c>
      <c r="D17" s="562"/>
      <c r="E17" s="562"/>
      <c r="F17" s="562"/>
      <c r="G17" s="562"/>
      <c r="H17" s="69" t="str">
        <f>IS_Calcs!H15</f>
        <v>Actual</v>
      </c>
      <c r="I17" s="69" t="str">
        <f>IS_Calcs!I15</f>
        <v>Actual</v>
      </c>
      <c r="J17" s="69" t="str">
        <f>IS_Calcs!J15</f>
        <v>Actual</v>
      </c>
      <c r="K17" s="69" t="str">
        <f>IS_Calcs!K15</f>
        <v>Actual</v>
      </c>
      <c r="L17" s="69" t="str">
        <f>IS_Calcs!L15</f>
        <v>Estimate</v>
      </c>
      <c r="M17" s="69" t="str">
        <f>IS_Calcs!M15</f>
        <v>Estimate</v>
      </c>
      <c r="N17" s="69" t="str">
        <f>IS_Calcs!N15</f>
        <v>Estimate</v>
      </c>
      <c r="O17" s="69" t="str">
        <f>IS_Calcs!O15</f>
        <v>Forecast</v>
      </c>
      <c r="P17" s="69" t="str">
        <f>IS_Calcs!P15</f>
        <v>Forecast</v>
      </c>
      <c r="Q17" s="69" t="str">
        <f>IS_Calcs!Q15</f>
        <v>Forecast</v>
      </c>
      <c r="R17" s="282" t="str">
        <f>IS_Calcs!R15</f>
        <v>Forecast</v>
      </c>
      <c r="T17" s="286"/>
    </row>
    <row r="18" spans="3:20">
      <c r="C18" s="666" t="s">
        <v>1526</v>
      </c>
      <c r="D18" s="294"/>
      <c r="E18" s="294"/>
      <c r="F18" s="294"/>
      <c r="G18" s="294"/>
      <c r="H18" s="580"/>
      <c r="I18" s="580"/>
      <c r="J18" s="580"/>
      <c r="K18" s="580"/>
      <c r="L18" s="580"/>
      <c r="M18" s="580"/>
      <c r="N18" s="580"/>
      <c r="O18" s="580"/>
      <c r="P18" s="580"/>
      <c r="Q18" s="580"/>
      <c r="R18" s="667"/>
      <c r="T18" s="286"/>
    </row>
    <row r="19" spans="3:20">
      <c r="C19" s="582" t="str">
        <f>C40</f>
        <v>Trade Receivables Days</v>
      </c>
      <c r="D19" s="85"/>
      <c r="E19" s="85"/>
      <c r="F19" s="85"/>
      <c r="G19" s="85"/>
      <c r="H19" s="645"/>
      <c r="I19" s="645"/>
      <c r="J19" s="645"/>
      <c r="K19" s="645"/>
      <c r="L19" s="668">
        <f t="shared" ref="L19" si="0">L10*L40/365</f>
        <v>0</v>
      </c>
      <c r="M19" s="668">
        <f t="shared" ref="M19:R19" si="1">M10*M40/365</f>
        <v>0</v>
      </c>
      <c r="N19" s="668">
        <f t="shared" si="1"/>
        <v>0</v>
      </c>
      <c r="O19" s="668">
        <f t="shared" si="1"/>
        <v>0</v>
      </c>
      <c r="P19" s="668">
        <f t="shared" si="1"/>
        <v>0</v>
      </c>
      <c r="Q19" s="668">
        <f t="shared" si="1"/>
        <v>0</v>
      </c>
      <c r="R19" s="669">
        <f t="shared" si="1"/>
        <v>0</v>
      </c>
      <c r="T19" s="286"/>
    </row>
    <row r="20" spans="3:20">
      <c r="C20" s="582" t="str">
        <f>C41</f>
        <v>Advances to Suppliers</v>
      </c>
      <c r="D20" s="85"/>
      <c r="E20" s="85"/>
      <c r="F20" s="85"/>
      <c r="G20" s="85"/>
      <c r="H20" s="645"/>
      <c r="I20" s="645"/>
      <c r="J20" s="645"/>
      <c r="K20" s="645"/>
      <c r="L20" s="668">
        <f>-L11*L41/365</f>
        <v>5523.2876712328771</v>
      </c>
      <c r="M20" s="668">
        <f>-M11*M41/365</f>
        <v>5523.2876712328771</v>
      </c>
      <c r="N20" s="668">
        <f t="shared" ref="N20:R20" si="2">-N11*N41/365</f>
        <v>5523.2876712328771</v>
      </c>
      <c r="O20" s="668">
        <f t="shared" si="2"/>
        <v>5523.2876712328771</v>
      </c>
      <c r="P20" s="668">
        <f t="shared" si="2"/>
        <v>5523.2876712328771</v>
      </c>
      <c r="Q20" s="668">
        <f t="shared" si="2"/>
        <v>5523.2876712328771</v>
      </c>
      <c r="R20" s="669">
        <f t="shared" si="2"/>
        <v>5523.2876712328771</v>
      </c>
      <c r="T20" s="286"/>
    </row>
    <row r="21" spans="3:20">
      <c r="C21" s="582" t="str">
        <f>C42</f>
        <v>Other Receivables Days</v>
      </c>
      <c r="D21" s="85"/>
      <c r="E21" s="85"/>
      <c r="F21" s="85"/>
      <c r="G21" s="85"/>
      <c r="H21" s="645"/>
      <c r="I21" s="645"/>
      <c r="J21" s="645"/>
      <c r="K21" s="645"/>
      <c r="L21" s="668">
        <f>L10*L42/365</f>
        <v>18410.95890410959</v>
      </c>
      <c r="M21" s="668">
        <f>M10*M42/365</f>
        <v>18410.95890410959</v>
      </c>
      <c r="N21" s="668">
        <f t="shared" ref="N21:R21" si="3">N10*N42/365</f>
        <v>18410.95890410959</v>
      </c>
      <c r="O21" s="668">
        <f t="shared" si="3"/>
        <v>18410.95890410959</v>
      </c>
      <c r="P21" s="668">
        <f t="shared" si="3"/>
        <v>18410.95890410959</v>
      </c>
      <c r="Q21" s="668">
        <f t="shared" si="3"/>
        <v>18410.95890410959</v>
      </c>
      <c r="R21" s="669">
        <f t="shared" si="3"/>
        <v>18410.95890410959</v>
      </c>
      <c r="T21" s="286">
        <f t="shared" ref="T21:T32" si="4">IFERROR((R21/N21)^(1/5)-1,"-")</f>
        <v>0</v>
      </c>
    </row>
    <row r="22" spans="3:20">
      <c r="C22" s="582" t="str">
        <f>C43</f>
        <v xml:space="preserve">Inventory Days </v>
      </c>
      <c r="D22" s="85"/>
      <c r="E22" s="85"/>
      <c r="F22" s="85"/>
      <c r="G22" s="85"/>
      <c r="H22" s="645"/>
      <c r="I22" s="645"/>
      <c r="J22" s="645"/>
      <c r="K22" s="645"/>
      <c r="L22" s="668">
        <f>-L11*L43/365</f>
        <v>3728.2191780821922</v>
      </c>
      <c r="M22" s="668">
        <f>-M11*M43/365</f>
        <v>3728.2191780821922</v>
      </c>
      <c r="N22" s="668">
        <f t="shared" ref="M22:R23" si="5">-N11*N43/365</f>
        <v>3728.2191780821922</v>
      </c>
      <c r="O22" s="668">
        <f t="shared" si="5"/>
        <v>3728.2191780821922</v>
      </c>
      <c r="P22" s="668">
        <f t="shared" si="5"/>
        <v>3728.2191780821922</v>
      </c>
      <c r="Q22" s="668">
        <f t="shared" si="5"/>
        <v>3728.2191780821922</v>
      </c>
      <c r="R22" s="669">
        <f t="shared" si="5"/>
        <v>3728.2191780821922</v>
      </c>
      <c r="T22" s="286">
        <f t="shared" si="4"/>
        <v>0</v>
      </c>
    </row>
    <row r="23" spans="3:20">
      <c r="C23" s="582" t="str">
        <f>C44</f>
        <v xml:space="preserve">Prepaid Expenses &amp; Other Days </v>
      </c>
      <c r="D23" s="85"/>
      <c r="E23" s="85"/>
      <c r="F23" s="85"/>
      <c r="G23" s="85"/>
      <c r="H23" s="645"/>
      <c r="I23" s="645"/>
      <c r="J23" s="645"/>
      <c r="K23" s="645"/>
      <c r="L23" s="668">
        <f t="shared" ref="L23" si="6">-L12*L44/365</f>
        <v>3698.6301369863013</v>
      </c>
      <c r="M23" s="668">
        <f t="shared" si="5"/>
        <v>3698.6301369863013</v>
      </c>
      <c r="N23" s="668">
        <f t="shared" si="5"/>
        <v>3698.6301369863013</v>
      </c>
      <c r="O23" s="668">
        <f t="shared" si="5"/>
        <v>3698.6301369863013</v>
      </c>
      <c r="P23" s="668">
        <f t="shared" si="5"/>
        <v>3698.6301369863013</v>
      </c>
      <c r="Q23" s="668">
        <f t="shared" si="5"/>
        <v>3698.6301369863013</v>
      </c>
      <c r="R23" s="669">
        <f t="shared" si="5"/>
        <v>3698.6301369863013</v>
      </c>
      <c r="T23" s="286">
        <f t="shared" si="4"/>
        <v>0</v>
      </c>
    </row>
    <row r="24" spans="3:20">
      <c r="C24" s="582"/>
      <c r="D24" s="85"/>
      <c r="E24" s="85"/>
      <c r="F24" s="85"/>
      <c r="G24" s="85"/>
      <c r="H24" s="645"/>
      <c r="I24" s="645"/>
      <c r="J24" s="645"/>
      <c r="K24" s="645"/>
      <c r="L24" s="583"/>
      <c r="M24" s="583"/>
      <c r="N24" s="583"/>
      <c r="O24" s="583"/>
      <c r="P24" s="583"/>
      <c r="Q24" s="583"/>
      <c r="R24" s="585"/>
      <c r="T24" s="286" t="str">
        <f t="shared" si="4"/>
        <v>-</v>
      </c>
    </row>
    <row r="25" spans="3:20">
      <c r="C25" s="666" t="s">
        <v>1903</v>
      </c>
      <c r="D25" s="85"/>
      <c r="E25" s="85"/>
      <c r="F25" s="85"/>
      <c r="G25" s="85"/>
      <c r="H25" s="645"/>
      <c r="I25" s="645"/>
      <c r="J25" s="645"/>
      <c r="K25" s="645"/>
      <c r="L25" s="583"/>
      <c r="M25" s="583"/>
      <c r="N25" s="583"/>
      <c r="O25" s="583"/>
      <c r="P25" s="583"/>
      <c r="Q25" s="583"/>
      <c r="R25" s="585"/>
      <c r="T25" s="286" t="str">
        <f t="shared" si="4"/>
        <v>-</v>
      </c>
    </row>
    <row r="26" spans="3:20">
      <c r="C26" s="582" t="str">
        <f t="shared" ref="C26:C31" si="7">C47</f>
        <v xml:space="preserve">Trade Payables Days </v>
      </c>
      <c r="D26" s="85"/>
      <c r="E26" s="85"/>
      <c r="F26" s="85"/>
      <c r="G26" s="85"/>
      <c r="H26" s="645"/>
      <c r="I26" s="645"/>
      <c r="J26" s="645"/>
      <c r="K26" s="645"/>
      <c r="L26" s="1331">
        <f>L47*-L11/365</f>
        <v>0</v>
      </c>
      <c r="M26" s="1331">
        <f>M47*-M11/365</f>
        <v>0</v>
      </c>
      <c r="N26" s="583">
        <f t="shared" ref="N26:R26" si="8">N47*-N11/365</f>
        <v>0</v>
      </c>
      <c r="O26" s="583">
        <f t="shared" si="8"/>
        <v>0</v>
      </c>
      <c r="P26" s="583">
        <f t="shared" si="8"/>
        <v>0</v>
      </c>
      <c r="Q26" s="583">
        <f t="shared" si="8"/>
        <v>0</v>
      </c>
      <c r="R26" s="585">
        <f t="shared" si="8"/>
        <v>0</v>
      </c>
      <c r="T26" s="286" t="str">
        <f t="shared" si="4"/>
        <v>-</v>
      </c>
    </row>
    <row r="27" spans="3:20">
      <c r="C27" s="582" t="str">
        <f t="shared" si="7"/>
        <v>Advances from Customers</v>
      </c>
      <c r="D27" s="85"/>
      <c r="E27" s="85"/>
      <c r="F27" s="85"/>
      <c r="G27" s="85"/>
      <c r="H27" s="645"/>
      <c r="I27" s="645"/>
      <c r="J27" s="645"/>
      <c r="K27" s="645"/>
      <c r="L27" s="1331">
        <f>L48*L10/365</f>
        <v>9205.4794520547948</v>
      </c>
      <c r="M27" s="1331">
        <f>M48*M10/365</f>
        <v>9205.4794520547948</v>
      </c>
      <c r="N27" s="583">
        <f t="shared" ref="N27:R27" si="9">N48*N10/365</f>
        <v>9205.4794520547948</v>
      </c>
      <c r="O27" s="583">
        <f t="shared" si="9"/>
        <v>9205.4794520547948</v>
      </c>
      <c r="P27" s="583">
        <f t="shared" si="9"/>
        <v>9205.4794520547948</v>
      </c>
      <c r="Q27" s="583">
        <f t="shared" si="9"/>
        <v>9205.4794520547948</v>
      </c>
      <c r="R27" s="585">
        <f t="shared" si="9"/>
        <v>9205.4794520547948</v>
      </c>
      <c r="T27" s="286"/>
    </row>
    <row r="28" spans="3:20">
      <c r="C28" s="582" t="str">
        <f t="shared" si="7"/>
        <v>Salaries Payable</v>
      </c>
      <c r="D28" s="85"/>
      <c r="E28" s="85"/>
      <c r="F28" s="85"/>
      <c r="G28" s="85"/>
      <c r="H28" s="645"/>
      <c r="I28" s="645"/>
      <c r="J28" s="645"/>
      <c r="K28" s="645"/>
      <c r="L28" s="1331">
        <f t="shared" ref="L28" si="10">L49*-L13/365</f>
        <v>547.94520547945206</v>
      </c>
      <c r="M28" s="1331">
        <f t="shared" ref="M28:R28" si="11">M49*-M13/365</f>
        <v>547.94520547945206</v>
      </c>
      <c r="N28" s="583">
        <f t="shared" si="11"/>
        <v>547.94520547945206</v>
      </c>
      <c r="O28" s="583">
        <f t="shared" si="11"/>
        <v>547.94520547945206</v>
      </c>
      <c r="P28" s="583">
        <f t="shared" si="11"/>
        <v>547.94520547945206</v>
      </c>
      <c r="Q28" s="583">
        <f t="shared" si="11"/>
        <v>547.94520547945206</v>
      </c>
      <c r="R28" s="585">
        <f t="shared" si="11"/>
        <v>547.94520547945206</v>
      </c>
      <c r="T28" s="286">
        <f t="shared" si="4"/>
        <v>0</v>
      </c>
    </row>
    <row r="29" spans="3:20">
      <c r="C29" s="582" t="str">
        <f t="shared" si="7"/>
        <v xml:space="preserve">Accrued Expenses Days </v>
      </c>
      <c r="D29" s="85"/>
      <c r="E29" s="85"/>
      <c r="F29" s="85"/>
      <c r="G29" s="85"/>
      <c r="H29" s="645"/>
      <c r="I29" s="645"/>
      <c r="J29" s="645"/>
      <c r="K29" s="645"/>
      <c r="L29" s="1331">
        <f t="shared" ref="L29" si="12">L50*-L12/365</f>
        <v>3328.7671232876714</v>
      </c>
      <c r="M29" s="1331">
        <f t="shared" ref="M29:R29" si="13">M50*-M12/365</f>
        <v>3328.7671232876714</v>
      </c>
      <c r="N29" s="668">
        <f t="shared" si="13"/>
        <v>3328.7671232876714</v>
      </c>
      <c r="O29" s="583">
        <f t="shared" si="13"/>
        <v>3328.7671232876714</v>
      </c>
      <c r="P29" s="583">
        <f t="shared" si="13"/>
        <v>3328.7671232876714</v>
      </c>
      <c r="Q29" s="583">
        <f t="shared" si="13"/>
        <v>3328.7671232876714</v>
      </c>
      <c r="R29" s="585">
        <f t="shared" si="13"/>
        <v>3328.7671232876714</v>
      </c>
      <c r="T29" s="286">
        <f t="shared" si="4"/>
        <v>0</v>
      </c>
    </row>
    <row r="30" spans="3:20">
      <c r="C30" s="582" t="str">
        <f t="shared" si="7"/>
        <v xml:space="preserve">Tax Payables Days </v>
      </c>
      <c r="D30" s="85"/>
      <c r="E30" s="85"/>
      <c r="F30" s="85"/>
      <c r="G30" s="85"/>
      <c r="H30" s="645"/>
      <c r="I30" s="645"/>
      <c r="J30" s="645"/>
      <c r="K30" s="645"/>
      <c r="L30" s="1331">
        <f t="shared" ref="L30" si="14">L51*-L14/365</f>
        <v>1522.5224657534247</v>
      </c>
      <c r="M30" s="1331">
        <f t="shared" ref="M30:R30" si="15">M51*-M14/365</f>
        <v>1499.548219178082</v>
      </c>
      <c r="N30" s="668">
        <f t="shared" si="15"/>
        <v>1467.0013698630137</v>
      </c>
      <c r="O30" s="583">
        <f t="shared" si="15"/>
        <v>1434.4545205479451</v>
      </c>
      <c r="P30" s="583">
        <f t="shared" si="15"/>
        <v>1401.9076712328767</v>
      </c>
      <c r="Q30" s="583">
        <f t="shared" si="15"/>
        <v>1369.3608219178082</v>
      </c>
      <c r="R30" s="585">
        <f t="shared" si="15"/>
        <v>1336.8139726027396</v>
      </c>
      <c r="T30" s="286">
        <f t="shared" si="4"/>
        <v>-1.84145971665024E-2</v>
      </c>
    </row>
    <row r="31" spans="3:20">
      <c r="C31" s="582" t="str">
        <f t="shared" si="7"/>
        <v xml:space="preserve">Other Payables Days </v>
      </c>
      <c r="D31" s="85"/>
      <c r="E31" s="85"/>
      <c r="F31" s="85"/>
      <c r="G31" s="85"/>
      <c r="H31" s="645"/>
      <c r="I31" s="645"/>
      <c r="J31" s="645"/>
      <c r="K31" s="645"/>
      <c r="L31" s="1332">
        <f t="shared" ref="L31" si="16">-L12*L52/365</f>
        <v>1232.8767123287671</v>
      </c>
      <c r="M31" s="1332">
        <f t="shared" ref="M31:R31" si="17">-M12*M52/365</f>
        <v>1232.8767123287671</v>
      </c>
      <c r="N31" s="668">
        <f t="shared" si="17"/>
        <v>0</v>
      </c>
      <c r="O31" s="583">
        <f t="shared" si="17"/>
        <v>0</v>
      </c>
      <c r="P31" s="583">
        <f t="shared" si="17"/>
        <v>0</v>
      </c>
      <c r="Q31" s="583">
        <f t="shared" si="17"/>
        <v>0</v>
      </c>
      <c r="R31" s="585">
        <f t="shared" si="17"/>
        <v>0</v>
      </c>
      <c r="T31" s="286" t="str">
        <f t="shared" si="4"/>
        <v>-</v>
      </c>
    </row>
    <row r="32" spans="3:20">
      <c r="C32" s="670" t="s">
        <v>1901</v>
      </c>
      <c r="D32" s="671"/>
      <c r="E32" s="671"/>
      <c r="F32" s="671"/>
      <c r="G32" s="671"/>
      <c r="H32" s="672">
        <f t="shared" ref="H32" si="18">SUM(H19:H23)-SUM(H26:H31)</f>
        <v>0</v>
      </c>
      <c r="I32" s="672">
        <f t="shared" ref="I32:R32" si="19">SUM(I19:I23)-SUM(I26:I31)</f>
        <v>0</v>
      </c>
      <c r="J32" s="672">
        <f t="shared" si="19"/>
        <v>0</v>
      </c>
      <c r="K32" s="672">
        <f t="shared" si="19"/>
        <v>0</v>
      </c>
      <c r="L32" s="672">
        <f t="shared" si="19"/>
        <v>15523.504931506846</v>
      </c>
      <c r="M32" s="672">
        <f>SUM(M19:M23)-SUM(M26:M31)</f>
        <v>15546.479178082189</v>
      </c>
      <c r="N32" s="672">
        <f t="shared" si="19"/>
        <v>16811.902739726025</v>
      </c>
      <c r="O32" s="672">
        <f t="shared" si="19"/>
        <v>16844.449589041094</v>
      </c>
      <c r="P32" s="672">
        <f t="shared" si="19"/>
        <v>16876.99643835616</v>
      </c>
      <c r="Q32" s="672">
        <f t="shared" si="19"/>
        <v>16909.543287671229</v>
      </c>
      <c r="R32" s="673">
        <f t="shared" si="19"/>
        <v>16942.090136986299</v>
      </c>
      <c r="T32" s="286">
        <f t="shared" si="4"/>
        <v>1.5439775811652012E-3</v>
      </c>
    </row>
    <row r="33" spans="3:20">
      <c r="C33" s="117" t="s">
        <v>2158</v>
      </c>
      <c r="D33" s="674"/>
      <c r="E33" s="674"/>
      <c r="F33" s="674"/>
      <c r="G33" s="674"/>
      <c r="H33" s="624">
        <f>H32-F32</f>
        <v>0</v>
      </c>
      <c r="I33" s="624">
        <f>I32-H32</f>
        <v>0</v>
      </c>
      <c r="J33" s="624">
        <f t="shared" ref="J33:R33" si="20">J32-I32</f>
        <v>0</v>
      </c>
      <c r="K33" s="624">
        <f t="shared" si="20"/>
        <v>0</v>
      </c>
      <c r="L33" s="1335">
        <f>L32-K32</f>
        <v>15523.504931506846</v>
      </c>
      <c r="M33" s="675">
        <f>M32-K32</f>
        <v>15546.479178082189</v>
      </c>
      <c r="N33" s="675">
        <f>N32-M32</f>
        <v>1265.4235616438364</v>
      </c>
      <c r="O33" s="624">
        <f t="shared" si="20"/>
        <v>32.546849315069267</v>
      </c>
      <c r="P33" s="624">
        <f t="shared" si="20"/>
        <v>32.546849315065629</v>
      </c>
      <c r="Q33" s="624">
        <f t="shared" si="20"/>
        <v>32.546849315069267</v>
      </c>
      <c r="R33" s="625">
        <f t="shared" si="20"/>
        <v>32.546849315069267</v>
      </c>
      <c r="T33" s="286"/>
    </row>
    <row r="34" spans="3:20">
      <c r="C34" s="117" t="s">
        <v>2159</v>
      </c>
      <c r="D34" s="109"/>
      <c r="E34" s="109"/>
      <c r="F34" s="109"/>
      <c r="G34" s="109"/>
      <c r="H34" s="676" t="e">
        <f>H32/IS!H23</f>
        <v>#DIV/0!</v>
      </c>
      <c r="I34" s="676" t="e">
        <f>I32/IS!I23</f>
        <v>#DIV/0!</v>
      </c>
      <c r="J34" s="676" t="e">
        <f>J32/IS!J23</f>
        <v>#DIV/0!</v>
      </c>
      <c r="K34" s="676" t="e">
        <f>K32/IS!K23</f>
        <v>#DIV/0!</v>
      </c>
      <c r="L34" s="676">
        <f>L32/L10</f>
        <v>9.2401815068493126E-2</v>
      </c>
      <c r="M34" s="676">
        <f t="shared" ref="M34:R34" si="21">M32/M10</f>
        <v>9.2538566536203501E-2</v>
      </c>
      <c r="N34" s="676">
        <f t="shared" si="21"/>
        <v>0.10007084964122634</v>
      </c>
      <c r="O34" s="676">
        <f t="shared" si="21"/>
        <v>0.10026458088714937</v>
      </c>
      <c r="P34" s="676">
        <f t="shared" si="21"/>
        <v>0.10045831213307238</v>
      </c>
      <c r="Q34" s="676">
        <f t="shared" si="21"/>
        <v>0.10065204337899541</v>
      </c>
      <c r="R34" s="677">
        <f t="shared" si="21"/>
        <v>0.10084577462491845</v>
      </c>
      <c r="T34" s="286"/>
    </row>
    <row r="35" spans="3:20">
      <c r="C35" s="125" t="s">
        <v>2160</v>
      </c>
      <c r="D35" s="678"/>
      <c r="E35" s="678"/>
      <c r="F35" s="678"/>
      <c r="G35" s="678"/>
      <c r="H35" s="1333"/>
      <c r="I35" s="1333"/>
      <c r="J35" s="1333"/>
      <c r="K35" s="1333"/>
      <c r="L35" s="1333"/>
      <c r="M35" s="1333"/>
      <c r="N35" s="1333"/>
      <c r="O35" s="1333"/>
      <c r="P35" s="1333"/>
      <c r="Q35" s="1333"/>
      <c r="R35" s="1334"/>
      <c r="T35" s="286"/>
    </row>
    <row r="36" spans="3:20">
      <c r="T36" s="286" t="str">
        <f t="shared" ref="T36:T63" si="22">IFERROR((R36/N36)^(1/5)-1,"-")</f>
        <v>-</v>
      </c>
    </row>
    <row r="37" spans="3:20">
      <c r="C37" s="113" t="s">
        <v>1902</v>
      </c>
      <c r="D37" s="114"/>
      <c r="E37" s="114"/>
      <c r="F37" s="114"/>
      <c r="G37" s="114"/>
      <c r="H37" s="115" t="str">
        <f>IS_Calcs!H14</f>
        <v>FY21</v>
      </c>
      <c r="I37" s="115" t="str">
        <f>IS_Calcs!I14</f>
        <v>FY22</v>
      </c>
      <c r="J37" s="115" t="str">
        <f>IS_Calcs!J14</f>
        <v>FY23</v>
      </c>
      <c r="K37" s="115" t="str">
        <f>IS_Calcs!K14</f>
        <v>YTD24</v>
      </c>
      <c r="L37" s="115" t="str">
        <f>IS_Calcs!L14</f>
        <v>YTG24</v>
      </c>
      <c r="M37" s="115" t="str">
        <f>IS_Calcs!M14</f>
        <v>FY24</v>
      </c>
      <c r="N37" s="115" t="str">
        <f>IS_Calcs!N14</f>
        <v>FY25</v>
      </c>
      <c r="O37" s="115" t="str">
        <f>IS_Calcs!O14</f>
        <v>FY26</v>
      </c>
      <c r="P37" s="115" t="str">
        <f>IS_Calcs!P14</f>
        <v>FY27</v>
      </c>
      <c r="Q37" s="115" t="str">
        <f>IS_Calcs!Q14</f>
        <v>FY28</v>
      </c>
      <c r="R37" s="281" t="str">
        <f>IS_Calcs!R14</f>
        <v>FY29</v>
      </c>
      <c r="T37" s="286" t="str">
        <f t="shared" si="22"/>
        <v>-</v>
      </c>
    </row>
    <row r="38" spans="3:20">
      <c r="C38" s="665"/>
      <c r="D38" s="562"/>
      <c r="E38" s="562"/>
      <c r="F38" s="562"/>
      <c r="G38" s="562"/>
      <c r="H38" s="69" t="str">
        <f>IS_Calcs!H15</f>
        <v>Actual</v>
      </c>
      <c r="I38" s="69" t="str">
        <f>IS_Calcs!I15</f>
        <v>Actual</v>
      </c>
      <c r="J38" s="69" t="str">
        <f>IS_Calcs!J15</f>
        <v>Actual</v>
      </c>
      <c r="K38" s="69" t="str">
        <f>IS_Calcs!K15</f>
        <v>Actual</v>
      </c>
      <c r="L38" s="69" t="str">
        <f>IS_Calcs!L15</f>
        <v>Estimate</v>
      </c>
      <c r="M38" s="69" t="str">
        <f>IS_Calcs!M15</f>
        <v>Estimate</v>
      </c>
      <c r="N38" s="69" t="str">
        <f>IS_Calcs!N15</f>
        <v>Estimate</v>
      </c>
      <c r="O38" s="69" t="str">
        <f>IS_Calcs!O15</f>
        <v>Forecast</v>
      </c>
      <c r="P38" s="69" t="str">
        <f>IS_Calcs!P15</f>
        <v>Forecast</v>
      </c>
      <c r="Q38" s="69" t="str">
        <f>IS_Calcs!Q15</f>
        <v>Forecast</v>
      </c>
      <c r="R38" s="282" t="str">
        <f>IS_Calcs!R15</f>
        <v>Forecast</v>
      </c>
      <c r="T38" s="286" t="str">
        <f t="shared" si="22"/>
        <v>-</v>
      </c>
    </row>
    <row r="39" spans="3:20">
      <c r="C39" s="679" t="str">
        <f>C18</f>
        <v>Current Assets</v>
      </c>
      <c r="D39" s="680"/>
      <c r="E39" s="680"/>
      <c r="F39" s="680"/>
      <c r="G39" s="680"/>
      <c r="H39" s="681"/>
      <c r="I39" s="681"/>
      <c r="J39" s="681"/>
      <c r="K39" s="681"/>
      <c r="L39" s="681"/>
      <c r="M39" s="681"/>
      <c r="N39" s="681"/>
      <c r="O39" s="681"/>
      <c r="P39" s="681"/>
      <c r="Q39" s="681"/>
      <c r="R39" s="682"/>
      <c r="T39" s="286" t="str">
        <f t="shared" si="22"/>
        <v>-</v>
      </c>
    </row>
    <row r="40" spans="3:20">
      <c r="C40" s="582" t="s">
        <v>2467</v>
      </c>
      <c r="D40" s="85"/>
      <c r="E40" s="85"/>
      <c r="F40" s="85"/>
      <c r="G40" s="85"/>
      <c r="H40" s="645"/>
      <c r="I40" s="645"/>
      <c r="J40" s="645"/>
      <c r="K40" s="645"/>
      <c r="L40" s="1719">
        <f>M40</f>
        <v>0</v>
      </c>
      <c r="M40" s="646">
        <f>IF(Inputs!L232&lt;0,0,Inputs!L232)</f>
        <v>0</v>
      </c>
      <c r="N40" s="646">
        <f>IF(Inputs!M232&lt;0,0,Inputs!M232)</f>
        <v>0</v>
      </c>
      <c r="O40" s="646">
        <f>IF(Inputs!N232&lt;0,0,Inputs!N232)</f>
        <v>0</v>
      </c>
      <c r="P40" s="646">
        <f>IF(Inputs!O232&lt;0,0,Inputs!O232)</f>
        <v>0</v>
      </c>
      <c r="Q40" s="646">
        <f>IF(Inputs!P232&lt;0,0,Inputs!P232)</f>
        <v>0</v>
      </c>
      <c r="R40" s="1316">
        <f>IF(Inputs!Q232&lt;0,0,Inputs!Q232)</f>
        <v>0</v>
      </c>
      <c r="T40" s="286" t="str">
        <f t="shared" si="22"/>
        <v>-</v>
      </c>
    </row>
    <row r="41" spans="3:20">
      <c r="C41" s="582" t="s">
        <v>2677</v>
      </c>
      <c r="D41" s="85"/>
      <c r="E41" s="85"/>
      <c r="F41" s="85"/>
      <c r="G41" s="85"/>
      <c r="H41" s="645"/>
      <c r="I41" s="645"/>
      <c r="J41" s="645"/>
      <c r="K41" s="645"/>
      <c r="L41" s="1719">
        <f t="shared" ref="L41:L52" si="23">M41</f>
        <v>40</v>
      </c>
      <c r="M41" s="646">
        <f>IF(Inputs!L237&lt;0,-Inputs!L237,0)</f>
        <v>40</v>
      </c>
      <c r="N41" s="646">
        <f>IF(Inputs!M237&lt;0,-Inputs!M237,0)</f>
        <v>40</v>
      </c>
      <c r="O41" s="646">
        <f>IF(Inputs!N237&lt;0,-Inputs!N237,0)</f>
        <v>40</v>
      </c>
      <c r="P41" s="646">
        <f>IF(Inputs!O237&lt;0,-Inputs!O237,0)</f>
        <v>40</v>
      </c>
      <c r="Q41" s="646">
        <f>IF(Inputs!P237&lt;0,-Inputs!P237,0)</f>
        <v>40</v>
      </c>
      <c r="R41" s="1316">
        <f>IF(Inputs!Q237&lt;0,-Inputs!Q237,0)</f>
        <v>40</v>
      </c>
      <c r="T41" s="286"/>
    </row>
    <row r="42" spans="3:20">
      <c r="C42" s="582" t="s">
        <v>2470</v>
      </c>
      <c r="D42" s="85"/>
      <c r="E42" s="85"/>
      <c r="F42" s="85"/>
      <c r="G42" s="85"/>
      <c r="H42" s="645"/>
      <c r="I42" s="645"/>
      <c r="J42" s="645"/>
      <c r="K42" s="645"/>
      <c r="L42" s="1719">
        <f t="shared" si="23"/>
        <v>40</v>
      </c>
      <c r="M42" s="646">
        <f>Inputs!L233</f>
        <v>40</v>
      </c>
      <c r="N42" s="646">
        <f>Inputs!M233</f>
        <v>40</v>
      </c>
      <c r="O42" s="646">
        <f>Inputs!N233</f>
        <v>40</v>
      </c>
      <c r="P42" s="646">
        <f>Inputs!O233</f>
        <v>40</v>
      </c>
      <c r="Q42" s="646">
        <f>Inputs!P233</f>
        <v>40</v>
      </c>
      <c r="R42" s="1316">
        <f>Inputs!Q233</f>
        <v>40</v>
      </c>
      <c r="T42" s="286">
        <f t="shared" si="22"/>
        <v>0</v>
      </c>
    </row>
    <row r="43" spans="3:20">
      <c r="C43" s="582" t="s">
        <v>2472</v>
      </c>
      <c r="D43" s="85"/>
      <c r="E43" s="85"/>
      <c r="F43" s="85"/>
      <c r="G43" s="85"/>
      <c r="H43" s="645"/>
      <c r="I43" s="645"/>
      <c r="J43" s="645"/>
      <c r="K43" s="645"/>
      <c r="L43" s="1719">
        <f t="shared" si="23"/>
        <v>27</v>
      </c>
      <c r="M43" s="646">
        <f>Inputs!L234</f>
        <v>27</v>
      </c>
      <c r="N43" s="646">
        <f>Inputs!M234</f>
        <v>27</v>
      </c>
      <c r="O43" s="646">
        <f>Inputs!N234</f>
        <v>27</v>
      </c>
      <c r="P43" s="646">
        <f>Inputs!O234</f>
        <v>27</v>
      </c>
      <c r="Q43" s="646">
        <f>Inputs!P234</f>
        <v>27</v>
      </c>
      <c r="R43" s="1316">
        <f>Inputs!Q234</f>
        <v>27</v>
      </c>
      <c r="T43" s="286">
        <f t="shared" si="22"/>
        <v>0</v>
      </c>
    </row>
    <row r="44" spans="3:20">
      <c r="C44" s="582" t="s">
        <v>2474</v>
      </c>
      <c r="D44" s="85"/>
      <c r="E44" s="85"/>
      <c r="F44" s="85"/>
      <c r="G44" s="85"/>
      <c r="H44" s="645"/>
      <c r="I44" s="645"/>
      <c r="J44" s="645"/>
      <c r="K44" s="645"/>
      <c r="L44" s="1719">
        <f t="shared" si="23"/>
        <v>30</v>
      </c>
      <c r="M44" s="646">
        <f>Inputs!L235</f>
        <v>30</v>
      </c>
      <c r="N44" s="646">
        <f>Inputs!M235</f>
        <v>30</v>
      </c>
      <c r="O44" s="646">
        <f>Inputs!N235</f>
        <v>30</v>
      </c>
      <c r="P44" s="646">
        <f>Inputs!O235</f>
        <v>30</v>
      </c>
      <c r="Q44" s="646">
        <f>Inputs!P235</f>
        <v>30</v>
      </c>
      <c r="R44" s="1316">
        <f>Inputs!Q235</f>
        <v>30</v>
      </c>
      <c r="T44" s="286">
        <f t="shared" si="22"/>
        <v>0</v>
      </c>
    </row>
    <row r="45" spans="3:20">
      <c r="C45" s="582"/>
      <c r="D45" s="85"/>
      <c r="E45" s="85"/>
      <c r="F45" s="85"/>
      <c r="G45" s="85"/>
      <c r="H45" s="645"/>
      <c r="I45" s="645"/>
      <c r="J45" s="645"/>
      <c r="K45" s="645"/>
      <c r="L45" s="1719"/>
      <c r="M45" s="583"/>
      <c r="N45" s="583"/>
      <c r="O45" s="583"/>
      <c r="P45" s="583"/>
      <c r="Q45" s="583"/>
      <c r="R45" s="585"/>
      <c r="T45" s="286" t="str">
        <f t="shared" si="22"/>
        <v>-</v>
      </c>
    </row>
    <row r="46" spans="3:20">
      <c r="C46" s="666" t="str">
        <f>C25</f>
        <v>Current Liabilities</v>
      </c>
      <c r="D46" s="85"/>
      <c r="E46" s="85"/>
      <c r="F46" s="85"/>
      <c r="G46" s="85"/>
      <c r="H46" s="645"/>
      <c r="I46" s="645"/>
      <c r="J46" s="645"/>
      <c r="K46" s="645"/>
      <c r="L46" s="1719"/>
      <c r="M46" s="583"/>
      <c r="N46" s="583"/>
      <c r="O46" s="583"/>
      <c r="P46" s="583"/>
      <c r="Q46" s="583"/>
      <c r="R46" s="585"/>
      <c r="T46" s="286" t="str">
        <f t="shared" si="22"/>
        <v>-</v>
      </c>
    </row>
    <row r="47" spans="3:20">
      <c r="C47" s="582" t="s">
        <v>2476</v>
      </c>
      <c r="D47" s="85"/>
      <c r="E47" s="85"/>
      <c r="F47" s="85"/>
      <c r="G47" s="85"/>
      <c r="H47" s="645"/>
      <c r="I47" s="645"/>
      <c r="J47" s="645"/>
      <c r="K47" s="645"/>
      <c r="L47" s="1719"/>
      <c r="M47" s="646">
        <f>IF(Inputs!L237&lt;0,0,Inputs!L237)</f>
        <v>0</v>
      </c>
      <c r="N47" s="646">
        <f>IF(Inputs!M237&lt;0,0,Inputs!M237)</f>
        <v>0</v>
      </c>
      <c r="O47" s="646">
        <f>IF(Inputs!N237&lt;0,0,Inputs!N237)</f>
        <v>0</v>
      </c>
      <c r="P47" s="646">
        <f>IF(Inputs!O237&lt;0,0,Inputs!O237)</f>
        <v>0</v>
      </c>
      <c r="Q47" s="646">
        <f>IF(Inputs!P237&lt;0,0,Inputs!P237)</f>
        <v>0</v>
      </c>
      <c r="R47" s="1316">
        <f>IF(Inputs!Q237&lt;0,0,Inputs!Q237)</f>
        <v>0</v>
      </c>
      <c r="T47" s="286" t="str">
        <f t="shared" si="22"/>
        <v>-</v>
      </c>
    </row>
    <row r="48" spans="3:20">
      <c r="C48" s="582" t="s">
        <v>2676</v>
      </c>
      <c r="D48" s="85"/>
      <c r="E48" s="85"/>
      <c r="F48" s="85"/>
      <c r="G48" s="85"/>
      <c r="H48" s="645"/>
      <c r="I48" s="645"/>
      <c r="J48" s="645"/>
      <c r="K48" s="645"/>
      <c r="L48" s="1719">
        <f t="shared" si="23"/>
        <v>20</v>
      </c>
      <c r="M48" s="646">
        <f>IF(Inputs!L232&lt;0,-Inputs!L232,0)</f>
        <v>20</v>
      </c>
      <c r="N48" s="646">
        <f>IF(Inputs!M232&lt;0,-Inputs!M232,0)</f>
        <v>20</v>
      </c>
      <c r="O48" s="646">
        <f>IF(Inputs!N232&lt;0,-Inputs!N232,0)</f>
        <v>20</v>
      </c>
      <c r="P48" s="646">
        <f>IF(Inputs!O232&lt;0,-Inputs!O232,0)</f>
        <v>20</v>
      </c>
      <c r="Q48" s="646">
        <f>IF(Inputs!P232&lt;0,-Inputs!P232,0)</f>
        <v>20</v>
      </c>
      <c r="R48" s="1316">
        <f>IF(Inputs!Q232&lt;0,-Inputs!Q232,0)</f>
        <v>20</v>
      </c>
      <c r="T48" s="286"/>
    </row>
    <row r="49" spans="3:20">
      <c r="C49" s="582" t="s">
        <v>2478</v>
      </c>
      <c r="D49" s="85"/>
      <c r="E49" s="85"/>
      <c r="F49" s="85"/>
      <c r="G49" s="85"/>
      <c r="H49" s="645"/>
      <c r="I49" s="645"/>
      <c r="J49" s="645"/>
      <c r="K49" s="645"/>
      <c r="L49" s="1719">
        <f t="shared" si="23"/>
        <v>40</v>
      </c>
      <c r="M49" s="646">
        <f>Inputs!L238</f>
        <v>40</v>
      </c>
      <c r="N49" s="646">
        <f>Inputs!M238</f>
        <v>40</v>
      </c>
      <c r="O49" s="646">
        <f>Inputs!N238</f>
        <v>40</v>
      </c>
      <c r="P49" s="646">
        <f>Inputs!O238</f>
        <v>40</v>
      </c>
      <c r="Q49" s="646">
        <f>Inputs!P238</f>
        <v>40</v>
      </c>
      <c r="R49" s="1316">
        <f>Inputs!Q238</f>
        <v>40</v>
      </c>
      <c r="T49" s="286">
        <f t="shared" si="22"/>
        <v>0</v>
      </c>
    </row>
    <row r="50" spans="3:20">
      <c r="C50" s="582" t="s">
        <v>2480</v>
      </c>
      <c r="D50" s="85"/>
      <c r="E50" s="85"/>
      <c r="F50" s="85"/>
      <c r="G50" s="85"/>
      <c r="H50" s="645"/>
      <c r="I50" s="645"/>
      <c r="J50" s="645"/>
      <c r="K50" s="645"/>
      <c r="L50" s="1719">
        <f t="shared" si="23"/>
        <v>27</v>
      </c>
      <c r="M50" s="646">
        <f>Inputs!L239</f>
        <v>27</v>
      </c>
      <c r="N50" s="646">
        <f>Inputs!M239</f>
        <v>27</v>
      </c>
      <c r="O50" s="646">
        <f>Inputs!N239</f>
        <v>27</v>
      </c>
      <c r="P50" s="646">
        <f>Inputs!O239</f>
        <v>27</v>
      </c>
      <c r="Q50" s="646">
        <f>Inputs!P239</f>
        <v>27</v>
      </c>
      <c r="R50" s="1316">
        <f>Inputs!Q239</f>
        <v>27</v>
      </c>
      <c r="T50" s="286">
        <f t="shared" si="22"/>
        <v>0</v>
      </c>
    </row>
    <row r="51" spans="3:20">
      <c r="C51" s="582" t="s">
        <v>2482</v>
      </c>
      <c r="D51" s="85"/>
      <c r="E51" s="85"/>
      <c r="F51" s="85"/>
      <c r="G51" s="85"/>
      <c r="H51" s="645"/>
      <c r="I51" s="645"/>
      <c r="J51" s="645"/>
      <c r="K51" s="645"/>
      <c r="L51" s="1719">
        <f t="shared" si="23"/>
        <v>30</v>
      </c>
      <c r="M51" s="646">
        <f>Inputs!L240</f>
        <v>30</v>
      </c>
      <c r="N51" s="646">
        <f>Inputs!M240</f>
        <v>30</v>
      </c>
      <c r="O51" s="646">
        <f>Inputs!N240</f>
        <v>30</v>
      </c>
      <c r="P51" s="646">
        <f>Inputs!O240</f>
        <v>30</v>
      </c>
      <c r="Q51" s="646">
        <f>Inputs!P240</f>
        <v>30</v>
      </c>
      <c r="R51" s="1316">
        <f>Inputs!Q240</f>
        <v>30</v>
      </c>
      <c r="T51" s="286">
        <f t="shared" si="22"/>
        <v>0</v>
      </c>
    </row>
    <row r="52" spans="3:20">
      <c r="C52" s="582" t="s">
        <v>2484</v>
      </c>
      <c r="D52" s="85"/>
      <c r="E52" s="85"/>
      <c r="F52" s="85"/>
      <c r="G52" s="85"/>
      <c r="H52" s="645"/>
      <c r="I52" s="645"/>
      <c r="J52" s="645"/>
      <c r="K52" s="645"/>
      <c r="L52" s="1719">
        <f t="shared" si="23"/>
        <v>10</v>
      </c>
      <c r="M52" s="646">
        <f>Inputs!L241</f>
        <v>10</v>
      </c>
      <c r="N52" s="583">
        <f>Inputs!M241</f>
        <v>0</v>
      </c>
      <c r="O52" s="583">
        <f>Inputs!N241</f>
        <v>0</v>
      </c>
      <c r="P52" s="583">
        <f>Inputs!O241</f>
        <v>0</v>
      </c>
      <c r="Q52" s="583">
        <f>Inputs!P241</f>
        <v>0</v>
      </c>
      <c r="R52" s="585">
        <f>Inputs!Q241</f>
        <v>0</v>
      </c>
      <c r="T52" s="286" t="str">
        <f t="shared" si="22"/>
        <v>-</v>
      </c>
    </row>
    <row r="53" spans="3:20">
      <c r="C53" s="670" t="s">
        <v>1904</v>
      </c>
      <c r="D53" s="671"/>
      <c r="E53" s="671"/>
      <c r="F53" s="671"/>
      <c r="G53" s="671"/>
      <c r="H53" s="672">
        <f>SUM(H40:H44)-SUM(H47:H52)</f>
        <v>0</v>
      </c>
      <c r="I53" s="672">
        <f>SUM(I40:I44)-SUM(I47:I52)</f>
        <v>0</v>
      </c>
      <c r="J53" s="672">
        <f>SUM(J40:J44)-SUM(J47:J52)</f>
        <v>0</v>
      </c>
      <c r="K53" s="672"/>
      <c r="L53" s="672"/>
      <c r="M53" s="672">
        <f t="shared" ref="M53:R53" si="24">SUM(M40:M44)-SUM(M47:M52)</f>
        <v>10</v>
      </c>
      <c r="N53" s="672">
        <f t="shared" si="24"/>
        <v>20</v>
      </c>
      <c r="O53" s="672">
        <f t="shared" si="24"/>
        <v>20</v>
      </c>
      <c r="P53" s="672">
        <f t="shared" si="24"/>
        <v>20</v>
      </c>
      <c r="Q53" s="672">
        <f t="shared" si="24"/>
        <v>20</v>
      </c>
      <c r="R53" s="673">
        <f t="shared" si="24"/>
        <v>20</v>
      </c>
      <c r="T53" s="286">
        <f t="shared" si="22"/>
        <v>0</v>
      </c>
    </row>
    <row r="54" spans="3:20">
      <c r="T54" s="286" t="str">
        <f t="shared" si="22"/>
        <v>-</v>
      </c>
    </row>
    <row r="55" spans="3:20">
      <c r="C55" s="113" t="s">
        <v>1976</v>
      </c>
      <c r="D55" s="114"/>
      <c r="E55" s="114"/>
      <c r="F55" s="114"/>
      <c r="G55" s="114"/>
      <c r="H55" s="115" t="str">
        <f t="shared" ref="H55" si="25">H7</f>
        <v>FY21</v>
      </c>
      <c r="I55" s="115" t="str">
        <f t="shared" ref="I55:R55" si="26">I7</f>
        <v>FY22</v>
      </c>
      <c r="J55" s="115" t="str">
        <f t="shared" si="26"/>
        <v>FY23</v>
      </c>
      <c r="K55" s="115" t="str">
        <f t="shared" si="26"/>
        <v>YTD24</v>
      </c>
      <c r="L55" s="115" t="str">
        <f t="shared" si="26"/>
        <v>YTG24</v>
      </c>
      <c r="M55" s="115" t="str">
        <f t="shared" si="26"/>
        <v>FY24</v>
      </c>
      <c r="N55" s="115" t="str">
        <f t="shared" si="26"/>
        <v>FY25</v>
      </c>
      <c r="O55" s="115" t="str">
        <f t="shared" si="26"/>
        <v>FY26</v>
      </c>
      <c r="P55" s="115" t="str">
        <f t="shared" si="26"/>
        <v>FY27</v>
      </c>
      <c r="Q55" s="115" t="str">
        <f t="shared" si="26"/>
        <v>FY28</v>
      </c>
      <c r="R55" s="281" t="str">
        <f t="shared" si="26"/>
        <v>FY29</v>
      </c>
      <c r="T55" s="286" t="str">
        <f t="shared" si="22"/>
        <v>-</v>
      </c>
    </row>
    <row r="56" spans="3:20">
      <c r="C56" s="665" t="str">
        <f>currency.heading1</f>
        <v>INR 'Units</v>
      </c>
      <c r="D56" s="562"/>
      <c r="E56" s="562"/>
      <c r="F56" s="562"/>
      <c r="G56" s="562"/>
      <c r="H56" s="69" t="str">
        <f t="shared" ref="H56" si="27">H8</f>
        <v>Actual</v>
      </c>
      <c r="I56" s="69" t="str">
        <f t="shared" ref="I56:R56" si="28">I8</f>
        <v>Actual</v>
      </c>
      <c r="J56" s="69" t="str">
        <f t="shared" si="28"/>
        <v>Actual</v>
      </c>
      <c r="K56" s="69" t="str">
        <f t="shared" si="28"/>
        <v>Actual</v>
      </c>
      <c r="L56" s="69" t="str">
        <f t="shared" si="28"/>
        <v>Estimate</v>
      </c>
      <c r="M56" s="69" t="str">
        <f t="shared" si="28"/>
        <v>Estimate</v>
      </c>
      <c r="N56" s="69" t="str">
        <f t="shared" si="28"/>
        <v>Estimate</v>
      </c>
      <c r="O56" s="69" t="str">
        <f t="shared" si="28"/>
        <v>Forecast</v>
      </c>
      <c r="P56" s="69" t="str">
        <f t="shared" si="28"/>
        <v>Forecast</v>
      </c>
      <c r="Q56" s="69" t="str">
        <f t="shared" si="28"/>
        <v>Forecast</v>
      </c>
      <c r="R56" s="282" t="str">
        <f t="shared" si="28"/>
        <v>Forecast</v>
      </c>
      <c r="T56" s="286" t="str">
        <f t="shared" si="22"/>
        <v>-</v>
      </c>
    </row>
    <row r="57" spans="3:20">
      <c r="H57" s="198"/>
      <c r="I57" s="198"/>
      <c r="T57" s="286" t="str">
        <f t="shared" si="22"/>
        <v>-</v>
      </c>
    </row>
    <row r="58" spans="3:20">
      <c r="C58" s="683" t="s">
        <v>1993</v>
      </c>
      <c r="D58" s="684"/>
      <c r="E58" s="684"/>
      <c r="F58" s="684"/>
      <c r="G58" s="684"/>
      <c r="H58" s="685"/>
      <c r="I58" s="685"/>
      <c r="J58" s="685"/>
      <c r="K58" s="685"/>
      <c r="L58" s="685"/>
      <c r="M58" s="685"/>
      <c r="N58" s="685"/>
      <c r="O58" s="685"/>
      <c r="P58" s="684"/>
      <c r="Q58" s="684"/>
      <c r="R58" s="686"/>
      <c r="T58" s="286" t="str">
        <f t="shared" si="22"/>
        <v>-</v>
      </c>
    </row>
    <row r="59" spans="3:20">
      <c r="C59" s="687" t="s">
        <v>1994</v>
      </c>
      <c r="L59" s="688">
        <f t="shared" ref="L59:R59" si="29">L82</f>
        <v>9583.3333333333321</v>
      </c>
      <c r="M59" s="688">
        <f t="shared" si="29"/>
        <v>10383.333333333332</v>
      </c>
      <c r="N59" s="688">
        <f t="shared" si="29"/>
        <v>21900</v>
      </c>
      <c r="O59" s="689">
        <f t="shared" si="29"/>
        <v>34550</v>
      </c>
      <c r="P59" s="689">
        <f t="shared" si="29"/>
        <v>48333.333333333328</v>
      </c>
      <c r="Q59" s="689">
        <f t="shared" si="29"/>
        <v>63250</v>
      </c>
      <c r="R59" s="690">
        <f t="shared" si="29"/>
        <v>79300</v>
      </c>
      <c r="T59" s="286">
        <f t="shared" si="22"/>
        <v>0.29349815769477328</v>
      </c>
    </row>
    <row r="60" spans="3:20">
      <c r="C60" s="687" t="s">
        <v>1995</v>
      </c>
      <c r="L60" s="688">
        <f t="shared" ref="L60:R60" si="30">L75</f>
        <v>90000</v>
      </c>
      <c r="M60" s="688">
        <f t="shared" si="30"/>
        <v>114000</v>
      </c>
      <c r="N60" s="688">
        <f t="shared" si="30"/>
        <v>148000</v>
      </c>
      <c r="O60" s="689">
        <f t="shared" si="30"/>
        <v>182000</v>
      </c>
      <c r="P60" s="689">
        <f t="shared" si="30"/>
        <v>216000</v>
      </c>
      <c r="Q60" s="689">
        <f t="shared" si="30"/>
        <v>250000</v>
      </c>
      <c r="R60" s="690">
        <f t="shared" si="30"/>
        <v>284000</v>
      </c>
      <c r="T60" s="286">
        <f t="shared" si="22"/>
        <v>0.13922976905636797</v>
      </c>
    </row>
    <row r="61" spans="3:20">
      <c r="C61" s="687" t="s">
        <v>1996</v>
      </c>
      <c r="L61" s="689">
        <f t="shared" ref="L61:R61" si="31">SUM(L71:L74)</f>
        <v>24000</v>
      </c>
      <c r="M61" s="689">
        <f t="shared" si="31"/>
        <v>24000</v>
      </c>
      <c r="N61" s="689">
        <f t="shared" si="31"/>
        <v>34000</v>
      </c>
      <c r="O61" s="689">
        <f t="shared" si="31"/>
        <v>34000</v>
      </c>
      <c r="P61" s="689">
        <f t="shared" si="31"/>
        <v>34000</v>
      </c>
      <c r="Q61" s="689">
        <f t="shared" si="31"/>
        <v>34000</v>
      </c>
      <c r="R61" s="690">
        <f t="shared" si="31"/>
        <v>34000</v>
      </c>
      <c r="T61" s="286">
        <f t="shared" si="22"/>
        <v>0</v>
      </c>
    </row>
    <row r="62" spans="3:20">
      <c r="C62" s="691" t="s">
        <v>1997</v>
      </c>
      <c r="D62" s="102"/>
      <c r="E62" s="102"/>
      <c r="F62" s="102"/>
      <c r="G62" s="102"/>
      <c r="H62" s="102"/>
      <c r="I62" s="102"/>
      <c r="J62" s="102"/>
      <c r="K62" s="102"/>
      <c r="L62" s="692">
        <f t="shared" ref="L62:R62" si="32">L96</f>
        <v>9583.3333333333321</v>
      </c>
      <c r="M62" s="692">
        <f t="shared" si="32"/>
        <v>10383.333333333332</v>
      </c>
      <c r="N62" s="692">
        <f t="shared" si="32"/>
        <v>11516.666666666666</v>
      </c>
      <c r="O62" s="693">
        <f t="shared" si="32"/>
        <v>12650</v>
      </c>
      <c r="P62" s="693">
        <f t="shared" si="32"/>
        <v>13783.333333333332</v>
      </c>
      <c r="Q62" s="693">
        <f t="shared" si="32"/>
        <v>14916.666666666664</v>
      </c>
      <c r="R62" s="694">
        <f t="shared" si="32"/>
        <v>16050</v>
      </c>
      <c r="T62" s="286">
        <f t="shared" si="22"/>
        <v>6.8635624580992038E-2</v>
      </c>
    </row>
    <row r="63" spans="3:20">
      <c r="T63" s="286" t="str">
        <f t="shared" si="22"/>
        <v>-</v>
      </c>
    </row>
    <row r="64" spans="3:20">
      <c r="C64" s="695" t="s">
        <v>1998</v>
      </c>
      <c r="T64" s="286" t="str">
        <f t="shared" ref="T64:T95" si="33">IFERROR((R64/N64)^(1/5)-1,"-")</f>
        <v>-</v>
      </c>
    </row>
    <row r="65" spans="3:20">
      <c r="C65" s="696" t="s">
        <v>1999</v>
      </c>
      <c r="T65" s="286" t="str">
        <f t="shared" si="33"/>
        <v>-</v>
      </c>
    </row>
    <row r="66" spans="3:20">
      <c r="C66" s="697" t="s">
        <v>2000</v>
      </c>
      <c r="L66" s="688">
        <f t="shared" ref="L66:R66" si="34">L102</f>
        <v>20000</v>
      </c>
      <c r="M66" s="688">
        <f t="shared" si="34"/>
        <v>30000</v>
      </c>
      <c r="N66" s="688">
        <f t="shared" si="34"/>
        <v>40000</v>
      </c>
      <c r="O66" s="688">
        <f t="shared" si="34"/>
        <v>55000</v>
      </c>
      <c r="P66" s="688">
        <f t="shared" si="34"/>
        <v>70000</v>
      </c>
      <c r="Q66" s="688">
        <f t="shared" si="34"/>
        <v>85000</v>
      </c>
      <c r="R66" s="688">
        <f t="shared" si="34"/>
        <v>100000</v>
      </c>
      <c r="T66" s="286">
        <f t="shared" si="33"/>
        <v>0.20112443398143132</v>
      </c>
    </row>
    <row r="67" spans="3:20">
      <c r="C67" s="697" t="s">
        <v>2031</v>
      </c>
      <c r="L67" s="688">
        <f t="shared" ref="L67:R67" si="35">L123</f>
        <v>13000</v>
      </c>
      <c r="M67" s="688">
        <f t="shared" si="35"/>
        <v>15000</v>
      </c>
      <c r="N67" s="688">
        <f t="shared" si="35"/>
        <v>17000</v>
      </c>
      <c r="O67" s="688">
        <f t="shared" si="35"/>
        <v>19000</v>
      </c>
      <c r="P67" s="688">
        <f t="shared" si="35"/>
        <v>21000</v>
      </c>
      <c r="Q67" s="688">
        <f t="shared" si="35"/>
        <v>23000</v>
      </c>
      <c r="R67" s="688">
        <f t="shared" si="35"/>
        <v>25000</v>
      </c>
      <c r="T67" s="286">
        <f t="shared" si="33"/>
        <v>8.0185187303563499E-2</v>
      </c>
    </row>
    <row r="68" spans="3:20">
      <c r="C68" s="697" t="s">
        <v>2032</v>
      </c>
      <c r="L68" s="688">
        <f t="shared" ref="L68:R68" si="36">L144</f>
        <v>20000</v>
      </c>
      <c r="M68" s="688">
        <f t="shared" si="36"/>
        <v>30000</v>
      </c>
      <c r="N68" s="688">
        <f t="shared" si="36"/>
        <v>40000</v>
      </c>
      <c r="O68" s="688">
        <f t="shared" si="36"/>
        <v>55000</v>
      </c>
      <c r="P68" s="688">
        <f t="shared" si="36"/>
        <v>70000</v>
      </c>
      <c r="Q68" s="688">
        <f t="shared" si="36"/>
        <v>85000</v>
      </c>
      <c r="R68" s="688">
        <f t="shared" si="36"/>
        <v>100000</v>
      </c>
      <c r="T68" s="286">
        <f t="shared" si="33"/>
        <v>0.20112443398143132</v>
      </c>
    </row>
    <row r="69" spans="3:20">
      <c r="C69" s="697" t="s">
        <v>2033</v>
      </c>
      <c r="L69" s="688">
        <f t="shared" ref="L69:R69" si="37">L165</f>
        <v>13000</v>
      </c>
      <c r="M69" s="688">
        <f t="shared" si="37"/>
        <v>15000</v>
      </c>
      <c r="N69" s="688">
        <f t="shared" si="37"/>
        <v>17000</v>
      </c>
      <c r="O69" s="688">
        <f t="shared" si="37"/>
        <v>19000</v>
      </c>
      <c r="P69" s="688">
        <f t="shared" si="37"/>
        <v>21000</v>
      </c>
      <c r="Q69" s="688">
        <f t="shared" si="37"/>
        <v>23000</v>
      </c>
      <c r="R69" s="688">
        <f t="shared" si="37"/>
        <v>25000</v>
      </c>
      <c r="T69" s="286">
        <f t="shared" si="33"/>
        <v>8.0185187303563499E-2</v>
      </c>
    </row>
    <row r="70" spans="3:20">
      <c r="C70" s="696" t="s">
        <v>1974</v>
      </c>
      <c r="T70" s="286" t="str">
        <f t="shared" si="33"/>
        <v>-</v>
      </c>
    </row>
    <row r="71" spans="3:20">
      <c r="C71" s="697" t="s">
        <v>2000</v>
      </c>
      <c r="L71" s="63">
        <f t="shared" ref="L71:R71" si="38">L103</f>
        <v>10000</v>
      </c>
      <c r="M71" s="63">
        <f t="shared" si="38"/>
        <v>10000</v>
      </c>
      <c r="N71" s="63">
        <f t="shared" si="38"/>
        <v>15000</v>
      </c>
      <c r="O71" s="63">
        <f t="shared" si="38"/>
        <v>15000</v>
      </c>
      <c r="P71" s="63">
        <f t="shared" si="38"/>
        <v>15000</v>
      </c>
      <c r="Q71" s="63">
        <f t="shared" si="38"/>
        <v>15000</v>
      </c>
      <c r="R71" s="63">
        <f t="shared" si="38"/>
        <v>15000</v>
      </c>
      <c r="T71" s="286">
        <f t="shared" si="33"/>
        <v>0</v>
      </c>
    </row>
    <row r="72" spans="3:20">
      <c r="C72" s="697" t="s">
        <v>2031</v>
      </c>
      <c r="L72" s="63">
        <f t="shared" ref="L72:R72" si="39">L124</f>
        <v>2000</v>
      </c>
      <c r="M72" s="63">
        <f t="shared" si="39"/>
        <v>2000</v>
      </c>
      <c r="N72" s="63">
        <f t="shared" si="39"/>
        <v>2000</v>
      </c>
      <c r="O72" s="63">
        <f t="shared" si="39"/>
        <v>2000</v>
      </c>
      <c r="P72" s="63">
        <f t="shared" si="39"/>
        <v>2000</v>
      </c>
      <c r="Q72" s="63">
        <f t="shared" si="39"/>
        <v>2000</v>
      </c>
      <c r="R72" s="63">
        <f t="shared" si="39"/>
        <v>2000</v>
      </c>
      <c r="T72" s="286">
        <f t="shared" si="33"/>
        <v>0</v>
      </c>
    </row>
    <row r="73" spans="3:20">
      <c r="C73" s="697" t="s">
        <v>2032</v>
      </c>
      <c r="L73" s="63">
        <f t="shared" ref="L73:R73" si="40">L145</f>
        <v>10000</v>
      </c>
      <c r="M73" s="63">
        <f t="shared" si="40"/>
        <v>10000</v>
      </c>
      <c r="N73" s="63">
        <f t="shared" si="40"/>
        <v>15000</v>
      </c>
      <c r="O73" s="63">
        <f t="shared" si="40"/>
        <v>15000</v>
      </c>
      <c r="P73" s="63">
        <f t="shared" si="40"/>
        <v>15000</v>
      </c>
      <c r="Q73" s="63">
        <f t="shared" si="40"/>
        <v>15000</v>
      </c>
      <c r="R73" s="63">
        <f t="shared" si="40"/>
        <v>15000</v>
      </c>
      <c r="T73" s="286">
        <f t="shared" si="33"/>
        <v>0</v>
      </c>
    </row>
    <row r="74" spans="3:20">
      <c r="C74" s="697" t="s">
        <v>2033</v>
      </c>
      <c r="L74" s="63">
        <f t="shared" ref="L74:R74" si="41">L166</f>
        <v>2000</v>
      </c>
      <c r="M74" s="63">
        <f t="shared" si="41"/>
        <v>2000</v>
      </c>
      <c r="N74" s="63">
        <f t="shared" si="41"/>
        <v>2000</v>
      </c>
      <c r="O74" s="63">
        <f t="shared" si="41"/>
        <v>2000</v>
      </c>
      <c r="P74" s="63">
        <f t="shared" si="41"/>
        <v>2000</v>
      </c>
      <c r="Q74" s="63">
        <f t="shared" si="41"/>
        <v>2000</v>
      </c>
      <c r="R74" s="63">
        <f t="shared" si="41"/>
        <v>2000</v>
      </c>
      <c r="T74" s="286">
        <f t="shared" si="33"/>
        <v>0</v>
      </c>
    </row>
    <row r="75" spans="3:20">
      <c r="C75" s="698" t="s">
        <v>2001</v>
      </c>
      <c r="D75" s="359"/>
      <c r="E75" s="359"/>
      <c r="F75" s="359"/>
      <c r="G75" s="359"/>
      <c r="H75" s="359"/>
      <c r="I75" s="359"/>
      <c r="J75" s="359"/>
      <c r="K75" s="359"/>
      <c r="L75" s="699">
        <f t="shared" ref="L75:R75" si="42">SUM(L66:L74)</f>
        <v>90000</v>
      </c>
      <c r="M75" s="699">
        <f t="shared" si="42"/>
        <v>114000</v>
      </c>
      <c r="N75" s="699">
        <f t="shared" si="42"/>
        <v>148000</v>
      </c>
      <c r="O75" s="699">
        <f t="shared" si="42"/>
        <v>182000</v>
      </c>
      <c r="P75" s="699">
        <f t="shared" si="42"/>
        <v>216000</v>
      </c>
      <c r="Q75" s="699">
        <f t="shared" si="42"/>
        <v>250000</v>
      </c>
      <c r="R75" s="699">
        <f t="shared" si="42"/>
        <v>284000</v>
      </c>
      <c r="T75" s="286">
        <f t="shared" si="33"/>
        <v>0.13922976905636797</v>
      </c>
    </row>
    <row r="76" spans="3:20">
      <c r="T76" s="286" t="str">
        <f t="shared" si="33"/>
        <v>-</v>
      </c>
    </row>
    <row r="77" spans="3:20">
      <c r="C77" s="696" t="s">
        <v>2002</v>
      </c>
      <c r="T77" s="286" t="str">
        <f t="shared" si="33"/>
        <v>-</v>
      </c>
    </row>
    <row r="78" spans="3:20">
      <c r="C78" s="697" t="s">
        <v>2003</v>
      </c>
      <c r="L78" s="688">
        <f t="shared" ref="L78:R78" si="43">L116</f>
        <v>1333.3333333333333</v>
      </c>
      <c r="M78" s="688">
        <f t="shared" si="43"/>
        <v>1666.6666666666665</v>
      </c>
      <c r="N78" s="688">
        <f t="shared" si="43"/>
        <v>3833.333333333333</v>
      </c>
      <c r="O78" s="688">
        <f t="shared" si="43"/>
        <v>6500</v>
      </c>
      <c r="P78" s="688">
        <f t="shared" si="43"/>
        <v>9666.6666666666661</v>
      </c>
      <c r="Q78" s="688">
        <f t="shared" si="43"/>
        <v>13333.333333333332</v>
      </c>
      <c r="R78" s="688">
        <f t="shared" si="43"/>
        <v>17500</v>
      </c>
      <c r="T78" s="286">
        <f t="shared" si="33"/>
        <v>0.35485335969188347</v>
      </c>
    </row>
    <row r="79" spans="3:20">
      <c r="C79" s="697" t="s">
        <v>2004</v>
      </c>
      <c r="L79" s="688">
        <f t="shared" ref="L79:R79" si="44">L137</f>
        <v>850</v>
      </c>
      <c r="M79" s="688">
        <f t="shared" si="44"/>
        <v>916.66666666666663</v>
      </c>
      <c r="N79" s="688">
        <f t="shared" si="44"/>
        <v>1900</v>
      </c>
      <c r="O79" s="688">
        <f t="shared" si="44"/>
        <v>2950</v>
      </c>
      <c r="P79" s="688">
        <f t="shared" si="44"/>
        <v>4066.666666666667</v>
      </c>
      <c r="Q79" s="688">
        <f t="shared" si="44"/>
        <v>5250</v>
      </c>
      <c r="R79" s="688">
        <f t="shared" si="44"/>
        <v>6500</v>
      </c>
      <c r="T79" s="286">
        <f t="shared" si="33"/>
        <v>0.27888634741725404</v>
      </c>
    </row>
    <row r="80" spans="3:20">
      <c r="C80" s="697" t="s">
        <v>2005</v>
      </c>
      <c r="L80" s="688">
        <f t="shared" ref="L80:R80" si="45">L158</f>
        <v>4000</v>
      </c>
      <c r="M80" s="688">
        <f t="shared" si="45"/>
        <v>4333.333333333333</v>
      </c>
      <c r="N80" s="688">
        <f t="shared" si="45"/>
        <v>9166.6666666666661</v>
      </c>
      <c r="O80" s="688">
        <f t="shared" si="45"/>
        <v>14500</v>
      </c>
      <c r="P80" s="688">
        <f t="shared" si="45"/>
        <v>20333.333333333332</v>
      </c>
      <c r="Q80" s="688">
        <f t="shared" si="45"/>
        <v>26666.666666666664</v>
      </c>
      <c r="R80" s="688">
        <f t="shared" si="45"/>
        <v>33500</v>
      </c>
      <c r="T80" s="286">
        <f t="shared" si="33"/>
        <v>0.29588562868616952</v>
      </c>
    </row>
    <row r="81" spans="3:20">
      <c r="C81" s="697" t="s">
        <v>2006</v>
      </c>
      <c r="L81" s="688">
        <f t="shared" ref="L81:R81" si="46">L179</f>
        <v>3400</v>
      </c>
      <c r="M81" s="688">
        <f t="shared" si="46"/>
        <v>3466.6666666666665</v>
      </c>
      <c r="N81" s="688">
        <f t="shared" si="46"/>
        <v>7000</v>
      </c>
      <c r="O81" s="688">
        <f t="shared" si="46"/>
        <v>10600</v>
      </c>
      <c r="P81" s="688">
        <f t="shared" si="46"/>
        <v>14266.666666666666</v>
      </c>
      <c r="Q81" s="688">
        <f t="shared" si="46"/>
        <v>18000</v>
      </c>
      <c r="R81" s="688">
        <f t="shared" si="46"/>
        <v>21800</v>
      </c>
      <c r="T81" s="286">
        <f t="shared" si="33"/>
        <v>0.25508081401491189</v>
      </c>
    </row>
    <row r="82" spans="3:20">
      <c r="C82" s="698" t="s">
        <v>2007</v>
      </c>
      <c r="D82" s="359"/>
      <c r="E82" s="359"/>
      <c r="F82" s="359"/>
      <c r="G82" s="359"/>
      <c r="H82" s="359"/>
      <c r="I82" s="359"/>
      <c r="J82" s="359"/>
      <c r="K82" s="359"/>
      <c r="L82" s="699">
        <f t="shared" ref="L82:R82" si="47">SUM(L78:L81)</f>
        <v>9583.3333333333321</v>
      </c>
      <c r="M82" s="699">
        <f t="shared" si="47"/>
        <v>10383.333333333332</v>
      </c>
      <c r="N82" s="699">
        <f t="shared" si="47"/>
        <v>21900</v>
      </c>
      <c r="O82" s="699">
        <f t="shared" si="47"/>
        <v>34550</v>
      </c>
      <c r="P82" s="699">
        <f t="shared" si="47"/>
        <v>48333.333333333328</v>
      </c>
      <c r="Q82" s="699">
        <f t="shared" si="47"/>
        <v>63250</v>
      </c>
      <c r="R82" s="699">
        <f t="shared" si="47"/>
        <v>79300</v>
      </c>
      <c r="T82" s="286">
        <f t="shared" si="33"/>
        <v>0.29349815769477328</v>
      </c>
    </row>
    <row r="83" spans="3:20">
      <c r="C83" s="697"/>
      <c r="T83" s="286" t="str">
        <f t="shared" si="33"/>
        <v>-</v>
      </c>
    </row>
    <row r="84" spans="3:20">
      <c r="C84" s="696" t="s">
        <v>2008</v>
      </c>
      <c r="T84" s="286" t="str">
        <f t="shared" si="33"/>
        <v>-</v>
      </c>
    </row>
    <row r="85" spans="3:20">
      <c r="C85" s="697" t="s">
        <v>2003</v>
      </c>
      <c r="L85" s="688">
        <f t="shared" ref="L85:R85" si="48">L117</f>
        <v>28666.666666666668</v>
      </c>
      <c r="M85" s="688">
        <f t="shared" si="48"/>
        <v>38333.333333333336</v>
      </c>
      <c r="N85" s="688">
        <f t="shared" si="48"/>
        <v>51166.666666666664</v>
      </c>
      <c r="O85" s="688">
        <f t="shared" si="48"/>
        <v>63500</v>
      </c>
      <c r="P85" s="688">
        <f t="shared" si="48"/>
        <v>75333.333333333328</v>
      </c>
      <c r="Q85" s="688">
        <f t="shared" si="48"/>
        <v>86666.666666666672</v>
      </c>
      <c r="R85" s="688">
        <f t="shared" si="48"/>
        <v>97500</v>
      </c>
      <c r="T85" s="286">
        <f t="shared" si="33"/>
        <v>0.1376364491310258</v>
      </c>
    </row>
    <row r="86" spans="3:20">
      <c r="C86" s="697" t="s">
        <v>2004</v>
      </c>
      <c r="L86" s="688">
        <f t="shared" ref="L86:R86" si="49">L138</f>
        <v>14150</v>
      </c>
      <c r="M86" s="688">
        <f t="shared" si="49"/>
        <v>16083.333333333334</v>
      </c>
      <c r="N86" s="688">
        <f t="shared" si="49"/>
        <v>17100</v>
      </c>
      <c r="O86" s="688">
        <f t="shared" si="49"/>
        <v>18050</v>
      </c>
      <c r="P86" s="688">
        <f t="shared" si="49"/>
        <v>18933.333333333332</v>
      </c>
      <c r="Q86" s="688">
        <f t="shared" si="49"/>
        <v>19750</v>
      </c>
      <c r="R86" s="688">
        <f t="shared" si="49"/>
        <v>20500</v>
      </c>
      <c r="T86" s="286">
        <f t="shared" si="33"/>
        <v>3.6935039459849106E-2</v>
      </c>
    </row>
    <row r="87" spans="3:20">
      <c r="C87" s="697" t="s">
        <v>2005</v>
      </c>
      <c r="L87" s="688">
        <f t="shared" ref="L87:R87" si="50">L159</f>
        <v>26000</v>
      </c>
      <c r="M87" s="688">
        <f t="shared" si="50"/>
        <v>35666.666666666664</v>
      </c>
      <c r="N87" s="688">
        <f t="shared" si="50"/>
        <v>45833.333333333336</v>
      </c>
      <c r="O87" s="688">
        <f t="shared" si="50"/>
        <v>55500</v>
      </c>
      <c r="P87" s="688">
        <f t="shared" si="50"/>
        <v>64666.666666666672</v>
      </c>
      <c r="Q87" s="688">
        <f t="shared" si="50"/>
        <v>73333.333333333343</v>
      </c>
      <c r="R87" s="688">
        <f t="shared" si="50"/>
        <v>81500</v>
      </c>
      <c r="T87" s="286">
        <f t="shared" si="33"/>
        <v>0.12200613877180988</v>
      </c>
    </row>
    <row r="88" spans="3:20">
      <c r="C88" s="697" t="s">
        <v>2006</v>
      </c>
      <c r="L88" s="688">
        <f t="shared" ref="L88:R88" si="51">L180</f>
        <v>11600</v>
      </c>
      <c r="M88" s="688">
        <f t="shared" si="51"/>
        <v>13533.333333333334</v>
      </c>
      <c r="N88" s="688">
        <f t="shared" si="51"/>
        <v>12000</v>
      </c>
      <c r="O88" s="688">
        <f t="shared" si="51"/>
        <v>10400</v>
      </c>
      <c r="P88" s="688">
        <f t="shared" si="51"/>
        <v>8733.3333333333339</v>
      </c>
      <c r="Q88" s="688">
        <f t="shared" si="51"/>
        <v>7000</v>
      </c>
      <c r="R88" s="688">
        <f t="shared" si="51"/>
        <v>5200</v>
      </c>
      <c r="T88" s="286">
        <f t="shared" si="33"/>
        <v>-0.1540115778234975</v>
      </c>
    </row>
    <row r="89" spans="3:20">
      <c r="C89" s="698" t="s">
        <v>2009</v>
      </c>
      <c r="D89" s="359"/>
      <c r="E89" s="359"/>
      <c r="F89" s="359"/>
      <c r="G89" s="359"/>
      <c r="H89" s="359"/>
      <c r="I89" s="359"/>
      <c r="J89" s="359"/>
      <c r="K89" s="359"/>
      <c r="L89" s="699">
        <f t="shared" ref="L89:R89" si="52">SUM(L85:L88)</f>
        <v>80416.666666666672</v>
      </c>
      <c r="M89" s="699">
        <f t="shared" si="52"/>
        <v>103616.66666666667</v>
      </c>
      <c r="N89" s="699">
        <f t="shared" si="52"/>
        <v>126100</v>
      </c>
      <c r="O89" s="699">
        <f t="shared" si="52"/>
        <v>147450</v>
      </c>
      <c r="P89" s="699">
        <f t="shared" si="52"/>
        <v>167666.66666666666</v>
      </c>
      <c r="Q89" s="699">
        <f t="shared" si="52"/>
        <v>186750</v>
      </c>
      <c r="R89" s="699">
        <f t="shared" si="52"/>
        <v>204700</v>
      </c>
      <c r="T89" s="286">
        <f t="shared" si="33"/>
        <v>0.10174363763171557</v>
      </c>
    </row>
    <row r="90" spans="3:20">
      <c r="C90" s="697"/>
      <c r="T90" s="286" t="str">
        <f t="shared" si="33"/>
        <v>-</v>
      </c>
    </row>
    <row r="91" spans="3:20">
      <c r="C91" s="696" t="s">
        <v>2010</v>
      </c>
      <c r="T91" s="286" t="str">
        <f t="shared" si="33"/>
        <v>-</v>
      </c>
    </row>
    <row r="92" spans="3:20">
      <c r="C92" s="697" t="s">
        <v>2003</v>
      </c>
      <c r="L92" s="688">
        <f t="shared" ref="L92:R92" si="53">L115</f>
        <v>1333.3333333333333</v>
      </c>
      <c r="M92" s="688">
        <f t="shared" si="53"/>
        <v>1666.6666666666665</v>
      </c>
      <c r="N92" s="688">
        <f t="shared" si="53"/>
        <v>2166.6666666666665</v>
      </c>
      <c r="O92" s="688">
        <f t="shared" si="53"/>
        <v>2666.6666666666665</v>
      </c>
      <c r="P92" s="688">
        <f t="shared" si="53"/>
        <v>3166.6666666666665</v>
      </c>
      <c r="Q92" s="688">
        <f t="shared" si="53"/>
        <v>3666.6666666666665</v>
      </c>
      <c r="R92" s="688">
        <f t="shared" si="53"/>
        <v>4166.6666666666661</v>
      </c>
      <c r="T92" s="286">
        <f t="shared" si="33"/>
        <v>0.13972304907201583</v>
      </c>
    </row>
    <row r="93" spans="3:20">
      <c r="C93" s="697" t="s">
        <v>2004</v>
      </c>
      <c r="L93" s="688">
        <f t="shared" ref="L93:R93" si="54">L136</f>
        <v>850</v>
      </c>
      <c r="M93" s="688">
        <f t="shared" si="54"/>
        <v>916.66666666666663</v>
      </c>
      <c r="N93" s="688">
        <f t="shared" si="54"/>
        <v>983.33333333333326</v>
      </c>
      <c r="O93" s="688">
        <f t="shared" si="54"/>
        <v>1050</v>
      </c>
      <c r="P93" s="688">
        <f t="shared" si="54"/>
        <v>1116.6666666666667</v>
      </c>
      <c r="Q93" s="688">
        <f t="shared" si="54"/>
        <v>1183.3333333333335</v>
      </c>
      <c r="R93" s="688">
        <f t="shared" si="54"/>
        <v>1250.0000000000002</v>
      </c>
      <c r="T93" s="286">
        <f t="shared" si="33"/>
        <v>4.9160304180333236E-2</v>
      </c>
    </row>
    <row r="94" spans="3:20">
      <c r="C94" s="697" t="s">
        <v>2005</v>
      </c>
      <c r="L94" s="688">
        <f t="shared" ref="L94:R94" si="55">L157</f>
        <v>4000</v>
      </c>
      <c r="M94" s="688">
        <f t="shared" si="55"/>
        <v>4333.333333333333</v>
      </c>
      <c r="N94" s="688">
        <f t="shared" si="55"/>
        <v>4833.333333333333</v>
      </c>
      <c r="O94" s="688">
        <f t="shared" si="55"/>
        <v>5333.333333333333</v>
      </c>
      <c r="P94" s="688">
        <f t="shared" si="55"/>
        <v>5833.333333333333</v>
      </c>
      <c r="Q94" s="688">
        <f t="shared" si="55"/>
        <v>6333.333333333333</v>
      </c>
      <c r="R94" s="688">
        <f t="shared" si="55"/>
        <v>6833.333333333333</v>
      </c>
      <c r="T94" s="286">
        <f t="shared" si="33"/>
        <v>7.1709725300183047E-2</v>
      </c>
    </row>
    <row r="95" spans="3:20">
      <c r="C95" s="697" t="s">
        <v>2006</v>
      </c>
      <c r="L95" s="688">
        <f t="shared" ref="L95:R95" si="56">L178</f>
        <v>3400</v>
      </c>
      <c r="M95" s="688">
        <f t="shared" si="56"/>
        <v>3466.6666666666665</v>
      </c>
      <c r="N95" s="688">
        <f t="shared" si="56"/>
        <v>3533.333333333333</v>
      </c>
      <c r="O95" s="688">
        <f t="shared" si="56"/>
        <v>3599.9999999999995</v>
      </c>
      <c r="P95" s="688">
        <f t="shared" si="56"/>
        <v>3666.6666666666661</v>
      </c>
      <c r="Q95" s="688">
        <f t="shared" si="56"/>
        <v>3733.3333333333326</v>
      </c>
      <c r="R95" s="688">
        <f t="shared" si="56"/>
        <v>3799.9999999999991</v>
      </c>
      <c r="T95" s="286">
        <f t="shared" si="33"/>
        <v>1.4658264779644048E-2</v>
      </c>
    </row>
    <row r="96" spans="3:20">
      <c r="C96" s="698" t="s">
        <v>2011</v>
      </c>
      <c r="D96" s="359"/>
      <c r="E96" s="359"/>
      <c r="F96" s="359"/>
      <c r="G96" s="359"/>
      <c r="H96" s="359"/>
      <c r="I96" s="359"/>
      <c r="J96" s="359"/>
      <c r="K96" s="359"/>
      <c r="L96" s="699">
        <f t="shared" ref="L96:R96" si="57">SUM(L92:L95)</f>
        <v>9583.3333333333321</v>
      </c>
      <c r="M96" s="699">
        <f t="shared" si="57"/>
        <v>10383.333333333332</v>
      </c>
      <c r="N96" s="699">
        <f t="shared" si="57"/>
        <v>11516.666666666666</v>
      </c>
      <c r="O96" s="699">
        <f t="shared" si="57"/>
        <v>12650</v>
      </c>
      <c r="P96" s="699">
        <f t="shared" si="57"/>
        <v>13783.333333333332</v>
      </c>
      <c r="Q96" s="699">
        <f t="shared" si="57"/>
        <v>14916.666666666664</v>
      </c>
      <c r="R96" s="699">
        <f t="shared" si="57"/>
        <v>16050</v>
      </c>
      <c r="T96" s="286">
        <f t="shared" ref="T96:T126" si="58">IFERROR((R96/N96)^(1/5)-1,"-")</f>
        <v>6.8635624580992038E-2</v>
      </c>
    </row>
    <row r="97" spans="1:20">
      <c r="T97" s="286" t="str">
        <f t="shared" si="58"/>
        <v>-</v>
      </c>
    </row>
    <row r="98" spans="1:20">
      <c r="B98" s="697"/>
      <c r="C98" s="700" t="s">
        <v>2022</v>
      </c>
      <c r="D98" s="701"/>
      <c r="T98" s="286" t="str">
        <f t="shared" si="58"/>
        <v>-</v>
      </c>
    </row>
    <row r="99" spans="1:20">
      <c r="A99" s="697"/>
      <c r="B99" s="697"/>
      <c r="C99" s="697" t="s">
        <v>1467</v>
      </c>
      <c r="D99" s="702">
        <v>30</v>
      </c>
      <c r="E99" s="703"/>
      <c r="F99" s="703"/>
      <c r="G99" s="703"/>
      <c r="H99" s="704" t="s">
        <v>2012</v>
      </c>
      <c r="I99" s="704" t="s">
        <v>2012</v>
      </c>
      <c r="T99" s="286" t="str">
        <f t="shared" si="58"/>
        <v>-</v>
      </c>
    </row>
    <row r="100" spans="1:20">
      <c r="A100" s="697"/>
      <c r="B100" s="697"/>
      <c r="C100" s="697"/>
      <c r="D100" s="705"/>
      <c r="E100" s="697"/>
      <c r="F100" s="697"/>
      <c r="G100" s="697"/>
      <c r="H100" s="706"/>
      <c r="I100" s="706"/>
      <c r="T100" s="286" t="str">
        <f t="shared" si="58"/>
        <v>-</v>
      </c>
    </row>
    <row r="101" spans="1:20">
      <c r="A101" s="697"/>
      <c r="B101" s="697"/>
      <c r="C101" s="695" t="s">
        <v>1998</v>
      </c>
      <c r="D101" s="705"/>
      <c r="E101" s="697"/>
      <c r="F101" s="697"/>
      <c r="G101" s="697"/>
      <c r="H101" s="706"/>
      <c r="I101" s="706"/>
      <c r="T101" s="286" t="str">
        <f t="shared" si="58"/>
        <v>-</v>
      </c>
    </row>
    <row r="102" spans="1:20">
      <c r="A102" s="697"/>
      <c r="B102" s="697"/>
      <c r="C102" s="697" t="s">
        <v>2013</v>
      </c>
      <c r="D102" s="695"/>
      <c r="E102" s="703"/>
      <c r="F102" s="703"/>
      <c r="G102" s="703"/>
      <c r="H102" s="707" t="str">
        <f>currency.heading1</f>
        <v>INR 'Units</v>
      </c>
      <c r="I102" s="707"/>
      <c r="J102" s="708"/>
      <c r="K102" s="708"/>
      <c r="L102" s="709">
        <f>Inputs!J213</f>
        <v>20000</v>
      </c>
      <c r="M102" s="688">
        <f t="shared" ref="M102:R102" si="59">L104</f>
        <v>30000</v>
      </c>
      <c r="N102" s="688">
        <f t="shared" si="59"/>
        <v>40000</v>
      </c>
      <c r="O102" s="688">
        <f t="shared" si="59"/>
        <v>55000</v>
      </c>
      <c r="P102" s="688">
        <f t="shared" si="59"/>
        <v>70000</v>
      </c>
      <c r="Q102" s="688">
        <f t="shared" si="59"/>
        <v>85000</v>
      </c>
      <c r="R102" s="688">
        <f t="shared" si="59"/>
        <v>100000</v>
      </c>
      <c r="T102" s="286">
        <f t="shared" si="58"/>
        <v>0.20112443398143132</v>
      </c>
    </row>
    <row r="103" spans="1:20">
      <c r="A103" s="697"/>
      <c r="B103" s="697"/>
      <c r="C103" s="697" t="s">
        <v>1974</v>
      </c>
      <c r="D103" s="705"/>
      <c r="E103" s="703"/>
      <c r="F103" s="703"/>
      <c r="G103" s="703"/>
      <c r="H103" s="707" t="str">
        <f>currency.heading1</f>
        <v>INR 'Units</v>
      </c>
      <c r="I103" s="707"/>
      <c r="J103" s="708"/>
      <c r="K103" s="708"/>
      <c r="L103" s="579">
        <f>IF(ytg.approach=Inputs!$C$39,K103*ytg.actual,IF(ytg.approach=Inputs!$C$40,ytg.mgt*M103,M103-K103))</f>
        <v>10000</v>
      </c>
      <c r="M103" s="710">
        <f>Inputs!L214</f>
        <v>10000</v>
      </c>
      <c r="N103" s="267">
        <f>Inputs!M214</f>
        <v>15000</v>
      </c>
      <c r="O103" s="267">
        <f>Inputs!N214</f>
        <v>15000</v>
      </c>
      <c r="P103" s="267">
        <f>Inputs!O214</f>
        <v>15000</v>
      </c>
      <c r="Q103" s="267">
        <f>Inputs!P214</f>
        <v>15000</v>
      </c>
      <c r="R103" s="267">
        <f>Inputs!Q214</f>
        <v>15000</v>
      </c>
      <c r="T103" s="286">
        <f t="shared" si="58"/>
        <v>0</v>
      </c>
    </row>
    <row r="104" spans="1:20">
      <c r="A104" s="697"/>
      <c r="B104" s="697"/>
      <c r="C104" s="698" t="s">
        <v>2001</v>
      </c>
      <c r="D104" s="711"/>
      <c r="E104" s="712"/>
      <c r="F104" s="712"/>
      <c r="G104" s="712"/>
      <c r="H104" s="713" t="str">
        <f>currency.heading1</f>
        <v>INR 'Units</v>
      </c>
      <c r="I104" s="713"/>
      <c r="J104" s="714"/>
      <c r="K104" s="714"/>
      <c r="L104" s="715">
        <f t="shared" ref="L104:R104" si="60">SUM(L102:L103)</f>
        <v>30000</v>
      </c>
      <c r="M104" s="715">
        <f t="shared" si="60"/>
        <v>40000</v>
      </c>
      <c r="N104" s="715">
        <f t="shared" si="60"/>
        <v>55000</v>
      </c>
      <c r="O104" s="715">
        <f t="shared" si="60"/>
        <v>70000</v>
      </c>
      <c r="P104" s="715">
        <f t="shared" si="60"/>
        <v>85000</v>
      </c>
      <c r="Q104" s="715">
        <f t="shared" si="60"/>
        <v>100000</v>
      </c>
      <c r="R104" s="715">
        <f t="shared" si="60"/>
        <v>115000</v>
      </c>
      <c r="T104" s="286">
        <f t="shared" si="58"/>
        <v>0.15895621875417865</v>
      </c>
    </row>
    <row r="105" spans="1:20">
      <c r="A105" s="697"/>
      <c r="B105" s="697"/>
      <c r="C105" s="697"/>
      <c r="D105" s="705"/>
      <c r="E105" s="697"/>
      <c r="F105" s="697"/>
      <c r="G105" s="697"/>
      <c r="H105" s="706"/>
      <c r="I105" s="706"/>
      <c r="T105" s="286" t="str">
        <f t="shared" si="58"/>
        <v>-</v>
      </c>
    </row>
    <row r="106" spans="1:20">
      <c r="A106" s="697"/>
      <c r="B106" s="697"/>
      <c r="C106" s="695" t="s">
        <v>2014</v>
      </c>
      <c r="D106" s="695"/>
      <c r="E106" s="697"/>
      <c r="F106" s="697"/>
      <c r="G106" s="697"/>
      <c r="H106" s="706"/>
      <c r="I106" s="706"/>
      <c r="T106" s="286" t="str">
        <f t="shared" si="58"/>
        <v>-</v>
      </c>
    </row>
    <row r="107" spans="1:20">
      <c r="A107" s="697"/>
      <c r="B107" s="697"/>
      <c r="C107" s="697" t="s">
        <v>1466</v>
      </c>
      <c r="D107" s="697"/>
      <c r="E107" s="703"/>
      <c r="F107" s="703"/>
      <c r="G107" s="703"/>
      <c r="H107" s="707" t="str">
        <f t="shared" ref="H107:H117" si="61">currency.heading1</f>
        <v>INR 'Units</v>
      </c>
      <c r="I107" s="707"/>
      <c r="J107" s="708"/>
      <c r="K107" s="708"/>
      <c r="L107" s="716">
        <v>0</v>
      </c>
      <c r="M107" s="716">
        <v>0</v>
      </c>
      <c r="N107" s="198">
        <f>M116</f>
        <v>1666.6666666666665</v>
      </c>
      <c r="O107" s="198">
        <f>N116</f>
        <v>3833.333333333333</v>
      </c>
      <c r="P107" s="198">
        <f>O116</f>
        <v>6500</v>
      </c>
      <c r="Q107" s="198">
        <f>P116</f>
        <v>9666.6666666666661</v>
      </c>
      <c r="R107" s="198">
        <f>Q116</f>
        <v>13333.333333333332</v>
      </c>
      <c r="T107" s="286">
        <f t="shared" si="58"/>
        <v>0.51571656651039799</v>
      </c>
    </row>
    <row r="108" spans="1:20">
      <c r="A108" s="697"/>
      <c r="B108" s="697"/>
      <c r="C108" s="697" t="s">
        <v>2015</v>
      </c>
      <c r="D108" s="695"/>
      <c r="E108" s="703"/>
      <c r="F108" s="703"/>
      <c r="G108" s="703"/>
      <c r="H108" s="707" t="str">
        <f t="shared" si="61"/>
        <v>INR 'Units</v>
      </c>
      <c r="I108" s="707"/>
      <c r="J108" s="708"/>
      <c r="K108" s="708"/>
      <c r="L108" s="198">
        <f t="shared" ref="L108:R108" si="62">MAX(0,$N102/$D99)</f>
        <v>1333.3333333333333</v>
      </c>
      <c r="M108" s="198">
        <f t="shared" si="62"/>
        <v>1333.3333333333333</v>
      </c>
      <c r="N108" s="198">
        <f t="shared" si="62"/>
        <v>1333.3333333333333</v>
      </c>
      <c r="O108" s="198">
        <f t="shared" si="62"/>
        <v>1333.3333333333333</v>
      </c>
      <c r="P108" s="198">
        <f t="shared" si="62"/>
        <v>1333.3333333333333</v>
      </c>
      <c r="Q108" s="198">
        <f t="shared" si="62"/>
        <v>1333.3333333333333</v>
      </c>
      <c r="R108" s="198">
        <f t="shared" si="62"/>
        <v>1333.3333333333333</v>
      </c>
      <c r="T108" s="286">
        <f t="shared" si="58"/>
        <v>0</v>
      </c>
    </row>
    <row r="109" spans="1:20">
      <c r="A109" s="697"/>
      <c r="B109" s="697"/>
      <c r="C109" s="697" t="s">
        <v>2193</v>
      </c>
      <c r="D109" s="717">
        <f t="array" ref="D109:D114">TRANSPOSE(M103:R103)</f>
        <v>10000</v>
      </c>
      <c r="E109" s="703"/>
      <c r="F109" s="703"/>
      <c r="G109" s="703"/>
      <c r="H109" s="707" t="str">
        <f t="shared" si="61"/>
        <v>INR 'Units</v>
      </c>
      <c r="I109" s="707"/>
      <c r="J109" s="708"/>
      <c r="K109" s="708"/>
      <c r="L109" s="718"/>
      <c r="M109" s="198">
        <f>MIN($D109/$D$99,$D109-SUM(L109:$L109))</f>
        <v>333.33333333333331</v>
      </c>
      <c r="N109" s="198">
        <f>MIN($D109/$D$99,$D109-SUM($M109:M109))</f>
        <v>333.33333333333331</v>
      </c>
      <c r="O109" s="198">
        <f>MIN($D109/$D$99,$D109-SUM($M109:N109))</f>
        <v>333.33333333333331</v>
      </c>
      <c r="P109" s="198">
        <f>MIN($D109/$D$99,$D109-SUM($M109:O109))</f>
        <v>333.33333333333331</v>
      </c>
      <c r="Q109" s="198">
        <f>MIN($D109/$D$99,$D109-SUM($M109:P109))</f>
        <v>333.33333333333331</v>
      </c>
      <c r="R109" s="198">
        <f>MIN($D109/$D$99,$D109-SUM($M109:Q109))</f>
        <v>333.33333333333331</v>
      </c>
      <c r="T109" s="286">
        <f t="shared" si="58"/>
        <v>0</v>
      </c>
    </row>
    <row r="110" spans="1:20">
      <c r="A110" s="697"/>
      <c r="B110" s="697"/>
      <c r="C110" s="697" t="s">
        <v>2016</v>
      </c>
      <c r="D110" s="717">
        <v>15000</v>
      </c>
      <c r="E110" s="703"/>
      <c r="F110" s="703"/>
      <c r="G110" s="703"/>
      <c r="H110" s="707" t="str">
        <f t="shared" si="61"/>
        <v>INR 'Units</v>
      </c>
      <c r="I110" s="707"/>
      <c r="J110" s="708"/>
      <c r="K110" s="708"/>
      <c r="L110" s="718"/>
      <c r="M110" s="718"/>
      <c r="N110" s="198">
        <f>MIN($D110/$D$99,$D110-SUM($M110:M110))</f>
        <v>500</v>
      </c>
      <c r="O110" s="198">
        <f>MIN($D110/$D$99,$D110-SUM($M110:N110))</f>
        <v>500</v>
      </c>
      <c r="P110" s="198">
        <f>MIN($D110/$D$99,$D110-SUM($M110:O110))</f>
        <v>500</v>
      </c>
      <c r="Q110" s="198">
        <f>MIN($D110/$D$99,$D110-SUM($M110:P110))</f>
        <v>500</v>
      </c>
      <c r="R110" s="198">
        <f>MIN($D110/$D$99,$D110-SUM($M110:Q110))</f>
        <v>500</v>
      </c>
      <c r="T110" s="286">
        <f t="shared" si="58"/>
        <v>0</v>
      </c>
    </row>
    <row r="111" spans="1:20">
      <c r="A111" s="697"/>
      <c r="B111" s="697"/>
      <c r="C111" s="697" t="s">
        <v>2017</v>
      </c>
      <c r="D111" s="717">
        <v>15000</v>
      </c>
      <c r="E111" s="703"/>
      <c r="F111" s="703"/>
      <c r="G111" s="703"/>
      <c r="H111" s="707" t="str">
        <f t="shared" si="61"/>
        <v>INR 'Units</v>
      </c>
      <c r="I111" s="707"/>
      <c r="J111" s="708"/>
      <c r="K111" s="708"/>
      <c r="L111" s="718"/>
      <c r="M111" s="718"/>
      <c r="N111" s="718"/>
      <c r="O111" s="198">
        <f>MIN($D111/$D$99,$D111-SUM($M111:N111))</f>
        <v>500</v>
      </c>
      <c r="P111" s="198">
        <f>MIN($D111/$D$99,$D111-SUM($M111:O111))</f>
        <v>500</v>
      </c>
      <c r="Q111" s="198">
        <f>MIN($D111/$D$99,$D111-SUM($M111:P111))</f>
        <v>500</v>
      </c>
      <c r="R111" s="198">
        <f>MIN($D111/$D$99,$D111-SUM($M111:Q111))</f>
        <v>500</v>
      </c>
      <c r="T111" s="286" t="str">
        <f t="shared" si="58"/>
        <v>-</v>
      </c>
    </row>
    <row r="112" spans="1:20">
      <c r="A112" s="697"/>
      <c r="B112" s="697"/>
      <c r="C112" s="697" t="s">
        <v>2018</v>
      </c>
      <c r="D112" s="717">
        <v>15000</v>
      </c>
      <c r="E112" s="703"/>
      <c r="F112" s="703"/>
      <c r="G112" s="703"/>
      <c r="H112" s="707" t="str">
        <f t="shared" si="61"/>
        <v>INR 'Units</v>
      </c>
      <c r="I112" s="707"/>
      <c r="J112" s="708"/>
      <c r="K112" s="708"/>
      <c r="L112" s="718"/>
      <c r="M112" s="718"/>
      <c r="N112" s="718"/>
      <c r="O112" s="718"/>
      <c r="P112" s="198">
        <f>MIN($D112/$D$99,$D112-SUM($M112:O112))</f>
        <v>500</v>
      </c>
      <c r="Q112" s="198">
        <f>MIN($D112/$D$99,$D112-SUM($M112:P112))</f>
        <v>500</v>
      </c>
      <c r="R112" s="198">
        <f>MIN($D112/$D$99,$D112-SUM($M112:Q112))</f>
        <v>500</v>
      </c>
      <c r="T112" s="286" t="str">
        <f t="shared" si="58"/>
        <v>-</v>
      </c>
    </row>
    <row r="113" spans="1:20">
      <c r="A113" s="697"/>
      <c r="B113" s="697"/>
      <c r="C113" s="697" t="s">
        <v>2019</v>
      </c>
      <c r="D113" s="717">
        <v>15000</v>
      </c>
      <c r="E113" s="703"/>
      <c r="F113" s="703"/>
      <c r="G113" s="703"/>
      <c r="H113" s="707" t="str">
        <f t="shared" si="61"/>
        <v>INR 'Units</v>
      </c>
      <c r="I113" s="707"/>
      <c r="J113" s="708"/>
      <c r="K113" s="708"/>
      <c r="L113" s="718"/>
      <c r="M113" s="718"/>
      <c r="N113" s="718"/>
      <c r="O113" s="718"/>
      <c r="P113" s="718"/>
      <c r="Q113" s="198">
        <f>MIN($D113/$D$99,$D113-SUM($M113:P113))</f>
        <v>500</v>
      </c>
      <c r="R113" s="198">
        <f>MIN($D113/$D$99,$D113-SUM($M113:Q113))</f>
        <v>500</v>
      </c>
      <c r="T113" s="286" t="str">
        <f t="shared" si="58"/>
        <v>-</v>
      </c>
    </row>
    <row r="114" spans="1:20">
      <c r="A114" s="697"/>
      <c r="B114" s="697"/>
      <c r="C114" s="697" t="s">
        <v>2020</v>
      </c>
      <c r="D114" s="717">
        <v>15000</v>
      </c>
      <c r="E114" s="703"/>
      <c r="F114" s="703"/>
      <c r="G114" s="703"/>
      <c r="H114" s="707" t="str">
        <f t="shared" si="61"/>
        <v>INR 'Units</v>
      </c>
      <c r="I114" s="707"/>
      <c r="J114" s="708"/>
      <c r="K114" s="708"/>
      <c r="L114" s="718"/>
      <c r="M114" s="718"/>
      <c r="N114" s="718"/>
      <c r="O114" s="718"/>
      <c r="P114" s="718"/>
      <c r="Q114" s="718"/>
      <c r="R114" s="198">
        <f>MIN($D114/$D$99,$D114-SUM($M114:Q114))</f>
        <v>500</v>
      </c>
      <c r="T114" s="286" t="str">
        <f t="shared" si="58"/>
        <v>-</v>
      </c>
    </row>
    <row r="115" spans="1:20">
      <c r="A115" s="697"/>
      <c r="B115" s="697"/>
      <c r="C115" s="719" t="s">
        <v>2030</v>
      </c>
      <c r="D115" s="698"/>
      <c r="E115" s="720"/>
      <c r="F115" s="720"/>
      <c r="G115" s="720"/>
      <c r="H115" s="721" t="str">
        <f t="shared" si="61"/>
        <v>INR 'Units</v>
      </c>
      <c r="I115" s="721"/>
      <c r="J115" s="722"/>
      <c r="K115" s="722"/>
      <c r="L115" s="723">
        <f t="shared" ref="L115:R115" si="63">SUM(L108:L114)</f>
        <v>1333.3333333333333</v>
      </c>
      <c r="M115" s="723">
        <f t="shared" si="63"/>
        <v>1666.6666666666665</v>
      </c>
      <c r="N115" s="723">
        <f t="shared" si="63"/>
        <v>2166.6666666666665</v>
      </c>
      <c r="O115" s="723">
        <f t="shared" si="63"/>
        <v>2666.6666666666665</v>
      </c>
      <c r="P115" s="723">
        <f t="shared" si="63"/>
        <v>3166.6666666666665</v>
      </c>
      <c r="Q115" s="723">
        <f t="shared" si="63"/>
        <v>3666.6666666666665</v>
      </c>
      <c r="R115" s="723">
        <f t="shared" si="63"/>
        <v>4166.6666666666661</v>
      </c>
      <c r="T115" s="286">
        <f t="shared" si="58"/>
        <v>0.13972304907201583</v>
      </c>
    </row>
    <row r="116" spans="1:20">
      <c r="A116" s="697"/>
      <c r="B116" s="697"/>
      <c r="C116" s="698" t="s">
        <v>2029</v>
      </c>
      <c r="D116" s="698"/>
      <c r="E116" s="724"/>
      <c r="F116" s="724"/>
      <c r="G116" s="724"/>
      <c r="H116" s="721" t="str">
        <f t="shared" si="61"/>
        <v>INR 'Units</v>
      </c>
      <c r="I116" s="721"/>
      <c r="J116" s="725"/>
      <c r="K116" s="725"/>
      <c r="L116" s="726">
        <f t="shared" ref="L116:R116" si="64">L107+L115</f>
        <v>1333.3333333333333</v>
      </c>
      <c r="M116" s="726">
        <f t="shared" si="64"/>
        <v>1666.6666666666665</v>
      </c>
      <c r="N116" s="726">
        <f t="shared" si="64"/>
        <v>3833.333333333333</v>
      </c>
      <c r="O116" s="726">
        <f t="shared" si="64"/>
        <v>6500</v>
      </c>
      <c r="P116" s="726">
        <f t="shared" si="64"/>
        <v>9666.6666666666661</v>
      </c>
      <c r="Q116" s="726">
        <f t="shared" si="64"/>
        <v>13333.333333333332</v>
      </c>
      <c r="R116" s="726">
        <f t="shared" si="64"/>
        <v>17500</v>
      </c>
      <c r="T116" s="286">
        <f t="shared" si="58"/>
        <v>0.35485335969188347</v>
      </c>
    </row>
    <row r="117" spans="1:20">
      <c r="A117" s="697"/>
      <c r="B117" s="697"/>
      <c r="C117" s="698" t="s">
        <v>2021</v>
      </c>
      <c r="D117" s="698"/>
      <c r="E117" s="727"/>
      <c r="F117" s="727"/>
      <c r="G117" s="727"/>
      <c r="H117" s="713" t="str">
        <f t="shared" si="61"/>
        <v>INR 'Units</v>
      </c>
      <c r="I117" s="713"/>
      <c r="J117" s="728"/>
      <c r="K117" s="728"/>
      <c r="L117" s="729">
        <f t="shared" ref="L117:R117" si="65">L104-L116</f>
        <v>28666.666666666668</v>
      </c>
      <c r="M117" s="729">
        <f t="shared" si="65"/>
        <v>38333.333333333336</v>
      </c>
      <c r="N117" s="729">
        <f t="shared" si="65"/>
        <v>51166.666666666664</v>
      </c>
      <c r="O117" s="729">
        <f t="shared" si="65"/>
        <v>63500</v>
      </c>
      <c r="P117" s="729">
        <f t="shared" si="65"/>
        <v>75333.333333333328</v>
      </c>
      <c r="Q117" s="729">
        <f t="shared" si="65"/>
        <v>86666.666666666672</v>
      </c>
      <c r="R117" s="729">
        <f t="shared" si="65"/>
        <v>97500</v>
      </c>
      <c r="T117" s="286">
        <f t="shared" si="58"/>
        <v>0.1376364491310258</v>
      </c>
    </row>
    <row r="118" spans="1:20">
      <c r="L118" s="198"/>
      <c r="M118" s="198"/>
      <c r="N118" s="198"/>
      <c r="O118" s="198"/>
      <c r="P118" s="198"/>
      <c r="Q118" s="198"/>
      <c r="R118" s="198"/>
      <c r="T118" s="286" t="str">
        <f t="shared" si="58"/>
        <v>-</v>
      </c>
    </row>
    <row r="119" spans="1:20">
      <c r="C119" s="700" t="s">
        <v>2023</v>
      </c>
      <c r="D119" s="701"/>
      <c r="T119" s="286" t="str">
        <f t="shared" si="58"/>
        <v>-</v>
      </c>
    </row>
    <row r="120" spans="1:20">
      <c r="C120" s="697" t="s">
        <v>1467</v>
      </c>
      <c r="D120" s="702">
        <v>20</v>
      </c>
      <c r="E120" s="703"/>
      <c r="F120" s="703"/>
      <c r="G120" s="703"/>
      <c r="H120" s="704" t="s">
        <v>2012</v>
      </c>
      <c r="I120" s="704"/>
      <c r="T120" s="286" t="str">
        <f t="shared" si="58"/>
        <v>-</v>
      </c>
    </row>
    <row r="121" spans="1:20">
      <c r="C121" s="697"/>
      <c r="D121" s="705"/>
      <c r="E121" s="697"/>
      <c r="F121" s="697"/>
      <c r="G121" s="697"/>
      <c r="H121" s="706"/>
      <c r="I121" s="706"/>
      <c r="T121" s="286" t="str">
        <f t="shared" si="58"/>
        <v>-</v>
      </c>
    </row>
    <row r="122" spans="1:20">
      <c r="C122" s="695" t="s">
        <v>1998</v>
      </c>
      <c r="D122" s="705"/>
      <c r="E122" s="697"/>
      <c r="F122" s="697"/>
      <c r="G122" s="697"/>
      <c r="H122" s="706"/>
      <c r="I122" s="706"/>
      <c r="T122" s="286" t="str">
        <f t="shared" si="58"/>
        <v>-</v>
      </c>
    </row>
    <row r="123" spans="1:20">
      <c r="C123" s="697" t="s">
        <v>2013</v>
      </c>
      <c r="D123" s="695"/>
      <c r="E123" s="703"/>
      <c r="F123" s="703"/>
      <c r="G123" s="703"/>
      <c r="H123" s="707" t="str">
        <f>currency.heading1</f>
        <v>INR 'Units</v>
      </c>
      <c r="I123" s="707"/>
      <c r="J123" s="708"/>
      <c r="K123" s="708"/>
      <c r="L123" s="709">
        <f>Inputs!J216</f>
        <v>13000</v>
      </c>
      <c r="M123" s="688">
        <f t="shared" ref="M123:R123" si="66">L125</f>
        <v>15000</v>
      </c>
      <c r="N123" s="688">
        <f t="shared" si="66"/>
        <v>17000</v>
      </c>
      <c r="O123" s="688">
        <f t="shared" si="66"/>
        <v>19000</v>
      </c>
      <c r="P123" s="688">
        <f t="shared" si="66"/>
        <v>21000</v>
      </c>
      <c r="Q123" s="688">
        <f t="shared" si="66"/>
        <v>23000</v>
      </c>
      <c r="R123" s="688">
        <f t="shared" si="66"/>
        <v>25000</v>
      </c>
      <c r="T123" s="286">
        <f t="shared" si="58"/>
        <v>8.0185187303563499E-2</v>
      </c>
    </row>
    <row r="124" spans="1:20">
      <c r="C124" s="697" t="s">
        <v>1974</v>
      </c>
      <c r="D124" s="705"/>
      <c r="E124" s="703"/>
      <c r="F124" s="703"/>
      <c r="G124" s="703"/>
      <c r="H124" s="707" t="str">
        <f>currency.heading1</f>
        <v>INR 'Units</v>
      </c>
      <c r="I124" s="707"/>
      <c r="J124" s="708"/>
      <c r="K124" s="708"/>
      <c r="L124" s="579">
        <f>IF(ytg.approach=Inputs!$C$39,K124*ytg.actual,IF(ytg.approach=Inputs!$C$40,ytg.mgt*M124,M124-K124))</f>
        <v>2000</v>
      </c>
      <c r="M124" s="710">
        <f>Inputs!L217</f>
        <v>2000</v>
      </c>
      <c r="N124" s="267">
        <f>Inputs!M217</f>
        <v>2000</v>
      </c>
      <c r="O124" s="267">
        <f>Inputs!N217</f>
        <v>2000</v>
      </c>
      <c r="P124" s="267">
        <f>Inputs!O217</f>
        <v>2000</v>
      </c>
      <c r="Q124" s="267">
        <f>Inputs!P217</f>
        <v>2000</v>
      </c>
      <c r="R124" s="267">
        <f>Inputs!Q217</f>
        <v>2000</v>
      </c>
      <c r="T124" s="286">
        <f t="shared" si="58"/>
        <v>0</v>
      </c>
    </row>
    <row r="125" spans="1:20">
      <c r="C125" s="698" t="s">
        <v>2001</v>
      </c>
      <c r="D125" s="711"/>
      <c r="E125" s="712"/>
      <c r="F125" s="712"/>
      <c r="G125" s="712"/>
      <c r="H125" s="713" t="str">
        <f>currency.heading1</f>
        <v>INR 'Units</v>
      </c>
      <c r="I125" s="713"/>
      <c r="J125" s="714"/>
      <c r="K125" s="714"/>
      <c r="L125" s="715">
        <f t="shared" ref="L125:R125" si="67">SUM(L123:L124)</f>
        <v>15000</v>
      </c>
      <c r="M125" s="715">
        <f t="shared" si="67"/>
        <v>17000</v>
      </c>
      <c r="N125" s="715">
        <f t="shared" si="67"/>
        <v>19000</v>
      </c>
      <c r="O125" s="715">
        <f t="shared" si="67"/>
        <v>21000</v>
      </c>
      <c r="P125" s="715">
        <f t="shared" si="67"/>
        <v>23000</v>
      </c>
      <c r="Q125" s="715">
        <f t="shared" si="67"/>
        <v>25000</v>
      </c>
      <c r="R125" s="715">
        <f t="shared" si="67"/>
        <v>27000</v>
      </c>
      <c r="T125" s="286">
        <f t="shared" si="58"/>
        <v>7.2808072187642514E-2</v>
      </c>
    </row>
    <row r="126" spans="1:20">
      <c r="C126" s="697"/>
      <c r="D126" s="705"/>
      <c r="E126" s="697"/>
      <c r="F126" s="697"/>
      <c r="G126" s="697"/>
      <c r="H126" s="706"/>
      <c r="I126" s="706"/>
      <c r="T126" s="286" t="str">
        <f t="shared" si="58"/>
        <v>-</v>
      </c>
    </row>
    <row r="127" spans="1:20">
      <c r="C127" s="695" t="s">
        <v>2014</v>
      </c>
      <c r="D127" s="695"/>
      <c r="E127" s="697"/>
      <c r="F127" s="697"/>
      <c r="G127" s="697"/>
      <c r="H127" s="706"/>
      <c r="I127" s="706"/>
      <c r="T127" s="286" t="str">
        <f t="shared" ref="T127:T156" si="68">IFERROR((R127/N127)^(1/5)-1,"-")</f>
        <v>-</v>
      </c>
    </row>
    <row r="128" spans="1:20">
      <c r="C128" s="697" t="s">
        <v>1466</v>
      </c>
      <c r="D128" s="697"/>
      <c r="E128" s="703"/>
      <c r="F128" s="703"/>
      <c r="G128" s="703"/>
      <c r="H128" s="707" t="str">
        <f t="shared" ref="H128:H138" si="69">currency.heading1</f>
        <v>INR 'Units</v>
      </c>
      <c r="I128" s="707"/>
      <c r="J128" s="708"/>
      <c r="K128" s="708"/>
      <c r="L128" s="716">
        <v>0</v>
      </c>
      <c r="M128" s="716">
        <v>0</v>
      </c>
      <c r="N128" s="198">
        <f>M137</f>
        <v>916.66666666666663</v>
      </c>
      <c r="O128" s="198">
        <f>N137</f>
        <v>1900</v>
      </c>
      <c r="P128" s="198">
        <f>O137</f>
        <v>2950</v>
      </c>
      <c r="Q128" s="198">
        <f>P137</f>
        <v>4066.666666666667</v>
      </c>
      <c r="R128" s="198">
        <f>Q137</f>
        <v>5250</v>
      </c>
      <c r="T128" s="286">
        <f t="shared" si="68"/>
        <v>0.41771708420621034</v>
      </c>
    </row>
    <row r="129" spans="3:20">
      <c r="C129" s="697" t="s">
        <v>2015</v>
      </c>
      <c r="D129" s="695"/>
      <c r="E129" s="703"/>
      <c r="F129" s="703"/>
      <c r="G129" s="703"/>
      <c r="H129" s="707" t="str">
        <f t="shared" si="69"/>
        <v>INR 'Units</v>
      </c>
      <c r="I129" s="707"/>
      <c r="J129" s="708"/>
      <c r="K129" s="708"/>
      <c r="L129" s="198">
        <f t="shared" ref="L129:R129" si="70">MAX(0,$N123/$D120)</f>
        <v>850</v>
      </c>
      <c r="M129" s="198">
        <f t="shared" si="70"/>
        <v>850</v>
      </c>
      <c r="N129" s="198">
        <f t="shared" si="70"/>
        <v>850</v>
      </c>
      <c r="O129" s="198">
        <f t="shared" si="70"/>
        <v>850</v>
      </c>
      <c r="P129" s="198">
        <f t="shared" si="70"/>
        <v>850</v>
      </c>
      <c r="Q129" s="198">
        <f t="shared" si="70"/>
        <v>850</v>
      </c>
      <c r="R129" s="198">
        <f t="shared" si="70"/>
        <v>850</v>
      </c>
      <c r="T129" s="286">
        <f t="shared" si="68"/>
        <v>0</v>
      </c>
    </row>
    <row r="130" spans="3:20">
      <c r="C130" s="697" t="s">
        <v>2193</v>
      </c>
      <c r="D130" s="717">
        <f t="array" ref="D130:D135">TRANSPOSE(M124:R124)</f>
        <v>2000</v>
      </c>
      <c r="E130" s="703"/>
      <c r="F130" s="703"/>
      <c r="G130" s="703"/>
      <c r="H130" s="707" t="str">
        <f t="shared" si="69"/>
        <v>INR 'Units</v>
      </c>
      <c r="I130" s="707"/>
      <c r="J130" s="708"/>
      <c r="K130" s="708"/>
      <c r="L130" s="718"/>
      <c r="M130" s="198">
        <f>MIN($D130/$D$99,$D130-SUM(L130:$L130))</f>
        <v>66.666666666666671</v>
      </c>
      <c r="N130" s="198">
        <f>MIN($D130/$D$99,$D130-SUM($M130:M130))</f>
        <v>66.666666666666671</v>
      </c>
      <c r="O130" s="198">
        <f>MIN($D130/$D$99,$D130-SUM($M130:N130))</f>
        <v>66.666666666666671</v>
      </c>
      <c r="P130" s="198">
        <f>MIN($D130/$D$99,$D130-SUM($M130:O130))</f>
        <v>66.666666666666671</v>
      </c>
      <c r="Q130" s="198">
        <f>MIN($D130/$D$99,$D130-SUM($M130:P130))</f>
        <v>66.666666666666671</v>
      </c>
      <c r="R130" s="198">
        <f>MIN($D130/$D$99,$D130-SUM($M130:Q130))</f>
        <v>66.666666666666671</v>
      </c>
      <c r="T130" s="286">
        <f t="shared" si="68"/>
        <v>0</v>
      </c>
    </row>
    <row r="131" spans="3:20">
      <c r="C131" s="697" t="s">
        <v>2016</v>
      </c>
      <c r="D131" s="717">
        <v>2000</v>
      </c>
      <c r="E131" s="703"/>
      <c r="F131" s="703"/>
      <c r="G131" s="703"/>
      <c r="H131" s="707" t="str">
        <f t="shared" si="69"/>
        <v>INR 'Units</v>
      </c>
      <c r="I131" s="707"/>
      <c r="J131" s="708"/>
      <c r="K131" s="708"/>
      <c r="L131" s="718"/>
      <c r="M131" s="718"/>
      <c r="N131" s="198">
        <f>MIN($D131/$D$99,$D131-SUM($M131:M131))</f>
        <v>66.666666666666671</v>
      </c>
      <c r="O131" s="198">
        <f>MIN($D131/$D$99,$D131-SUM($M131:N131))</f>
        <v>66.666666666666671</v>
      </c>
      <c r="P131" s="198">
        <f>MIN($D131/$D$99,$D131-SUM($M131:O131))</f>
        <v>66.666666666666671</v>
      </c>
      <c r="Q131" s="198">
        <f>MIN($D131/$D$99,$D131-SUM($M131:P131))</f>
        <v>66.666666666666671</v>
      </c>
      <c r="R131" s="198">
        <f>MIN($D131/$D$99,$D131-SUM($M131:Q131))</f>
        <v>66.666666666666671</v>
      </c>
      <c r="T131" s="286">
        <f t="shared" si="68"/>
        <v>0</v>
      </c>
    </row>
    <row r="132" spans="3:20">
      <c r="C132" s="697" t="s">
        <v>2017</v>
      </c>
      <c r="D132" s="717">
        <v>2000</v>
      </c>
      <c r="E132" s="703"/>
      <c r="F132" s="703"/>
      <c r="G132" s="703"/>
      <c r="H132" s="707" t="str">
        <f t="shared" si="69"/>
        <v>INR 'Units</v>
      </c>
      <c r="I132" s="707"/>
      <c r="J132" s="708"/>
      <c r="K132" s="708"/>
      <c r="L132" s="718"/>
      <c r="M132" s="718"/>
      <c r="N132" s="718"/>
      <c r="O132" s="198">
        <f>MIN($D132/$D$99,$D132-SUM($M132:N132))</f>
        <v>66.666666666666671</v>
      </c>
      <c r="P132" s="198">
        <f>MIN($D132/$D$99,$D132-SUM($M132:O132))</f>
        <v>66.666666666666671</v>
      </c>
      <c r="Q132" s="198">
        <f>MIN($D132/$D$99,$D132-SUM($M132:P132))</f>
        <v>66.666666666666671</v>
      </c>
      <c r="R132" s="198">
        <f>MIN($D132/$D$99,$D132-SUM($M132:Q132))</f>
        <v>66.666666666666671</v>
      </c>
      <c r="T132" s="286" t="str">
        <f t="shared" si="68"/>
        <v>-</v>
      </c>
    </row>
    <row r="133" spans="3:20">
      <c r="C133" s="697" t="s">
        <v>2018</v>
      </c>
      <c r="D133" s="717">
        <v>2000</v>
      </c>
      <c r="E133" s="703"/>
      <c r="F133" s="703"/>
      <c r="G133" s="703"/>
      <c r="H133" s="707" t="str">
        <f t="shared" si="69"/>
        <v>INR 'Units</v>
      </c>
      <c r="I133" s="707"/>
      <c r="J133" s="708"/>
      <c r="K133" s="708"/>
      <c r="L133" s="718"/>
      <c r="M133" s="718"/>
      <c r="N133" s="718"/>
      <c r="O133" s="718"/>
      <c r="P133" s="198">
        <f>MIN($D133/$D$99,$D133-SUM($M133:O133))</f>
        <v>66.666666666666671</v>
      </c>
      <c r="Q133" s="198">
        <f>MIN($D133/$D$99,$D133-SUM($M133:P133))</f>
        <v>66.666666666666671</v>
      </c>
      <c r="R133" s="198">
        <f>MIN($D133/$D$99,$D133-SUM($M133:Q133))</f>
        <v>66.666666666666671</v>
      </c>
      <c r="T133" s="286" t="str">
        <f t="shared" si="68"/>
        <v>-</v>
      </c>
    </row>
    <row r="134" spans="3:20">
      <c r="C134" s="697" t="s">
        <v>2019</v>
      </c>
      <c r="D134" s="717">
        <v>2000</v>
      </c>
      <c r="E134" s="703"/>
      <c r="F134" s="703"/>
      <c r="G134" s="703"/>
      <c r="H134" s="707" t="str">
        <f t="shared" si="69"/>
        <v>INR 'Units</v>
      </c>
      <c r="I134" s="707"/>
      <c r="J134" s="708"/>
      <c r="K134" s="708"/>
      <c r="L134" s="718"/>
      <c r="M134" s="718"/>
      <c r="N134" s="718"/>
      <c r="O134" s="718"/>
      <c r="P134" s="718"/>
      <c r="Q134" s="198">
        <f>MIN($D134/$D$99,$D134-SUM($M134:P134))</f>
        <v>66.666666666666671</v>
      </c>
      <c r="R134" s="198">
        <f>MIN($D134/$D$99,$D134-SUM($M134:Q134))</f>
        <v>66.666666666666671</v>
      </c>
      <c r="T134" s="286" t="str">
        <f t="shared" si="68"/>
        <v>-</v>
      </c>
    </row>
    <row r="135" spans="3:20">
      <c r="C135" s="697" t="s">
        <v>2020</v>
      </c>
      <c r="D135" s="717">
        <v>2000</v>
      </c>
      <c r="E135" s="703"/>
      <c r="F135" s="703"/>
      <c r="G135" s="703"/>
      <c r="H135" s="707" t="str">
        <f t="shared" si="69"/>
        <v>INR 'Units</v>
      </c>
      <c r="I135" s="707"/>
      <c r="J135" s="708"/>
      <c r="K135" s="708"/>
      <c r="L135" s="718"/>
      <c r="M135" s="718"/>
      <c r="N135" s="718"/>
      <c r="O135" s="718"/>
      <c r="P135" s="718"/>
      <c r="Q135" s="718"/>
      <c r="R135" s="198">
        <f>MIN($D135/$D$99,$D135-SUM($M135:Q135))</f>
        <v>66.666666666666671</v>
      </c>
      <c r="T135" s="286" t="str">
        <f t="shared" si="68"/>
        <v>-</v>
      </c>
    </row>
    <row r="136" spans="3:20">
      <c r="C136" s="719" t="s">
        <v>2030</v>
      </c>
      <c r="D136" s="698"/>
      <c r="E136" s="720"/>
      <c r="F136" s="720"/>
      <c r="G136" s="720"/>
      <c r="H136" s="721" t="str">
        <f t="shared" si="69"/>
        <v>INR 'Units</v>
      </c>
      <c r="I136" s="721"/>
      <c r="J136" s="722"/>
      <c r="K136" s="722"/>
      <c r="L136" s="723">
        <f t="shared" ref="L136:R136" si="71">SUM(L129:L135)</f>
        <v>850</v>
      </c>
      <c r="M136" s="723">
        <f t="shared" si="71"/>
        <v>916.66666666666663</v>
      </c>
      <c r="N136" s="723">
        <f t="shared" si="71"/>
        <v>983.33333333333326</v>
      </c>
      <c r="O136" s="723">
        <f t="shared" si="71"/>
        <v>1050</v>
      </c>
      <c r="P136" s="723">
        <f t="shared" si="71"/>
        <v>1116.6666666666667</v>
      </c>
      <c r="Q136" s="723">
        <f t="shared" si="71"/>
        <v>1183.3333333333335</v>
      </c>
      <c r="R136" s="723">
        <f t="shared" si="71"/>
        <v>1250.0000000000002</v>
      </c>
      <c r="T136" s="286">
        <f t="shared" si="68"/>
        <v>4.9160304180333236E-2</v>
      </c>
    </row>
    <row r="137" spans="3:20">
      <c r="C137" s="698" t="s">
        <v>2029</v>
      </c>
      <c r="D137" s="698"/>
      <c r="E137" s="724"/>
      <c r="F137" s="724"/>
      <c r="G137" s="724"/>
      <c r="H137" s="721" t="str">
        <f t="shared" si="69"/>
        <v>INR 'Units</v>
      </c>
      <c r="I137" s="721"/>
      <c r="J137" s="725"/>
      <c r="K137" s="725"/>
      <c r="L137" s="726">
        <f t="shared" ref="L137:R137" si="72">L128+L136</f>
        <v>850</v>
      </c>
      <c r="M137" s="726">
        <f t="shared" si="72"/>
        <v>916.66666666666663</v>
      </c>
      <c r="N137" s="726">
        <f t="shared" si="72"/>
        <v>1900</v>
      </c>
      <c r="O137" s="726">
        <f t="shared" si="72"/>
        <v>2950</v>
      </c>
      <c r="P137" s="726">
        <f t="shared" si="72"/>
        <v>4066.666666666667</v>
      </c>
      <c r="Q137" s="726">
        <f t="shared" si="72"/>
        <v>5250</v>
      </c>
      <c r="R137" s="726">
        <f t="shared" si="72"/>
        <v>6500</v>
      </c>
      <c r="T137" s="286">
        <f t="shared" si="68"/>
        <v>0.27888634741725404</v>
      </c>
    </row>
    <row r="138" spans="3:20">
      <c r="C138" s="698" t="s">
        <v>2024</v>
      </c>
      <c r="D138" s="698"/>
      <c r="E138" s="727"/>
      <c r="F138" s="727"/>
      <c r="G138" s="727"/>
      <c r="H138" s="713" t="str">
        <f t="shared" si="69"/>
        <v>INR 'Units</v>
      </c>
      <c r="I138" s="713"/>
      <c r="J138" s="728"/>
      <c r="K138" s="728"/>
      <c r="L138" s="729">
        <f t="shared" ref="L138:R138" si="73">L125-L137</f>
        <v>14150</v>
      </c>
      <c r="M138" s="729">
        <f t="shared" si="73"/>
        <v>16083.333333333334</v>
      </c>
      <c r="N138" s="729">
        <f t="shared" si="73"/>
        <v>17100</v>
      </c>
      <c r="O138" s="729">
        <f t="shared" si="73"/>
        <v>18050</v>
      </c>
      <c r="P138" s="729">
        <f t="shared" si="73"/>
        <v>18933.333333333332</v>
      </c>
      <c r="Q138" s="729">
        <f t="shared" si="73"/>
        <v>19750</v>
      </c>
      <c r="R138" s="729">
        <f t="shared" si="73"/>
        <v>20500</v>
      </c>
      <c r="T138" s="286">
        <f t="shared" si="68"/>
        <v>3.6935039459849106E-2</v>
      </c>
    </row>
    <row r="139" spans="3:20">
      <c r="T139" s="286" t="str">
        <f t="shared" si="68"/>
        <v>-</v>
      </c>
    </row>
    <row r="140" spans="3:20">
      <c r="C140" s="700" t="s">
        <v>2025</v>
      </c>
      <c r="D140" s="701"/>
      <c r="T140" s="286" t="str">
        <f t="shared" si="68"/>
        <v>-</v>
      </c>
    </row>
    <row r="141" spans="3:20">
      <c r="C141" s="697" t="s">
        <v>1467</v>
      </c>
      <c r="D141" s="702">
        <v>10</v>
      </c>
      <c r="E141" s="703"/>
      <c r="F141" s="703"/>
      <c r="G141" s="703"/>
      <c r="H141" s="704" t="s">
        <v>2012</v>
      </c>
      <c r="I141" s="704"/>
      <c r="T141" s="286" t="str">
        <f t="shared" si="68"/>
        <v>-</v>
      </c>
    </row>
    <row r="142" spans="3:20">
      <c r="C142" s="697"/>
      <c r="D142" s="705"/>
      <c r="E142" s="697"/>
      <c r="F142" s="697"/>
      <c r="G142" s="697"/>
      <c r="H142" s="706"/>
      <c r="I142" s="706"/>
      <c r="T142" s="286" t="str">
        <f t="shared" si="68"/>
        <v>-</v>
      </c>
    </row>
    <row r="143" spans="3:20">
      <c r="C143" s="695" t="s">
        <v>1998</v>
      </c>
      <c r="D143" s="705"/>
      <c r="E143" s="697"/>
      <c r="F143" s="697"/>
      <c r="G143" s="697"/>
      <c r="H143" s="706"/>
      <c r="I143" s="706"/>
      <c r="T143" s="286" t="str">
        <f t="shared" si="68"/>
        <v>-</v>
      </c>
    </row>
    <row r="144" spans="3:20">
      <c r="C144" s="697" t="s">
        <v>2013</v>
      </c>
      <c r="D144" s="695"/>
      <c r="E144" s="703"/>
      <c r="F144" s="703"/>
      <c r="G144" s="703"/>
      <c r="H144" s="707" t="str">
        <f>currency.heading1</f>
        <v>INR 'Units</v>
      </c>
      <c r="I144" s="707"/>
      <c r="J144" s="708"/>
      <c r="K144" s="708"/>
      <c r="L144" s="709">
        <f>Inputs!J219</f>
        <v>20000</v>
      </c>
      <c r="M144" s="688">
        <f t="shared" ref="M144:R144" si="74">L146</f>
        <v>30000</v>
      </c>
      <c r="N144" s="688">
        <f t="shared" si="74"/>
        <v>40000</v>
      </c>
      <c r="O144" s="688">
        <f t="shared" si="74"/>
        <v>55000</v>
      </c>
      <c r="P144" s="688">
        <f t="shared" si="74"/>
        <v>70000</v>
      </c>
      <c r="Q144" s="688">
        <f t="shared" si="74"/>
        <v>85000</v>
      </c>
      <c r="R144" s="688">
        <f t="shared" si="74"/>
        <v>100000</v>
      </c>
      <c r="T144" s="286">
        <f t="shared" si="68"/>
        <v>0.20112443398143132</v>
      </c>
    </row>
    <row r="145" spans="3:20">
      <c r="C145" s="697" t="s">
        <v>1974</v>
      </c>
      <c r="D145" s="705"/>
      <c r="E145" s="703"/>
      <c r="F145" s="703"/>
      <c r="G145" s="703"/>
      <c r="H145" s="707" t="str">
        <f>currency.heading1</f>
        <v>INR 'Units</v>
      </c>
      <c r="I145" s="707"/>
      <c r="J145" s="708"/>
      <c r="K145" s="708"/>
      <c r="L145" s="579">
        <f>IF(ytg.approach=Inputs!$C$39,K145*ytg.actual,IF(ytg.approach=Inputs!$C$40,ytg.mgt*M145,M145-K145))</f>
        <v>10000</v>
      </c>
      <c r="M145" s="710">
        <f>Inputs!L220</f>
        <v>10000</v>
      </c>
      <c r="N145" s="267">
        <f>Inputs!M220</f>
        <v>15000</v>
      </c>
      <c r="O145" s="267">
        <f>Inputs!N220</f>
        <v>15000</v>
      </c>
      <c r="P145" s="267">
        <f>Inputs!O220</f>
        <v>15000</v>
      </c>
      <c r="Q145" s="267">
        <f>Inputs!P220</f>
        <v>15000</v>
      </c>
      <c r="R145" s="267">
        <f>Inputs!Q220</f>
        <v>15000</v>
      </c>
      <c r="T145" s="286">
        <f t="shared" si="68"/>
        <v>0</v>
      </c>
    </row>
    <row r="146" spans="3:20">
      <c r="C146" s="698" t="s">
        <v>2001</v>
      </c>
      <c r="D146" s="711"/>
      <c r="E146" s="712"/>
      <c r="F146" s="712"/>
      <c r="G146" s="712"/>
      <c r="H146" s="713" t="str">
        <f>currency.heading1</f>
        <v>INR 'Units</v>
      </c>
      <c r="I146" s="713"/>
      <c r="J146" s="714"/>
      <c r="K146" s="714"/>
      <c r="L146" s="715">
        <f t="shared" ref="L146:R146" si="75">SUM(L144:L145)</f>
        <v>30000</v>
      </c>
      <c r="M146" s="715">
        <f t="shared" si="75"/>
        <v>40000</v>
      </c>
      <c r="N146" s="715">
        <f t="shared" si="75"/>
        <v>55000</v>
      </c>
      <c r="O146" s="715">
        <f t="shared" si="75"/>
        <v>70000</v>
      </c>
      <c r="P146" s="715">
        <f t="shared" si="75"/>
        <v>85000</v>
      </c>
      <c r="Q146" s="715">
        <f t="shared" si="75"/>
        <v>100000</v>
      </c>
      <c r="R146" s="715">
        <f t="shared" si="75"/>
        <v>115000</v>
      </c>
      <c r="T146" s="286">
        <f t="shared" si="68"/>
        <v>0.15895621875417865</v>
      </c>
    </row>
    <row r="147" spans="3:20">
      <c r="C147" s="697"/>
      <c r="D147" s="705"/>
      <c r="E147" s="697"/>
      <c r="F147" s="697"/>
      <c r="G147" s="697"/>
      <c r="H147" s="706"/>
      <c r="I147" s="706"/>
      <c r="T147" s="286" t="str">
        <f t="shared" si="68"/>
        <v>-</v>
      </c>
    </row>
    <row r="148" spans="3:20">
      <c r="C148" s="695" t="s">
        <v>2014</v>
      </c>
      <c r="D148" s="695"/>
      <c r="E148" s="697"/>
      <c r="F148" s="697"/>
      <c r="G148" s="697"/>
      <c r="H148" s="706"/>
      <c r="I148" s="706"/>
      <c r="T148" s="286" t="str">
        <f t="shared" si="68"/>
        <v>-</v>
      </c>
    </row>
    <row r="149" spans="3:20">
      <c r="C149" s="697" t="s">
        <v>1466</v>
      </c>
      <c r="D149" s="697"/>
      <c r="E149" s="703"/>
      <c r="F149" s="703"/>
      <c r="G149" s="703"/>
      <c r="H149" s="707" t="str">
        <f t="shared" ref="H149:H159" si="76">currency.heading1</f>
        <v>INR 'Units</v>
      </c>
      <c r="I149" s="707"/>
      <c r="J149" s="708"/>
      <c r="K149" s="708"/>
      <c r="L149" s="716">
        <v>0</v>
      </c>
      <c r="M149" s="716">
        <v>0</v>
      </c>
      <c r="N149" s="198">
        <f>M158</f>
        <v>4333.333333333333</v>
      </c>
      <c r="O149" s="198">
        <f>N158</f>
        <v>9166.6666666666661</v>
      </c>
      <c r="P149" s="198">
        <f>O158</f>
        <v>14500</v>
      </c>
      <c r="Q149" s="198">
        <f>P158</f>
        <v>20333.333333333332</v>
      </c>
      <c r="R149" s="198">
        <f>Q158</f>
        <v>26666.666666666664</v>
      </c>
      <c r="T149" s="286">
        <f t="shared" si="68"/>
        <v>0.43823325697069615</v>
      </c>
    </row>
    <row r="150" spans="3:20">
      <c r="C150" s="697" t="s">
        <v>2015</v>
      </c>
      <c r="D150" s="695"/>
      <c r="E150" s="703"/>
      <c r="F150" s="703"/>
      <c r="G150" s="703"/>
      <c r="H150" s="707" t="str">
        <f t="shared" si="76"/>
        <v>INR 'Units</v>
      </c>
      <c r="I150" s="707"/>
      <c r="J150" s="708"/>
      <c r="K150" s="708"/>
      <c r="L150" s="198">
        <f t="shared" ref="L150:R150" si="77">MAX(0,$N144/$D141)</f>
        <v>4000</v>
      </c>
      <c r="M150" s="198">
        <f t="shared" si="77"/>
        <v>4000</v>
      </c>
      <c r="N150" s="198">
        <f t="shared" si="77"/>
        <v>4000</v>
      </c>
      <c r="O150" s="198">
        <f t="shared" si="77"/>
        <v>4000</v>
      </c>
      <c r="P150" s="198">
        <f t="shared" si="77"/>
        <v>4000</v>
      </c>
      <c r="Q150" s="198">
        <f t="shared" si="77"/>
        <v>4000</v>
      </c>
      <c r="R150" s="198">
        <f t="shared" si="77"/>
        <v>4000</v>
      </c>
      <c r="T150" s="286">
        <f t="shared" si="68"/>
        <v>0</v>
      </c>
    </row>
    <row r="151" spans="3:20">
      <c r="C151" s="697" t="s">
        <v>2193</v>
      </c>
      <c r="D151" s="717">
        <f t="array" ref="D151:D156">TRANSPOSE(M145:R145)</f>
        <v>10000</v>
      </c>
      <c r="E151" s="703"/>
      <c r="F151" s="703"/>
      <c r="G151" s="703"/>
      <c r="H151" s="707" t="str">
        <f t="shared" si="76"/>
        <v>INR 'Units</v>
      </c>
      <c r="I151" s="707"/>
      <c r="J151" s="708"/>
      <c r="K151" s="708"/>
      <c r="L151" s="718"/>
      <c r="M151" s="198">
        <f>MIN($D151/$D$99,$D151-SUM(L151:$L151))</f>
        <v>333.33333333333331</v>
      </c>
      <c r="N151" s="198">
        <f>MIN($D151/$D$99,$D151-SUM($M151:M151))</f>
        <v>333.33333333333331</v>
      </c>
      <c r="O151" s="198">
        <f>MIN($D151/$D$99,$D151-SUM($M151:N151))</f>
        <v>333.33333333333331</v>
      </c>
      <c r="P151" s="198">
        <f>MIN($D151/$D$99,$D151-SUM($M151:O151))</f>
        <v>333.33333333333331</v>
      </c>
      <c r="Q151" s="198">
        <f>MIN($D151/$D$99,$D151-SUM($M151:P151))</f>
        <v>333.33333333333331</v>
      </c>
      <c r="R151" s="198">
        <f>MIN($D151/$D$99,$D151-SUM($M151:Q151))</f>
        <v>333.33333333333331</v>
      </c>
      <c r="T151" s="286">
        <f t="shared" si="68"/>
        <v>0</v>
      </c>
    </row>
    <row r="152" spans="3:20">
      <c r="C152" s="697" t="s">
        <v>2016</v>
      </c>
      <c r="D152" s="717">
        <v>15000</v>
      </c>
      <c r="E152" s="703"/>
      <c r="F152" s="703"/>
      <c r="G152" s="703"/>
      <c r="H152" s="707" t="str">
        <f t="shared" si="76"/>
        <v>INR 'Units</v>
      </c>
      <c r="I152" s="707"/>
      <c r="J152" s="708"/>
      <c r="K152" s="708"/>
      <c r="L152" s="718"/>
      <c r="M152" s="718"/>
      <c r="N152" s="198">
        <f>MIN($D152/$D$99,$D152-SUM($M152:M152))</f>
        <v>500</v>
      </c>
      <c r="O152" s="198">
        <f>MIN($D152/$D$99,$D152-SUM($M152:N152))</f>
        <v>500</v>
      </c>
      <c r="P152" s="198">
        <f>MIN($D152/$D$99,$D152-SUM($M152:O152))</f>
        <v>500</v>
      </c>
      <c r="Q152" s="198">
        <f>MIN($D152/$D$99,$D152-SUM($M152:P152))</f>
        <v>500</v>
      </c>
      <c r="R152" s="198">
        <f>MIN($D152/$D$99,$D152-SUM($M152:Q152))</f>
        <v>500</v>
      </c>
      <c r="T152" s="286">
        <f t="shared" si="68"/>
        <v>0</v>
      </c>
    </row>
    <row r="153" spans="3:20">
      <c r="C153" s="697" t="s">
        <v>2017</v>
      </c>
      <c r="D153" s="717">
        <v>15000</v>
      </c>
      <c r="E153" s="703"/>
      <c r="F153" s="703"/>
      <c r="G153" s="703"/>
      <c r="H153" s="707" t="str">
        <f t="shared" si="76"/>
        <v>INR 'Units</v>
      </c>
      <c r="I153" s="707"/>
      <c r="J153" s="708"/>
      <c r="K153" s="708"/>
      <c r="L153" s="718"/>
      <c r="M153" s="718"/>
      <c r="N153" s="718"/>
      <c r="O153" s="198">
        <f>MIN($D153/$D$99,$D153-SUM($M153:N153))</f>
        <v>500</v>
      </c>
      <c r="P153" s="198">
        <f>MIN($D153/$D$99,$D153-SUM($M153:O153))</f>
        <v>500</v>
      </c>
      <c r="Q153" s="198">
        <f>MIN($D153/$D$99,$D153-SUM($M153:P153))</f>
        <v>500</v>
      </c>
      <c r="R153" s="198">
        <f>MIN($D153/$D$99,$D153-SUM($M153:Q153))</f>
        <v>500</v>
      </c>
      <c r="T153" s="286" t="str">
        <f t="shared" si="68"/>
        <v>-</v>
      </c>
    </row>
    <row r="154" spans="3:20">
      <c r="C154" s="697" t="s">
        <v>2018</v>
      </c>
      <c r="D154" s="717">
        <v>15000</v>
      </c>
      <c r="E154" s="703"/>
      <c r="F154" s="703"/>
      <c r="G154" s="703"/>
      <c r="H154" s="707" t="str">
        <f t="shared" si="76"/>
        <v>INR 'Units</v>
      </c>
      <c r="I154" s="707"/>
      <c r="J154" s="708"/>
      <c r="K154" s="708"/>
      <c r="L154" s="718"/>
      <c r="M154" s="718"/>
      <c r="N154" s="718"/>
      <c r="O154" s="718"/>
      <c r="P154" s="198">
        <f>MIN($D154/$D$99,$D154-SUM($M154:O154))</f>
        <v>500</v>
      </c>
      <c r="Q154" s="198">
        <f>MIN($D154/$D$99,$D154-SUM($M154:P154))</f>
        <v>500</v>
      </c>
      <c r="R154" s="198">
        <f>MIN($D154/$D$99,$D154-SUM($M154:Q154))</f>
        <v>500</v>
      </c>
      <c r="T154" s="286" t="str">
        <f t="shared" si="68"/>
        <v>-</v>
      </c>
    </row>
    <row r="155" spans="3:20">
      <c r="C155" s="697" t="s">
        <v>2019</v>
      </c>
      <c r="D155" s="717">
        <v>15000</v>
      </c>
      <c r="E155" s="703"/>
      <c r="F155" s="703"/>
      <c r="G155" s="703"/>
      <c r="H155" s="707" t="str">
        <f t="shared" si="76"/>
        <v>INR 'Units</v>
      </c>
      <c r="I155" s="707"/>
      <c r="J155" s="708"/>
      <c r="K155" s="708"/>
      <c r="L155" s="718"/>
      <c r="M155" s="718"/>
      <c r="N155" s="718"/>
      <c r="O155" s="718"/>
      <c r="P155" s="718"/>
      <c r="Q155" s="198">
        <f>MIN($D155/$D$99,$D155-SUM($M155:P155))</f>
        <v>500</v>
      </c>
      <c r="R155" s="198">
        <f>MIN($D155/$D$99,$D155-SUM($M155:Q155))</f>
        <v>500</v>
      </c>
      <c r="T155" s="286" t="str">
        <f t="shared" si="68"/>
        <v>-</v>
      </c>
    </row>
    <row r="156" spans="3:20">
      <c r="C156" s="697" t="s">
        <v>2020</v>
      </c>
      <c r="D156" s="717">
        <v>15000</v>
      </c>
      <c r="E156" s="703"/>
      <c r="F156" s="703"/>
      <c r="G156" s="703"/>
      <c r="H156" s="707" t="str">
        <f t="shared" si="76"/>
        <v>INR 'Units</v>
      </c>
      <c r="I156" s="707"/>
      <c r="J156" s="708"/>
      <c r="K156" s="708"/>
      <c r="L156" s="718"/>
      <c r="M156" s="718"/>
      <c r="N156" s="718"/>
      <c r="O156" s="718"/>
      <c r="P156" s="718"/>
      <c r="Q156" s="718"/>
      <c r="R156" s="198">
        <f>MIN($D156/$D$99,$D156-SUM($M156:Q156))</f>
        <v>500</v>
      </c>
      <c r="T156" s="286" t="str">
        <f t="shared" si="68"/>
        <v>-</v>
      </c>
    </row>
    <row r="157" spans="3:20">
      <c r="C157" s="719" t="s">
        <v>2030</v>
      </c>
      <c r="D157" s="698"/>
      <c r="E157" s="720"/>
      <c r="F157" s="720"/>
      <c r="G157" s="720"/>
      <c r="H157" s="721" t="str">
        <f t="shared" si="76"/>
        <v>INR 'Units</v>
      </c>
      <c r="I157" s="721"/>
      <c r="J157" s="722"/>
      <c r="K157" s="722"/>
      <c r="L157" s="723">
        <f t="shared" ref="L157:R157" si="78">SUM(L150:L156)</f>
        <v>4000</v>
      </c>
      <c r="M157" s="723">
        <f t="shared" si="78"/>
        <v>4333.333333333333</v>
      </c>
      <c r="N157" s="723">
        <f t="shared" si="78"/>
        <v>4833.333333333333</v>
      </c>
      <c r="O157" s="723">
        <f t="shared" si="78"/>
        <v>5333.333333333333</v>
      </c>
      <c r="P157" s="723">
        <f t="shared" si="78"/>
        <v>5833.333333333333</v>
      </c>
      <c r="Q157" s="723">
        <f t="shared" si="78"/>
        <v>6333.333333333333</v>
      </c>
      <c r="R157" s="723">
        <f t="shared" si="78"/>
        <v>6833.333333333333</v>
      </c>
      <c r="T157" s="286">
        <f t="shared" ref="T157:T180" si="79">IFERROR((R157/N157)^(1/5)-1,"-")</f>
        <v>7.1709725300183047E-2</v>
      </c>
    </row>
    <row r="158" spans="3:20">
      <c r="C158" s="698" t="s">
        <v>2029</v>
      </c>
      <c r="D158" s="698"/>
      <c r="E158" s="724"/>
      <c r="F158" s="724"/>
      <c r="G158" s="724"/>
      <c r="H158" s="721" t="str">
        <f t="shared" si="76"/>
        <v>INR 'Units</v>
      </c>
      <c r="I158" s="721"/>
      <c r="J158" s="725"/>
      <c r="K158" s="725"/>
      <c r="L158" s="726">
        <f t="shared" ref="L158:R158" si="80">L149+L157</f>
        <v>4000</v>
      </c>
      <c r="M158" s="726">
        <f t="shared" si="80"/>
        <v>4333.333333333333</v>
      </c>
      <c r="N158" s="726">
        <f t="shared" si="80"/>
        <v>9166.6666666666661</v>
      </c>
      <c r="O158" s="726">
        <f t="shared" si="80"/>
        <v>14500</v>
      </c>
      <c r="P158" s="726">
        <f t="shared" si="80"/>
        <v>20333.333333333332</v>
      </c>
      <c r="Q158" s="726">
        <f t="shared" si="80"/>
        <v>26666.666666666664</v>
      </c>
      <c r="R158" s="726">
        <f t="shared" si="80"/>
        <v>33500</v>
      </c>
      <c r="T158" s="286">
        <f t="shared" si="79"/>
        <v>0.29588562868616952</v>
      </c>
    </row>
    <row r="159" spans="3:20">
      <c r="C159" s="698" t="s">
        <v>2026</v>
      </c>
      <c r="D159" s="698"/>
      <c r="E159" s="727"/>
      <c r="F159" s="727"/>
      <c r="G159" s="727"/>
      <c r="H159" s="713" t="str">
        <f t="shared" si="76"/>
        <v>INR 'Units</v>
      </c>
      <c r="I159" s="713"/>
      <c r="J159" s="728"/>
      <c r="K159" s="728"/>
      <c r="L159" s="729">
        <f t="shared" ref="L159:R159" si="81">L146-L158</f>
        <v>26000</v>
      </c>
      <c r="M159" s="729">
        <f t="shared" si="81"/>
        <v>35666.666666666664</v>
      </c>
      <c r="N159" s="729">
        <f t="shared" si="81"/>
        <v>45833.333333333336</v>
      </c>
      <c r="O159" s="729">
        <f t="shared" si="81"/>
        <v>55500</v>
      </c>
      <c r="P159" s="729">
        <f t="shared" si="81"/>
        <v>64666.666666666672</v>
      </c>
      <c r="Q159" s="729">
        <f t="shared" si="81"/>
        <v>73333.333333333343</v>
      </c>
      <c r="R159" s="729">
        <f t="shared" si="81"/>
        <v>81500</v>
      </c>
      <c r="T159" s="286">
        <f t="shared" si="79"/>
        <v>0.12200613877180988</v>
      </c>
    </row>
    <row r="160" spans="3:20">
      <c r="T160" s="286" t="str">
        <f t="shared" si="79"/>
        <v>-</v>
      </c>
    </row>
    <row r="161" spans="3:20">
      <c r="C161" s="700" t="s">
        <v>2028</v>
      </c>
      <c r="D161" s="701"/>
      <c r="T161" s="286" t="str">
        <f t="shared" si="79"/>
        <v>-</v>
      </c>
    </row>
    <row r="162" spans="3:20">
      <c r="C162" s="697" t="s">
        <v>1467</v>
      </c>
      <c r="D162" s="702">
        <v>5</v>
      </c>
      <c r="E162" s="703"/>
      <c r="F162" s="703"/>
      <c r="G162" s="703"/>
      <c r="H162" s="704" t="s">
        <v>2012</v>
      </c>
      <c r="I162" s="704"/>
      <c r="T162" s="286" t="str">
        <f t="shared" si="79"/>
        <v>-</v>
      </c>
    </row>
    <row r="163" spans="3:20">
      <c r="C163" s="697"/>
      <c r="D163" s="705"/>
      <c r="E163" s="697"/>
      <c r="F163" s="697"/>
      <c r="G163" s="697"/>
      <c r="H163" s="706"/>
      <c r="I163" s="706"/>
      <c r="T163" s="286" t="str">
        <f t="shared" si="79"/>
        <v>-</v>
      </c>
    </row>
    <row r="164" spans="3:20">
      <c r="C164" s="695" t="s">
        <v>1998</v>
      </c>
      <c r="D164" s="705"/>
      <c r="E164" s="697"/>
      <c r="F164" s="697"/>
      <c r="G164" s="697"/>
      <c r="H164" s="706"/>
      <c r="I164" s="706"/>
      <c r="T164" s="286" t="str">
        <f t="shared" si="79"/>
        <v>-</v>
      </c>
    </row>
    <row r="165" spans="3:20">
      <c r="C165" s="697" t="s">
        <v>2013</v>
      </c>
      <c r="D165" s="695"/>
      <c r="E165" s="703"/>
      <c r="F165" s="703"/>
      <c r="G165" s="703"/>
      <c r="H165" s="707" t="str">
        <f>currency.heading1</f>
        <v>INR 'Units</v>
      </c>
      <c r="I165" s="707"/>
      <c r="J165" s="708"/>
      <c r="K165" s="708"/>
      <c r="L165" s="709">
        <f>Inputs!J222</f>
        <v>13000</v>
      </c>
      <c r="M165" s="688">
        <f t="shared" ref="M165:R165" si="82">L167</f>
        <v>15000</v>
      </c>
      <c r="N165" s="688">
        <f t="shared" si="82"/>
        <v>17000</v>
      </c>
      <c r="O165" s="688">
        <f t="shared" si="82"/>
        <v>19000</v>
      </c>
      <c r="P165" s="688">
        <f t="shared" si="82"/>
        <v>21000</v>
      </c>
      <c r="Q165" s="688">
        <f t="shared" si="82"/>
        <v>23000</v>
      </c>
      <c r="R165" s="688">
        <f t="shared" si="82"/>
        <v>25000</v>
      </c>
      <c r="T165" s="286">
        <f t="shared" si="79"/>
        <v>8.0185187303563499E-2</v>
      </c>
    </row>
    <row r="166" spans="3:20">
      <c r="C166" s="697" t="s">
        <v>1974</v>
      </c>
      <c r="D166" s="705"/>
      <c r="E166" s="703"/>
      <c r="F166" s="703"/>
      <c r="G166" s="703"/>
      <c r="H166" s="707" t="str">
        <f>currency.heading1</f>
        <v>INR 'Units</v>
      </c>
      <c r="I166" s="707"/>
      <c r="J166" s="708"/>
      <c r="K166" s="708"/>
      <c r="L166" s="579">
        <f>IF(ytg.approach=Inputs!$C$39,K166*ytg.actual,IF(ytg.approach=Inputs!$C$40,ytg.mgt*M166,M166-K166))</f>
        <v>2000</v>
      </c>
      <c r="M166" s="710">
        <f>Inputs!L223</f>
        <v>2000</v>
      </c>
      <c r="N166" s="710">
        <f>Inputs!M223</f>
        <v>2000</v>
      </c>
      <c r="O166" s="710">
        <f>Inputs!N223</f>
        <v>2000</v>
      </c>
      <c r="P166" s="710">
        <f>Inputs!O223</f>
        <v>2000</v>
      </c>
      <c r="Q166" s="710">
        <f>Inputs!P223</f>
        <v>2000</v>
      </c>
      <c r="R166" s="710">
        <f>Inputs!Q223</f>
        <v>2000</v>
      </c>
      <c r="T166" s="286">
        <f t="shared" si="79"/>
        <v>0</v>
      </c>
    </row>
    <row r="167" spans="3:20">
      <c r="C167" s="698" t="s">
        <v>2001</v>
      </c>
      <c r="D167" s="711"/>
      <c r="E167" s="712"/>
      <c r="F167" s="712"/>
      <c r="G167" s="712"/>
      <c r="H167" s="713" t="str">
        <f>currency.heading1</f>
        <v>INR 'Units</v>
      </c>
      <c r="I167" s="713"/>
      <c r="J167" s="714"/>
      <c r="K167" s="714"/>
      <c r="L167" s="715">
        <f t="shared" ref="L167:R167" si="83">SUM(L165:L166)</f>
        <v>15000</v>
      </c>
      <c r="M167" s="715">
        <f t="shared" si="83"/>
        <v>17000</v>
      </c>
      <c r="N167" s="715">
        <f t="shared" si="83"/>
        <v>19000</v>
      </c>
      <c r="O167" s="715">
        <f t="shared" si="83"/>
        <v>21000</v>
      </c>
      <c r="P167" s="715">
        <f t="shared" si="83"/>
        <v>23000</v>
      </c>
      <c r="Q167" s="715">
        <f t="shared" si="83"/>
        <v>25000</v>
      </c>
      <c r="R167" s="715">
        <f t="shared" si="83"/>
        <v>27000</v>
      </c>
      <c r="T167" s="286">
        <f t="shared" si="79"/>
        <v>7.2808072187642514E-2</v>
      </c>
    </row>
    <row r="168" spans="3:20">
      <c r="C168" s="697"/>
      <c r="D168" s="705"/>
      <c r="E168" s="697"/>
      <c r="F168" s="697"/>
      <c r="G168" s="697"/>
      <c r="H168" s="706"/>
      <c r="I168" s="706"/>
      <c r="T168" s="286" t="str">
        <f t="shared" si="79"/>
        <v>-</v>
      </c>
    </row>
    <row r="169" spans="3:20">
      <c r="C169" s="695" t="s">
        <v>2014</v>
      </c>
      <c r="D169" s="695"/>
      <c r="E169" s="697"/>
      <c r="F169" s="697"/>
      <c r="G169" s="697"/>
      <c r="H169" s="706"/>
      <c r="I169" s="706"/>
      <c r="T169" s="286" t="str">
        <f t="shared" si="79"/>
        <v>-</v>
      </c>
    </row>
    <row r="170" spans="3:20">
      <c r="C170" s="697" t="s">
        <v>1466</v>
      </c>
      <c r="D170" s="697"/>
      <c r="E170" s="703"/>
      <c r="F170" s="703"/>
      <c r="G170" s="703"/>
      <c r="H170" s="707" t="str">
        <f t="shared" ref="H170:H180" si="84">currency.heading1</f>
        <v>INR 'Units</v>
      </c>
      <c r="I170" s="707"/>
      <c r="J170" s="708"/>
      <c r="K170" s="708"/>
      <c r="L170" s="716">
        <v>0</v>
      </c>
      <c r="M170" s="716">
        <v>0</v>
      </c>
      <c r="N170" s="198">
        <f>M179</f>
        <v>3466.6666666666665</v>
      </c>
      <c r="O170" s="198">
        <f>N179</f>
        <v>7000</v>
      </c>
      <c r="P170" s="198">
        <f>O179</f>
        <v>10600</v>
      </c>
      <c r="Q170" s="198">
        <f>P179</f>
        <v>14266.666666666666</v>
      </c>
      <c r="R170" s="198">
        <f>Q179</f>
        <v>18000</v>
      </c>
      <c r="T170" s="286">
        <f t="shared" si="79"/>
        <v>0.39018335439973995</v>
      </c>
    </row>
    <row r="171" spans="3:20">
      <c r="C171" s="697" t="s">
        <v>2015</v>
      </c>
      <c r="D171" s="695"/>
      <c r="E171" s="703"/>
      <c r="F171" s="703"/>
      <c r="G171" s="703"/>
      <c r="H171" s="707" t="str">
        <f t="shared" si="84"/>
        <v>INR 'Units</v>
      </c>
      <c r="I171" s="707"/>
      <c r="J171" s="708"/>
      <c r="K171" s="708"/>
      <c r="L171" s="198">
        <f t="shared" ref="L171:R171" si="85">MAX(0,$N165/$D162)</f>
        <v>3400</v>
      </c>
      <c r="M171" s="198">
        <f t="shared" si="85"/>
        <v>3400</v>
      </c>
      <c r="N171" s="198">
        <f t="shared" si="85"/>
        <v>3400</v>
      </c>
      <c r="O171" s="198">
        <f t="shared" si="85"/>
        <v>3400</v>
      </c>
      <c r="P171" s="198">
        <f t="shared" si="85"/>
        <v>3400</v>
      </c>
      <c r="Q171" s="198">
        <f t="shared" si="85"/>
        <v>3400</v>
      </c>
      <c r="R171" s="198">
        <f t="shared" si="85"/>
        <v>3400</v>
      </c>
      <c r="T171" s="286">
        <f t="shared" si="79"/>
        <v>0</v>
      </c>
    </row>
    <row r="172" spans="3:20">
      <c r="C172" s="697" t="s">
        <v>2193</v>
      </c>
      <c r="D172" s="717">
        <f t="array" ref="D172:D177">TRANSPOSE(M166:R166)</f>
        <v>2000</v>
      </c>
      <c r="E172" s="703"/>
      <c r="F172" s="703"/>
      <c r="G172" s="703"/>
      <c r="H172" s="707" t="str">
        <f t="shared" si="84"/>
        <v>INR 'Units</v>
      </c>
      <c r="I172" s="707"/>
      <c r="J172" s="708"/>
      <c r="K172" s="708"/>
      <c r="L172" s="718"/>
      <c r="M172" s="198">
        <f>MIN($D172/$D$99,$D172-SUM(L172:$L172))</f>
        <v>66.666666666666671</v>
      </c>
      <c r="N172" s="198">
        <f>MIN($D172/$D$99,$D172-SUM($M172:M172))</f>
        <v>66.666666666666671</v>
      </c>
      <c r="O172" s="198">
        <f>MIN($D172/$D$99,$D172-SUM($M172:N172))</f>
        <v>66.666666666666671</v>
      </c>
      <c r="P172" s="198">
        <f>MIN($D172/$D$99,$D172-SUM($M172:O172))</f>
        <v>66.666666666666671</v>
      </c>
      <c r="Q172" s="198">
        <f>MIN($D172/$D$99,$D172-SUM($M172:P172))</f>
        <v>66.666666666666671</v>
      </c>
      <c r="R172" s="198">
        <f>MIN($D172/$D$99,$D172-SUM($M172:Q172))</f>
        <v>66.666666666666671</v>
      </c>
      <c r="T172" s="286">
        <f t="shared" si="79"/>
        <v>0</v>
      </c>
    </row>
    <row r="173" spans="3:20">
      <c r="C173" s="697" t="s">
        <v>2016</v>
      </c>
      <c r="D173" s="717">
        <v>2000</v>
      </c>
      <c r="E173" s="703"/>
      <c r="F173" s="703"/>
      <c r="G173" s="703"/>
      <c r="H173" s="707" t="str">
        <f t="shared" si="84"/>
        <v>INR 'Units</v>
      </c>
      <c r="I173" s="707"/>
      <c r="J173" s="708"/>
      <c r="K173" s="708"/>
      <c r="L173" s="718"/>
      <c r="M173" s="718"/>
      <c r="N173" s="198">
        <f>MIN($D173/$D$99,$D173-SUM($M173:M173))</f>
        <v>66.666666666666671</v>
      </c>
      <c r="O173" s="198">
        <f>MIN($D173/$D$99,$D173-SUM($M173:N173))</f>
        <v>66.666666666666671</v>
      </c>
      <c r="P173" s="198">
        <f>MIN($D173/$D$99,$D173-SUM($M173:O173))</f>
        <v>66.666666666666671</v>
      </c>
      <c r="Q173" s="198">
        <f>MIN($D173/$D$99,$D173-SUM($M173:P173))</f>
        <v>66.666666666666671</v>
      </c>
      <c r="R173" s="198">
        <f>MIN($D173/$D$99,$D173-SUM($M173:Q173))</f>
        <v>66.666666666666671</v>
      </c>
      <c r="T173" s="286">
        <f t="shared" si="79"/>
        <v>0</v>
      </c>
    </row>
    <row r="174" spans="3:20">
      <c r="C174" s="697" t="s">
        <v>2017</v>
      </c>
      <c r="D174" s="717">
        <v>2000</v>
      </c>
      <c r="E174" s="703"/>
      <c r="F174" s="703"/>
      <c r="G174" s="703"/>
      <c r="H174" s="707" t="str">
        <f t="shared" si="84"/>
        <v>INR 'Units</v>
      </c>
      <c r="I174" s="707"/>
      <c r="J174" s="708"/>
      <c r="K174" s="708"/>
      <c r="L174" s="718"/>
      <c r="M174" s="718"/>
      <c r="N174" s="718"/>
      <c r="O174" s="198">
        <f>MIN($D174/$D$99,$D174-SUM($M174:N174))</f>
        <v>66.666666666666671</v>
      </c>
      <c r="P174" s="198">
        <f>MIN($D174/$D$99,$D174-SUM($M174:O174))</f>
        <v>66.666666666666671</v>
      </c>
      <c r="Q174" s="198">
        <f>MIN($D174/$D$99,$D174-SUM($M174:P174))</f>
        <v>66.666666666666671</v>
      </c>
      <c r="R174" s="198">
        <f>MIN($D174/$D$99,$D174-SUM($M174:Q174))</f>
        <v>66.666666666666671</v>
      </c>
      <c r="T174" s="286" t="str">
        <f t="shared" si="79"/>
        <v>-</v>
      </c>
    </row>
    <row r="175" spans="3:20">
      <c r="C175" s="697" t="s">
        <v>2018</v>
      </c>
      <c r="D175" s="717">
        <v>2000</v>
      </c>
      <c r="E175" s="703"/>
      <c r="F175" s="703"/>
      <c r="G175" s="703"/>
      <c r="H175" s="707" t="str">
        <f t="shared" si="84"/>
        <v>INR 'Units</v>
      </c>
      <c r="I175" s="707"/>
      <c r="J175" s="708"/>
      <c r="K175" s="708"/>
      <c r="L175" s="718"/>
      <c r="M175" s="718"/>
      <c r="N175" s="718"/>
      <c r="O175" s="718"/>
      <c r="P175" s="198">
        <f>MIN($D175/$D$99,$D175-SUM($M175:O175))</f>
        <v>66.666666666666671</v>
      </c>
      <c r="Q175" s="198">
        <f>MIN($D175/$D$99,$D175-SUM($M175:P175))</f>
        <v>66.666666666666671</v>
      </c>
      <c r="R175" s="198">
        <f>MIN($D175/$D$99,$D175-SUM($M175:Q175))</f>
        <v>66.666666666666671</v>
      </c>
      <c r="T175" s="286" t="str">
        <f t="shared" si="79"/>
        <v>-</v>
      </c>
    </row>
    <row r="176" spans="3:20">
      <c r="C176" s="697" t="s">
        <v>2019</v>
      </c>
      <c r="D176" s="717">
        <v>2000</v>
      </c>
      <c r="E176" s="703"/>
      <c r="F176" s="703"/>
      <c r="G176" s="703"/>
      <c r="H176" s="707" t="str">
        <f t="shared" si="84"/>
        <v>INR 'Units</v>
      </c>
      <c r="I176" s="707"/>
      <c r="J176" s="708"/>
      <c r="K176" s="708"/>
      <c r="L176" s="718"/>
      <c r="M176" s="718"/>
      <c r="N176" s="718"/>
      <c r="O176" s="718"/>
      <c r="P176" s="718"/>
      <c r="Q176" s="198">
        <f>MIN($D176/$D$99,$D176-SUM($M176:P176))</f>
        <v>66.666666666666671</v>
      </c>
      <c r="R176" s="198">
        <f>MIN($D176/$D$99,$D176-SUM($M176:Q176))</f>
        <v>66.666666666666671</v>
      </c>
      <c r="T176" s="286" t="str">
        <f t="shared" si="79"/>
        <v>-</v>
      </c>
    </row>
    <row r="177" spans="3:20">
      <c r="C177" s="697" t="s">
        <v>2020</v>
      </c>
      <c r="D177" s="717">
        <v>2000</v>
      </c>
      <c r="E177" s="703"/>
      <c r="F177" s="703"/>
      <c r="G177" s="703"/>
      <c r="H177" s="707" t="str">
        <f t="shared" si="84"/>
        <v>INR 'Units</v>
      </c>
      <c r="I177" s="707"/>
      <c r="J177" s="708"/>
      <c r="K177" s="708"/>
      <c r="L177" s="718"/>
      <c r="M177" s="718"/>
      <c r="N177" s="718"/>
      <c r="O177" s="718"/>
      <c r="P177" s="718"/>
      <c r="Q177" s="718"/>
      <c r="R177" s="198">
        <f>MIN($D177/$D$99,$D177-SUM($M177:Q177))</f>
        <v>66.666666666666671</v>
      </c>
      <c r="T177" s="286" t="str">
        <f t="shared" si="79"/>
        <v>-</v>
      </c>
    </row>
    <row r="178" spans="3:20">
      <c r="C178" s="719" t="s">
        <v>2030</v>
      </c>
      <c r="D178" s="698"/>
      <c r="E178" s="720"/>
      <c r="F178" s="720"/>
      <c r="G178" s="720"/>
      <c r="H178" s="721" t="str">
        <f t="shared" si="84"/>
        <v>INR 'Units</v>
      </c>
      <c r="I178" s="721"/>
      <c r="J178" s="722"/>
      <c r="K178" s="722"/>
      <c r="L178" s="723">
        <f t="shared" ref="L178:R178" si="86">SUM(L171:L177)</f>
        <v>3400</v>
      </c>
      <c r="M178" s="723">
        <f t="shared" si="86"/>
        <v>3466.6666666666665</v>
      </c>
      <c r="N178" s="723">
        <f t="shared" si="86"/>
        <v>3533.333333333333</v>
      </c>
      <c r="O178" s="723">
        <f t="shared" si="86"/>
        <v>3599.9999999999995</v>
      </c>
      <c r="P178" s="723">
        <f t="shared" si="86"/>
        <v>3666.6666666666661</v>
      </c>
      <c r="Q178" s="723">
        <f t="shared" si="86"/>
        <v>3733.3333333333326</v>
      </c>
      <c r="R178" s="723">
        <f t="shared" si="86"/>
        <v>3799.9999999999991</v>
      </c>
      <c r="T178" s="286">
        <f t="shared" si="79"/>
        <v>1.4658264779644048E-2</v>
      </c>
    </row>
    <row r="179" spans="3:20">
      <c r="C179" s="698" t="s">
        <v>2029</v>
      </c>
      <c r="D179" s="698"/>
      <c r="E179" s="724"/>
      <c r="F179" s="724"/>
      <c r="G179" s="724"/>
      <c r="H179" s="721" t="str">
        <f t="shared" si="84"/>
        <v>INR 'Units</v>
      </c>
      <c r="I179" s="721"/>
      <c r="J179" s="725"/>
      <c r="K179" s="725"/>
      <c r="L179" s="726">
        <f t="shared" ref="L179:R179" si="87">L170+L178</f>
        <v>3400</v>
      </c>
      <c r="M179" s="726">
        <f t="shared" si="87"/>
        <v>3466.6666666666665</v>
      </c>
      <c r="N179" s="726">
        <f t="shared" si="87"/>
        <v>7000</v>
      </c>
      <c r="O179" s="726">
        <f t="shared" si="87"/>
        <v>10600</v>
      </c>
      <c r="P179" s="726">
        <f t="shared" si="87"/>
        <v>14266.666666666666</v>
      </c>
      <c r="Q179" s="726">
        <f t="shared" si="87"/>
        <v>18000</v>
      </c>
      <c r="R179" s="726">
        <f t="shared" si="87"/>
        <v>21800</v>
      </c>
      <c r="T179" s="286">
        <f t="shared" si="79"/>
        <v>0.25508081401491189</v>
      </c>
    </row>
    <row r="180" spans="3:20">
      <c r="C180" s="698" t="s">
        <v>2027</v>
      </c>
      <c r="D180" s="698"/>
      <c r="E180" s="727"/>
      <c r="F180" s="727"/>
      <c r="G180" s="727"/>
      <c r="H180" s="713" t="str">
        <f t="shared" si="84"/>
        <v>INR 'Units</v>
      </c>
      <c r="I180" s="713"/>
      <c r="J180" s="728"/>
      <c r="K180" s="728"/>
      <c r="L180" s="729">
        <f t="shared" ref="L180:R180" si="88">L167-L179</f>
        <v>11600</v>
      </c>
      <c r="M180" s="729">
        <f t="shared" si="88"/>
        <v>13533.333333333334</v>
      </c>
      <c r="N180" s="729">
        <f t="shared" si="88"/>
        <v>12000</v>
      </c>
      <c r="O180" s="729">
        <f t="shared" si="88"/>
        <v>10400</v>
      </c>
      <c r="P180" s="729">
        <f t="shared" si="88"/>
        <v>8733.3333333333339</v>
      </c>
      <c r="Q180" s="729">
        <f t="shared" si="88"/>
        <v>7000</v>
      </c>
      <c r="R180" s="729">
        <f t="shared" si="88"/>
        <v>5200</v>
      </c>
      <c r="T180" s="286">
        <f t="shared" si="79"/>
        <v>-0.1540115778234975</v>
      </c>
    </row>
  </sheetData>
  <pageMargins left="0.7" right="0.7" top="0.75" bottom="0.75" header="0.3" footer="0.3"/>
  <pageSetup scale="54" orientation="portrait" r:id="rId1"/>
  <ignoredErrors>
    <ignoredError sqref="O27:R27"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A7EE4-AAB6-441F-B424-0414509ABE2D}">
  <sheetPr>
    <tabColor rgb="FFD7EEF1"/>
  </sheetPr>
  <dimension ref="B2:H110"/>
  <sheetViews>
    <sheetView showGridLines="0" workbookViewId="0">
      <selection activeCell="D70" sqref="D70"/>
    </sheetView>
  </sheetViews>
  <sheetFormatPr defaultColWidth="0" defaultRowHeight="11.25"/>
  <cols>
    <col min="1" max="1" width="2.6640625" style="63" customWidth="1"/>
    <col min="2" max="2" width="35.88671875" style="63" customWidth="1"/>
    <col min="3" max="3" width="6.77734375" style="228" bestFit="1" customWidth="1"/>
    <col min="4" max="6" width="8.6640625" style="63" customWidth="1"/>
    <col min="7" max="7" width="3.44140625" style="63" customWidth="1"/>
    <col min="8" max="8" width="2.6640625" style="63" hidden="1" customWidth="1"/>
    <col min="9" max="16384" width="0" style="63" hidden="1"/>
  </cols>
  <sheetData>
    <row r="2" spans="2:7">
      <c r="B2" s="62" t="str">
        <f>Inputs!B2</f>
        <v>Valify - UAE Valuation Services</v>
      </c>
      <c r="G2" s="131"/>
    </row>
    <row r="3" spans="2:7">
      <c r="B3" s="64" t="str">
        <f>Inputs!$B$3</f>
        <v>Lazure Worldwide FZCO - Self Valuation using DCF Method, Transaction Multiples Method, &amp; Market Multiples Method as at September 30, 2024</v>
      </c>
      <c r="G3" s="131"/>
    </row>
    <row r="4" spans="2:7">
      <c r="B4" s="132" t="s">
        <v>206</v>
      </c>
      <c r="G4" s="131" t="str">
        <f>valuation.date.header</f>
        <v>Valuation Date:  September 30, 2024</v>
      </c>
    </row>
    <row r="5" spans="2:7" ht="5.0999999999999996" customHeight="1" thickBot="1">
      <c r="B5" s="66"/>
      <c r="C5" s="230"/>
      <c r="D5" s="66"/>
      <c r="E5" s="66"/>
      <c r="F5" s="66"/>
      <c r="G5" s="66"/>
    </row>
    <row r="6" spans="2:7" ht="12" thickTop="1"/>
    <row r="17" spans="2:6">
      <c r="B17" s="1238" t="str">
        <f>target.name</f>
        <v>Lazure Worldwide FZCO</v>
      </c>
      <c r="C17" s="1769"/>
      <c r="D17" s="1239"/>
      <c r="E17" s="1239"/>
      <c r="F17" s="1239"/>
    </row>
    <row r="18" spans="2:6">
      <c r="B18" s="164" t="str">
        <f>"Valuation Summary in "&amp;currency.heading1</f>
        <v>Valuation Summary in INR 'Units</v>
      </c>
      <c r="C18" s="1770" t="s">
        <v>1465</v>
      </c>
      <c r="D18" s="161" t="s">
        <v>208</v>
      </c>
      <c r="E18" s="161" t="s">
        <v>1925</v>
      </c>
      <c r="F18" s="162" t="s">
        <v>209</v>
      </c>
    </row>
    <row r="19" spans="2:6">
      <c r="B19" s="133" t="s">
        <v>210</v>
      </c>
      <c r="C19" s="1771"/>
      <c r="D19" s="134"/>
      <c r="E19" s="134"/>
      <c r="F19" s="135"/>
    </row>
    <row r="20" spans="2:6">
      <c r="B20" s="136" t="s">
        <v>2504</v>
      </c>
      <c r="C20" s="1782">
        <v>0.2</v>
      </c>
      <c r="D20" s="137" t="e">
        <f>D37</f>
        <v>#DIV/0!</v>
      </c>
      <c r="E20" s="137">
        <f t="shared" ref="E20:F20" si="0">E37</f>
        <v>0</v>
      </c>
      <c r="F20" s="138">
        <f t="shared" si="0"/>
        <v>0</v>
      </c>
    </row>
    <row r="21" spans="2:6">
      <c r="B21" s="136" t="s">
        <v>2505</v>
      </c>
      <c r="C21" s="1782">
        <v>0.2</v>
      </c>
      <c r="D21" s="137">
        <f>D43</f>
        <v>399300</v>
      </c>
      <c r="E21" s="137">
        <f t="shared" ref="E21:F21" si="1">E43</f>
        <v>399300</v>
      </c>
      <c r="F21" s="138">
        <f t="shared" si="1"/>
        <v>399300</v>
      </c>
    </row>
    <row r="22" spans="2:6">
      <c r="B22" s="136" t="s">
        <v>211</v>
      </c>
      <c r="C22" s="1782">
        <v>0.2</v>
      </c>
      <c r="D22" s="137">
        <f>D47</f>
        <v>-1780055.100222603</v>
      </c>
      <c r="E22" s="137">
        <f>E47</f>
        <v>-674104.10016759206</v>
      </c>
      <c r="F22" s="138">
        <f>F47</f>
        <v>431846.89988741872</v>
      </c>
    </row>
    <row r="23" spans="2:6">
      <c r="B23" s="136" t="s">
        <v>3151</v>
      </c>
      <c r="C23" s="1782">
        <v>0.3</v>
      </c>
      <c r="D23" s="137">
        <f>D55</f>
        <v>205185.75</v>
      </c>
      <c r="E23" s="137">
        <f>E55</f>
        <v>241394.99999999997</v>
      </c>
      <c r="F23" s="138">
        <f>F55</f>
        <v>277604.24999999994</v>
      </c>
    </row>
    <row r="24" spans="2:6">
      <c r="B24" s="136" t="s">
        <v>3150</v>
      </c>
      <c r="C24" s="1782">
        <v>0.2</v>
      </c>
      <c r="D24" s="137">
        <f>D63</f>
        <v>379335</v>
      </c>
      <c r="E24" s="137">
        <f>E63</f>
        <v>379335</v>
      </c>
      <c r="F24" s="138">
        <f>F63</f>
        <v>379335</v>
      </c>
    </row>
    <row r="25" spans="2:6">
      <c r="B25" s="1394" t="s">
        <v>214</v>
      </c>
      <c r="C25" s="1772"/>
      <c r="D25" s="1395" t="e">
        <f>SUMPRODUCT($C$20:$C$24,D20:D24)</f>
        <v>#DIV/0!</v>
      </c>
      <c r="E25" s="1395">
        <f t="shared" ref="E25:F25" si="2">SUMPRODUCT($C$20:$C$24,E20:E24)</f>
        <v>93324.679966481563</v>
      </c>
      <c r="F25" s="1396">
        <f t="shared" si="2"/>
        <v>325377.65497748373</v>
      </c>
    </row>
    <row r="26" spans="2:6">
      <c r="B26" s="1393" t="s">
        <v>2156</v>
      </c>
      <c r="C26" s="1773"/>
      <c r="D26" s="139">
        <f>Inputs!E257</f>
        <v>45</v>
      </c>
      <c r="E26" s="137">
        <f>D26</f>
        <v>45</v>
      </c>
      <c r="F26" s="138">
        <f>E26</f>
        <v>45</v>
      </c>
    </row>
    <row r="27" spans="2:6">
      <c r="B27" s="136" t="s">
        <v>2157</v>
      </c>
      <c r="C27" s="1773"/>
      <c r="D27" s="139">
        <f>-Inputs!E258</f>
        <v>-65</v>
      </c>
      <c r="E27" s="137">
        <f>D27</f>
        <v>-65</v>
      </c>
      <c r="F27" s="138">
        <f>E27</f>
        <v>-65</v>
      </c>
    </row>
    <row r="28" spans="2:6">
      <c r="B28" s="140" t="s">
        <v>217</v>
      </c>
      <c r="C28" s="1774"/>
      <c r="D28" s="141" t="e">
        <f>SUM(D25:D27)</f>
        <v>#DIV/0!</v>
      </c>
      <c r="E28" s="141">
        <f>SUM(E25:E27)</f>
        <v>93304.679966481563</v>
      </c>
      <c r="F28" s="142">
        <f>SUM(F25:F27)</f>
        <v>325357.65497748373</v>
      </c>
    </row>
    <row r="29" spans="2:6">
      <c r="D29" s="105"/>
      <c r="E29" s="105"/>
      <c r="F29" s="105"/>
    </row>
    <row r="30" spans="2:6">
      <c r="B30" s="164" t="s">
        <v>3148</v>
      </c>
      <c r="C30" s="1770"/>
      <c r="D30" s="161" t="s">
        <v>208</v>
      </c>
      <c r="E30" s="161" t="s">
        <v>1925</v>
      </c>
      <c r="F30" s="162" t="s">
        <v>209</v>
      </c>
    </row>
    <row r="31" spans="2:6">
      <c r="B31" s="1248" t="s">
        <v>2513</v>
      </c>
      <c r="C31" s="1355" t="str">
        <f>currency.heading1</f>
        <v>INR 'Units</v>
      </c>
      <c r="D31" s="1487">
        <f>E31</f>
        <v>14529.49748858448</v>
      </c>
      <c r="E31" s="1487">
        <f>DCF!L16</f>
        <v>14529.49748858448</v>
      </c>
      <c r="F31" s="1488">
        <f>E31</f>
        <v>14529.49748858448</v>
      </c>
    </row>
    <row r="32" spans="2:6">
      <c r="B32" s="573" t="s">
        <v>2512</v>
      </c>
      <c r="C32" s="1346" t="str">
        <f>currency.heading1</f>
        <v>INR 'Units</v>
      </c>
      <c r="D32" s="1240"/>
      <c r="E32" s="1240"/>
      <c r="F32" s="1243"/>
    </row>
    <row r="33" spans="2:6">
      <c r="B33" s="573" t="s">
        <v>2514</v>
      </c>
      <c r="C33" s="1346" t="str">
        <f>currency.heading1</f>
        <v>INR 'Units</v>
      </c>
      <c r="D33" s="148">
        <f>D31+D32</f>
        <v>14529.49748858448</v>
      </c>
      <c r="E33" s="148">
        <f>E31+E32</f>
        <v>14529.49748858448</v>
      </c>
      <c r="F33" s="1247">
        <f>F31+F32</f>
        <v>14529.49748858448</v>
      </c>
    </row>
    <row r="34" spans="2:6">
      <c r="B34" s="573" t="s">
        <v>2515</v>
      </c>
      <c r="C34" s="1346" t="str">
        <f>currency.heading1</f>
        <v>INR 'Units</v>
      </c>
      <c r="D34" s="148">
        <f>D33*(1+long.term.growth)</f>
        <v>14820.08743835617</v>
      </c>
      <c r="E34" s="148">
        <f>E33*(1+long.term.growth)</f>
        <v>14820.08743835617</v>
      </c>
      <c r="F34" s="1247">
        <f>F33*(1+long.term.growth)</f>
        <v>14820.08743835617</v>
      </c>
    </row>
    <row r="35" spans="2:6">
      <c r="B35" s="573" t="s">
        <v>2516</v>
      </c>
      <c r="C35" s="1346" t="s">
        <v>2426</v>
      </c>
      <c r="D35" s="539">
        <f>DCF!K20</f>
        <v>0</v>
      </c>
      <c r="E35" s="539">
        <f>AVERAGE(F35,D35)</f>
        <v>6.3491999999999993E-2</v>
      </c>
      <c r="F35" s="1489">
        <f>DCF!K19</f>
        <v>0.12698399999999999</v>
      </c>
    </row>
    <row r="36" spans="2:6">
      <c r="B36" s="573" t="s">
        <v>2517</v>
      </c>
      <c r="C36" s="1346"/>
      <c r="D36" s="1240"/>
      <c r="E36" s="1240"/>
      <c r="F36" s="1243"/>
    </row>
    <row r="37" spans="2:6">
      <c r="B37" s="1249" t="s">
        <v>1416</v>
      </c>
      <c r="C37" s="1775" t="str">
        <f>currency.heading1</f>
        <v>INR 'Units</v>
      </c>
      <c r="D37" s="1252" t="e">
        <f>D34/D35*D36</f>
        <v>#DIV/0!</v>
      </c>
      <c r="E37" s="1250">
        <f>E34/E35*E36</f>
        <v>0</v>
      </c>
      <c r="F37" s="1251">
        <f>F34/F35*F36</f>
        <v>0</v>
      </c>
    </row>
    <row r="38" spans="2:6">
      <c r="B38" s="1244" t="str">
        <f>"Equity Value of "&amp;target.name</f>
        <v>Equity Value of Lazure Worldwide FZCO</v>
      </c>
      <c r="C38" s="1776" t="str">
        <f>currency.heading1</f>
        <v>INR 'Units</v>
      </c>
      <c r="D38" s="1245" t="e">
        <f>SUM(D37,D$26:D$27)</f>
        <v>#DIV/0!</v>
      </c>
      <c r="E38" s="1245">
        <f>SUM(E37,E$26:E$27)</f>
        <v>-20</v>
      </c>
      <c r="F38" s="1246">
        <f>SUM(F37,F$26:F$27)</f>
        <v>-20</v>
      </c>
    </row>
    <row r="39" spans="2:6">
      <c r="D39" s="105"/>
      <c r="E39" s="105"/>
      <c r="F39" s="105"/>
    </row>
    <row r="40" spans="2:6">
      <c r="B40" s="1241" t="s">
        <v>2505</v>
      </c>
      <c r="C40" s="1770"/>
      <c r="D40" s="161" t="s">
        <v>208</v>
      </c>
      <c r="E40" s="161" t="s">
        <v>1925</v>
      </c>
      <c r="F40" s="1242" t="s">
        <v>209</v>
      </c>
    </row>
    <row r="41" spans="2:6">
      <c r="B41" s="573" t="s">
        <v>2511</v>
      </c>
      <c r="C41" s="1346" t="str">
        <f>currency.heading1</f>
        <v>INR 'Units</v>
      </c>
      <c r="D41" s="148">
        <f>IS!R54</f>
        <v>72600</v>
      </c>
      <c r="E41" s="148">
        <f>D41</f>
        <v>72600</v>
      </c>
      <c r="F41" s="1247">
        <f>E41</f>
        <v>72600</v>
      </c>
    </row>
    <row r="42" spans="2:6">
      <c r="B42" s="573" t="s">
        <v>2809</v>
      </c>
      <c r="C42" s="1346"/>
      <c r="D42" s="1762">
        <f>E42</f>
        <v>5.5</v>
      </c>
      <c r="E42" s="1762">
        <f>Multiples!AA31</f>
        <v>5.5</v>
      </c>
      <c r="F42" s="1763">
        <f>E42</f>
        <v>5.5</v>
      </c>
    </row>
    <row r="43" spans="2:6">
      <c r="B43" s="1249" t="s">
        <v>1416</v>
      </c>
      <c r="C43" s="1775" t="str">
        <f>currency.heading1</f>
        <v>INR 'Units</v>
      </c>
      <c r="D43" s="1250">
        <f>D42*D41</f>
        <v>399300</v>
      </c>
      <c r="E43" s="1250">
        <f>E42*E41</f>
        <v>399300</v>
      </c>
      <c r="F43" s="1251">
        <f>F42*F41</f>
        <v>399300</v>
      </c>
    </row>
    <row r="44" spans="2:6">
      <c r="B44" s="1244" t="str">
        <f>"Equity Value of "&amp;target.name</f>
        <v>Equity Value of Lazure Worldwide FZCO</v>
      </c>
      <c r="C44" s="1776" t="str">
        <f>currency.heading1</f>
        <v>INR 'Units</v>
      </c>
      <c r="D44" s="1245">
        <f>SUM(D43,D$26:D$27)</f>
        <v>399280</v>
      </c>
      <c r="E44" s="1245">
        <f>SUM(E43,E$26:E$27)</f>
        <v>399280</v>
      </c>
      <c r="F44" s="1246">
        <f>SUM(F43,F$26:F$27)</f>
        <v>399280</v>
      </c>
    </row>
    <row r="45" spans="2:6">
      <c r="D45" s="105"/>
      <c r="E45" s="105"/>
      <c r="F45" s="105"/>
    </row>
    <row r="46" spans="2:6">
      <c r="B46" s="164" t="s">
        <v>3149</v>
      </c>
      <c r="C46" s="1770"/>
      <c r="D46" s="161" t="s">
        <v>208</v>
      </c>
      <c r="E46" s="161" t="s">
        <v>1925</v>
      </c>
      <c r="F46" s="162" t="s">
        <v>209</v>
      </c>
    </row>
    <row r="47" spans="2:6">
      <c r="B47" s="143" t="s">
        <v>1416</v>
      </c>
      <c r="C47" s="1777" t="str">
        <f>currency.heading1</f>
        <v>INR 'Units</v>
      </c>
      <c r="D47" s="144">
        <f>DCF!L31</f>
        <v>-1780055.100222603</v>
      </c>
      <c r="E47" s="144">
        <f>AVERAGE(F47,D47)</f>
        <v>-674104.10016759206</v>
      </c>
      <c r="F47" s="145">
        <f>DCF!M31</f>
        <v>431846.89988741872</v>
      </c>
    </row>
    <row r="48" spans="2:6">
      <c r="B48" s="154" t="str">
        <f>"Equity Value of "&amp;target.name</f>
        <v>Equity Value of Lazure Worldwide FZCO</v>
      </c>
      <c r="C48" s="1778" t="str">
        <f>currency.heading1</f>
        <v>INR 'Units</v>
      </c>
      <c r="D48" s="155">
        <f>SUM(D47,D$26:D$27)</f>
        <v>-1780075.100222603</v>
      </c>
      <c r="E48" s="155">
        <f>SUM(E47,E$26:E$27)</f>
        <v>-674124.10016759206</v>
      </c>
      <c r="F48" s="156">
        <f>SUM(F47,F$26:F$27)</f>
        <v>431826.89988741872</v>
      </c>
    </row>
    <row r="49" spans="2:6">
      <c r="D49" s="105"/>
      <c r="E49" s="105"/>
      <c r="F49" s="105"/>
    </row>
    <row r="50" spans="2:6">
      <c r="B50" s="164" t="s">
        <v>2506</v>
      </c>
      <c r="C50" s="1770"/>
      <c r="D50" s="161" t="s">
        <v>208</v>
      </c>
      <c r="E50" s="161" t="s">
        <v>1925</v>
      </c>
      <c r="F50" s="162" t="s">
        <v>209</v>
      </c>
    </row>
    <row r="51" spans="2:6">
      <c r="B51" s="146" t="s">
        <v>3140</v>
      </c>
      <c r="C51" s="1346" t="str">
        <f>currency.heading1</f>
        <v>INR 'Units</v>
      </c>
      <c r="D51" s="147">
        <f>IS!M54</f>
        <v>72600</v>
      </c>
      <c r="E51" s="148">
        <f>D51</f>
        <v>72600</v>
      </c>
      <c r="F51" s="149">
        <f t="shared" ref="E51:F53" si="3">E51</f>
        <v>72600</v>
      </c>
    </row>
    <row r="52" spans="2:6">
      <c r="B52" s="136" t="s">
        <v>220</v>
      </c>
      <c r="C52" s="1773"/>
      <c r="D52" s="1253">
        <f>DCF!K52</f>
        <v>2.9750000000000001</v>
      </c>
      <c r="E52" s="1764">
        <f>DCF!L52</f>
        <v>3.5</v>
      </c>
      <c r="F52" s="1765">
        <f>DCF!M52</f>
        <v>4.0249999999999995</v>
      </c>
    </row>
    <row r="53" spans="2:6">
      <c r="B53" s="136" t="s">
        <v>221</v>
      </c>
      <c r="C53" s="1773"/>
      <c r="D53" s="150">
        <f>Inputs!$E$260</f>
        <v>0.05</v>
      </c>
      <c r="E53" s="151">
        <f t="shared" si="3"/>
        <v>0.05</v>
      </c>
      <c r="F53" s="152">
        <f t="shared" si="3"/>
        <v>0.05</v>
      </c>
    </row>
    <row r="54" spans="2:6">
      <c r="B54" s="153" t="s">
        <v>222</v>
      </c>
      <c r="C54" s="1779"/>
      <c r="D54" s="1766">
        <f>IFERROR(D52*(1-D53),"")</f>
        <v>2.8262499999999999</v>
      </c>
      <c r="E54" s="1766">
        <f>IFERROR(E52*(1-E53),"")</f>
        <v>3.3249999999999997</v>
      </c>
      <c r="F54" s="1767">
        <f>IFERROR(F52*(1-F53),"")</f>
        <v>3.8237499999999991</v>
      </c>
    </row>
    <row r="55" spans="2:6">
      <c r="B55" s="154" t="str">
        <f>"Enterprise Value of "&amp;target.name</f>
        <v>Enterprise Value of Lazure Worldwide FZCO</v>
      </c>
      <c r="C55" s="1778" t="str">
        <f>currency.heading1</f>
        <v>INR 'Units</v>
      </c>
      <c r="D55" s="155">
        <f>D54*D51</f>
        <v>205185.75</v>
      </c>
      <c r="E55" s="155">
        <f>E54*E51</f>
        <v>241394.99999999997</v>
      </c>
      <c r="F55" s="156">
        <f>F54*F51</f>
        <v>277604.24999999994</v>
      </c>
    </row>
    <row r="56" spans="2:6">
      <c r="B56" s="154" t="str">
        <f>"Equity Value of "&amp;target.name</f>
        <v>Equity Value of Lazure Worldwide FZCO</v>
      </c>
      <c r="C56" s="1778" t="str">
        <f>currency.heading1</f>
        <v>INR 'Units</v>
      </c>
      <c r="D56" s="155">
        <f>SUM(D55,D$26:D$27)</f>
        <v>205165.75</v>
      </c>
      <c r="E56" s="155">
        <f>SUM(E55,E$26:E$27)</f>
        <v>241374.99999999997</v>
      </c>
      <c r="F56" s="156">
        <f>SUM(F55,F$26:F$27)</f>
        <v>277584.24999999994</v>
      </c>
    </row>
    <row r="57" spans="2:6">
      <c r="D57" s="105"/>
      <c r="E57" s="105"/>
      <c r="F57" s="105"/>
    </row>
    <row r="58" spans="2:6">
      <c r="B58" s="164" t="s">
        <v>3150</v>
      </c>
      <c r="C58" s="1770"/>
      <c r="D58" s="161" t="s">
        <v>208</v>
      </c>
      <c r="E58" s="161" t="s">
        <v>1925</v>
      </c>
      <c r="F58" s="162" t="s">
        <v>209</v>
      </c>
    </row>
    <row r="59" spans="2:6">
      <c r="B59" s="146" t="s">
        <v>3140</v>
      </c>
      <c r="C59" s="1346" t="str">
        <f>currency.heading1</f>
        <v>INR 'Units</v>
      </c>
      <c r="D59" s="107">
        <f>D51</f>
        <v>72600</v>
      </c>
      <c r="E59" s="107">
        <f>$D$59</f>
        <v>72600</v>
      </c>
      <c r="F59" s="157">
        <f>$D$59</f>
        <v>72600</v>
      </c>
    </row>
    <row r="60" spans="2:6">
      <c r="B60" s="136" t="s">
        <v>2810</v>
      </c>
      <c r="C60" s="1773"/>
      <c r="D60" s="1490">
        <f>E60</f>
        <v>5.5</v>
      </c>
      <c r="E60" s="1768">
        <f>Multiples!AA31</f>
        <v>5.5</v>
      </c>
      <c r="F60" s="158">
        <f>E60</f>
        <v>5.5</v>
      </c>
    </row>
    <row r="61" spans="2:6">
      <c r="B61" s="136" t="s">
        <v>221</v>
      </c>
      <c r="C61" s="1773" t="s">
        <v>2426</v>
      </c>
      <c r="D61" s="150">
        <f>D53</f>
        <v>0.05</v>
      </c>
      <c r="E61" s="159">
        <f>E53</f>
        <v>0.05</v>
      </c>
      <c r="F61" s="160">
        <f>F53</f>
        <v>0.05</v>
      </c>
    </row>
    <row r="62" spans="2:6">
      <c r="B62" s="153" t="s">
        <v>222</v>
      </c>
      <c r="C62" s="1779"/>
      <c r="D62" s="1766">
        <f>IFERROR(D60*(1-D61),"")</f>
        <v>5.2249999999999996</v>
      </c>
      <c r="E62" s="1766">
        <f>IFERROR(E60*(1-E61),"")</f>
        <v>5.2249999999999996</v>
      </c>
      <c r="F62" s="1767">
        <f>IFERROR(F60*(1-F61),"")</f>
        <v>5.2249999999999996</v>
      </c>
    </row>
    <row r="63" spans="2:6">
      <c r="B63" s="154" t="str">
        <f>"Enterprise Value of "&amp;target.name</f>
        <v>Enterprise Value of Lazure Worldwide FZCO</v>
      </c>
      <c r="C63" s="1778" t="str">
        <f>currency.heading1</f>
        <v>INR 'Units</v>
      </c>
      <c r="D63" s="155">
        <f>D62*D59</f>
        <v>379335</v>
      </c>
      <c r="E63" s="155">
        <f>E62*E59</f>
        <v>379335</v>
      </c>
      <c r="F63" s="156">
        <f>F62*F59</f>
        <v>379335</v>
      </c>
    </row>
    <row r="64" spans="2:6">
      <c r="B64" s="154" t="str">
        <f>"Equity Value of "&amp;target.name</f>
        <v>Equity Value of Lazure Worldwide FZCO</v>
      </c>
      <c r="C64" s="1778" t="str">
        <f>currency.heading1</f>
        <v>INR 'Units</v>
      </c>
      <c r="D64" s="155">
        <f>SUM(D63,D$26:D$27)</f>
        <v>379315</v>
      </c>
      <c r="E64" s="155">
        <f>SUM(E63,E$26:E$27)</f>
        <v>379315</v>
      </c>
      <c r="F64" s="156">
        <f>SUM(F63,F$26:F$27)</f>
        <v>379315</v>
      </c>
    </row>
    <row r="65" spans="2:6">
      <c r="D65" s="105"/>
      <c r="E65" s="105"/>
      <c r="F65" s="105"/>
    </row>
    <row r="66" spans="2:6">
      <c r="B66" s="1404" t="s">
        <v>2763</v>
      </c>
      <c r="C66" s="1780"/>
      <c r="D66" s="1405" t="s">
        <v>208</v>
      </c>
      <c r="E66" s="1405" t="s">
        <v>1925</v>
      </c>
      <c r="F66" s="1406" t="s">
        <v>209</v>
      </c>
    </row>
    <row r="67" spans="2:6">
      <c r="B67" s="63" t="str">
        <f>"Market EV/EBITDA Multiple ("&amp;IS!J7&amp;")"</f>
        <v>Market EV/EBITDA Multiple (FY23)</v>
      </c>
      <c r="D67" s="105"/>
      <c r="E67" s="105"/>
      <c r="F67" s="105"/>
    </row>
    <row r="68" spans="2:6">
      <c r="B68" s="63" t="s">
        <v>2755</v>
      </c>
      <c r="D68" s="105"/>
      <c r="E68" s="105"/>
      <c r="F68" s="105"/>
    </row>
    <row r="69" spans="2:6">
      <c r="B69" s="634" t="s">
        <v>2161</v>
      </c>
      <c r="C69" s="1781"/>
      <c r="D69" s="635"/>
      <c r="E69" s="635"/>
      <c r="F69" s="635"/>
    </row>
    <row r="70" spans="2:6">
      <c r="B70" s="63" t="s">
        <v>2757</v>
      </c>
      <c r="D70" s="105"/>
      <c r="E70" s="105"/>
      <c r="F70" s="105"/>
    </row>
    <row r="71" spans="2:6">
      <c r="B71" s="63" t="s">
        <v>2758</v>
      </c>
      <c r="D71" s="105"/>
      <c r="E71" s="105"/>
      <c r="F71" s="105"/>
    </row>
    <row r="72" spans="2:6">
      <c r="B72" s="63" t="s">
        <v>2756</v>
      </c>
      <c r="D72" s="105"/>
      <c r="E72" s="105"/>
      <c r="F72" s="105"/>
    </row>
    <row r="73" spans="2:6">
      <c r="B73" s="634" t="s">
        <v>2762</v>
      </c>
      <c r="C73" s="1781"/>
      <c r="D73" s="635"/>
      <c r="E73" s="635"/>
      <c r="F73" s="635"/>
    </row>
    <row r="74" spans="2:6">
      <c r="B74" s="63" t="s">
        <v>2759</v>
      </c>
      <c r="D74" s="105"/>
      <c r="E74" s="105"/>
      <c r="F74" s="105"/>
    </row>
    <row r="75" spans="2:6">
      <c r="B75" s="63" t="s">
        <v>2760</v>
      </c>
      <c r="D75" s="105"/>
      <c r="E75" s="105"/>
      <c r="F75" s="105"/>
    </row>
    <row r="76" spans="2:6">
      <c r="B76" s="63" t="s">
        <v>2761</v>
      </c>
      <c r="D76" s="105"/>
      <c r="E76" s="105"/>
      <c r="F76" s="105"/>
    </row>
    <row r="77" spans="2:6">
      <c r="D77" s="105"/>
      <c r="E77" s="105"/>
      <c r="F77" s="105"/>
    </row>
    <row r="78" spans="2:6">
      <c r="D78" s="105"/>
      <c r="E78" s="105"/>
      <c r="F78" s="105"/>
    </row>
    <row r="79" spans="2:6">
      <c r="D79" s="105"/>
      <c r="E79" s="105"/>
      <c r="F79" s="105"/>
    </row>
    <row r="80" spans="2:6">
      <c r="D80" s="105"/>
      <c r="E80" s="105"/>
      <c r="F80" s="105"/>
    </row>
    <row r="81" spans="4:6">
      <c r="D81" s="105"/>
      <c r="E81" s="105"/>
      <c r="F81" s="105"/>
    </row>
    <row r="82" spans="4:6">
      <c r="D82" s="105"/>
      <c r="E82" s="105"/>
      <c r="F82" s="105"/>
    </row>
    <row r="83" spans="4:6">
      <c r="D83" s="105"/>
      <c r="E83" s="105"/>
      <c r="F83" s="105"/>
    </row>
    <row r="84" spans="4:6">
      <c r="D84" s="105"/>
      <c r="E84" s="105"/>
      <c r="F84" s="105"/>
    </row>
    <row r="85" spans="4:6">
      <c r="D85" s="105"/>
      <c r="E85" s="105"/>
      <c r="F85" s="105"/>
    </row>
    <row r="86" spans="4:6">
      <c r="D86" s="105"/>
      <c r="E86" s="105"/>
      <c r="F86" s="105"/>
    </row>
    <row r="87" spans="4:6">
      <c r="D87" s="105"/>
      <c r="E87" s="105"/>
      <c r="F87" s="105"/>
    </row>
    <row r="88" spans="4:6">
      <c r="D88" s="105"/>
      <c r="E88" s="105"/>
      <c r="F88" s="105"/>
    </row>
    <row r="89" spans="4:6">
      <c r="D89" s="105"/>
      <c r="E89" s="105"/>
      <c r="F89" s="105"/>
    </row>
    <row r="90" spans="4:6">
      <c r="D90" s="105"/>
      <c r="E90" s="105"/>
      <c r="F90" s="105"/>
    </row>
    <row r="91" spans="4:6">
      <c r="D91" s="105"/>
      <c r="E91" s="105"/>
      <c r="F91" s="105"/>
    </row>
    <row r="92" spans="4:6">
      <c r="D92" s="105"/>
      <c r="E92" s="105"/>
      <c r="F92" s="105"/>
    </row>
    <row r="93" spans="4:6">
      <c r="D93" s="105"/>
      <c r="E93" s="105"/>
      <c r="F93" s="105"/>
    </row>
    <row r="94" spans="4:6">
      <c r="D94" s="105"/>
      <c r="E94" s="105"/>
      <c r="F94" s="105"/>
    </row>
    <row r="95" spans="4:6">
      <c r="D95" s="105"/>
      <c r="E95" s="105"/>
      <c r="F95" s="105"/>
    </row>
    <row r="96" spans="4:6">
      <c r="D96" s="105"/>
      <c r="E96" s="105"/>
      <c r="F96" s="105"/>
    </row>
    <row r="97" spans="4:6">
      <c r="D97" s="105"/>
      <c r="E97" s="105"/>
      <c r="F97" s="105"/>
    </row>
    <row r="98" spans="4:6">
      <c r="D98" s="105"/>
      <c r="E98" s="105"/>
      <c r="F98" s="105"/>
    </row>
    <row r="99" spans="4:6">
      <c r="D99" s="105"/>
      <c r="E99" s="105"/>
      <c r="F99" s="105"/>
    </row>
    <row r="100" spans="4:6">
      <c r="D100" s="105"/>
      <c r="E100" s="105"/>
      <c r="F100" s="105"/>
    </row>
    <row r="101" spans="4:6">
      <c r="D101" s="105"/>
      <c r="E101" s="105"/>
      <c r="F101" s="105"/>
    </row>
    <row r="102" spans="4:6">
      <c r="D102" s="105"/>
      <c r="E102" s="105"/>
      <c r="F102" s="105"/>
    </row>
    <row r="103" spans="4:6">
      <c r="D103" s="105"/>
      <c r="E103" s="105"/>
      <c r="F103" s="105"/>
    </row>
    <row r="104" spans="4:6">
      <c r="D104" s="105"/>
      <c r="E104" s="105"/>
      <c r="F104" s="105"/>
    </row>
    <row r="105" spans="4:6">
      <c r="D105" s="105"/>
      <c r="E105" s="105"/>
      <c r="F105" s="105"/>
    </row>
    <row r="106" spans="4:6">
      <c r="D106" s="105"/>
      <c r="E106" s="105"/>
      <c r="F106" s="105"/>
    </row>
    <row r="107" spans="4:6">
      <c r="D107" s="105"/>
      <c r="E107" s="105"/>
      <c r="F107" s="105"/>
    </row>
    <row r="108" spans="4:6">
      <c r="D108" s="105"/>
      <c r="E108" s="105"/>
      <c r="F108" s="105"/>
    </row>
    <row r="109" spans="4:6">
      <c r="D109" s="105"/>
      <c r="E109" s="105"/>
      <c r="F109" s="105"/>
    </row>
    <row r="110" spans="4:6">
      <c r="D110" s="105"/>
      <c r="E110" s="105"/>
      <c r="F110" s="105"/>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C71A6-5ABC-4600-BC66-A87F72BEF968}">
  <sheetPr>
    <tabColor rgb="FF002060"/>
  </sheetPr>
  <dimension ref="A1:H30"/>
  <sheetViews>
    <sheetView showGridLines="0" topLeftCell="B1" workbookViewId="0">
      <selection activeCell="B1" sqref="A1:XFD1048576"/>
    </sheetView>
  </sheetViews>
  <sheetFormatPr defaultColWidth="0" defaultRowHeight="0" customHeight="1" zeroHeight="1"/>
  <cols>
    <col min="1" max="1" width="2.33203125" style="63" customWidth="1"/>
    <col min="2" max="8" width="8.6640625" style="63" customWidth="1"/>
    <col min="9" max="16384" width="8.6640625" style="63" hidden="1"/>
  </cols>
  <sheetData>
    <row r="1" spans="2:8" ht="11.25"/>
    <row r="2" spans="2:8" ht="11.25">
      <c r="B2" s="62" t="s">
        <v>2224</v>
      </c>
    </row>
    <row r="3" spans="2:8" ht="11.25">
      <c r="B3" s="64" t="str">
        <f>Inputs!$B$3</f>
        <v>Lazure Worldwide FZCO - Self Valuation using DCF Method, Transaction Multiples Method, &amp; Market Multiples Method as at September 30, 2024</v>
      </c>
    </row>
    <row r="4" spans="2:8" ht="11.25">
      <c r="B4" s="98" t="s">
        <v>1992</v>
      </c>
    </row>
    <row r="5" spans="2:8" ht="5.0999999999999996" customHeight="1" thickBot="1">
      <c r="B5" s="99"/>
      <c r="C5" s="66"/>
      <c r="D5" s="66"/>
      <c r="E5" s="66"/>
      <c r="F5" s="66"/>
      <c r="G5" s="66"/>
      <c r="H5" s="66"/>
    </row>
    <row r="6" spans="2:8" ht="12" thickTop="1"/>
    <row r="7" spans="2:8" ht="11.25">
      <c r="B7" s="62" t="s">
        <v>1816</v>
      </c>
    </row>
    <row r="8" spans="2:8" ht="11.25"/>
    <row r="9" spans="2:8" ht="11.25"/>
    <row r="10" spans="2:8" ht="11.25"/>
    <row r="11" spans="2:8" ht="11.25"/>
    <row r="12" spans="2:8" ht="11.25"/>
    <row r="13" spans="2:8" ht="11.25"/>
    <row r="14" spans="2:8" ht="11.25"/>
    <row r="15" spans="2:8" ht="11.25"/>
    <row r="16" spans="2:8" ht="11.25" hidden="1"/>
    <row r="17" ht="11.25" hidden="1"/>
    <row r="18" ht="11.25" hidden="1"/>
    <row r="19" ht="11.25" hidden="1"/>
    <row r="20" ht="11.25" hidden="1"/>
    <row r="21" ht="11.25" hidden="1"/>
    <row r="22" ht="11.25" hidden="1"/>
    <row r="23" ht="11.25" hidden="1"/>
    <row r="24" ht="11.25" hidden="1"/>
    <row r="25" ht="11.25" hidden="1"/>
    <row r="26" ht="11.25" hidden="1"/>
    <row r="27" ht="11.25" hidden="1"/>
    <row r="28" ht="11.25" hidden="1"/>
    <row r="29" ht="11.25" hidden="1"/>
    <row r="30" ht="11.25" hidden="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381-5545-41C3-9FCA-4F2A68DB84CA}">
  <sheetPr>
    <tabColor rgb="FF92A4FC"/>
  </sheetPr>
  <dimension ref="A2:X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defaultColWidth="0" defaultRowHeight="11.25"/>
  <cols>
    <col min="1" max="1" width="2.5546875" style="63" customWidth="1"/>
    <col min="2" max="2" width="1.33203125" style="63" customWidth="1"/>
    <col min="3" max="5" width="8.6640625" style="63" customWidth="1"/>
    <col min="6" max="6" width="12.33203125" style="63" bestFit="1" customWidth="1"/>
    <col min="7" max="7" width="4" style="63" bestFit="1" customWidth="1"/>
    <col min="8" max="18" width="5.5546875" style="63" customWidth="1"/>
    <col min="19" max="19" width="8.6640625" style="63" customWidth="1"/>
    <col min="20" max="23" width="10.44140625" style="63" customWidth="1"/>
    <col min="24" max="24" width="0" style="63" hidden="1" customWidth="1"/>
    <col min="25" max="16384" width="8.6640625" style="63" hidden="1"/>
  </cols>
  <sheetData>
    <row r="2" spans="2:22">
      <c r="B2" s="62" t="str">
        <f>Inputs!B2</f>
        <v>Valify - UAE Valuation Services</v>
      </c>
    </row>
    <row r="3" spans="2:22">
      <c r="B3" s="64" t="str">
        <f>Inputs!$B$3</f>
        <v>Lazure Worldwide FZCO - Self Valuation using DCF Method, Transaction Multiples Method, &amp; Market Multiples Method as at September 30, 2024</v>
      </c>
    </row>
    <row r="4" spans="2:22">
      <c r="B4" s="65" t="s">
        <v>1818</v>
      </c>
    </row>
    <row r="5" spans="2:22" ht="5.0999999999999996" customHeight="1" thickBot="1">
      <c r="B5" s="66"/>
      <c r="C5" s="66"/>
      <c r="D5" s="66"/>
      <c r="E5" s="66"/>
      <c r="F5" s="66"/>
      <c r="G5" s="66"/>
      <c r="H5" s="66"/>
      <c r="I5" s="66"/>
      <c r="J5" s="66"/>
      <c r="K5" s="66"/>
      <c r="L5" s="66"/>
      <c r="M5" s="66"/>
      <c r="N5" s="66"/>
      <c r="O5" s="66"/>
      <c r="P5" s="66"/>
      <c r="Q5" s="66"/>
      <c r="R5" s="66"/>
      <c r="S5" s="66"/>
    </row>
    <row r="6" spans="2:22" ht="12" thickTop="1"/>
    <row r="7" spans="2:22">
      <c r="C7" s="562" t="str">
        <f>"All amounts in "&amp;currency.heading1</f>
        <v>All amounts in INR 'Units</v>
      </c>
      <c r="D7" s="562"/>
      <c r="E7" s="562"/>
      <c r="F7" s="562"/>
      <c r="G7" s="562"/>
      <c r="H7" s="69" t="str">
        <f>H11</f>
        <v>FY21</v>
      </c>
      <c r="I7" s="69" t="str">
        <f>I11</f>
        <v>FY22</v>
      </c>
      <c r="J7" s="69" t="str">
        <f t="shared" ref="J7:R7" si="0">J11</f>
        <v>FY23</v>
      </c>
      <c r="K7" s="69" t="str">
        <f>K11</f>
        <v>YTD24</v>
      </c>
      <c r="L7" s="69" t="str">
        <f>L11</f>
        <v>YTG24</v>
      </c>
      <c r="M7" s="69" t="str">
        <f t="shared" si="0"/>
        <v>FY24</v>
      </c>
      <c r="N7" s="69" t="str">
        <f>N11</f>
        <v>FY25</v>
      </c>
      <c r="O7" s="69" t="str">
        <f t="shared" si="0"/>
        <v>FY26</v>
      </c>
      <c r="P7" s="69" t="str">
        <f t="shared" si="0"/>
        <v>FY27</v>
      </c>
      <c r="Q7" s="69" t="str">
        <f t="shared" si="0"/>
        <v>FY28</v>
      </c>
      <c r="R7" s="69" t="str">
        <f t="shared" si="0"/>
        <v>FY29</v>
      </c>
    </row>
    <row r="8" spans="2:22">
      <c r="C8" s="562"/>
      <c r="D8" s="562"/>
      <c r="E8" s="562"/>
      <c r="F8" s="562"/>
      <c r="G8" s="562"/>
      <c r="H8" s="69" t="str">
        <f>H12</f>
        <v>Actual</v>
      </c>
      <c r="I8" s="69" t="str">
        <f>I12</f>
        <v>Actual</v>
      </c>
      <c r="J8" s="69" t="str">
        <f t="shared" ref="J8:R8" si="1">J12</f>
        <v>Actual</v>
      </c>
      <c r="K8" s="69" t="str">
        <f>K12</f>
        <v>Actual</v>
      </c>
      <c r="L8" s="69" t="str">
        <f>L12</f>
        <v>Estimate</v>
      </c>
      <c r="M8" s="69" t="str">
        <f t="shared" si="1"/>
        <v>Estimate</v>
      </c>
      <c r="N8" s="69" t="str">
        <f t="shared" si="1"/>
        <v>Estimate</v>
      </c>
      <c r="O8" s="69" t="str">
        <f t="shared" si="1"/>
        <v>Forecast</v>
      </c>
      <c r="P8" s="69" t="str">
        <f t="shared" si="1"/>
        <v>Forecast</v>
      </c>
      <c r="Q8" s="69" t="str">
        <f t="shared" si="1"/>
        <v>Forecast</v>
      </c>
      <c r="R8" s="69" t="str">
        <f t="shared" si="1"/>
        <v>Forecast</v>
      </c>
      <c r="T8" s="254" t="s">
        <v>1922</v>
      </c>
      <c r="U8" s="235" t="s">
        <v>2181</v>
      </c>
      <c r="V8" s="236" t="s">
        <v>2180</v>
      </c>
    </row>
    <row r="9" spans="2:22">
      <c r="C9" s="563" t="s">
        <v>1869</v>
      </c>
      <c r="T9" s="255"/>
      <c r="U9" s="237"/>
      <c r="V9" s="238"/>
    </row>
    <row r="10" spans="2:22">
      <c r="C10" s="63" t="s">
        <v>1870</v>
      </c>
      <c r="H10" s="105">
        <f>I10-1</f>
        <v>-3</v>
      </c>
      <c r="I10" s="105">
        <v>-2</v>
      </c>
      <c r="J10" s="105">
        <f>I10+1</f>
        <v>-1</v>
      </c>
      <c r="K10" s="564"/>
      <c r="L10" s="565"/>
      <c r="M10" s="105">
        <f>J10+1</f>
        <v>0</v>
      </c>
      <c r="N10" s="63">
        <f>M10+1</f>
        <v>1</v>
      </c>
      <c r="O10" s="105">
        <f>N10+1</f>
        <v>2</v>
      </c>
      <c r="P10" s="105">
        <f>O10+1</f>
        <v>3</v>
      </c>
      <c r="Q10" s="105">
        <f>P10+1</f>
        <v>4</v>
      </c>
      <c r="R10" s="105">
        <f>Q10+1</f>
        <v>5</v>
      </c>
      <c r="T10" s="255"/>
      <c r="U10" s="237"/>
      <c r="V10" s="566"/>
    </row>
    <row r="11" spans="2:22">
      <c r="C11" s="63" t="s">
        <v>1865</v>
      </c>
      <c r="H11" s="105" t="str">
        <f>"FY"&amp;(RIGHT(YEAR(valuation.date),2)+H10)</f>
        <v>FY21</v>
      </c>
      <c r="I11" s="105" t="str">
        <f>"FY"&amp;(RIGHT(YEAR(valuation.date),2)+I10)</f>
        <v>FY22</v>
      </c>
      <c r="J11" s="105" t="str">
        <f t="shared" ref="J11:R11" si="2">"FY"&amp;(RIGHT(YEAR(valuation.date),2)+J10)</f>
        <v>FY23</v>
      </c>
      <c r="K11" s="105" t="str">
        <f>"YTD"&amp;RIGHT(M11,2)</f>
        <v>YTD24</v>
      </c>
      <c r="L11" s="105" t="str">
        <f>"YTG"&amp;RIGHT(M11,2)</f>
        <v>YTG24</v>
      </c>
      <c r="M11" s="105" t="str">
        <f t="shared" si="2"/>
        <v>FY24</v>
      </c>
      <c r="N11" s="105" t="str">
        <f>"FY"&amp;(RIGHT(YEAR(valuation.date),2)+N10)</f>
        <v>FY25</v>
      </c>
      <c r="O11" s="105" t="str">
        <f t="shared" si="2"/>
        <v>FY26</v>
      </c>
      <c r="P11" s="105" t="str">
        <f t="shared" si="2"/>
        <v>FY27</v>
      </c>
      <c r="Q11" s="105" t="str">
        <f t="shared" si="2"/>
        <v>FY28</v>
      </c>
      <c r="R11" s="105" t="str">
        <f t="shared" si="2"/>
        <v>FY29</v>
      </c>
      <c r="T11" s="255"/>
      <c r="U11" s="237"/>
      <c r="V11" s="566"/>
    </row>
    <row r="12" spans="2:22">
      <c r="C12" s="63" t="s">
        <v>1871</v>
      </c>
      <c r="H12" s="105" t="str">
        <f>IF(H10&gt;1,"Forecast",IF(H10=1,"Estimate","Actual"))</f>
        <v>Actual</v>
      </c>
      <c r="I12" s="105" t="str">
        <f>IF(I10&gt;1,"Forecast",IF(I10=1,"Estimate","Actual"))</f>
        <v>Actual</v>
      </c>
      <c r="J12" s="105" t="str">
        <f t="shared" ref="J12:R12" si="3">IF(J10&gt;1,"Forecast",IF(J10=1,"Estimate","Actual"))</f>
        <v>Actual</v>
      </c>
      <c r="K12" s="105" t="str">
        <f t="shared" si="3"/>
        <v>Actual</v>
      </c>
      <c r="L12" s="105" t="s">
        <v>2147</v>
      </c>
      <c r="M12" s="105" t="s">
        <v>2147</v>
      </c>
      <c r="N12" s="105" t="str">
        <f t="shared" si="3"/>
        <v>Estimate</v>
      </c>
      <c r="O12" s="105" t="str">
        <f t="shared" si="3"/>
        <v>Forecast</v>
      </c>
      <c r="P12" s="105" t="str">
        <f t="shared" si="3"/>
        <v>Forecast</v>
      </c>
      <c r="Q12" s="105" t="str">
        <f t="shared" si="3"/>
        <v>Forecast</v>
      </c>
      <c r="R12" s="105" t="str">
        <f t="shared" si="3"/>
        <v>Forecast</v>
      </c>
      <c r="T12" s="255"/>
      <c r="U12" s="237"/>
      <c r="V12" s="566"/>
    </row>
    <row r="13" spans="2:22">
      <c r="H13" s="105"/>
      <c r="I13" s="105"/>
      <c r="J13" s="105"/>
      <c r="K13" s="105"/>
      <c r="L13" s="105"/>
      <c r="M13" s="105"/>
      <c r="N13" s="105"/>
      <c r="O13" s="105"/>
      <c r="P13" s="105"/>
      <c r="Q13" s="105"/>
      <c r="R13" s="105"/>
      <c r="T13" s="255"/>
      <c r="U13" s="237"/>
      <c r="V13" s="566"/>
    </row>
    <row r="14" spans="2:22">
      <c r="C14" s="114" t="s">
        <v>1848</v>
      </c>
      <c r="D14" s="114"/>
      <c r="E14" s="114"/>
      <c r="F14" s="114"/>
      <c r="G14" s="114"/>
      <c r="H14" s="115" t="str">
        <f t="shared" ref="H14" si="4">H7</f>
        <v>FY21</v>
      </c>
      <c r="I14" s="115" t="str">
        <f t="shared" ref="I14:R15" si="5">I7</f>
        <v>FY22</v>
      </c>
      <c r="J14" s="115" t="str">
        <f t="shared" si="5"/>
        <v>FY23</v>
      </c>
      <c r="K14" s="115" t="str">
        <f>K7</f>
        <v>YTD24</v>
      </c>
      <c r="L14" s="115" t="str">
        <f>L7</f>
        <v>YTG24</v>
      </c>
      <c r="M14" s="115" t="str">
        <f t="shared" si="5"/>
        <v>FY24</v>
      </c>
      <c r="N14" s="115" t="str">
        <f t="shared" si="5"/>
        <v>FY25</v>
      </c>
      <c r="O14" s="115" t="str">
        <f t="shared" si="5"/>
        <v>FY26</v>
      </c>
      <c r="P14" s="115" t="str">
        <f t="shared" si="5"/>
        <v>FY27</v>
      </c>
      <c r="Q14" s="115" t="str">
        <f t="shared" si="5"/>
        <v>FY28</v>
      </c>
      <c r="R14" s="567" t="str">
        <f t="shared" si="5"/>
        <v>FY29</v>
      </c>
      <c r="T14" s="255"/>
      <c r="U14" s="237"/>
      <c r="V14" s="566"/>
    </row>
    <row r="15" spans="2:22">
      <c r="C15" s="568" t="str">
        <f>currency.heading1</f>
        <v>INR 'Units</v>
      </c>
      <c r="D15" s="562"/>
      <c r="E15" s="562"/>
      <c r="F15" s="562"/>
      <c r="G15" s="562"/>
      <c r="H15" s="69" t="str">
        <f t="shared" ref="H15" si="6">H8</f>
        <v>Actual</v>
      </c>
      <c r="I15" s="69" t="str">
        <f t="shared" si="5"/>
        <v>Actual</v>
      </c>
      <c r="J15" s="69" t="str">
        <f t="shared" si="5"/>
        <v>Actual</v>
      </c>
      <c r="K15" s="69" t="str">
        <f>K8</f>
        <v>Actual</v>
      </c>
      <c r="L15" s="69" t="str">
        <f>L8</f>
        <v>Estimate</v>
      </c>
      <c r="M15" s="69" t="str">
        <f t="shared" si="5"/>
        <v>Estimate</v>
      </c>
      <c r="N15" s="69" t="str">
        <f t="shared" si="5"/>
        <v>Estimate</v>
      </c>
      <c r="O15" s="69" t="str">
        <f t="shared" si="5"/>
        <v>Forecast</v>
      </c>
      <c r="P15" s="69" t="str">
        <f t="shared" si="5"/>
        <v>Forecast</v>
      </c>
      <c r="Q15" s="69" t="str">
        <f t="shared" si="5"/>
        <v>Forecast</v>
      </c>
      <c r="R15" s="70" t="str">
        <f t="shared" si="5"/>
        <v>Forecast</v>
      </c>
      <c r="T15" s="255"/>
      <c r="U15" s="237"/>
      <c r="V15" s="566"/>
    </row>
    <row r="16" spans="2:22">
      <c r="C16" s="569" t="s">
        <v>1880</v>
      </c>
      <c r="D16" s="570"/>
      <c r="E16" s="570"/>
      <c r="F16" s="570"/>
      <c r="G16" s="570"/>
      <c r="H16" s="105"/>
      <c r="I16" s="105"/>
      <c r="J16" s="105"/>
      <c r="K16" s="105"/>
      <c r="L16" s="105"/>
      <c r="M16" s="105"/>
      <c r="N16" s="105"/>
      <c r="O16" s="105"/>
      <c r="P16" s="105"/>
      <c r="Q16" s="105"/>
      <c r="R16" s="571"/>
      <c r="T16" s="255"/>
      <c r="U16" s="237"/>
      <c r="V16" s="566"/>
    </row>
    <row r="17" spans="3:22">
      <c r="C17" s="572" t="s">
        <v>1881</v>
      </c>
      <c r="H17" s="105"/>
      <c r="I17" s="105"/>
      <c r="J17" s="105"/>
      <c r="K17" s="105"/>
      <c r="L17" s="105"/>
      <c r="M17" s="105"/>
      <c r="N17" s="105"/>
      <c r="O17" s="105"/>
      <c r="P17" s="105"/>
      <c r="Q17" s="105"/>
      <c r="R17" s="571"/>
      <c r="T17" s="255"/>
      <c r="U17" s="237"/>
      <c r="V17" s="566"/>
    </row>
    <row r="18" spans="3:22">
      <c r="C18" s="573"/>
      <c r="D18" s="63" t="str">
        <f>"Existing: "&amp;Inputs!E77</f>
        <v>Existing: Residential lighting</v>
      </c>
      <c r="H18" s="1362">
        <f>Hist.Fin!H13</f>
        <v>0</v>
      </c>
      <c r="I18" s="1362">
        <f>Hist.Fin!I13</f>
        <v>0</v>
      </c>
      <c r="J18" s="1362">
        <f>Hist.Fin!J13</f>
        <v>0</v>
      </c>
      <c r="K18" s="1362">
        <f>Hist.Fin!K13</f>
        <v>0</v>
      </c>
      <c r="L18" s="575">
        <f>IF(ytg.approach=Inputs!$C$39,K18*ytg.actual,IF(ytg.approach=Inputs!$C$40,ytg.mgt*M18,M18-K18))</f>
        <v>50</v>
      </c>
      <c r="M18" s="574">
        <f>Inputs!L100</f>
        <v>50</v>
      </c>
      <c r="N18" s="576">
        <f>M18*(1+Inputs!M100)</f>
        <v>52.5</v>
      </c>
      <c r="O18" s="576">
        <f>N18*(1+Inputs!N100)</f>
        <v>55.125</v>
      </c>
      <c r="P18" s="576">
        <f>O18*(1+Inputs!O100)</f>
        <v>57.881250000000001</v>
      </c>
      <c r="Q18" s="576">
        <f>P18*(1+Inputs!P100)</f>
        <v>60.775312500000005</v>
      </c>
      <c r="R18" s="577">
        <f>Q18*(1+Inputs!Q100)</f>
        <v>63.814078125000009</v>
      </c>
      <c r="T18" s="255">
        <f>IFERROR((R18/N18)^(1/5)-1,"-")</f>
        <v>3.9803893401205492E-2</v>
      </c>
      <c r="U18" s="237" t="str">
        <f t="shared" ref="U18:U49" si="7">IFERROR(IF(K18+L18=M18,"OK","VARIANCE"),"")</f>
        <v>OK</v>
      </c>
      <c r="V18" s="578">
        <f t="shared" ref="V18:V49" si="8">IFERROR((K18/ytd.months)*12,"NA")</f>
        <v>0</v>
      </c>
    </row>
    <row r="19" spans="3:22">
      <c r="C19" s="573"/>
      <c r="D19" s="63" t="str">
        <f>"Existing: "&amp;Inputs!E78</f>
        <v>Existing: Hotels &amp; Hospitals</v>
      </c>
      <c r="H19" s="1362">
        <f>Hist.Fin!H14</f>
        <v>0</v>
      </c>
      <c r="I19" s="1362">
        <f>Hist.Fin!I14</f>
        <v>0</v>
      </c>
      <c r="J19" s="1362">
        <f>Hist.Fin!J14</f>
        <v>0</v>
      </c>
      <c r="K19" s="1362">
        <f>Hist.Fin!K14</f>
        <v>0</v>
      </c>
      <c r="L19" s="579">
        <f>IF(ytg.approach=Inputs!$C$39,K19*ytg.actual,IF(ytg.approach=Inputs!$C$40,ytg.mgt*M19,M19-K19))</f>
        <v>20</v>
      </c>
      <c r="M19" s="574">
        <f>Inputs!L101</f>
        <v>20</v>
      </c>
      <c r="N19" s="576">
        <f>M19*(1+Inputs!M101)</f>
        <v>20.6</v>
      </c>
      <c r="O19" s="576">
        <f>N19*(1+Inputs!N101)</f>
        <v>21.218000000000004</v>
      </c>
      <c r="P19" s="576">
        <f>O19*(1+Inputs!O101)</f>
        <v>21.854540000000004</v>
      </c>
      <c r="Q19" s="576">
        <f>P19*(1+Inputs!P101)</f>
        <v>22.510176200000004</v>
      </c>
      <c r="R19" s="577">
        <f>Q19*(1+Inputs!Q101)</f>
        <v>23.185481486000004</v>
      </c>
      <c r="T19" s="255">
        <f t="shared" ref="T19:T97" si="9">IFERROR((R19/N19)^(1/5)-1,"-")</f>
        <v>2.392885001209244E-2</v>
      </c>
      <c r="U19" s="237" t="str">
        <f t="shared" si="7"/>
        <v>OK</v>
      </c>
      <c r="V19" s="578">
        <f t="shared" si="8"/>
        <v>0</v>
      </c>
    </row>
    <row r="20" spans="3:22">
      <c r="C20" s="573"/>
      <c r="D20" s="63" t="str">
        <f>"Existing: "&amp;Inputs!E79</f>
        <v>Existing: Government &amp; Infrastructure</v>
      </c>
      <c r="H20" s="1362">
        <f>Hist.Fin!H15</f>
        <v>0</v>
      </c>
      <c r="I20" s="1362">
        <f>Hist.Fin!I15</f>
        <v>0</v>
      </c>
      <c r="J20" s="1362">
        <f>Hist.Fin!J15</f>
        <v>0</v>
      </c>
      <c r="K20" s="1362">
        <f>Hist.Fin!K15</f>
        <v>0</v>
      </c>
      <c r="L20" s="579">
        <f>IF(ytg.approach=Inputs!$C$39,K20*ytg.actual,IF(ytg.approach=Inputs!$C$40,ytg.mgt*M20,M20-K20))</f>
        <v>30</v>
      </c>
      <c r="M20" s="574">
        <f>Inputs!L102</f>
        <v>30</v>
      </c>
      <c r="N20" s="576">
        <f>M20*(1+Inputs!M102)</f>
        <v>30.900000000000002</v>
      </c>
      <c r="O20" s="576">
        <f>N20*(1+Inputs!N102)</f>
        <v>31.827000000000002</v>
      </c>
      <c r="P20" s="576">
        <f>O20*(1+Inputs!O102)</f>
        <v>32.78181</v>
      </c>
      <c r="Q20" s="576">
        <f>P20*(1+Inputs!P102)</f>
        <v>33.765264299999998</v>
      </c>
      <c r="R20" s="577">
        <f>Q20*(1+Inputs!Q102)</f>
        <v>34.778222229000001</v>
      </c>
      <c r="T20" s="255">
        <f t="shared" si="9"/>
        <v>2.392885001209244E-2</v>
      </c>
      <c r="U20" s="237" t="str">
        <f t="shared" si="7"/>
        <v>OK</v>
      </c>
      <c r="V20" s="578">
        <f t="shared" si="8"/>
        <v>0</v>
      </c>
    </row>
    <row r="21" spans="3:22">
      <c r="C21" s="573"/>
      <c r="D21" s="63" t="str">
        <f>"Existing: "&amp;Inputs!E80</f>
        <v>Existing: Distributorship</v>
      </c>
      <c r="H21" s="1362">
        <f>Hist.Fin!H16</f>
        <v>0</v>
      </c>
      <c r="I21" s="1362">
        <f>Hist.Fin!I16</f>
        <v>0</v>
      </c>
      <c r="J21" s="1362">
        <f>Hist.Fin!J16</f>
        <v>0</v>
      </c>
      <c r="K21" s="1362">
        <f>Hist.Fin!K16</f>
        <v>0</v>
      </c>
      <c r="L21" s="579">
        <f>IF(ytg.approach=Inputs!$C$39,K21*ytg.actual,IF(ytg.approach=Inputs!$C$40,ytg.mgt*M21,M21-K21))</f>
        <v>30</v>
      </c>
      <c r="M21" s="574">
        <f>Inputs!L103</f>
        <v>30</v>
      </c>
      <c r="N21" s="576">
        <f>M21*(1+Inputs!M103)</f>
        <v>30.900000000000002</v>
      </c>
      <c r="O21" s="576">
        <f>N21*(1+Inputs!N103)</f>
        <v>31.827000000000002</v>
      </c>
      <c r="P21" s="576">
        <f>O21*(1+Inputs!O103)</f>
        <v>32.78181</v>
      </c>
      <c r="Q21" s="576">
        <f>P21*(1+Inputs!P103)</f>
        <v>33.765264299999998</v>
      </c>
      <c r="R21" s="577">
        <f>Q21*(1+Inputs!Q103)</f>
        <v>34.778222229000001</v>
      </c>
      <c r="T21" s="255">
        <f t="shared" si="9"/>
        <v>2.392885001209244E-2</v>
      </c>
      <c r="U21" s="237" t="str">
        <f t="shared" si="7"/>
        <v>OK</v>
      </c>
      <c r="V21" s="578">
        <f t="shared" si="8"/>
        <v>0</v>
      </c>
    </row>
    <row r="22" spans="3:22">
      <c r="C22" s="573"/>
      <c r="D22" s="63" t="str">
        <f>"Pipeline: "&amp;Inputs!E82</f>
        <v>Pipeline: UAE &amp; Oman projects</v>
      </c>
      <c r="H22" s="108"/>
      <c r="I22" s="108"/>
      <c r="J22" s="108"/>
      <c r="K22" s="1344"/>
      <c r="L22" s="579">
        <f>IF(ytg.approach=Inputs!$C$39,K22*ytg.actual,IF(ytg.approach=Inputs!$C$40,ytg.mgt*M22,M22-K22))</f>
        <v>30</v>
      </c>
      <c r="M22" s="574">
        <f>Inputs!L104</f>
        <v>30</v>
      </c>
      <c r="N22" s="576">
        <f>M22*(1+Inputs!M104)</f>
        <v>30.900000000000002</v>
      </c>
      <c r="O22" s="576">
        <f>N22*(1+Inputs!N104)</f>
        <v>31.827000000000002</v>
      </c>
      <c r="P22" s="576">
        <f>O22*(1+Inputs!O104)</f>
        <v>32.78181</v>
      </c>
      <c r="Q22" s="576">
        <f>P22*(1+Inputs!P104)</f>
        <v>33.765264299999998</v>
      </c>
      <c r="R22" s="577">
        <f>Q22*(1+Inputs!Q104)</f>
        <v>34.778222229000001</v>
      </c>
      <c r="T22" s="255">
        <f t="shared" si="9"/>
        <v>2.392885001209244E-2</v>
      </c>
      <c r="U22" s="237" t="str">
        <f t="shared" si="7"/>
        <v>OK</v>
      </c>
      <c r="V22" s="578">
        <f t="shared" si="8"/>
        <v>0</v>
      </c>
    </row>
    <row r="23" spans="3:22">
      <c r="C23" s="573"/>
      <c r="D23" s="63" t="str">
        <f>"Pipeline: "&amp;Inputs!E83</f>
        <v>Pipeline: NA</v>
      </c>
      <c r="H23" s="108"/>
      <c r="I23" s="108"/>
      <c r="J23" s="108"/>
      <c r="K23" s="1344"/>
      <c r="L23" s="579">
        <f>IF(ytg.approach=Inputs!$C$39,K23*ytg.actual,IF(ytg.approach=Inputs!$C$40,ytg.mgt*M23,M23-K23))</f>
        <v>30</v>
      </c>
      <c r="M23" s="574">
        <f>Inputs!L105</f>
        <v>30</v>
      </c>
      <c r="N23" s="576">
        <f>M23*(1+Inputs!M105)</f>
        <v>30.900000000000002</v>
      </c>
      <c r="O23" s="576">
        <f>N23*(1+Inputs!N105)</f>
        <v>31.827000000000002</v>
      </c>
      <c r="P23" s="576">
        <f>O23*(1+Inputs!O105)</f>
        <v>32.78181</v>
      </c>
      <c r="Q23" s="576">
        <f>P23*(1+Inputs!P105)</f>
        <v>33.765264299999998</v>
      </c>
      <c r="R23" s="577">
        <f>Q23*(1+Inputs!Q105)</f>
        <v>34.778222229000001</v>
      </c>
      <c r="T23" s="255">
        <f t="shared" si="9"/>
        <v>2.392885001209244E-2</v>
      </c>
      <c r="U23" s="237" t="str">
        <f t="shared" si="7"/>
        <v>OK</v>
      </c>
      <c r="V23" s="578">
        <f t="shared" si="8"/>
        <v>0</v>
      </c>
    </row>
    <row r="24" spans="3:22">
      <c r="C24" s="573"/>
      <c r="D24" s="63" t="str">
        <f>"Pipeline: "&amp;Inputs!E84</f>
        <v>Pipeline: NA</v>
      </c>
      <c r="H24" s="108"/>
      <c r="I24" s="108"/>
      <c r="J24" s="108"/>
      <c r="K24" s="1344"/>
      <c r="L24" s="579">
        <f>IF(ytg.approach=Inputs!$C$39,K24*ytg.actual,IF(ytg.approach=Inputs!$C$40,ytg.mgt*M24,M24-K24))</f>
        <v>30</v>
      </c>
      <c r="M24" s="574">
        <f>Inputs!L106</f>
        <v>30</v>
      </c>
      <c r="N24" s="576">
        <f>M24*(1+Inputs!M106)</f>
        <v>30.900000000000002</v>
      </c>
      <c r="O24" s="576">
        <f>N24*(1+Inputs!N106)</f>
        <v>31.827000000000002</v>
      </c>
      <c r="P24" s="576">
        <f>O24*(1+Inputs!O106)</f>
        <v>32.78181</v>
      </c>
      <c r="Q24" s="576">
        <f>P24*(1+Inputs!P106)</f>
        <v>33.765264299999998</v>
      </c>
      <c r="R24" s="577">
        <f>Q24*(1+Inputs!Q106)</f>
        <v>34.778222229000001</v>
      </c>
      <c r="T24" s="255">
        <f t="shared" si="9"/>
        <v>2.392885001209244E-2</v>
      </c>
      <c r="U24" s="237" t="str">
        <f t="shared" si="7"/>
        <v>OK</v>
      </c>
      <c r="V24" s="578">
        <f t="shared" si="8"/>
        <v>0</v>
      </c>
    </row>
    <row r="25" spans="3:22">
      <c r="C25" s="573"/>
      <c r="D25" s="63" t="str">
        <f>"Pipeline: "&amp;Inputs!E85</f>
        <v>Pipeline: NA</v>
      </c>
      <c r="H25" s="108"/>
      <c r="I25" s="108"/>
      <c r="J25" s="108"/>
      <c r="K25" s="1344"/>
      <c r="L25" s="579">
        <f>IF(ytg.approach=Inputs!$C$39,K25*ytg.actual,IF(ytg.approach=Inputs!$C$40,ytg.mgt*M25,M25-K25))</f>
        <v>30</v>
      </c>
      <c r="M25" s="574">
        <f>Inputs!L107</f>
        <v>30</v>
      </c>
      <c r="N25" s="576">
        <f>M25*(1+Inputs!M107)</f>
        <v>30.900000000000002</v>
      </c>
      <c r="O25" s="576">
        <f>N25*(1+Inputs!N107)</f>
        <v>31.827000000000002</v>
      </c>
      <c r="P25" s="576">
        <f>O25*(1+Inputs!O107)</f>
        <v>32.78181</v>
      </c>
      <c r="Q25" s="576">
        <f>P25*(1+Inputs!P107)</f>
        <v>33.765264299999998</v>
      </c>
      <c r="R25" s="577">
        <f>Q25*(1+Inputs!Q107)</f>
        <v>34.778222229000001</v>
      </c>
      <c r="T25" s="255">
        <f t="shared" si="9"/>
        <v>2.392885001209244E-2</v>
      </c>
      <c r="U25" s="237" t="str">
        <f t="shared" si="7"/>
        <v>OK</v>
      </c>
      <c r="V25" s="578">
        <f t="shared" si="8"/>
        <v>0</v>
      </c>
    </row>
    <row r="26" spans="3:22">
      <c r="C26" s="573"/>
      <c r="D26" s="63" t="str">
        <f>"Potential: "&amp;Inputs!E87</f>
        <v>Potential: Product contracts by specifiers</v>
      </c>
      <c r="H26" s="108"/>
      <c r="I26" s="108"/>
      <c r="J26" s="108"/>
      <c r="K26" s="1344"/>
      <c r="L26" s="579">
        <f>IF(ytg.approach=Inputs!$C$39,K26*ytg.actual,IF(ytg.approach=Inputs!$C$40,ytg.mgt*M26,M26-K26))</f>
        <v>30</v>
      </c>
      <c r="M26" s="574">
        <f>Inputs!L108</f>
        <v>30</v>
      </c>
      <c r="N26" s="576">
        <f>M26*(1+Inputs!M108)</f>
        <v>30.900000000000002</v>
      </c>
      <c r="O26" s="576">
        <f>N26*(1+Inputs!N108)</f>
        <v>31.827000000000002</v>
      </c>
      <c r="P26" s="576">
        <f>O26*(1+Inputs!O108)</f>
        <v>32.78181</v>
      </c>
      <c r="Q26" s="576">
        <f>P26*(1+Inputs!P108)</f>
        <v>33.765264299999998</v>
      </c>
      <c r="R26" s="577">
        <f>Q26*(1+Inputs!Q108)</f>
        <v>34.778222229000001</v>
      </c>
      <c r="T26" s="255">
        <f t="shared" si="9"/>
        <v>2.392885001209244E-2</v>
      </c>
      <c r="U26" s="237" t="str">
        <f t="shared" si="7"/>
        <v>OK</v>
      </c>
      <c r="V26" s="578">
        <f t="shared" si="8"/>
        <v>0</v>
      </c>
    </row>
    <row r="27" spans="3:22">
      <c r="C27" s="573"/>
      <c r="D27" s="63" t="str">
        <f>"Potential: "&amp;Inputs!E88</f>
        <v>Potential: NA</v>
      </c>
      <c r="H27" s="108"/>
      <c r="I27" s="108"/>
      <c r="J27" s="108"/>
      <c r="K27" s="1344"/>
      <c r="L27" s="579">
        <f>IF(ytg.approach=Inputs!$C$39,K27*ytg.actual,IF(ytg.approach=Inputs!$C$40,ytg.mgt*M27,M27-K27))</f>
        <v>30</v>
      </c>
      <c r="M27" s="574">
        <f>Inputs!L109</f>
        <v>30</v>
      </c>
      <c r="N27" s="576">
        <f>M27*(1+Inputs!M109)</f>
        <v>30.900000000000002</v>
      </c>
      <c r="O27" s="576">
        <f>N27*(1+Inputs!N109)</f>
        <v>31.827000000000002</v>
      </c>
      <c r="P27" s="576">
        <f>O27*(1+Inputs!O109)</f>
        <v>32.78181</v>
      </c>
      <c r="Q27" s="576">
        <f>P27*(1+Inputs!P109)</f>
        <v>33.765264299999998</v>
      </c>
      <c r="R27" s="577">
        <f>Q27*(1+Inputs!Q109)</f>
        <v>34.778222229000001</v>
      </c>
      <c r="T27" s="255">
        <f t="shared" si="9"/>
        <v>2.392885001209244E-2</v>
      </c>
      <c r="U27" s="237" t="str">
        <f t="shared" si="7"/>
        <v>OK</v>
      </c>
      <c r="V27" s="578">
        <f t="shared" si="8"/>
        <v>0</v>
      </c>
    </row>
    <row r="28" spans="3:22">
      <c r="C28" s="573"/>
      <c r="D28" s="63" t="str">
        <f>"Potential: "&amp;Inputs!E89</f>
        <v>Potential: NA</v>
      </c>
      <c r="H28" s="108"/>
      <c r="I28" s="108"/>
      <c r="J28" s="108"/>
      <c r="K28" s="1344"/>
      <c r="L28" s="579">
        <f>IF(ytg.approach=Inputs!$C$39,K28*ytg.actual,IF(ytg.approach=Inputs!$C$40,ytg.mgt*M28,M28-K28))</f>
        <v>30</v>
      </c>
      <c r="M28" s="574">
        <f>Inputs!L110</f>
        <v>30</v>
      </c>
      <c r="N28" s="576">
        <f>M28*(1+Inputs!M110)</f>
        <v>30.900000000000002</v>
      </c>
      <c r="O28" s="576">
        <f>N28*(1+Inputs!N110)</f>
        <v>31.827000000000002</v>
      </c>
      <c r="P28" s="576">
        <f>O28*(1+Inputs!O110)</f>
        <v>32.78181</v>
      </c>
      <c r="Q28" s="576">
        <f>P28*(1+Inputs!P110)</f>
        <v>33.765264299999998</v>
      </c>
      <c r="R28" s="577">
        <f>Q28*(1+Inputs!Q110)</f>
        <v>34.778222229000001</v>
      </c>
      <c r="T28" s="255">
        <f t="shared" si="9"/>
        <v>2.392885001209244E-2</v>
      </c>
      <c r="U28" s="237" t="str">
        <f t="shared" si="7"/>
        <v>OK</v>
      </c>
      <c r="V28" s="578">
        <f t="shared" si="8"/>
        <v>0</v>
      </c>
    </row>
    <row r="29" spans="3:22">
      <c r="C29" s="573"/>
      <c r="D29" s="63" t="str">
        <f>"Potential: "&amp;Inputs!E90</f>
        <v>Potential: NA</v>
      </c>
      <c r="H29" s="108"/>
      <c r="I29" s="108"/>
      <c r="J29" s="108"/>
      <c r="K29" s="1344"/>
      <c r="L29" s="579">
        <f>IF(ytg.approach=Inputs!$C$39,K29*ytg.actual,IF(ytg.approach=Inputs!$C$40,ytg.mgt*M29,M29-K29))</f>
        <v>30</v>
      </c>
      <c r="M29" s="574">
        <f>Inputs!L111</f>
        <v>30</v>
      </c>
      <c r="N29" s="576">
        <f>M29*(1+Inputs!M111)</f>
        <v>30.900000000000002</v>
      </c>
      <c r="O29" s="576">
        <f>N29*(1+Inputs!N111)</f>
        <v>31.827000000000002</v>
      </c>
      <c r="P29" s="576">
        <f>O29*(1+Inputs!O111)</f>
        <v>32.78181</v>
      </c>
      <c r="Q29" s="576">
        <f>P29*(1+Inputs!P111)</f>
        <v>33.765264299999998</v>
      </c>
      <c r="R29" s="577">
        <f>Q29*(1+Inputs!Q111)</f>
        <v>34.778222229000001</v>
      </c>
      <c r="T29" s="255">
        <f t="shared" si="9"/>
        <v>2.392885001209244E-2</v>
      </c>
      <c r="U29" s="237" t="str">
        <f t="shared" si="7"/>
        <v>OK</v>
      </c>
      <c r="V29" s="578">
        <f t="shared" si="8"/>
        <v>0</v>
      </c>
    </row>
    <row r="30" spans="3:22">
      <c r="C30" s="573"/>
      <c r="H30" s="105"/>
      <c r="I30" s="105"/>
      <c r="J30" s="105"/>
      <c r="K30" s="105"/>
      <c r="L30" s="105"/>
      <c r="M30" s="105"/>
      <c r="N30" s="105"/>
      <c r="O30" s="105"/>
      <c r="P30" s="105"/>
      <c r="Q30" s="105"/>
      <c r="R30" s="571"/>
      <c r="T30" s="255" t="str">
        <f t="shared" si="9"/>
        <v>-</v>
      </c>
      <c r="U30" s="237" t="str">
        <f t="shared" si="7"/>
        <v>OK</v>
      </c>
      <c r="V30" s="578">
        <f t="shared" si="8"/>
        <v>0</v>
      </c>
    </row>
    <row r="31" spans="3:22">
      <c r="C31" s="572" t="s">
        <v>1815</v>
      </c>
      <c r="H31" s="105"/>
      <c r="I31" s="105"/>
      <c r="J31" s="105"/>
      <c r="K31" s="105"/>
      <c r="L31" s="105"/>
      <c r="M31" s="105"/>
      <c r="N31" s="105"/>
      <c r="O31" s="105"/>
      <c r="P31" s="105"/>
      <c r="Q31" s="105"/>
      <c r="R31" s="571"/>
      <c r="T31" s="255" t="str">
        <f t="shared" si="9"/>
        <v>-</v>
      </c>
      <c r="U31" s="237" t="str">
        <f t="shared" si="7"/>
        <v>OK</v>
      </c>
      <c r="V31" s="578">
        <f t="shared" si="8"/>
        <v>0</v>
      </c>
    </row>
    <row r="32" spans="3:22">
      <c r="C32" s="573"/>
      <c r="D32" s="63" t="str">
        <f t="shared" ref="D32:D43" si="10">D18</f>
        <v>Existing: Residential lighting</v>
      </c>
      <c r="H32" s="1362">
        <f>Hist.Fin!H19</f>
        <v>0</v>
      </c>
      <c r="I32" s="1362">
        <f>Hist.Fin!I19</f>
        <v>0</v>
      </c>
      <c r="J32" s="1362">
        <f>Hist.Fin!J19</f>
        <v>0</v>
      </c>
      <c r="K32" s="1362">
        <f>Hist.Fin!K19</f>
        <v>0</v>
      </c>
      <c r="L32" s="579">
        <f>IF(ytg.approach=Inputs!$C$39,K32*ytg.actual,IF(ytg.approach=Inputs!$C$40,ytg.mgt*M32,M32-K32))</f>
        <v>100</v>
      </c>
      <c r="M32" s="574">
        <f>Inputs!L114</f>
        <v>100</v>
      </c>
      <c r="N32" s="576">
        <f>M32*(1+Inputs!M114)</f>
        <v>103</v>
      </c>
      <c r="O32" s="576">
        <f>N32*(1+Inputs!N114)</f>
        <v>106.09</v>
      </c>
      <c r="P32" s="576">
        <f>O32*(1+Inputs!O114)</f>
        <v>109.2727</v>
      </c>
      <c r="Q32" s="576">
        <f>P32*(1+Inputs!P114)</f>
        <v>112.550881</v>
      </c>
      <c r="R32" s="577">
        <f>Q32*(1+Inputs!Q114)</f>
        <v>115.92740743</v>
      </c>
      <c r="T32" s="255">
        <f t="shared" si="9"/>
        <v>2.392885001209244E-2</v>
      </c>
      <c r="U32" s="237" t="str">
        <f t="shared" si="7"/>
        <v>OK</v>
      </c>
      <c r="V32" s="578">
        <f t="shared" si="8"/>
        <v>0</v>
      </c>
    </row>
    <row r="33" spans="3:22">
      <c r="C33" s="573"/>
      <c r="D33" s="63" t="str">
        <f t="shared" si="10"/>
        <v>Existing: Hotels &amp; Hospitals</v>
      </c>
      <c r="H33" s="1362">
        <f>Hist.Fin!H20</f>
        <v>0</v>
      </c>
      <c r="I33" s="1362">
        <f>Hist.Fin!I20</f>
        <v>0</v>
      </c>
      <c r="J33" s="1362">
        <f>Hist.Fin!J20</f>
        <v>0</v>
      </c>
      <c r="K33" s="1362">
        <f>Hist.Fin!K20</f>
        <v>0</v>
      </c>
      <c r="L33" s="579">
        <f>IF(ytg.approach=Inputs!$C$39,K33*ytg.actual,IF(ytg.approach=Inputs!$C$40,ytg.mgt*M33,M33-K33))</f>
        <v>200</v>
      </c>
      <c r="M33" s="574">
        <f>Inputs!L115</f>
        <v>200</v>
      </c>
      <c r="N33" s="576">
        <f>M33*(1+Inputs!M115)</f>
        <v>206</v>
      </c>
      <c r="O33" s="576">
        <f>N33*(1+Inputs!N115)</f>
        <v>212.18</v>
      </c>
      <c r="P33" s="576">
        <f>O33*(1+Inputs!O115)</f>
        <v>218.5454</v>
      </c>
      <c r="Q33" s="576">
        <f>P33*(1+Inputs!P115)</f>
        <v>225.10176200000001</v>
      </c>
      <c r="R33" s="577">
        <f>Q33*(1+Inputs!Q115)</f>
        <v>231.85481486</v>
      </c>
      <c r="T33" s="255">
        <f t="shared" si="9"/>
        <v>2.392885001209244E-2</v>
      </c>
      <c r="U33" s="237" t="str">
        <f t="shared" si="7"/>
        <v>OK</v>
      </c>
      <c r="V33" s="578">
        <f t="shared" si="8"/>
        <v>0</v>
      </c>
    </row>
    <row r="34" spans="3:22">
      <c r="C34" s="573"/>
      <c r="D34" s="63" t="str">
        <f t="shared" si="10"/>
        <v>Existing: Government &amp; Infrastructure</v>
      </c>
      <c r="H34" s="1362">
        <f>Hist.Fin!H21</f>
        <v>0</v>
      </c>
      <c r="I34" s="1362">
        <f>Hist.Fin!I21</f>
        <v>0</v>
      </c>
      <c r="J34" s="1362">
        <f>Hist.Fin!J21</f>
        <v>0</v>
      </c>
      <c r="K34" s="1362">
        <f>Hist.Fin!K21</f>
        <v>0</v>
      </c>
      <c r="L34" s="579">
        <f>IF(ytg.approach=Inputs!$C$39,K34*ytg.actual,IF(ytg.approach=Inputs!$C$40,ytg.mgt*M34,M34-K34))</f>
        <v>100</v>
      </c>
      <c r="M34" s="574">
        <f>Inputs!L116</f>
        <v>100</v>
      </c>
      <c r="N34" s="576">
        <f>M34*(1+Inputs!M116)</f>
        <v>103</v>
      </c>
      <c r="O34" s="576">
        <f>N34*(1+Inputs!N116)</f>
        <v>106.09</v>
      </c>
      <c r="P34" s="576">
        <f>O34*(1+Inputs!O116)</f>
        <v>109.2727</v>
      </c>
      <c r="Q34" s="576">
        <f>P34*(1+Inputs!P116)</f>
        <v>112.550881</v>
      </c>
      <c r="R34" s="577">
        <f>Q34*(1+Inputs!Q116)</f>
        <v>115.92740743</v>
      </c>
      <c r="T34" s="255">
        <f t="shared" si="9"/>
        <v>2.392885001209244E-2</v>
      </c>
      <c r="U34" s="237" t="str">
        <f t="shared" si="7"/>
        <v>OK</v>
      </c>
      <c r="V34" s="578">
        <f t="shared" si="8"/>
        <v>0</v>
      </c>
    </row>
    <row r="35" spans="3:22">
      <c r="C35" s="573"/>
      <c r="D35" s="63" t="str">
        <f t="shared" si="10"/>
        <v>Existing: Distributorship</v>
      </c>
      <c r="H35" s="1362">
        <f>Hist.Fin!H22</f>
        <v>0</v>
      </c>
      <c r="I35" s="1362">
        <f>Hist.Fin!I22</f>
        <v>0</v>
      </c>
      <c r="J35" s="1362">
        <f>Hist.Fin!J22</f>
        <v>0</v>
      </c>
      <c r="K35" s="1362">
        <f>Hist.Fin!K22</f>
        <v>0</v>
      </c>
      <c r="L35" s="579">
        <f>IF(ytg.approach=Inputs!$C$39,K35*ytg.actual,IF(ytg.approach=Inputs!$C$40,ytg.mgt*M35,M35-K35))</f>
        <v>200</v>
      </c>
      <c r="M35" s="574">
        <f>Inputs!L117</f>
        <v>200</v>
      </c>
      <c r="N35" s="576">
        <f>M35*(1+Inputs!M117)</f>
        <v>206</v>
      </c>
      <c r="O35" s="576">
        <f>N35*(1+Inputs!N117)</f>
        <v>212.18</v>
      </c>
      <c r="P35" s="576">
        <f>O35*(1+Inputs!O117)</f>
        <v>218.5454</v>
      </c>
      <c r="Q35" s="576">
        <f>P35*(1+Inputs!P117)</f>
        <v>225.10176200000001</v>
      </c>
      <c r="R35" s="577">
        <f>Q35*(1+Inputs!Q117)</f>
        <v>231.85481486</v>
      </c>
      <c r="T35" s="255">
        <f t="shared" si="9"/>
        <v>2.392885001209244E-2</v>
      </c>
      <c r="U35" s="237" t="str">
        <f t="shared" si="7"/>
        <v>OK</v>
      </c>
      <c r="V35" s="578">
        <f t="shared" si="8"/>
        <v>0</v>
      </c>
    </row>
    <row r="36" spans="3:22">
      <c r="C36" s="573"/>
      <c r="D36" s="63" t="str">
        <f t="shared" si="10"/>
        <v>Pipeline: UAE &amp; Oman projects</v>
      </c>
      <c r="H36" s="108"/>
      <c r="I36" s="108"/>
      <c r="J36" s="108"/>
      <c r="K36" s="1344"/>
      <c r="L36" s="579">
        <f>IF(ytg.approach=Inputs!$C$39,K36*ytg.actual,IF(ytg.approach=Inputs!$C$40,ytg.mgt*M36,M36-K36))</f>
        <v>100</v>
      </c>
      <c r="M36" s="574">
        <f>Inputs!L118</f>
        <v>100</v>
      </c>
      <c r="N36" s="576">
        <f>M36*(1+Inputs!M118)</f>
        <v>103</v>
      </c>
      <c r="O36" s="576">
        <f>N36*(1+Inputs!N118)</f>
        <v>106.09</v>
      </c>
      <c r="P36" s="576">
        <f>O36*(1+Inputs!O118)</f>
        <v>109.2727</v>
      </c>
      <c r="Q36" s="576">
        <f>P36*(1+Inputs!P118)</f>
        <v>112.550881</v>
      </c>
      <c r="R36" s="577">
        <f>Q36*(1+Inputs!Q118)</f>
        <v>115.92740743</v>
      </c>
      <c r="T36" s="255">
        <f t="shared" si="9"/>
        <v>2.392885001209244E-2</v>
      </c>
      <c r="U36" s="237" t="str">
        <f t="shared" si="7"/>
        <v>OK</v>
      </c>
      <c r="V36" s="578">
        <f t="shared" si="8"/>
        <v>0</v>
      </c>
    </row>
    <row r="37" spans="3:22">
      <c r="C37" s="573"/>
      <c r="D37" s="63" t="str">
        <f t="shared" si="10"/>
        <v>Pipeline: NA</v>
      </c>
      <c r="H37" s="108"/>
      <c r="I37" s="108"/>
      <c r="J37" s="108"/>
      <c r="K37" s="1344"/>
      <c r="L37" s="579">
        <f>IF(ytg.approach=Inputs!$C$39,K37*ytg.actual,IF(ytg.approach=Inputs!$C$40,ytg.mgt*M37,M37-K37))</f>
        <v>200</v>
      </c>
      <c r="M37" s="574">
        <f>Inputs!L119</f>
        <v>200</v>
      </c>
      <c r="N37" s="576">
        <f>M37*(1+Inputs!M119)</f>
        <v>206</v>
      </c>
      <c r="O37" s="576">
        <f>N37*(1+Inputs!N119)</f>
        <v>212.18</v>
      </c>
      <c r="P37" s="576">
        <f>O37*(1+Inputs!O119)</f>
        <v>218.5454</v>
      </c>
      <c r="Q37" s="576">
        <f>P37*(1+Inputs!P119)</f>
        <v>225.10176200000001</v>
      </c>
      <c r="R37" s="577">
        <f>Q37*(1+Inputs!Q119)</f>
        <v>231.85481486</v>
      </c>
      <c r="T37" s="255">
        <f t="shared" si="9"/>
        <v>2.392885001209244E-2</v>
      </c>
      <c r="U37" s="237" t="str">
        <f t="shared" si="7"/>
        <v>OK</v>
      </c>
      <c r="V37" s="578">
        <f t="shared" si="8"/>
        <v>0</v>
      </c>
    </row>
    <row r="38" spans="3:22">
      <c r="C38" s="573"/>
      <c r="D38" s="63" t="str">
        <f t="shared" si="10"/>
        <v>Pipeline: NA</v>
      </c>
      <c r="H38" s="108"/>
      <c r="I38" s="108"/>
      <c r="J38" s="108"/>
      <c r="K38" s="1344"/>
      <c r="L38" s="579">
        <f>IF(ytg.approach=Inputs!$C$39,K38*ytg.actual,IF(ytg.approach=Inputs!$C$40,ytg.mgt*M38,M38-K38))</f>
        <v>100</v>
      </c>
      <c r="M38" s="574">
        <f>Inputs!L120</f>
        <v>100</v>
      </c>
      <c r="N38" s="576">
        <f>M38*(1+Inputs!M120)</f>
        <v>103</v>
      </c>
      <c r="O38" s="576">
        <f>N38*(1+Inputs!N120)</f>
        <v>106.09</v>
      </c>
      <c r="P38" s="576">
        <f>O38*(1+Inputs!O120)</f>
        <v>109.2727</v>
      </c>
      <c r="Q38" s="576">
        <f>P38*(1+Inputs!P120)</f>
        <v>112.550881</v>
      </c>
      <c r="R38" s="577">
        <f>Q38*(1+Inputs!Q120)</f>
        <v>115.92740743</v>
      </c>
      <c r="T38" s="255">
        <f t="shared" si="9"/>
        <v>2.392885001209244E-2</v>
      </c>
      <c r="U38" s="237" t="str">
        <f t="shared" si="7"/>
        <v>OK</v>
      </c>
      <c r="V38" s="578">
        <f t="shared" si="8"/>
        <v>0</v>
      </c>
    </row>
    <row r="39" spans="3:22">
      <c r="C39" s="573"/>
      <c r="D39" s="63" t="str">
        <f t="shared" si="10"/>
        <v>Pipeline: NA</v>
      </c>
      <c r="H39" s="108"/>
      <c r="I39" s="108"/>
      <c r="J39" s="108"/>
      <c r="K39" s="1344"/>
      <c r="L39" s="579">
        <f>IF(ytg.approach=Inputs!$C$39,K39*ytg.actual,IF(ytg.approach=Inputs!$C$40,ytg.mgt*M39,M39-K39))</f>
        <v>200</v>
      </c>
      <c r="M39" s="574">
        <f>Inputs!L121</f>
        <v>200</v>
      </c>
      <c r="N39" s="576">
        <f>M39*(1+Inputs!M121)</f>
        <v>206</v>
      </c>
      <c r="O39" s="576">
        <f>N39*(1+Inputs!N121)</f>
        <v>212.18</v>
      </c>
      <c r="P39" s="576">
        <f>O39*(1+Inputs!O121)</f>
        <v>218.5454</v>
      </c>
      <c r="Q39" s="576">
        <f>P39*(1+Inputs!P121)</f>
        <v>225.10176200000001</v>
      </c>
      <c r="R39" s="577">
        <f>Q39*(1+Inputs!Q121)</f>
        <v>231.85481486</v>
      </c>
      <c r="T39" s="255">
        <f t="shared" si="9"/>
        <v>2.392885001209244E-2</v>
      </c>
      <c r="U39" s="237" t="str">
        <f t="shared" si="7"/>
        <v>OK</v>
      </c>
      <c r="V39" s="578">
        <f t="shared" si="8"/>
        <v>0</v>
      </c>
    </row>
    <row r="40" spans="3:22">
      <c r="C40" s="573"/>
      <c r="D40" s="63" t="str">
        <f t="shared" si="10"/>
        <v>Potential: Product contracts by specifiers</v>
      </c>
      <c r="H40" s="108"/>
      <c r="I40" s="108"/>
      <c r="J40" s="108"/>
      <c r="K40" s="1344"/>
      <c r="L40" s="579">
        <f>IF(ytg.approach=Inputs!$C$39,K40*ytg.actual,IF(ytg.approach=Inputs!$C$40,ytg.mgt*M40,M40-K40))</f>
        <v>100</v>
      </c>
      <c r="M40" s="574">
        <f>Inputs!L122</f>
        <v>100</v>
      </c>
      <c r="N40" s="576">
        <f>M40*(1+Inputs!M122)</f>
        <v>103</v>
      </c>
      <c r="O40" s="576">
        <f>N40*(1+Inputs!N122)</f>
        <v>106.09</v>
      </c>
      <c r="P40" s="576">
        <f>O40*(1+Inputs!O122)</f>
        <v>109.2727</v>
      </c>
      <c r="Q40" s="576">
        <f>P40*(1+Inputs!P122)</f>
        <v>112.550881</v>
      </c>
      <c r="R40" s="577">
        <f>Q40*(1+Inputs!Q122)</f>
        <v>115.92740743</v>
      </c>
      <c r="T40" s="255">
        <f t="shared" si="9"/>
        <v>2.392885001209244E-2</v>
      </c>
      <c r="U40" s="237" t="str">
        <f t="shared" si="7"/>
        <v>OK</v>
      </c>
      <c r="V40" s="578">
        <f t="shared" si="8"/>
        <v>0</v>
      </c>
    </row>
    <row r="41" spans="3:22">
      <c r="C41" s="573"/>
      <c r="D41" s="63" t="str">
        <f t="shared" si="10"/>
        <v>Potential: NA</v>
      </c>
      <c r="H41" s="108"/>
      <c r="I41" s="108"/>
      <c r="J41" s="108"/>
      <c r="K41" s="1344"/>
      <c r="L41" s="579">
        <f>IF(ytg.approach=Inputs!$C$39,K41*ytg.actual,IF(ytg.approach=Inputs!$C$40,ytg.mgt*M41,M41-K41))</f>
        <v>200</v>
      </c>
      <c r="M41" s="574">
        <f>Inputs!L123</f>
        <v>200</v>
      </c>
      <c r="N41" s="576">
        <f>M41*(1+Inputs!M123)</f>
        <v>206</v>
      </c>
      <c r="O41" s="576">
        <f>N41*(1+Inputs!N123)</f>
        <v>212.18</v>
      </c>
      <c r="P41" s="576">
        <f>O41*(1+Inputs!O123)</f>
        <v>218.5454</v>
      </c>
      <c r="Q41" s="576">
        <f>P41*(1+Inputs!P123)</f>
        <v>225.10176200000001</v>
      </c>
      <c r="R41" s="577">
        <f>Q41*(1+Inputs!Q123)</f>
        <v>231.85481486</v>
      </c>
      <c r="T41" s="255">
        <f t="shared" si="9"/>
        <v>2.392885001209244E-2</v>
      </c>
      <c r="U41" s="237" t="str">
        <f t="shared" si="7"/>
        <v>OK</v>
      </c>
      <c r="V41" s="578">
        <f t="shared" si="8"/>
        <v>0</v>
      </c>
    </row>
    <row r="42" spans="3:22">
      <c r="C42" s="573"/>
      <c r="D42" s="63" t="str">
        <f t="shared" si="10"/>
        <v>Potential: NA</v>
      </c>
      <c r="H42" s="108"/>
      <c r="I42" s="108"/>
      <c r="J42" s="108"/>
      <c r="K42" s="1344"/>
      <c r="L42" s="579">
        <f>IF(ytg.approach=Inputs!$C$39,K42*ytg.actual,IF(ytg.approach=Inputs!$C$40,ytg.mgt*M42,M42-K42))</f>
        <v>100</v>
      </c>
      <c r="M42" s="574">
        <f>Inputs!L124</f>
        <v>100</v>
      </c>
      <c r="N42" s="576">
        <f>M42*(1+Inputs!M124)</f>
        <v>103</v>
      </c>
      <c r="O42" s="576">
        <f>N42*(1+Inputs!N124)</f>
        <v>106.09</v>
      </c>
      <c r="P42" s="576">
        <f>O42*(1+Inputs!O124)</f>
        <v>109.2727</v>
      </c>
      <c r="Q42" s="576">
        <f>P42*(1+Inputs!P124)</f>
        <v>112.550881</v>
      </c>
      <c r="R42" s="577">
        <f>Q42*(1+Inputs!Q124)</f>
        <v>115.92740743</v>
      </c>
      <c r="T42" s="255">
        <f t="shared" si="9"/>
        <v>2.392885001209244E-2</v>
      </c>
      <c r="U42" s="237" t="str">
        <f t="shared" si="7"/>
        <v>OK</v>
      </c>
      <c r="V42" s="578">
        <f t="shared" si="8"/>
        <v>0</v>
      </c>
    </row>
    <row r="43" spans="3:22">
      <c r="C43" s="573"/>
      <c r="D43" s="63" t="str">
        <f t="shared" si="10"/>
        <v>Potential: NA</v>
      </c>
      <c r="H43" s="108"/>
      <c r="I43" s="108"/>
      <c r="J43" s="108"/>
      <c r="K43" s="1344"/>
      <c r="L43" s="579">
        <f>IF(ytg.approach=Inputs!$C$39,K43*ytg.actual,IF(ytg.approach=Inputs!$C$40,ytg.mgt*M43,M43-K43))</f>
        <v>200</v>
      </c>
      <c r="M43" s="574">
        <f>Inputs!L125</f>
        <v>200</v>
      </c>
      <c r="N43" s="576">
        <f>M43*(1+Inputs!M125)</f>
        <v>206</v>
      </c>
      <c r="O43" s="576">
        <f>N43*(1+Inputs!N125)</f>
        <v>212.18</v>
      </c>
      <c r="P43" s="576">
        <f>O43*(1+Inputs!O125)</f>
        <v>218.5454</v>
      </c>
      <c r="Q43" s="576">
        <f>P43*(1+Inputs!P125)</f>
        <v>225.10176200000001</v>
      </c>
      <c r="R43" s="577">
        <f>Q43*(1+Inputs!Q125)</f>
        <v>231.85481486</v>
      </c>
      <c r="T43" s="255">
        <f t="shared" si="9"/>
        <v>2.392885001209244E-2</v>
      </c>
      <c r="U43" s="237" t="str">
        <f t="shared" si="7"/>
        <v>OK</v>
      </c>
      <c r="V43" s="578">
        <f t="shared" si="8"/>
        <v>0</v>
      </c>
    </row>
    <row r="44" spans="3:22">
      <c r="C44" s="573"/>
      <c r="H44" s="105"/>
      <c r="I44" s="105"/>
      <c r="J44" s="105"/>
      <c r="K44" s="105"/>
      <c r="L44" s="105"/>
      <c r="M44" s="105"/>
      <c r="N44" s="105"/>
      <c r="O44" s="105"/>
      <c r="P44" s="105"/>
      <c r="Q44" s="105"/>
      <c r="R44" s="571"/>
      <c r="T44" s="255" t="str">
        <f t="shared" si="9"/>
        <v>-</v>
      </c>
      <c r="U44" s="237" t="str">
        <f t="shared" si="7"/>
        <v>OK</v>
      </c>
      <c r="V44" s="578">
        <f t="shared" si="8"/>
        <v>0</v>
      </c>
    </row>
    <row r="45" spans="3:22">
      <c r="C45" s="569" t="s">
        <v>1831</v>
      </c>
      <c r="D45" s="570"/>
      <c r="E45" s="570"/>
      <c r="F45" s="570"/>
      <c r="G45" s="570"/>
      <c r="H45" s="580"/>
      <c r="I45" s="580"/>
      <c r="J45" s="580"/>
      <c r="K45" s="580"/>
      <c r="L45" s="580"/>
      <c r="M45" s="580"/>
      <c r="N45" s="580"/>
      <c r="O45" s="580"/>
      <c r="P45" s="580"/>
      <c r="Q45" s="580"/>
      <c r="R45" s="581"/>
      <c r="T45" s="255" t="str">
        <f t="shared" si="9"/>
        <v>-</v>
      </c>
      <c r="U45" s="237" t="str">
        <f t="shared" si="7"/>
        <v>OK</v>
      </c>
      <c r="V45" s="578">
        <f t="shared" si="8"/>
        <v>0</v>
      </c>
    </row>
    <row r="46" spans="3:22">
      <c r="C46" s="582" t="str">
        <f>Inputs!E77&amp;" Revenue"</f>
        <v>Residential lighting Revenue</v>
      </c>
      <c r="D46" s="85"/>
      <c r="E46" s="85"/>
      <c r="F46" s="85"/>
      <c r="G46" s="85"/>
      <c r="H46" s="1363">
        <f>H18*H32</f>
        <v>0</v>
      </c>
      <c r="I46" s="1363">
        <f>I18*I32</f>
        <v>0</v>
      </c>
      <c r="J46" s="1363">
        <f t="shared" ref="J46" si="11">J18*J32</f>
        <v>0</v>
      </c>
      <c r="K46" s="1363">
        <f>K18*K32</f>
        <v>0</v>
      </c>
      <c r="L46" s="584">
        <f>IF(ytg.approach=Inputs!$C$39,K46*ytg.actual,IF(ytg.approach=Inputs!$C$40,ytg.mgt*M46,M46-K46))</f>
        <v>20000</v>
      </c>
      <c r="M46" s="583">
        <f>IF(Inputs!L129&gt;0,Inputs!L129,M18*M32)</f>
        <v>20000</v>
      </c>
      <c r="N46" s="583">
        <f>IF(Inputs!M129&gt;0,Inputs!M129,N18*N32)</f>
        <v>20000</v>
      </c>
      <c r="O46" s="583">
        <f>IF(Inputs!N129&gt;0,Inputs!N129,O18*O32)</f>
        <v>20000</v>
      </c>
      <c r="P46" s="583">
        <f>IF(Inputs!O129&gt;0,Inputs!O129,P18*P32)</f>
        <v>20000</v>
      </c>
      <c r="Q46" s="583">
        <f>IF(Inputs!P129&gt;0,Inputs!P129,Q18*Q32)</f>
        <v>20000</v>
      </c>
      <c r="R46" s="585">
        <f>IF(Inputs!Q129&gt;0,Inputs!Q129,R18*R32)</f>
        <v>20000</v>
      </c>
      <c r="T46" s="255">
        <f t="shared" si="9"/>
        <v>0</v>
      </c>
      <c r="U46" s="237" t="str">
        <f t="shared" si="7"/>
        <v>OK</v>
      </c>
      <c r="V46" s="578">
        <f t="shared" si="8"/>
        <v>0</v>
      </c>
    </row>
    <row r="47" spans="3:22">
      <c r="C47" s="582" t="str">
        <f>Inputs!E78&amp;" Revenue"</f>
        <v>Hotels &amp; Hospitals Revenue</v>
      </c>
      <c r="D47" s="85"/>
      <c r="E47" s="85"/>
      <c r="F47" s="85"/>
      <c r="G47" s="85"/>
      <c r="H47" s="1363">
        <f t="shared" ref="H47" si="12">H19*H33</f>
        <v>0</v>
      </c>
      <c r="I47" s="1363">
        <f t="shared" ref="I47:J47" si="13">I19*I33</f>
        <v>0</v>
      </c>
      <c r="J47" s="1363">
        <f t="shared" si="13"/>
        <v>0</v>
      </c>
      <c r="K47" s="1363">
        <f>K19*K33</f>
        <v>0</v>
      </c>
      <c r="L47" s="584">
        <f>IF(ytg.approach=Inputs!$C$39,K47*ytg.actual,IF(ytg.approach=Inputs!$C$40,ytg.mgt*M47,M47-K47))</f>
        <v>50000</v>
      </c>
      <c r="M47" s="583">
        <f>IF(Inputs!L130&gt;0,Inputs!L130,M19*M33)</f>
        <v>50000</v>
      </c>
      <c r="N47" s="583">
        <f>IF(Inputs!M130&gt;0,Inputs!M130,N19*N33)</f>
        <v>50000</v>
      </c>
      <c r="O47" s="583">
        <f>IF(Inputs!N130&gt;0,Inputs!N130,O19*O33)</f>
        <v>50000</v>
      </c>
      <c r="P47" s="583">
        <f>IF(Inputs!O130&gt;0,Inputs!O130,P19*P33)</f>
        <v>50000</v>
      </c>
      <c r="Q47" s="583">
        <f>IF(Inputs!P130&gt;0,Inputs!P130,Q19*Q33)</f>
        <v>50000</v>
      </c>
      <c r="R47" s="585">
        <f>IF(Inputs!Q130&gt;0,Inputs!Q130,R19*R33)</f>
        <v>50000</v>
      </c>
      <c r="T47" s="255">
        <f t="shared" si="9"/>
        <v>0</v>
      </c>
      <c r="U47" s="237" t="str">
        <f t="shared" si="7"/>
        <v>OK</v>
      </c>
      <c r="V47" s="578">
        <f t="shared" si="8"/>
        <v>0</v>
      </c>
    </row>
    <row r="48" spans="3:22">
      <c r="C48" s="582" t="str">
        <f>Inputs!E79&amp;" Revenue"</f>
        <v>Government &amp; Infrastructure Revenue</v>
      </c>
      <c r="D48" s="85"/>
      <c r="E48" s="85"/>
      <c r="F48" s="85"/>
      <c r="G48" s="85"/>
      <c r="H48" s="1363">
        <f t="shared" ref="H48" si="14">H20*H34</f>
        <v>0</v>
      </c>
      <c r="I48" s="1363">
        <f t="shared" ref="I48:J48" si="15">I20*I34</f>
        <v>0</v>
      </c>
      <c r="J48" s="1363">
        <f t="shared" si="15"/>
        <v>0</v>
      </c>
      <c r="K48" s="1363">
        <f>K20*K34</f>
        <v>0</v>
      </c>
      <c r="L48" s="584">
        <f>IF(ytg.approach=Inputs!$C$39,K48*ytg.actual,IF(ytg.approach=Inputs!$C$40,ytg.mgt*M48,M48-K48))</f>
        <v>10000</v>
      </c>
      <c r="M48" s="583">
        <f>IF(Inputs!L131&gt;0,Inputs!L131,M20*M34)</f>
        <v>10000</v>
      </c>
      <c r="N48" s="583">
        <f>IF(Inputs!M131&gt;0,Inputs!M131,N20*N34)</f>
        <v>10000</v>
      </c>
      <c r="O48" s="583">
        <f>IF(Inputs!N131&gt;0,Inputs!N131,O20*O34)</f>
        <v>10000</v>
      </c>
      <c r="P48" s="583">
        <f>IF(Inputs!O131&gt;0,Inputs!O131,P20*P34)</f>
        <v>10000</v>
      </c>
      <c r="Q48" s="583">
        <f>IF(Inputs!P131&gt;0,Inputs!P131,Q20*Q34)</f>
        <v>10000</v>
      </c>
      <c r="R48" s="585">
        <f>IF(Inputs!Q131&gt;0,Inputs!Q131,R20*R34)</f>
        <v>10000</v>
      </c>
      <c r="T48" s="255">
        <f t="shared" si="9"/>
        <v>0</v>
      </c>
      <c r="U48" s="237" t="str">
        <f t="shared" si="7"/>
        <v>OK</v>
      </c>
      <c r="V48" s="578">
        <f t="shared" si="8"/>
        <v>0</v>
      </c>
    </row>
    <row r="49" spans="3:22">
      <c r="C49" s="582" t="str">
        <f>Inputs!E80&amp;" Revenue"</f>
        <v>Distributorship Revenue</v>
      </c>
      <c r="D49" s="85"/>
      <c r="E49" s="85"/>
      <c r="F49" s="85"/>
      <c r="G49" s="85"/>
      <c r="H49" s="1363">
        <f>H21*H35</f>
        <v>0</v>
      </c>
      <c r="I49" s="1363">
        <f>I21*I35</f>
        <v>0</v>
      </c>
      <c r="J49" s="1363">
        <f t="shared" ref="J49" si="16">J21*J35</f>
        <v>0</v>
      </c>
      <c r="K49" s="1363">
        <f>K21*K35</f>
        <v>0</v>
      </c>
      <c r="L49" s="584">
        <f>IF(ytg.approach=Inputs!$C$39,K49*ytg.actual,IF(ytg.approach=Inputs!$C$40,ytg.mgt*M49,M49-K49))</f>
        <v>12000</v>
      </c>
      <c r="M49" s="583">
        <f>IF(Inputs!L132&gt;0,Inputs!L132,M21*M35)</f>
        <v>12000</v>
      </c>
      <c r="N49" s="583">
        <f>IF(Inputs!M132&gt;0,Inputs!M132,N21*N35)</f>
        <v>12000</v>
      </c>
      <c r="O49" s="583">
        <f>IF(Inputs!N132&gt;0,Inputs!N132,O21*O35)</f>
        <v>12000</v>
      </c>
      <c r="P49" s="583">
        <f>IF(Inputs!O132&gt;0,Inputs!O132,P21*P35)</f>
        <v>12000</v>
      </c>
      <c r="Q49" s="583">
        <f>IF(Inputs!P132&gt;0,Inputs!P132,Q21*Q35)</f>
        <v>12000</v>
      </c>
      <c r="R49" s="585">
        <f>IF(Inputs!Q132&gt;0,Inputs!Q132,R21*R35)</f>
        <v>12000</v>
      </c>
      <c r="T49" s="255">
        <f t="shared" si="9"/>
        <v>0</v>
      </c>
      <c r="U49" s="237" t="str">
        <f t="shared" si="7"/>
        <v>OK</v>
      </c>
      <c r="V49" s="578">
        <f t="shared" si="8"/>
        <v>0</v>
      </c>
    </row>
    <row r="50" spans="3:22">
      <c r="C50" s="586" t="s">
        <v>1832</v>
      </c>
      <c r="D50" s="587"/>
      <c r="E50" s="587"/>
      <c r="F50" s="587"/>
      <c r="G50" s="587"/>
      <c r="H50" s="588">
        <f>SUM(H46:H49)</f>
        <v>0</v>
      </c>
      <c r="I50" s="588">
        <f>SUM(I46:I49)</f>
        <v>0</v>
      </c>
      <c r="J50" s="588">
        <f t="shared" ref="J50:R50" si="17">SUM(J46:J49)</f>
        <v>0</v>
      </c>
      <c r="K50" s="588">
        <f>SUM(K46:K49)</f>
        <v>0</v>
      </c>
      <c r="L50" s="588">
        <f>SUM(L46:L49)</f>
        <v>92000</v>
      </c>
      <c r="M50" s="588">
        <f t="shared" si="17"/>
        <v>92000</v>
      </c>
      <c r="N50" s="588">
        <f t="shared" si="17"/>
        <v>92000</v>
      </c>
      <c r="O50" s="588">
        <f t="shared" si="17"/>
        <v>92000</v>
      </c>
      <c r="P50" s="588">
        <f t="shared" si="17"/>
        <v>92000</v>
      </c>
      <c r="Q50" s="588">
        <f t="shared" si="17"/>
        <v>92000</v>
      </c>
      <c r="R50" s="589">
        <f t="shared" si="17"/>
        <v>92000</v>
      </c>
      <c r="T50" s="255">
        <f t="shared" si="9"/>
        <v>0</v>
      </c>
      <c r="U50" s="237" t="str">
        <f t="shared" ref="U50:U96" si="18">IFERROR(IF(K50+L50=M50,"OK","VARIANCE"),"")</f>
        <v>OK</v>
      </c>
      <c r="V50" s="578">
        <f t="shared" ref="V50:V96" si="19">IFERROR((K50/ytd.months)*12,"NA")</f>
        <v>0</v>
      </c>
    </row>
    <row r="51" spans="3:22">
      <c r="C51" s="590" t="s">
        <v>1833</v>
      </c>
      <c r="D51" s="591"/>
      <c r="E51" s="591"/>
      <c r="F51" s="591"/>
      <c r="G51" s="591"/>
      <c r="H51" s="592"/>
      <c r="I51" s="592"/>
      <c r="J51" s="593" t="e">
        <f>J50/I50-1</f>
        <v>#DIV/0!</v>
      </c>
      <c r="K51" s="593" t="e">
        <f>K50/J50-1</f>
        <v>#DIV/0!</v>
      </c>
      <c r="L51" s="593" t="e">
        <f>L50/K50-1</f>
        <v>#DIV/0!</v>
      </c>
      <c r="M51" s="593" t="e">
        <f>M50/J50-1</f>
        <v>#DIV/0!</v>
      </c>
      <c r="N51" s="593">
        <f>N50/M50-1</f>
        <v>0</v>
      </c>
      <c r="O51" s="593">
        <f>O50/N50-1</f>
        <v>0</v>
      </c>
      <c r="P51" s="593">
        <f>P50/O50-1</f>
        <v>0</v>
      </c>
      <c r="Q51" s="593">
        <f>Q50/P50-1</f>
        <v>0</v>
      </c>
      <c r="R51" s="594">
        <f>R50/Q50-1</f>
        <v>0</v>
      </c>
      <c r="T51" s="255" t="str">
        <f t="shared" si="9"/>
        <v>-</v>
      </c>
      <c r="U51" s="237" t="str">
        <f t="shared" si="18"/>
        <v/>
      </c>
      <c r="V51" s="578" t="str">
        <f t="shared" si="19"/>
        <v>NA</v>
      </c>
    </row>
    <row r="52" spans="3:22">
      <c r="C52" s="582"/>
      <c r="D52" s="85"/>
      <c r="E52" s="85"/>
      <c r="F52" s="85"/>
      <c r="G52" s="85"/>
      <c r="H52" s="583"/>
      <c r="I52" s="583"/>
      <c r="J52" s="583"/>
      <c r="K52" s="583"/>
      <c r="L52" s="583"/>
      <c r="M52" s="583"/>
      <c r="N52" s="583"/>
      <c r="O52" s="583"/>
      <c r="P52" s="583"/>
      <c r="Q52" s="583"/>
      <c r="R52" s="585"/>
      <c r="T52" s="255" t="str">
        <f t="shared" si="9"/>
        <v>-</v>
      </c>
      <c r="U52" s="237" t="str">
        <f t="shared" si="18"/>
        <v>OK</v>
      </c>
      <c r="V52" s="578">
        <f t="shared" si="19"/>
        <v>0</v>
      </c>
    </row>
    <row r="53" spans="3:22">
      <c r="C53" s="569" t="s">
        <v>1844</v>
      </c>
      <c r="D53" s="570"/>
      <c r="E53" s="570"/>
      <c r="F53" s="570"/>
      <c r="G53" s="570"/>
      <c r="H53" s="583"/>
      <c r="I53" s="583"/>
      <c r="J53" s="583"/>
      <c r="K53" s="583"/>
      <c r="L53" s="583"/>
      <c r="M53" s="583"/>
      <c r="N53" s="583"/>
      <c r="O53" s="583"/>
      <c r="P53" s="583"/>
      <c r="Q53" s="583"/>
      <c r="R53" s="585"/>
      <c r="T53" s="255" t="str">
        <f t="shared" si="9"/>
        <v>-</v>
      </c>
      <c r="U53" s="237" t="str">
        <f t="shared" si="18"/>
        <v>OK</v>
      </c>
      <c r="V53" s="578">
        <f t="shared" si="19"/>
        <v>0</v>
      </c>
    </row>
    <row r="54" spans="3:22">
      <c r="C54" s="582" t="str">
        <f>Inputs!E82&amp;" Pipeline Revenue"</f>
        <v>UAE &amp; Oman projects Pipeline Revenue</v>
      </c>
      <c r="D54" s="85"/>
      <c r="E54" s="85"/>
      <c r="F54" s="85"/>
      <c r="G54" s="85"/>
      <c r="H54" s="583"/>
      <c r="I54" s="583"/>
      <c r="J54" s="583"/>
      <c r="K54" s="583"/>
      <c r="L54" s="584">
        <f>IF(ytg.approach=Inputs!$C$39,K54*ytg.actual,IF(ytg.approach=Inputs!$C$40,ytg.mgt*M54,M54-K54))</f>
        <v>15000</v>
      </c>
      <c r="M54" s="583">
        <f>IF(Inputs!L135&gt;0,Inputs!L135,L22*L36)</f>
        <v>15000</v>
      </c>
      <c r="N54" s="583">
        <f>IF(Inputs!M135&gt;0,Inputs!M135,M22*M36)</f>
        <v>15000</v>
      </c>
      <c r="O54" s="583">
        <f>IF(Inputs!N135&gt;0,Inputs!N135,N22*N36)</f>
        <v>15000</v>
      </c>
      <c r="P54" s="583">
        <f>IF(Inputs!O135&gt;0,Inputs!O135,O22*O36)</f>
        <v>15000</v>
      </c>
      <c r="Q54" s="583">
        <f>IF(Inputs!P135&gt;0,Inputs!P135,P22*P36)</f>
        <v>15000</v>
      </c>
      <c r="R54" s="585">
        <f>IF(Inputs!Q135&gt;0,Inputs!Q135,Q22*Q36)</f>
        <v>15000</v>
      </c>
      <c r="T54" s="255">
        <f t="shared" si="9"/>
        <v>0</v>
      </c>
      <c r="U54" s="237" t="str">
        <f t="shared" si="18"/>
        <v>OK</v>
      </c>
      <c r="V54" s="578">
        <f t="shared" si="19"/>
        <v>0</v>
      </c>
    </row>
    <row r="55" spans="3:22">
      <c r="C55" s="582" t="str">
        <f>Inputs!E83&amp;" Pipeline Revenue"</f>
        <v>NA Pipeline Revenue</v>
      </c>
      <c r="D55" s="85"/>
      <c r="E55" s="85"/>
      <c r="F55" s="85"/>
      <c r="G55" s="85"/>
      <c r="H55" s="583"/>
      <c r="I55" s="583"/>
      <c r="J55" s="583"/>
      <c r="K55" s="583"/>
      <c r="L55" s="584">
        <f>IF(ytg.approach=Inputs!$C$39,K55*ytg.actual,IF(ytg.approach=Inputs!$C$40,ytg.mgt*M55,M55-K55))</f>
        <v>15000</v>
      </c>
      <c r="M55" s="583">
        <f>IF(Inputs!L136&gt;0,Inputs!L136,L23*L37)</f>
        <v>15000</v>
      </c>
      <c r="N55" s="583">
        <f>IF(Inputs!M136&gt;0,Inputs!M136,M23*M37)</f>
        <v>15000</v>
      </c>
      <c r="O55" s="583">
        <f>IF(Inputs!N136&gt;0,Inputs!N136,N23*N37)</f>
        <v>15000</v>
      </c>
      <c r="P55" s="583">
        <f>IF(Inputs!O136&gt;0,Inputs!O136,O23*O37)</f>
        <v>15000</v>
      </c>
      <c r="Q55" s="583">
        <f>IF(Inputs!P136&gt;0,Inputs!P136,P23*P37)</f>
        <v>15000</v>
      </c>
      <c r="R55" s="585">
        <f>IF(Inputs!Q136&gt;0,Inputs!Q136,Q23*Q37)</f>
        <v>15000</v>
      </c>
      <c r="T55" s="255">
        <f t="shared" si="9"/>
        <v>0</v>
      </c>
      <c r="U55" s="237" t="str">
        <f t="shared" si="18"/>
        <v>OK</v>
      </c>
      <c r="V55" s="578">
        <f t="shared" si="19"/>
        <v>0</v>
      </c>
    </row>
    <row r="56" spans="3:22">
      <c r="C56" s="582" t="str">
        <f>Inputs!E84&amp;" Pipeline Revenue"</f>
        <v>NA Pipeline Revenue</v>
      </c>
      <c r="D56" s="85"/>
      <c r="E56" s="85"/>
      <c r="F56" s="85"/>
      <c r="G56" s="85"/>
      <c r="H56" s="583"/>
      <c r="I56" s="583"/>
      <c r="J56" s="583"/>
      <c r="K56" s="583"/>
      <c r="L56" s="584">
        <f>IF(ytg.approach=Inputs!$C$39,K56*ytg.actual,IF(ytg.approach=Inputs!$C$40,ytg.mgt*M56,M56-K56))</f>
        <v>15000</v>
      </c>
      <c r="M56" s="583">
        <f>IF(Inputs!L137&gt;0,Inputs!L137,L24*L38)</f>
        <v>15000</v>
      </c>
      <c r="N56" s="583">
        <f>IF(Inputs!M137&gt;0,Inputs!M137,M24*M38)</f>
        <v>15000</v>
      </c>
      <c r="O56" s="583">
        <f>IF(Inputs!N137&gt;0,Inputs!N137,N24*N38)</f>
        <v>15000</v>
      </c>
      <c r="P56" s="583">
        <f>IF(Inputs!O137&gt;0,Inputs!O137,O24*O38)</f>
        <v>15000</v>
      </c>
      <c r="Q56" s="583">
        <f>IF(Inputs!P137&gt;0,Inputs!P137,P24*P38)</f>
        <v>15000</v>
      </c>
      <c r="R56" s="585">
        <f>IF(Inputs!Q137&gt;0,Inputs!Q137,Q24*Q38)</f>
        <v>15000</v>
      </c>
      <c r="T56" s="255">
        <f t="shared" si="9"/>
        <v>0</v>
      </c>
      <c r="U56" s="237" t="str">
        <f t="shared" si="18"/>
        <v>OK</v>
      </c>
      <c r="V56" s="578">
        <f t="shared" si="19"/>
        <v>0</v>
      </c>
    </row>
    <row r="57" spans="3:22">
      <c r="C57" s="582" t="str">
        <f>Inputs!E85&amp;" Pipeline Revenue"</f>
        <v>NA Pipeline Revenue</v>
      </c>
      <c r="D57" s="85"/>
      <c r="E57" s="85"/>
      <c r="F57" s="85"/>
      <c r="G57" s="583"/>
      <c r="H57" s="583"/>
      <c r="I57" s="583"/>
      <c r="J57" s="583"/>
      <c r="K57" s="583"/>
      <c r="L57" s="584">
        <f>IF(ytg.approach=Inputs!$C$39,K57*ytg.actual,IF(ytg.approach=Inputs!$C$40,ytg.mgt*M57,M57-K57))</f>
        <v>15000</v>
      </c>
      <c r="M57" s="583">
        <f>IF(Inputs!L138&gt;0,Inputs!L138,L25*L39)</f>
        <v>15000</v>
      </c>
      <c r="N57" s="583">
        <f>IF(Inputs!M138&gt;0,Inputs!M138,M25*M39)</f>
        <v>15000</v>
      </c>
      <c r="O57" s="583">
        <f>IF(Inputs!N138&gt;0,Inputs!N138,N25*N39)</f>
        <v>15000</v>
      </c>
      <c r="P57" s="583">
        <f>IF(Inputs!O138&gt;0,Inputs!O138,O25*O39)</f>
        <v>15000</v>
      </c>
      <c r="Q57" s="583">
        <f>IF(Inputs!P138&gt;0,Inputs!P138,P25*P39)</f>
        <v>15000</v>
      </c>
      <c r="R57" s="585">
        <f>IF(Inputs!Q138&gt;0,Inputs!Q138,Q25*Q39)</f>
        <v>15000</v>
      </c>
      <c r="T57" s="255">
        <f t="shared" si="9"/>
        <v>0</v>
      </c>
      <c r="U57" s="237" t="str">
        <f t="shared" si="18"/>
        <v>OK</v>
      </c>
      <c r="V57" s="578">
        <f t="shared" si="19"/>
        <v>0</v>
      </c>
    </row>
    <row r="58" spans="3:22">
      <c r="C58" s="586" t="s">
        <v>1846</v>
      </c>
      <c r="D58" s="587"/>
      <c r="E58" s="587"/>
      <c r="F58" s="587"/>
      <c r="G58" s="587"/>
      <c r="H58" s="588"/>
      <c r="I58" s="588"/>
      <c r="J58" s="588"/>
      <c r="K58" s="588"/>
      <c r="L58" s="588">
        <f t="shared" ref="L58:R58" si="20">SUM(L54:L57)</f>
        <v>60000</v>
      </c>
      <c r="M58" s="588">
        <f t="shared" si="20"/>
        <v>60000</v>
      </c>
      <c r="N58" s="588">
        <f t="shared" si="20"/>
        <v>60000</v>
      </c>
      <c r="O58" s="588">
        <f t="shared" si="20"/>
        <v>60000</v>
      </c>
      <c r="P58" s="588">
        <f t="shared" si="20"/>
        <v>60000</v>
      </c>
      <c r="Q58" s="588">
        <f t="shared" si="20"/>
        <v>60000</v>
      </c>
      <c r="R58" s="589">
        <f t="shared" si="20"/>
        <v>60000</v>
      </c>
      <c r="T58" s="255">
        <f t="shared" si="9"/>
        <v>0</v>
      </c>
      <c r="U58" s="237" t="str">
        <f t="shared" si="18"/>
        <v>OK</v>
      </c>
      <c r="V58" s="578">
        <f t="shared" si="19"/>
        <v>0</v>
      </c>
    </row>
    <row r="59" spans="3:22">
      <c r="C59" s="590" t="s">
        <v>1833</v>
      </c>
      <c r="D59" s="591"/>
      <c r="E59" s="591"/>
      <c r="F59" s="591"/>
      <c r="G59" s="591"/>
      <c r="H59" s="592"/>
      <c r="I59" s="592"/>
      <c r="J59" s="593"/>
      <c r="K59" s="593"/>
      <c r="L59" s="1714"/>
      <c r="M59" s="593">
        <f t="shared" ref="M59:R59" si="21">M58/L58-1</f>
        <v>0</v>
      </c>
      <c r="N59" s="593">
        <f t="shared" si="21"/>
        <v>0</v>
      </c>
      <c r="O59" s="593">
        <f t="shared" si="21"/>
        <v>0</v>
      </c>
      <c r="P59" s="593">
        <f t="shared" si="21"/>
        <v>0</v>
      </c>
      <c r="Q59" s="593">
        <f t="shared" si="21"/>
        <v>0</v>
      </c>
      <c r="R59" s="594">
        <f t="shared" si="21"/>
        <v>0</v>
      </c>
      <c r="T59" s="255" t="str">
        <f t="shared" si="9"/>
        <v>-</v>
      </c>
      <c r="U59" s="237" t="str">
        <f t="shared" si="18"/>
        <v>OK</v>
      </c>
      <c r="V59" s="578">
        <f t="shared" si="19"/>
        <v>0</v>
      </c>
    </row>
    <row r="60" spans="3:22">
      <c r="C60" s="590"/>
      <c r="D60" s="591"/>
      <c r="E60" s="591"/>
      <c r="F60" s="591"/>
      <c r="G60" s="591"/>
      <c r="H60" s="592"/>
      <c r="I60" s="592"/>
      <c r="J60" s="593"/>
      <c r="K60" s="593"/>
      <c r="L60" s="593"/>
      <c r="M60" s="593"/>
      <c r="N60" s="593"/>
      <c r="O60" s="593"/>
      <c r="P60" s="593"/>
      <c r="Q60" s="593"/>
      <c r="R60" s="594"/>
      <c r="T60" s="255" t="str">
        <f t="shared" si="9"/>
        <v>-</v>
      </c>
      <c r="U60" s="237" t="str">
        <f t="shared" si="18"/>
        <v>OK</v>
      </c>
      <c r="V60" s="578">
        <f t="shared" si="19"/>
        <v>0</v>
      </c>
    </row>
    <row r="61" spans="3:22">
      <c r="C61" s="569" t="s">
        <v>1845</v>
      </c>
      <c r="D61" s="570"/>
      <c r="E61" s="570"/>
      <c r="F61" s="570"/>
      <c r="G61" s="570"/>
      <c r="H61" s="583"/>
      <c r="I61" s="583"/>
      <c r="J61" s="583"/>
      <c r="K61" s="583"/>
      <c r="L61" s="583"/>
      <c r="M61" s="583"/>
      <c r="N61" s="583"/>
      <c r="O61" s="583"/>
      <c r="P61" s="583"/>
      <c r="Q61" s="583"/>
      <c r="R61" s="585"/>
      <c r="T61" s="255" t="str">
        <f t="shared" si="9"/>
        <v>-</v>
      </c>
      <c r="U61" s="237" t="str">
        <f t="shared" si="18"/>
        <v>OK</v>
      </c>
      <c r="V61" s="578">
        <f t="shared" si="19"/>
        <v>0</v>
      </c>
    </row>
    <row r="62" spans="3:22">
      <c r="C62" s="582" t="str">
        <f>Inputs!E87&amp;" Potential Revenue"</f>
        <v>Product contracts by specifiers Potential Revenue</v>
      </c>
      <c r="D62" s="85"/>
      <c r="E62" s="85"/>
      <c r="F62" s="85"/>
      <c r="G62" s="1341">
        <f>Inputs!K92</f>
        <v>0.8</v>
      </c>
      <c r="H62" s="583"/>
      <c r="I62" s="583"/>
      <c r="J62" s="583"/>
      <c r="K62" s="583"/>
      <c r="L62" s="584">
        <f>IF(ytg.approach=Inputs!$C$39,K62*ytg.actual,IF(ytg.approach=Inputs!$C$40,ytg.mgt*M62,M62-K62))</f>
        <v>16000</v>
      </c>
      <c r="M62" s="583">
        <f>IF(Inputs!L141&gt;0,Inputs!L141,L40*L26)*$G62</f>
        <v>16000</v>
      </c>
      <c r="N62" s="583">
        <f>IF(Inputs!M141&gt;0,Inputs!M141,M40*M26)*$G62</f>
        <v>16000</v>
      </c>
      <c r="O62" s="583">
        <f>IF(Inputs!N141&gt;0,Inputs!N141,N40*N26)*$G62</f>
        <v>16000</v>
      </c>
      <c r="P62" s="583">
        <f>IF(Inputs!O141&gt;0,Inputs!O141,O40*O26)*$G62</f>
        <v>16000</v>
      </c>
      <c r="Q62" s="583">
        <f>IF(Inputs!P141&gt;0,Inputs!P141,P40*P26)*$G62</f>
        <v>16000</v>
      </c>
      <c r="R62" s="585">
        <f>IF(Inputs!Q141&gt;0,Inputs!Q141,Q40*Q26)*$G62</f>
        <v>16000</v>
      </c>
      <c r="T62" s="255">
        <f t="shared" si="9"/>
        <v>0</v>
      </c>
      <c r="U62" s="237" t="str">
        <f t="shared" si="18"/>
        <v>OK</v>
      </c>
      <c r="V62" s="578">
        <f t="shared" si="19"/>
        <v>0</v>
      </c>
    </row>
    <row r="63" spans="3:22">
      <c r="C63" s="582" t="str">
        <f>Inputs!E88&amp;" Potential Revenue"</f>
        <v>NA Potential Revenue</v>
      </c>
      <c r="D63" s="85"/>
      <c r="E63" s="85"/>
      <c r="F63" s="85"/>
      <c r="G63" s="1341">
        <f>Inputs!K93</f>
        <v>0</v>
      </c>
      <c r="H63" s="583"/>
      <c r="I63" s="583"/>
      <c r="J63" s="583"/>
      <c r="K63" s="583"/>
      <c r="L63" s="584">
        <f>IF(ytg.approach=Inputs!$C$39,K63*ytg.actual,IF(ytg.approach=Inputs!$C$40,ytg.mgt*M63,M63-K63))</f>
        <v>0</v>
      </c>
      <c r="M63" s="583">
        <f>IF(Inputs!L142&gt;0,Inputs!L142,L41*L27)*$G63</f>
        <v>0</v>
      </c>
      <c r="N63" s="583">
        <f>IF(Inputs!M142&gt;0,Inputs!M142,M41*M27)*$G63</f>
        <v>0</v>
      </c>
      <c r="O63" s="583">
        <f>IF(Inputs!N142&gt;0,Inputs!N142,N41*N27)*$G63</f>
        <v>0</v>
      </c>
      <c r="P63" s="583">
        <f>IF(Inputs!O142&gt;0,Inputs!O142,O41*O27)*$G63</f>
        <v>0</v>
      </c>
      <c r="Q63" s="583">
        <f>IF(Inputs!P142&gt;0,Inputs!P142,P41*P27)*$G63</f>
        <v>0</v>
      </c>
      <c r="R63" s="585">
        <f>IF(Inputs!Q142&gt;0,Inputs!Q142,Q41*Q27)*$G63</f>
        <v>0</v>
      </c>
      <c r="T63" s="255" t="str">
        <f t="shared" si="9"/>
        <v>-</v>
      </c>
      <c r="U63" s="237" t="str">
        <f t="shared" si="18"/>
        <v>OK</v>
      </c>
      <c r="V63" s="578">
        <f t="shared" si="19"/>
        <v>0</v>
      </c>
    </row>
    <row r="64" spans="3:22">
      <c r="C64" s="582" t="str">
        <f>Inputs!E89&amp;" Potential Revenue"</f>
        <v>NA Potential Revenue</v>
      </c>
      <c r="D64" s="85"/>
      <c r="E64" s="85"/>
      <c r="F64" s="85"/>
      <c r="G64" s="1341">
        <f>Inputs!K94</f>
        <v>0</v>
      </c>
      <c r="H64" s="583"/>
      <c r="I64" s="583"/>
      <c r="J64" s="583"/>
      <c r="K64" s="583"/>
      <c r="L64" s="584">
        <f>IF(ytg.approach=Inputs!$C$39,K64*ytg.actual,IF(ytg.approach=Inputs!$C$40,ytg.mgt*M64,M64-K64))</f>
        <v>0</v>
      </c>
      <c r="M64" s="583">
        <f>IF(Inputs!L143&gt;0,Inputs!L143,L42*L28)*$G64</f>
        <v>0</v>
      </c>
      <c r="N64" s="583">
        <f>IF(Inputs!M143&gt;0,Inputs!M143,M42*M28)*$G64</f>
        <v>0</v>
      </c>
      <c r="O64" s="583">
        <f>IF(Inputs!N143&gt;0,Inputs!N143,N42*N28)*$G64</f>
        <v>0</v>
      </c>
      <c r="P64" s="583">
        <f>IF(Inputs!O143&gt;0,Inputs!O143,O42*O28)*$G64</f>
        <v>0</v>
      </c>
      <c r="Q64" s="583">
        <f>IF(Inputs!P143&gt;0,Inputs!P143,P42*P28)*$G64</f>
        <v>0</v>
      </c>
      <c r="R64" s="585">
        <f>IF(Inputs!Q143&gt;0,Inputs!Q143,Q42*Q28)*$G64</f>
        <v>0</v>
      </c>
      <c r="T64" s="255" t="str">
        <f t="shared" si="9"/>
        <v>-</v>
      </c>
      <c r="U64" s="237" t="str">
        <f t="shared" si="18"/>
        <v>OK</v>
      </c>
      <c r="V64" s="578">
        <f t="shared" si="19"/>
        <v>0</v>
      </c>
    </row>
    <row r="65" spans="2:22">
      <c r="C65" s="582" t="str">
        <f>Inputs!E90&amp;" Potential Revenue"</f>
        <v>NA Potential Revenue</v>
      </c>
      <c r="D65" s="85"/>
      <c r="E65" s="85"/>
      <c r="F65" s="85"/>
      <c r="G65" s="1341">
        <f>Inputs!K95</f>
        <v>0</v>
      </c>
      <c r="H65" s="583"/>
      <c r="I65" s="583"/>
      <c r="J65" s="583"/>
      <c r="K65" s="583"/>
      <c r="L65" s="584">
        <f>IF(ytg.approach=Inputs!$C$39,K65*ytg.actual,IF(ytg.approach=Inputs!$C$40,ytg.mgt*M65,M65-K65))</f>
        <v>0</v>
      </c>
      <c r="M65" s="583">
        <f>IF(Inputs!L144&gt;0,Inputs!L144,L43*L29)*$G65</f>
        <v>0</v>
      </c>
      <c r="N65" s="583">
        <f>IF(Inputs!M144&gt;0,Inputs!M144,M43*M29)*$G65</f>
        <v>0</v>
      </c>
      <c r="O65" s="583">
        <f>IF(Inputs!N144&gt;0,Inputs!N144,N43*N29)*$G65</f>
        <v>0</v>
      </c>
      <c r="P65" s="583">
        <f>IF(Inputs!O144&gt;0,Inputs!O144,O43*O29)*$G65</f>
        <v>0</v>
      </c>
      <c r="Q65" s="583">
        <f>IF(Inputs!P144&gt;0,Inputs!P144,P43*P29)*$G65</f>
        <v>0</v>
      </c>
      <c r="R65" s="585">
        <f>IF(Inputs!Q144&gt;0,Inputs!Q144,Q43*Q29)*$G65</f>
        <v>0</v>
      </c>
      <c r="T65" s="255" t="str">
        <f t="shared" si="9"/>
        <v>-</v>
      </c>
      <c r="U65" s="237" t="str">
        <f t="shared" si="18"/>
        <v>OK</v>
      </c>
      <c r="V65" s="578">
        <f t="shared" si="19"/>
        <v>0</v>
      </c>
    </row>
    <row r="66" spans="2:22">
      <c r="C66" s="586" t="s">
        <v>1847</v>
      </c>
      <c r="D66" s="587"/>
      <c r="E66" s="587"/>
      <c r="F66" s="587"/>
      <c r="G66" s="587"/>
      <c r="H66" s="588"/>
      <c r="I66" s="588"/>
      <c r="J66" s="588"/>
      <c r="K66" s="588"/>
      <c r="L66" s="588">
        <f t="shared" ref="L66:R66" si="22">SUM(L62:L65)</f>
        <v>16000</v>
      </c>
      <c r="M66" s="588">
        <f t="shared" si="22"/>
        <v>16000</v>
      </c>
      <c r="N66" s="588">
        <f t="shared" si="22"/>
        <v>16000</v>
      </c>
      <c r="O66" s="588">
        <f t="shared" si="22"/>
        <v>16000</v>
      </c>
      <c r="P66" s="588">
        <f t="shared" si="22"/>
        <v>16000</v>
      </c>
      <c r="Q66" s="588">
        <f t="shared" si="22"/>
        <v>16000</v>
      </c>
      <c r="R66" s="589">
        <f t="shared" si="22"/>
        <v>16000</v>
      </c>
      <c r="T66" s="255">
        <f t="shared" si="9"/>
        <v>0</v>
      </c>
      <c r="U66" s="237" t="str">
        <f t="shared" si="18"/>
        <v>OK</v>
      </c>
      <c r="V66" s="578">
        <f t="shared" si="19"/>
        <v>0</v>
      </c>
    </row>
    <row r="67" spans="2:22">
      <c r="C67" s="590" t="s">
        <v>1833</v>
      </c>
      <c r="D67" s="591"/>
      <c r="E67" s="591"/>
      <c r="F67" s="591"/>
      <c r="G67" s="591"/>
      <c r="H67" s="592"/>
      <c r="I67" s="592"/>
      <c r="J67" s="593"/>
      <c r="K67" s="593"/>
      <c r="L67" s="1714"/>
      <c r="M67" s="593">
        <f t="shared" ref="M67:R67" si="23">M66/L66-1</f>
        <v>0</v>
      </c>
      <c r="N67" s="593">
        <f t="shared" si="23"/>
        <v>0</v>
      </c>
      <c r="O67" s="593">
        <f t="shared" si="23"/>
        <v>0</v>
      </c>
      <c r="P67" s="593">
        <f t="shared" si="23"/>
        <v>0</v>
      </c>
      <c r="Q67" s="593">
        <f t="shared" si="23"/>
        <v>0</v>
      </c>
      <c r="R67" s="594">
        <f t="shared" si="23"/>
        <v>0</v>
      </c>
      <c r="T67" s="255" t="str">
        <f t="shared" si="9"/>
        <v>-</v>
      </c>
      <c r="U67" s="237" t="str">
        <f t="shared" si="18"/>
        <v>OK</v>
      </c>
      <c r="V67" s="578">
        <f t="shared" si="19"/>
        <v>0</v>
      </c>
    </row>
    <row r="68" spans="2:22">
      <c r="C68" s="590"/>
      <c r="D68" s="591"/>
      <c r="E68" s="591"/>
      <c r="F68" s="591"/>
      <c r="G68" s="591"/>
      <c r="H68" s="592"/>
      <c r="I68" s="592"/>
      <c r="J68" s="593"/>
      <c r="K68" s="593"/>
      <c r="L68" s="593"/>
      <c r="M68" s="593"/>
      <c r="N68" s="593"/>
      <c r="O68" s="593"/>
      <c r="P68" s="593"/>
      <c r="Q68" s="593"/>
      <c r="R68" s="594"/>
      <c r="T68" s="255" t="str">
        <f t="shared" si="9"/>
        <v>-</v>
      </c>
      <c r="U68" s="237" t="str">
        <f t="shared" si="18"/>
        <v>OK</v>
      </c>
      <c r="V68" s="578">
        <f t="shared" si="19"/>
        <v>0</v>
      </c>
    </row>
    <row r="69" spans="2:22">
      <c r="C69" s="595" t="s">
        <v>1841</v>
      </c>
      <c r="D69" s="596"/>
      <c r="E69" s="596"/>
      <c r="F69" s="596"/>
      <c r="G69" s="596"/>
      <c r="H69" s="597">
        <f>SUM(H66,H58,H50)</f>
        <v>0</v>
      </c>
      <c r="I69" s="597">
        <f>SUM(I66,I58,I50)</f>
        <v>0</v>
      </c>
      <c r="J69" s="597">
        <f t="shared" ref="J69:R69" si="24">SUM(J66,J58,J50)</f>
        <v>0</v>
      </c>
      <c r="K69" s="597">
        <f>SUM(K66,K58,K50)</f>
        <v>0</v>
      </c>
      <c r="L69" s="597">
        <f>SUM(L66,L58,L50)</f>
        <v>168000</v>
      </c>
      <c r="M69" s="597">
        <f t="shared" si="24"/>
        <v>168000</v>
      </c>
      <c r="N69" s="597">
        <f t="shared" si="24"/>
        <v>168000</v>
      </c>
      <c r="O69" s="597">
        <f t="shared" si="24"/>
        <v>168000</v>
      </c>
      <c r="P69" s="597">
        <f t="shared" si="24"/>
        <v>168000</v>
      </c>
      <c r="Q69" s="597">
        <f t="shared" si="24"/>
        <v>168000</v>
      </c>
      <c r="R69" s="598">
        <f t="shared" si="24"/>
        <v>168000</v>
      </c>
      <c r="T69" s="255">
        <f t="shared" si="9"/>
        <v>0</v>
      </c>
      <c r="U69" s="237" t="str">
        <f t="shared" si="18"/>
        <v>OK</v>
      </c>
      <c r="V69" s="578">
        <f t="shared" si="19"/>
        <v>0</v>
      </c>
    </row>
    <row r="70" spans="2:22">
      <c r="C70" s="117"/>
      <c r="D70" s="109"/>
      <c r="E70" s="109"/>
      <c r="F70" s="109"/>
      <c r="G70" s="109"/>
      <c r="H70" s="109"/>
      <c r="I70" s="109"/>
      <c r="J70" s="599"/>
      <c r="K70" s="599"/>
      <c r="L70" s="599"/>
      <c r="M70" s="109"/>
      <c r="N70" s="109"/>
      <c r="O70" s="109"/>
      <c r="P70" s="109"/>
      <c r="Q70" s="109"/>
      <c r="R70" s="600"/>
      <c r="T70" s="255" t="str">
        <f t="shared" si="9"/>
        <v>-</v>
      </c>
      <c r="U70" s="237" t="str">
        <f t="shared" si="18"/>
        <v>OK</v>
      </c>
      <c r="V70" s="578">
        <f t="shared" si="19"/>
        <v>0</v>
      </c>
    </row>
    <row r="71" spans="2:22">
      <c r="C71" s="601" t="s">
        <v>1819</v>
      </c>
      <c r="D71" s="109"/>
      <c r="E71" s="109"/>
      <c r="F71" s="109"/>
      <c r="G71" s="109"/>
      <c r="H71" s="109"/>
      <c r="I71" s="109"/>
      <c r="J71" s="599"/>
      <c r="K71" s="599"/>
      <c r="L71" s="599"/>
      <c r="M71" s="109"/>
      <c r="N71" s="109"/>
      <c r="O71" s="109"/>
      <c r="P71" s="109"/>
      <c r="Q71" s="109"/>
      <c r="R71" s="600"/>
      <c r="T71" s="255" t="str">
        <f t="shared" si="9"/>
        <v>-</v>
      </c>
      <c r="U71" s="237" t="str">
        <f t="shared" si="18"/>
        <v>OK</v>
      </c>
      <c r="V71" s="578">
        <f t="shared" si="19"/>
        <v>0</v>
      </c>
    </row>
    <row r="72" spans="2:22">
      <c r="C72" s="582" t="s">
        <v>1834</v>
      </c>
      <c r="D72" s="109"/>
      <c r="E72" s="109"/>
      <c r="F72" s="109"/>
      <c r="G72" s="109"/>
      <c r="H72" s="109"/>
      <c r="I72" s="109"/>
      <c r="J72" s="599"/>
      <c r="K72" s="123"/>
      <c r="L72" s="123">
        <f t="shared" ref="L72:M72" si="25">L50/L$69</f>
        <v>0.54761904761904767</v>
      </c>
      <c r="M72" s="123">
        <f t="shared" si="25"/>
        <v>0.54761904761904767</v>
      </c>
      <c r="N72" s="123">
        <f>N50/N$69</f>
        <v>0.54761904761904767</v>
      </c>
      <c r="O72" s="123">
        <v>0.4073743890220789</v>
      </c>
      <c r="P72" s="123">
        <v>0.24234183206450213</v>
      </c>
      <c r="Q72" s="123">
        <v>0.18109190474293105</v>
      </c>
      <c r="R72" s="602">
        <v>0.13322912034697612</v>
      </c>
      <c r="T72" s="255">
        <f t="shared" si="9"/>
        <v>-0.2462555576026545</v>
      </c>
      <c r="U72" s="237" t="str">
        <f t="shared" si="18"/>
        <v>OK</v>
      </c>
      <c r="V72" s="578">
        <f t="shared" si="19"/>
        <v>0</v>
      </c>
    </row>
    <row r="73" spans="2:22">
      <c r="C73" s="582" t="s">
        <v>1842</v>
      </c>
      <c r="D73" s="109"/>
      <c r="E73" s="109"/>
      <c r="F73" s="109"/>
      <c r="G73" s="109"/>
      <c r="H73" s="109"/>
      <c r="I73" s="109"/>
      <c r="J73" s="599"/>
      <c r="K73" s="123"/>
      <c r="L73" s="123">
        <f t="shared" ref="L73:M73" si="26">L58/L69</f>
        <v>0.35714285714285715</v>
      </c>
      <c r="M73" s="123">
        <f t="shared" si="26"/>
        <v>0.35714285714285715</v>
      </c>
      <c r="N73" s="123">
        <f>N58/N69</f>
        <v>0.35714285714285715</v>
      </c>
      <c r="O73" s="123">
        <f>O58/O69</f>
        <v>0.35714285714285715</v>
      </c>
      <c r="P73" s="123">
        <f>P58/P69</f>
        <v>0.35714285714285715</v>
      </c>
      <c r="Q73" s="123">
        <f>Q58/Q69</f>
        <v>0.35714285714285715</v>
      </c>
      <c r="R73" s="602">
        <f>R58/R69</f>
        <v>0.35714285714285715</v>
      </c>
      <c r="T73" s="255">
        <f t="shared" si="9"/>
        <v>0</v>
      </c>
      <c r="U73" s="237" t="str">
        <f t="shared" si="18"/>
        <v>OK</v>
      </c>
      <c r="V73" s="578">
        <f t="shared" si="19"/>
        <v>0</v>
      </c>
    </row>
    <row r="74" spans="2:22">
      <c r="C74" s="603" t="s">
        <v>1843</v>
      </c>
      <c r="D74" s="126"/>
      <c r="E74" s="126"/>
      <c r="F74" s="126"/>
      <c r="G74" s="126"/>
      <c r="H74" s="126"/>
      <c r="I74" s="126"/>
      <c r="J74" s="604"/>
      <c r="K74" s="605"/>
      <c r="L74" s="605">
        <f t="shared" ref="L74:M74" si="27">L66/L69</f>
        <v>9.5238095238095233E-2</v>
      </c>
      <c r="M74" s="605">
        <f t="shared" si="27"/>
        <v>9.5238095238095233E-2</v>
      </c>
      <c r="N74" s="605">
        <f>N66/N69</f>
        <v>9.5238095238095233E-2</v>
      </c>
      <c r="O74" s="605">
        <f>O66/O69</f>
        <v>9.5238095238095233E-2</v>
      </c>
      <c r="P74" s="605">
        <f>P66/P69</f>
        <v>9.5238095238095233E-2</v>
      </c>
      <c r="Q74" s="605">
        <f>Q66/Q69</f>
        <v>9.5238095238095233E-2</v>
      </c>
      <c r="R74" s="606">
        <f>R66/R69</f>
        <v>9.5238095238095233E-2</v>
      </c>
      <c r="T74" s="255">
        <f t="shared" si="9"/>
        <v>0</v>
      </c>
      <c r="U74" s="237" t="str">
        <f t="shared" si="18"/>
        <v>OK</v>
      </c>
      <c r="V74" s="578">
        <f t="shared" si="19"/>
        <v>0</v>
      </c>
    </row>
    <row r="75" spans="2:22">
      <c r="C75" s="1409" t="s">
        <v>2771</v>
      </c>
      <c r="D75" s="1410"/>
      <c r="E75" s="1410"/>
      <c r="F75" s="1410" t="str" cm="1">
        <f t="array" ref="F75">INDEX(L75:R75,MODE(MATCH(L75:R75,L75:R75,0)))</f>
        <v>Existing Revenue Streams</v>
      </c>
      <c r="G75" s="1410"/>
      <c r="H75" s="1410"/>
      <c r="I75" s="1410"/>
      <c r="J75" s="1411"/>
      <c r="K75" s="1412"/>
      <c r="L75" s="1412" t="str">
        <f>_xlfn.XLOOKUP(MAX(L$72:L$74),L$72:L$74,$C$72:$C$74)</f>
        <v>Existing Revenue Streams</v>
      </c>
      <c r="M75" s="1412" t="str">
        <f t="shared" ref="M75" si="28">_xlfn.XLOOKUP(MAX(M$72:M$74),M$72:M$74,$C$72:$C$74)</f>
        <v>Existing Revenue Streams</v>
      </c>
      <c r="N75" s="1412" t="str">
        <f>_xlfn.XLOOKUP(MAX(N$72:N$74),N$72:N$74,$C$72:$C$74)</f>
        <v>Existing Revenue Streams</v>
      </c>
      <c r="O75" s="1412" t="str">
        <f t="shared" ref="O75:R75" si="29">_xlfn.XLOOKUP(MAX(O$72:O$74),O$72:O$74,$C$72:$C$74)</f>
        <v>Existing Revenue Streams</v>
      </c>
      <c r="P75" s="1412" t="str">
        <f t="shared" si="29"/>
        <v>Pipeline Revenue Streams - Confirmed</v>
      </c>
      <c r="Q75" s="1412" t="str">
        <f t="shared" si="29"/>
        <v>Pipeline Revenue Streams - Confirmed</v>
      </c>
      <c r="R75" s="1413" t="str">
        <f t="shared" si="29"/>
        <v>Pipeline Revenue Streams - Confirmed</v>
      </c>
      <c r="T75" s="255" t="str">
        <f t="shared" si="9"/>
        <v>-</v>
      </c>
      <c r="U75" s="237" t="str">
        <f t="shared" si="18"/>
        <v/>
      </c>
      <c r="V75" s="578">
        <f t="shared" si="19"/>
        <v>0</v>
      </c>
    </row>
    <row r="76" spans="2:22">
      <c r="C76" s="109"/>
      <c r="D76" s="109"/>
      <c r="E76" s="109"/>
      <c r="F76" s="109"/>
      <c r="G76" s="109"/>
      <c r="H76" s="109"/>
      <c r="I76" s="109"/>
      <c r="J76" s="599"/>
      <c r="K76" s="599"/>
      <c r="L76" s="599"/>
      <c r="M76" s="109"/>
      <c r="N76" s="109"/>
      <c r="O76" s="109"/>
      <c r="P76" s="109"/>
      <c r="Q76" s="109"/>
      <c r="R76" s="109"/>
      <c r="T76" s="255" t="str">
        <f t="shared" si="9"/>
        <v>-</v>
      </c>
      <c r="U76" s="237" t="str">
        <f t="shared" si="18"/>
        <v>OK</v>
      </c>
      <c r="V76" s="578">
        <f t="shared" si="19"/>
        <v>0</v>
      </c>
    </row>
    <row r="77" spans="2:22">
      <c r="C77" s="1414" t="s">
        <v>2772</v>
      </c>
      <c r="D77" s="109"/>
      <c r="E77" s="109"/>
      <c r="F77" s="109"/>
      <c r="G77" s="109"/>
      <c r="H77" s="109"/>
      <c r="I77" s="109"/>
      <c r="J77" s="599"/>
      <c r="K77" s="599"/>
      <c r="L77" s="599"/>
      <c r="M77" s="109"/>
      <c r="N77" s="109"/>
      <c r="O77" s="109"/>
      <c r="P77" s="109"/>
      <c r="Q77" s="109"/>
      <c r="R77" s="109"/>
      <c r="T77" s="255"/>
      <c r="U77" s="237"/>
      <c r="V77" s="578"/>
    </row>
    <row r="78" spans="2:22">
      <c r="B78" s="63">
        <v>1</v>
      </c>
      <c r="C78" s="109" t="str">
        <f>D18</f>
        <v>Existing: Residential lighting</v>
      </c>
      <c r="D78" s="109"/>
      <c r="E78" s="109"/>
      <c r="F78" s="109"/>
      <c r="G78" s="109"/>
      <c r="H78" s="109"/>
      <c r="I78" s="109"/>
      <c r="J78" s="599"/>
      <c r="K78" s="599"/>
      <c r="L78" s="641">
        <v>0.2</v>
      </c>
      <c r="M78" s="641">
        <f t="shared" ref="M78:R78" si="30">M46/M$69</f>
        <v>0.11904761904761904</v>
      </c>
      <c r="N78" s="641">
        <f t="shared" si="30"/>
        <v>0.11904761904761904</v>
      </c>
      <c r="O78" s="641">
        <f t="shared" si="30"/>
        <v>0.11904761904761904</v>
      </c>
      <c r="P78" s="641">
        <f t="shared" si="30"/>
        <v>0.11904761904761904</v>
      </c>
      <c r="Q78" s="641">
        <f t="shared" si="30"/>
        <v>0.11904761904761904</v>
      </c>
      <c r="R78" s="641">
        <f t="shared" si="30"/>
        <v>0.11904761904761904</v>
      </c>
      <c r="T78" s="255"/>
      <c r="U78" s="237"/>
      <c r="V78" s="578"/>
    </row>
    <row r="79" spans="2:22">
      <c r="B79" s="63">
        <v>2</v>
      </c>
      <c r="C79" s="109" t="str">
        <f t="shared" ref="C79:C89" si="31">D19</f>
        <v>Existing: Hotels &amp; Hospitals</v>
      </c>
      <c r="D79" s="109"/>
      <c r="E79" s="109"/>
      <c r="F79" s="109"/>
      <c r="G79" s="109"/>
      <c r="H79" s="109"/>
      <c r="I79" s="109"/>
      <c r="J79" s="599"/>
      <c r="K79" s="599"/>
      <c r="L79" s="641">
        <v>0.2</v>
      </c>
      <c r="M79" s="641">
        <f t="shared" ref="M79:R79" si="32">M47/M$69</f>
        <v>0.29761904761904762</v>
      </c>
      <c r="N79" s="641">
        <f t="shared" si="32"/>
        <v>0.29761904761904762</v>
      </c>
      <c r="O79" s="641">
        <f t="shared" si="32"/>
        <v>0.29761904761904762</v>
      </c>
      <c r="P79" s="641">
        <f t="shared" si="32"/>
        <v>0.29761904761904762</v>
      </c>
      <c r="Q79" s="641">
        <f t="shared" si="32"/>
        <v>0.29761904761904762</v>
      </c>
      <c r="R79" s="641">
        <f t="shared" si="32"/>
        <v>0.29761904761904762</v>
      </c>
      <c r="T79" s="255"/>
      <c r="U79" s="237"/>
      <c r="V79" s="578"/>
    </row>
    <row r="80" spans="2:22">
      <c r="B80" s="63">
        <v>3</v>
      </c>
      <c r="C80" s="109" t="str">
        <f t="shared" si="31"/>
        <v>Existing: Government &amp; Infrastructure</v>
      </c>
      <c r="D80" s="109"/>
      <c r="E80" s="109"/>
      <c r="F80" s="109"/>
      <c r="G80" s="109"/>
      <c r="H80" s="109"/>
      <c r="I80" s="109"/>
      <c r="J80" s="599"/>
      <c r="K80" s="599"/>
      <c r="L80" s="641">
        <f>L48/L$69</f>
        <v>5.9523809523809521E-2</v>
      </c>
      <c r="M80" s="641">
        <f t="shared" ref="M80:R80" si="33">M48/M$69</f>
        <v>5.9523809523809521E-2</v>
      </c>
      <c r="N80" s="641">
        <f t="shared" si="33"/>
        <v>5.9523809523809521E-2</v>
      </c>
      <c r="O80" s="641">
        <f t="shared" si="33"/>
        <v>5.9523809523809521E-2</v>
      </c>
      <c r="P80" s="641">
        <f t="shared" si="33"/>
        <v>5.9523809523809521E-2</v>
      </c>
      <c r="Q80" s="641">
        <f t="shared" si="33"/>
        <v>5.9523809523809521E-2</v>
      </c>
      <c r="R80" s="641">
        <f t="shared" si="33"/>
        <v>5.9523809523809521E-2</v>
      </c>
      <c r="T80" s="255"/>
      <c r="U80" s="237"/>
      <c r="V80" s="578"/>
    </row>
    <row r="81" spans="2:22">
      <c r="B81" s="63">
        <v>4</v>
      </c>
      <c r="C81" s="109" t="str">
        <f t="shared" si="31"/>
        <v>Existing: Distributorship</v>
      </c>
      <c r="D81" s="109"/>
      <c r="E81" s="109"/>
      <c r="F81" s="109"/>
      <c r="G81" s="109"/>
      <c r="H81" s="109"/>
      <c r="I81" s="109"/>
      <c r="J81" s="599"/>
      <c r="K81" s="599"/>
      <c r="L81" s="641">
        <f>L49/L$69</f>
        <v>7.1428571428571425E-2</v>
      </c>
      <c r="M81" s="641">
        <f t="shared" ref="M81:R81" si="34">M49/M$69</f>
        <v>7.1428571428571425E-2</v>
      </c>
      <c r="N81" s="641">
        <f t="shared" si="34"/>
        <v>7.1428571428571425E-2</v>
      </c>
      <c r="O81" s="641">
        <f t="shared" si="34"/>
        <v>7.1428571428571425E-2</v>
      </c>
      <c r="P81" s="641">
        <f t="shared" si="34"/>
        <v>7.1428571428571425E-2</v>
      </c>
      <c r="Q81" s="641">
        <f t="shared" si="34"/>
        <v>7.1428571428571425E-2</v>
      </c>
      <c r="R81" s="641">
        <f t="shared" si="34"/>
        <v>7.1428571428571425E-2</v>
      </c>
      <c r="T81" s="255"/>
      <c r="U81" s="237"/>
      <c r="V81" s="578"/>
    </row>
    <row r="82" spans="2:22">
      <c r="B82" s="63">
        <v>5</v>
      </c>
      <c r="C82" s="109" t="str">
        <f t="shared" si="31"/>
        <v>Pipeline: UAE &amp; Oman projects</v>
      </c>
      <c r="D82" s="109"/>
      <c r="E82" s="109"/>
      <c r="F82" s="109"/>
      <c r="G82" s="109"/>
      <c r="H82" s="109"/>
      <c r="I82" s="109"/>
      <c r="J82" s="599"/>
      <c r="K82" s="599"/>
      <c r="L82" s="641">
        <f>L54/L$69</f>
        <v>8.9285714285714288E-2</v>
      </c>
      <c r="M82" s="641">
        <f t="shared" ref="M82:R82" si="35">M54/M$69</f>
        <v>8.9285714285714288E-2</v>
      </c>
      <c r="N82" s="641">
        <f t="shared" si="35"/>
        <v>8.9285714285714288E-2</v>
      </c>
      <c r="O82" s="641">
        <f t="shared" si="35"/>
        <v>8.9285714285714288E-2</v>
      </c>
      <c r="P82" s="641">
        <f t="shared" si="35"/>
        <v>8.9285714285714288E-2</v>
      </c>
      <c r="Q82" s="641">
        <f t="shared" si="35"/>
        <v>8.9285714285714288E-2</v>
      </c>
      <c r="R82" s="641">
        <f t="shared" si="35"/>
        <v>8.9285714285714288E-2</v>
      </c>
      <c r="T82" s="255"/>
      <c r="U82" s="237"/>
      <c r="V82" s="578"/>
    </row>
    <row r="83" spans="2:22">
      <c r="B83" s="63">
        <v>6</v>
      </c>
      <c r="C83" s="109" t="str">
        <f t="shared" si="31"/>
        <v>Pipeline: NA</v>
      </c>
      <c r="D83" s="109"/>
      <c r="E83" s="109"/>
      <c r="F83" s="109"/>
      <c r="G83" s="109"/>
      <c r="H83" s="109"/>
      <c r="I83" s="109"/>
      <c r="J83" s="599"/>
      <c r="K83" s="599"/>
      <c r="L83" s="641">
        <f t="shared" ref="L83:R84" si="36">L55/L$69</f>
        <v>8.9285714285714288E-2</v>
      </c>
      <c r="M83" s="641">
        <f t="shared" si="36"/>
        <v>8.9285714285714288E-2</v>
      </c>
      <c r="N83" s="641">
        <f t="shared" si="36"/>
        <v>8.9285714285714288E-2</v>
      </c>
      <c r="O83" s="641">
        <f t="shared" si="36"/>
        <v>8.9285714285714288E-2</v>
      </c>
      <c r="P83" s="641">
        <f t="shared" si="36"/>
        <v>8.9285714285714288E-2</v>
      </c>
      <c r="Q83" s="641">
        <f t="shared" si="36"/>
        <v>8.9285714285714288E-2</v>
      </c>
      <c r="R83" s="641">
        <f t="shared" si="36"/>
        <v>8.9285714285714288E-2</v>
      </c>
      <c r="T83" s="255"/>
      <c r="U83" s="237"/>
      <c r="V83" s="578"/>
    </row>
    <row r="84" spans="2:22">
      <c r="B84" s="63">
        <v>7</v>
      </c>
      <c r="C84" s="109" t="str">
        <f t="shared" si="31"/>
        <v>Pipeline: NA</v>
      </c>
      <c r="D84" s="109"/>
      <c r="E84" s="109"/>
      <c r="F84" s="109"/>
      <c r="G84" s="109"/>
      <c r="H84" s="109"/>
      <c r="I84" s="109"/>
      <c r="J84" s="599"/>
      <c r="K84" s="599"/>
      <c r="L84" s="641">
        <f t="shared" si="36"/>
        <v>8.9285714285714288E-2</v>
      </c>
      <c r="M84" s="641">
        <f t="shared" si="36"/>
        <v>8.9285714285714288E-2</v>
      </c>
      <c r="N84" s="641">
        <f t="shared" si="36"/>
        <v>8.9285714285714288E-2</v>
      </c>
      <c r="O84" s="641">
        <f t="shared" si="36"/>
        <v>8.9285714285714288E-2</v>
      </c>
      <c r="P84" s="641">
        <f t="shared" si="36"/>
        <v>8.9285714285714288E-2</v>
      </c>
      <c r="Q84" s="641">
        <f t="shared" si="36"/>
        <v>8.9285714285714288E-2</v>
      </c>
      <c r="R84" s="641">
        <f t="shared" si="36"/>
        <v>8.9285714285714288E-2</v>
      </c>
      <c r="T84" s="255"/>
      <c r="U84" s="237"/>
      <c r="V84" s="578"/>
    </row>
    <row r="85" spans="2:22">
      <c r="B85" s="63">
        <v>8</v>
      </c>
      <c r="C85" s="109" t="str">
        <f t="shared" si="31"/>
        <v>Pipeline: NA</v>
      </c>
      <c r="D85" s="109"/>
      <c r="E85" s="109"/>
      <c r="F85" s="109"/>
      <c r="G85" s="109"/>
      <c r="H85" s="109"/>
      <c r="I85" s="109"/>
      <c r="J85" s="599"/>
      <c r="K85" s="599"/>
      <c r="L85" s="641">
        <f>L57/L$69</f>
        <v>8.9285714285714288E-2</v>
      </c>
      <c r="M85" s="641">
        <f t="shared" ref="M85:R85" si="37">M57/M$69</f>
        <v>8.9285714285714288E-2</v>
      </c>
      <c r="N85" s="641">
        <f t="shared" si="37"/>
        <v>8.9285714285714288E-2</v>
      </c>
      <c r="O85" s="641">
        <f t="shared" si="37"/>
        <v>8.9285714285714288E-2</v>
      </c>
      <c r="P85" s="641">
        <f t="shared" si="37"/>
        <v>8.9285714285714288E-2</v>
      </c>
      <c r="Q85" s="641">
        <f t="shared" si="37"/>
        <v>8.9285714285714288E-2</v>
      </c>
      <c r="R85" s="641">
        <f t="shared" si="37"/>
        <v>8.9285714285714288E-2</v>
      </c>
      <c r="T85" s="255"/>
      <c r="U85" s="237"/>
      <c r="V85" s="578"/>
    </row>
    <row r="86" spans="2:22">
      <c r="B86" s="63">
        <v>9</v>
      </c>
      <c r="C86" s="109" t="str">
        <f t="shared" si="31"/>
        <v>Potential: Product contracts by specifiers</v>
      </c>
      <c r="D86" s="109"/>
      <c r="E86" s="109"/>
      <c r="F86" s="109"/>
      <c r="G86" s="109"/>
      <c r="H86" s="109"/>
      <c r="I86" s="109"/>
      <c r="J86" s="599"/>
      <c r="K86" s="599"/>
      <c r="L86" s="641">
        <f>L62/L$69</f>
        <v>9.5238095238095233E-2</v>
      </c>
      <c r="M86" s="641">
        <f t="shared" ref="M86:R86" si="38">M62/M$69</f>
        <v>9.5238095238095233E-2</v>
      </c>
      <c r="N86" s="641">
        <f t="shared" si="38"/>
        <v>9.5238095238095233E-2</v>
      </c>
      <c r="O86" s="641">
        <f t="shared" si="38"/>
        <v>9.5238095238095233E-2</v>
      </c>
      <c r="P86" s="641">
        <f t="shared" si="38"/>
        <v>9.5238095238095233E-2</v>
      </c>
      <c r="Q86" s="641">
        <f t="shared" si="38"/>
        <v>9.5238095238095233E-2</v>
      </c>
      <c r="R86" s="641">
        <f t="shared" si="38"/>
        <v>9.5238095238095233E-2</v>
      </c>
      <c r="T86" s="255"/>
      <c r="U86" s="237"/>
      <c r="V86" s="578"/>
    </row>
    <row r="87" spans="2:22">
      <c r="B87" s="63">
        <v>10</v>
      </c>
      <c r="C87" s="109" t="str">
        <f t="shared" si="31"/>
        <v>Potential: NA</v>
      </c>
      <c r="D87" s="109"/>
      <c r="E87" s="109"/>
      <c r="F87" s="109"/>
      <c r="G87" s="109"/>
      <c r="H87" s="109"/>
      <c r="I87" s="109"/>
      <c r="J87" s="599"/>
      <c r="K87" s="599"/>
      <c r="L87" s="641">
        <f t="shared" ref="L87:R89" si="39">L63/L$69</f>
        <v>0</v>
      </c>
      <c r="M87" s="641">
        <f t="shared" si="39"/>
        <v>0</v>
      </c>
      <c r="N87" s="641">
        <f t="shared" si="39"/>
        <v>0</v>
      </c>
      <c r="O87" s="641">
        <f t="shared" si="39"/>
        <v>0</v>
      </c>
      <c r="P87" s="641">
        <f t="shared" si="39"/>
        <v>0</v>
      </c>
      <c r="Q87" s="641">
        <f t="shared" si="39"/>
        <v>0</v>
      </c>
      <c r="R87" s="641">
        <f t="shared" si="39"/>
        <v>0</v>
      </c>
      <c r="T87" s="255"/>
      <c r="U87" s="237"/>
      <c r="V87" s="578"/>
    </row>
    <row r="88" spans="2:22">
      <c r="B88" s="63">
        <v>11</v>
      </c>
      <c r="C88" s="109" t="str">
        <f t="shared" si="31"/>
        <v>Potential: NA</v>
      </c>
      <c r="D88" s="109"/>
      <c r="E88" s="109"/>
      <c r="F88" s="109"/>
      <c r="G88" s="109"/>
      <c r="H88" s="109"/>
      <c r="I88" s="109"/>
      <c r="J88" s="599"/>
      <c r="K88" s="599"/>
      <c r="L88" s="641">
        <f t="shared" si="39"/>
        <v>0</v>
      </c>
      <c r="M88" s="641">
        <f t="shared" si="39"/>
        <v>0</v>
      </c>
      <c r="N88" s="641">
        <f t="shared" si="39"/>
        <v>0</v>
      </c>
      <c r="O88" s="641">
        <f t="shared" si="39"/>
        <v>0</v>
      </c>
      <c r="P88" s="641">
        <f t="shared" si="39"/>
        <v>0</v>
      </c>
      <c r="Q88" s="641">
        <f t="shared" si="39"/>
        <v>0</v>
      </c>
      <c r="R88" s="641">
        <f t="shared" si="39"/>
        <v>0</v>
      </c>
      <c r="T88" s="255"/>
      <c r="U88" s="237"/>
      <c r="V88" s="578"/>
    </row>
    <row r="89" spans="2:22">
      <c r="B89" s="63">
        <v>12</v>
      </c>
      <c r="C89" s="109" t="str">
        <f t="shared" si="31"/>
        <v>Potential: NA</v>
      </c>
      <c r="D89" s="109"/>
      <c r="E89" s="109"/>
      <c r="F89" s="109"/>
      <c r="G89" s="109"/>
      <c r="H89" s="109"/>
      <c r="I89" s="109"/>
      <c r="J89" s="599"/>
      <c r="K89" s="599"/>
      <c r="L89" s="641">
        <f t="shared" si="39"/>
        <v>0</v>
      </c>
      <c r="M89" s="641">
        <f t="shared" si="39"/>
        <v>0</v>
      </c>
      <c r="N89" s="641">
        <f t="shared" si="39"/>
        <v>0</v>
      </c>
      <c r="O89" s="641">
        <f t="shared" si="39"/>
        <v>0</v>
      </c>
      <c r="P89" s="641">
        <f t="shared" si="39"/>
        <v>0</v>
      </c>
      <c r="Q89" s="641">
        <f t="shared" si="39"/>
        <v>0</v>
      </c>
      <c r="R89" s="641">
        <f t="shared" si="39"/>
        <v>0</v>
      </c>
      <c r="T89" s="255"/>
      <c r="U89" s="237"/>
      <c r="V89" s="578"/>
    </row>
    <row r="90" spans="2:22">
      <c r="C90" s="1415" t="s">
        <v>2771</v>
      </c>
      <c r="D90" s="1407"/>
      <c r="E90" s="1407"/>
      <c r="F90" s="1407" t="str">
        <f>IF(MEDIAN(L90:R90)&lt;=1,C78,IF(MEDIAN(L90:R90)&lt;=2,C79,IF(MEDIAN(L90:R90)&lt;=3,C80,IF(MEDIAN(L90:R90)&lt;=4,C81,IF(MEDIAN(L90:R90)&lt;=5,C82,IF(MEDIAN(L90:R90)&lt;=6,C83,IF(MEDIAN(L90:R90)&lt;=7,C84,IF(MEDIAN(L90:R90)&lt;=8,C85,IF(MEDIAN(L90:R90)&lt;=9,C86,IF(MEDIAN(L90:R90)&lt;=10,C87,IF(MEDIAN(L90:R90)&lt;=11,C88,IF(MEDIAN(L90:R90)&lt;=12,C89,"NA"))))))))))))</f>
        <v>Existing: Hotels &amp; Hospitals</v>
      </c>
      <c r="G90" s="1416">
        <f>AVERAGE(_xlfn.XLOOKUP(F90,C78:C89,L78:R89))</f>
        <v>0.28367346938775512</v>
      </c>
      <c r="H90" s="1407"/>
      <c r="I90" s="1407"/>
      <c r="J90" s="1408"/>
      <c r="K90" s="1408"/>
      <c r="L90" s="1417">
        <f>_xlfn.XLOOKUP(MAX(L$78:L$89),L$78:L$89,$B$78:$B$89)</f>
        <v>1</v>
      </c>
      <c r="M90" s="1417">
        <f t="shared" ref="M90:R90" si="40">_xlfn.XLOOKUP(MAX(M$78:M$89),M$78:M$89,$B$78:$B$89)</f>
        <v>2</v>
      </c>
      <c r="N90" s="1417">
        <f t="shared" si="40"/>
        <v>2</v>
      </c>
      <c r="O90" s="1417">
        <f t="shared" si="40"/>
        <v>2</v>
      </c>
      <c r="P90" s="1417">
        <f t="shared" si="40"/>
        <v>2</v>
      </c>
      <c r="Q90" s="1417">
        <f t="shared" si="40"/>
        <v>2</v>
      </c>
      <c r="R90" s="1418">
        <f t="shared" si="40"/>
        <v>2</v>
      </c>
      <c r="T90" s="255"/>
      <c r="U90" s="237"/>
      <c r="V90" s="578"/>
    </row>
    <row r="91" spans="2:22">
      <c r="C91" s="109"/>
      <c r="D91" s="109"/>
      <c r="E91" s="109"/>
      <c r="F91" s="109"/>
      <c r="G91" s="109"/>
      <c r="H91" s="109"/>
      <c r="I91" s="109"/>
      <c r="J91" s="599"/>
      <c r="K91" s="599"/>
      <c r="L91" s="599"/>
      <c r="M91" s="109"/>
      <c r="N91" s="109"/>
      <c r="O91" s="109"/>
      <c r="P91" s="109"/>
      <c r="Q91" s="109"/>
      <c r="R91" s="109"/>
      <c r="T91" s="255"/>
      <c r="U91" s="237"/>
      <c r="V91" s="578"/>
    </row>
    <row r="92" spans="2:22">
      <c r="C92" s="113" t="s">
        <v>1820</v>
      </c>
      <c r="D92" s="114"/>
      <c r="E92" s="114"/>
      <c r="F92" s="114"/>
      <c r="G92" s="114"/>
      <c r="H92" s="115" t="str">
        <f t="shared" ref="H92:R92" si="41">H7</f>
        <v>FY21</v>
      </c>
      <c r="I92" s="115" t="str">
        <f t="shared" si="41"/>
        <v>FY22</v>
      </c>
      <c r="J92" s="115" t="str">
        <f t="shared" si="41"/>
        <v>FY23</v>
      </c>
      <c r="K92" s="115" t="str">
        <f t="shared" si="41"/>
        <v>YTD24</v>
      </c>
      <c r="L92" s="115" t="str">
        <f t="shared" si="41"/>
        <v>YTG24</v>
      </c>
      <c r="M92" s="115" t="str">
        <f t="shared" si="41"/>
        <v>FY24</v>
      </c>
      <c r="N92" s="115" t="str">
        <f t="shared" si="41"/>
        <v>FY25</v>
      </c>
      <c r="O92" s="115" t="str">
        <f t="shared" si="41"/>
        <v>FY26</v>
      </c>
      <c r="P92" s="115" t="str">
        <f t="shared" si="41"/>
        <v>FY27</v>
      </c>
      <c r="Q92" s="115" t="str">
        <f t="shared" si="41"/>
        <v>FY28</v>
      </c>
      <c r="R92" s="281" t="str">
        <f t="shared" si="41"/>
        <v>FY29</v>
      </c>
      <c r="T92" s="255" t="str">
        <f t="shared" si="9"/>
        <v>-</v>
      </c>
      <c r="U92" s="237" t="str">
        <f t="shared" si="18"/>
        <v/>
      </c>
      <c r="V92" s="578" t="str">
        <f t="shared" si="19"/>
        <v>NA</v>
      </c>
    </row>
    <row r="93" spans="2:22">
      <c r="C93" s="1259" t="str">
        <f>currency.heading1</f>
        <v>INR 'Units</v>
      </c>
      <c r="D93" s="1260"/>
      <c r="E93" s="1260"/>
      <c r="F93" s="1260"/>
      <c r="G93" s="1260"/>
      <c r="H93" s="1261" t="str">
        <f t="shared" ref="H93:R93" si="42">H8</f>
        <v>Actual</v>
      </c>
      <c r="I93" s="1261" t="str">
        <f t="shared" si="42"/>
        <v>Actual</v>
      </c>
      <c r="J93" s="1261" t="str">
        <f t="shared" si="42"/>
        <v>Actual</v>
      </c>
      <c r="K93" s="1261" t="str">
        <f t="shared" si="42"/>
        <v>Actual</v>
      </c>
      <c r="L93" s="1261" t="str">
        <f t="shared" si="42"/>
        <v>Estimate</v>
      </c>
      <c r="M93" s="1261" t="str">
        <f t="shared" si="42"/>
        <v>Estimate</v>
      </c>
      <c r="N93" s="1261" t="str">
        <f t="shared" si="42"/>
        <v>Estimate</v>
      </c>
      <c r="O93" s="1261" t="str">
        <f t="shared" si="42"/>
        <v>Forecast</v>
      </c>
      <c r="P93" s="1261" t="str">
        <f t="shared" si="42"/>
        <v>Forecast</v>
      </c>
      <c r="Q93" s="1261" t="str">
        <f t="shared" si="42"/>
        <v>Forecast</v>
      </c>
      <c r="R93" s="1262" t="str">
        <f t="shared" si="42"/>
        <v>Forecast</v>
      </c>
      <c r="T93" s="255" t="str">
        <f t="shared" si="9"/>
        <v>-</v>
      </c>
      <c r="U93" s="237" t="str">
        <f t="shared" si="18"/>
        <v/>
      </c>
      <c r="V93" s="578" t="str">
        <f t="shared" si="19"/>
        <v>NA</v>
      </c>
    </row>
    <row r="94" spans="2:22">
      <c r="C94" s="613" t="s">
        <v>1849</v>
      </c>
      <c r="D94" s="563"/>
      <c r="E94" s="563"/>
      <c r="F94" s="563"/>
      <c r="G94" s="563"/>
      <c r="H94" s="614"/>
      <c r="I94" s="614"/>
      <c r="J94" s="614"/>
      <c r="K94" s="614"/>
      <c r="L94" s="614"/>
      <c r="M94" s="614"/>
      <c r="N94" s="614"/>
      <c r="O94" s="614"/>
      <c r="P94" s="614"/>
      <c r="Q94" s="614"/>
      <c r="R94" s="615"/>
      <c r="T94" s="255" t="str">
        <f t="shared" si="9"/>
        <v>-</v>
      </c>
      <c r="U94" s="237" t="str">
        <f t="shared" si="18"/>
        <v>OK</v>
      </c>
      <c r="V94" s="578">
        <f t="shared" si="19"/>
        <v>0</v>
      </c>
    </row>
    <row r="95" spans="2:22">
      <c r="C95" s="616" t="str">
        <f>C46</f>
        <v>Residential lighting Revenue</v>
      </c>
      <c r="D95" s="85"/>
      <c r="E95" s="85"/>
      <c r="F95" s="85"/>
      <c r="G95" s="85"/>
      <c r="H95" s="583">
        <f t="shared" ref="H95:K98" si="43">H46*H117</f>
        <v>0</v>
      </c>
      <c r="I95" s="583">
        <f t="shared" si="43"/>
        <v>0</v>
      </c>
      <c r="J95" s="583">
        <f t="shared" si="43"/>
        <v>0</v>
      </c>
      <c r="K95" s="583">
        <f t="shared" si="43"/>
        <v>0</v>
      </c>
      <c r="L95" s="617">
        <f>IF(ytg.approach=Inputs!$C$39,K95*ytg.actual,IF(ytg.approach=Inputs!$C$40,ytg.mgt*M95,M95-K95))</f>
        <v>6000.0000000000009</v>
      </c>
      <c r="M95" s="583">
        <f t="shared" ref="M95:R98" si="44">M46*M117</f>
        <v>6000.0000000000009</v>
      </c>
      <c r="N95" s="583">
        <f t="shared" si="44"/>
        <v>6000.0000000000009</v>
      </c>
      <c r="O95" s="618">
        <f t="shared" si="44"/>
        <v>6000.0000000000009</v>
      </c>
      <c r="P95" s="618">
        <f t="shared" si="44"/>
        <v>6000.0000000000009</v>
      </c>
      <c r="Q95" s="618">
        <f t="shared" si="44"/>
        <v>6000.0000000000009</v>
      </c>
      <c r="R95" s="619">
        <f t="shared" si="44"/>
        <v>6000.0000000000009</v>
      </c>
      <c r="T95" s="255">
        <f t="shared" si="9"/>
        <v>0</v>
      </c>
      <c r="U95" s="237" t="str">
        <f t="shared" si="18"/>
        <v>OK</v>
      </c>
      <c r="V95" s="578">
        <f t="shared" si="19"/>
        <v>0</v>
      </c>
    </row>
    <row r="96" spans="2:22">
      <c r="C96" s="616" t="str">
        <f>C47</f>
        <v>Hotels &amp; Hospitals Revenue</v>
      </c>
      <c r="D96" s="85"/>
      <c r="E96" s="85"/>
      <c r="F96" s="85"/>
      <c r="G96" s="85"/>
      <c r="H96" s="583">
        <f t="shared" si="43"/>
        <v>0</v>
      </c>
      <c r="I96" s="583">
        <f t="shared" si="43"/>
        <v>0</v>
      </c>
      <c r="J96" s="583">
        <f t="shared" si="43"/>
        <v>0</v>
      </c>
      <c r="K96" s="583">
        <f t="shared" si="43"/>
        <v>0</v>
      </c>
      <c r="L96" s="620">
        <f>IF(ytg.approach=Inputs!$C$39,K96*ytg.actual,IF(ytg.approach=Inputs!$C$40,ytg.mgt*M96,M96-K96))</f>
        <v>15000.000000000002</v>
      </c>
      <c r="M96" s="583">
        <f t="shared" si="44"/>
        <v>15000.000000000002</v>
      </c>
      <c r="N96" s="583">
        <f t="shared" si="44"/>
        <v>15000.000000000002</v>
      </c>
      <c r="O96" s="618">
        <f t="shared" si="44"/>
        <v>15000.000000000002</v>
      </c>
      <c r="P96" s="618">
        <f t="shared" si="44"/>
        <v>15000.000000000002</v>
      </c>
      <c r="Q96" s="618">
        <f t="shared" si="44"/>
        <v>15000.000000000002</v>
      </c>
      <c r="R96" s="619">
        <f t="shared" si="44"/>
        <v>15000.000000000002</v>
      </c>
      <c r="T96" s="255">
        <f t="shared" si="9"/>
        <v>0</v>
      </c>
      <c r="U96" s="237" t="str">
        <f t="shared" si="18"/>
        <v>OK</v>
      </c>
      <c r="V96" s="578">
        <f t="shared" si="19"/>
        <v>0</v>
      </c>
    </row>
    <row r="97" spans="3:22">
      <c r="C97" s="616" t="str">
        <f>C48</f>
        <v>Government &amp; Infrastructure Revenue</v>
      </c>
      <c r="D97" s="85"/>
      <c r="E97" s="85"/>
      <c r="F97" s="85"/>
      <c r="G97" s="85"/>
      <c r="H97" s="583">
        <f t="shared" si="43"/>
        <v>0</v>
      </c>
      <c r="I97" s="583">
        <f t="shared" si="43"/>
        <v>0</v>
      </c>
      <c r="J97" s="583">
        <f t="shared" si="43"/>
        <v>0</v>
      </c>
      <c r="K97" s="583">
        <f t="shared" si="43"/>
        <v>0</v>
      </c>
      <c r="L97" s="620">
        <f>IF(ytg.approach=Inputs!$C$39,K97*ytg.actual,IF(ytg.approach=Inputs!$C$40,ytg.mgt*M97,M97-K97))</f>
        <v>3000.0000000000005</v>
      </c>
      <c r="M97" s="583">
        <f t="shared" si="44"/>
        <v>3000.0000000000005</v>
      </c>
      <c r="N97" s="583">
        <f t="shared" si="44"/>
        <v>3000.0000000000005</v>
      </c>
      <c r="O97" s="618">
        <f t="shared" si="44"/>
        <v>3000.0000000000005</v>
      </c>
      <c r="P97" s="618">
        <f t="shared" si="44"/>
        <v>3000.0000000000005</v>
      </c>
      <c r="Q97" s="618">
        <f t="shared" si="44"/>
        <v>3000.0000000000005</v>
      </c>
      <c r="R97" s="619">
        <f t="shared" si="44"/>
        <v>3000.0000000000005</v>
      </c>
      <c r="T97" s="255">
        <f t="shared" si="9"/>
        <v>0</v>
      </c>
      <c r="U97" s="237" t="str">
        <f t="shared" ref="U97:U128" si="45">IFERROR(IF(K97+L97=M97,"OK","VARIANCE"),"")</f>
        <v>OK</v>
      </c>
      <c r="V97" s="578">
        <f t="shared" ref="V97:V128" si="46">IFERROR((K97/ytd.months)*12,"NA")</f>
        <v>0</v>
      </c>
    </row>
    <row r="98" spans="3:22">
      <c r="C98" s="616" t="str">
        <f>C49</f>
        <v>Distributorship Revenue</v>
      </c>
      <c r="D98" s="85"/>
      <c r="E98" s="85"/>
      <c r="F98" s="85"/>
      <c r="G98" s="85"/>
      <c r="H98" s="583">
        <f t="shared" si="43"/>
        <v>0</v>
      </c>
      <c r="I98" s="583">
        <f t="shared" si="43"/>
        <v>0</v>
      </c>
      <c r="J98" s="583">
        <f t="shared" si="43"/>
        <v>0</v>
      </c>
      <c r="K98" s="583">
        <f t="shared" si="43"/>
        <v>0</v>
      </c>
      <c r="L98" s="620">
        <f>IF(ytg.approach=Inputs!$C$39,K98*ytg.actual,IF(ytg.approach=Inputs!$C$40,ytg.mgt*M98,M98-K98))</f>
        <v>3600.0000000000005</v>
      </c>
      <c r="M98" s="583">
        <f t="shared" si="44"/>
        <v>3600.0000000000005</v>
      </c>
      <c r="N98" s="583">
        <f t="shared" si="44"/>
        <v>3600.0000000000005</v>
      </c>
      <c r="O98" s="618">
        <f t="shared" si="44"/>
        <v>3600.0000000000005</v>
      </c>
      <c r="P98" s="618">
        <f t="shared" si="44"/>
        <v>3600.0000000000005</v>
      </c>
      <c r="Q98" s="618">
        <f t="shared" si="44"/>
        <v>3600.0000000000005</v>
      </c>
      <c r="R98" s="619">
        <f t="shared" si="44"/>
        <v>3600.0000000000005</v>
      </c>
      <c r="T98" s="255">
        <f t="shared" ref="T98:T163" si="47">IFERROR((R98/N98)^(1/5)-1,"-")</f>
        <v>0</v>
      </c>
      <c r="U98" s="237" t="str">
        <f t="shared" si="45"/>
        <v>OK</v>
      </c>
      <c r="V98" s="578">
        <f t="shared" si="46"/>
        <v>0</v>
      </c>
    </row>
    <row r="99" spans="3:22">
      <c r="C99" s="586" t="s">
        <v>1839</v>
      </c>
      <c r="D99" s="587"/>
      <c r="E99" s="587"/>
      <c r="F99" s="587"/>
      <c r="G99" s="587"/>
      <c r="H99" s="588">
        <f>SUM(H95:H98)</f>
        <v>0</v>
      </c>
      <c r="I99" s="588">
        <f>SUM(I95:I98)</f>
        <v>0</v>
      </c>
      <c r="J99" s="588">
        <f t="shared" ref="J99:R99" si="48">SUM(J95:J98)</f>
        <v>0</v>
      </c>
      <c r="K99" s="588">
        <f>SUM(K95:K98)</f>
        <v>0</v>
      </c>
      <c r="L99" s="588">
        <f>SUM(L95:L98)</f>
        <v>27600.000000000004</v>
      </c>
      <c r="M99" s="588">
        <f>SUM(M95:M98)</f>
        <v>27600.000000000004</v>
      </c>
      <c r="N99" s="588">
        <f t="shared" si="48"/>
        <v>27600.000000000004</v>
      </c>
      <c r="O99" s="588">
        <f t="shared" si="48"/>
        <v>27600.000000000004</v>
      </c>
      <c r="P99" s="588">
        <f t="shared" si="48"/>
        <v>27600.000000000004</v>
      </c>
      <c r="Q99" s="588">
        <f t="shared" si="48"/>
        <v>27600.000000000004</v>
      </c>
      <c r="R99" s="589">
        <f t="shared" si="48"/>
        <v>27600.000000000004</v>
      </c>
      <c r="T99" s="255">
        <f t="shared" si="47"/>
        <v>0</v>
      </c>
      <c r="U99" s="237" t="str">
        <f t="shared" si="45"/>
        <v>OK</v>
      </c>
      <c r="V99" s="578">
        <f t="shared" si="46"/>
        <v>0</v>
      </c>
    </row>
    <row r="100" spans="3:22">
      <c r="C100" s="616"/>
      <c r="D100" s="85"/>
      <c r="E100" s="85"/>
      <c r="F100" s="85"/>
      <c r="G100" s="85"/>
      <c r="H100" s="583"/>
      <c r="I100" s="583"/>
      <c r="J100" s="583"/>
      <c r="K100" s="583"/>
      <c r="L100" s="583"/>
      <c r="M100" s="583"/>
      <c r="N100" s="583"/>
      <c r="O100" s="618"/>
      <c r="P100" s="618"/>
      <c r="Q100" s="618"/>
      <c r="R100" s="619"/>
      <c r="T100" s="255" t="str">
        <f t="shared" si="47"/>
        <v>-</v>
      </c>
      <c r="U100" s="237" t="str">
        <f t="shared" si="45"/>
        <v>OK</v>
      </c>
      <c r="V100" s="578">
        <f t="shared" si="46"/>
        <v>0</v>
      </c>
    </row>
    <row r="101" spans="3:22">
      <c r="C101" s="613" t="s">
        <v>1850</v>
      </c>
      <c r="D101" s="85"/>
      <c r="E101" s="85"/>
      <c r="F101" s="85"/>
      <c r="G101" s="85"/>
      <c r="H101" s="583"/>
      <c r="I101" s="583"/>
      <c r="J101" s="583"/>
      <c r="K101" s="583"/>
      <c r="L101" s="583"/>
      <c r="M101" s="583"/>
      <c r="N101" s="583"/>
      <c r="O101" s="618"/>
      <c r="P101" s="618"/>
      <c r="Q101" s="618"/>
      <c r="R101" s="619"/>
      <c r="T101" s="255" t="str">
        <f t="shared" si="47"/>
        <v>-</v>
      </c>
      <c r="U101" s="237" t="str">
        <f t="shared" si="45"/>
        <v>OK</v>
      </c>
      <c r="V101" s="578">
        <f t="shared" si="46"/>
        <v>0</v>
      </c>
    </row>
    <row r="102" spans="3:22">
      <c r="C102" s="616" t="str">
        <f>C54</f>
        <v>UAE &amp; Oman projects Pipeline Revenue</v>
      </c>
      <c r="D102" s="85"/>
      <c r="E102" s="85"/>
      <c r="F102" s="85"/>
      <c r="G102" s="85"/>
      <c r="H102" s="621"/>
      <c r="I102" s="621"/>
      <c r="J102" s="621"/>
      <c r="K102" s="621"/>
      <c r="L102" s="583">
        <f t="shared" ref="L102:R105" si="49">L54*L121</f>
        <v>4500.0000000000009</v>
      </c>
      <c r="M102" s="583">
        <f t="shared" si="49"/>
        <v>4500.0000000000009</v>
      </c>
      <c r="N102" s="583">
        <f t="shared" si="49"/>
        <v>4500.0000000000009</v>
      </c>
      <c r="O102" s="618">
        <f t="shared" si="49"/>
        <v>4500.0000000000009</v>
      </c>
      <c r="P102" s="618">
        <f t="shared" si="49"/>
        <v>4500.0000000000009</v>
      </c>
      <c r="Q102" s="618">
        <f t="shared" si="49"/>
        <v>4500.0000000000009</v>
      </c>
      <c r="R102" s="619">
        <f t="shared" si="49"/>
        <v>4500.0000000000009</v>
      </c>
      <c r="T102" s="255">
        <f t="shared" si="47"/>
        <v>0</v>
      </c>
      <c r="U102" s="237" t="str">
        <f t="shared" si="45"/>
        <v>OK</v>
      </c>
      <c r="V102" s="578">
        <f t="shared" si="46"/>
        <v>0</v>
      </c>
    </row>
    <row r="103" spans="3:22">
      <c r="C103" s="616" t="str">
        <f>C55</f>
        <v>NA Pipeline Revenue</v>
      </c>
      <c r="D103" s="85"/>
      <c r="E103" s="85"/>
      <c r="F103" s="85"/>
      <c r="G103" s="85"/>
      <c r="H103" s="621"/>
      <c r="I103" s="621"/>
      <c r="J103" s="621"/>
      <c r="K103" s="621"/>
      <c r="L103" s="583">
        <f t="shared" si="49"/>
        <v>4500.0000000000009</v>
      </c>
      <c r="M103" s="583">
        <f t="shared" si="49"/>
        <v>4500.0000000000009</v>
      </c>
      <c r="N103" s="583">
        <f t="shared" si="49"/>
        <v>4500.0000000000009</v>
      </c>
      <c r="O103" s="618">
        <f t="shared" si="49"/>
        <v>4500.0000000000009</v>
      </c>
      <c r="P103" s="618">
        <f t="shared" si="49"/>
        <v>4500.0000000000009</v>
      </c>
      <c r="Q103" s="618">
        <f t="shared" si="49"/>
        <v>4500.0000000000009</v>
      </c>
      <c r="R103" s="619">
        <f t="shared" si="49"/>
        <v>4500.0000000000009</v>
      </c>
      <c r="T103" s="255">
        <f t="shared" si="47"/>
        <v>0</v>
      </c>
      <c r="U103" s="237" t="str">
        <f t="shared" si="45"/>
        <v>OK</v>
      </c>
      <c r="V103" s="578">
        <f t="shared" si="46"/>
        <v>0</v>
      </c>
    </row>
    <row r="104" spans="3:22">
      <c r="C104" s="616" t="str">
        <f>C56</f>
        <v>NA Pipeline Revenue</v>
      </c>
      <c r="D104" s="85"/>
      <c r="E104" s="85"/>
      <c r="F104" s="85"/>
      <c r="G104" s="85"/>
      <c r="H104" s="621"/>
      <c r="I104" s="621"/>
      <c r="J104" s="621"/>
      <c r="K104" s="621"/>
      <c r="L104" s="583">
        <f t="shared" si="49"/>
        <v>4500.0000000000009</v>
      </c>
      <c r="M104" s="583">
        <f t="shared" si="49"/>
        <v>4500.0000000000009</v>
      </c>
      <c r="N104" s="583">
        <f t="shared" si="49"/>
        <v>4500.0000000000009</v>
      </c>
      <c r="O104" s="618">
        <f t="shared" si="49"/>
        <v>4500.0000000000009</v>
      </c>
      <c r="P104" s="618">
        <f t="shared" si="49"/>
        <v>4500.0000000000009</v>
      </c>
      <c r="Q104" s="618">
        <f t="shared" si="49"/>
        <v>4500.0000000000009</v>
      </c>
      <c r="R104" s="619">
        <f t="shared" si="49"/>
        <v>4500.0000000000009</v>
      </c>
      <c r="T104" s="255">
        <f t="shared" si="47"/>
        <v>0</v>
      </c>
      <c r="U104" s="237" t="str">
        <f t="shared" si="45"/>
        <v>OK</v>
      </c>
      <c r="V104" s="578">
        <f t="shared" si="46"/>
        <v>0</v>
      </c>
    </row>
    <row r="105" spans="3:22">
      <c r="C105" s="616" t="str">
        <f>C57</f>
        <v>NA Pipeline Revenue</v>
      </c>
      <c r="D105" s="85"/>
      <c r="E105" s="85"/>
      <c r="F105" s="85"/>
      <c r="G105" s="85"/>
      <c r="H105" s="621"/>
      <c r="I105" s="621"/>
      <c r="J105" s="621"/>
      <c r="K105" s="621"/>
      <c r="L105" s="583">
        <f t="shared" si="49"/>
        <v>4500.0000000000009</v>
      </c>
      <c r="M105" s="583">
        <f t="shared" si="49"/>
        <v>4500.0000000000009</v>
      </c>
      <c r="N105" s="583">
        <f t="shared" si="49"/>
        <v>4500.0000000000009</v>
      </c>
      <c r="O105" s="618">
        <f t="shared" si="49"/>
        <v>4500.0000000000009</v>
      </c>
      <c r="P105" s="618">
        <f t="shared" si="49"/>
        <v>4500.0000000000009</v>
      </c>
      <c r="Q105" s="618">
        <f t="shared" si="49"/>
        <v>4500.0000000000009</v>
      </c>
      <c r="R105" s="619">
        <f t="shared" si="49"/>
        <v>4500.0000000000009</v>
      </c>
      <c r="T105" s="255">
        <f t="shared" si="47"/>
        <v>0</v>
      </c>
      <c r="U105" s="237" t="str">
        <f t="shared" si="45"/>
        <v>OK</v>
      </c>
      <c r="V105" s="578">
        <f t="shared" si="46"/>
        <v>0</v>
      </c>
    </row>
    <row r="106" spans="3:22">
      <c r="C106" s="586" t="s">
        <v>1851</v>
      </c>
      <c r="D106" s="587"/>
      <c r="E106" s="587"/>
      <c r="F106" s="587"/>
      <c r="G106" s="587"/>
      <c r="H106" s="588">
        <f>SUM(H102:H105)</f>
        <v>0</v>
      </c>
      <c r="I106" s="588">
        <f>SUM(I102:I105)</f>
        <v>0</v>
      </c>
      <c r="J106" s="588">
        <f t="shared" ref="J106:R106" si="50">SUM(J102:J105)</f>
        <v>0</v>
      </c>
      <c r="K106" s="588">
        <f>SUM(K102:K105)</f>
        <v>0</v>
      </c>
      <c r="L106" s="588">
        <f>SUM(L102:L105)</f>
        <v>18000.000000000004</v>
      </c>
      <c r="M106" s="588">
        <f t="shared" si="50"/>
        <v>18000.000000000004</v>
      </c>
      <c r="N106" s="588">
        <f t="shared" si="50"/>
        <v>18000.000000000004</v>
      </c>
      <c r="O106" s="588">
        <f t="shared" si="50"/>
        <v>18000.000000000004</v>
      </c>
      <c r="P106" s="588">
        <f t="shared" si="50"/>
        <v>18000.000000000004</v>
      </c>
      <c r="Q106" s="588">
        <f t="shared" si="50"/>
        <v>18000.000000000004</v>
      </c>
      <c r="R106" s="589">
        <f t="shared" si="50"/>
        <v>18000.000000000004</v>
      </c>
      <c r="T106" s="255">
        <f t="shared" si="47"/>
        <v>0</v>
      </c>
      <c r="U106" s="237" t="str">
        <f t="shared" si="45"/>
        <v>OK</v>
      </c>
      <c r="V106" s="578">
        <f t="shared" si="46"/>
        <v>0</v>
      </c>
    </row>
    <row r="107" spans="3:22">
      <c r="C107" s="622"/>
      <c r="D107" s="623"/>
      <c r="E107" s="623"/>
      <c r="F107" s="623"/>
      <c r="G107" s="623"/>
      <c r="H107" s="624"/>
      <c r="I107" s="624"/>
      <c r="J107" s="624"/>
      <c r="K107" s="624"/>
      <c r="L107" s="624"/>
      <c r="M107" s="624"/>
      <c r="N107" s="624"/>
      <c r="O107" s="624"/>
      <c r="P107" s="624"/>
      <c r="Q107" s="624"/>
      <c r="R107" s="625"/>
      <c r="T107" s="255" t="str">
        <f t="shared" si="47"/>
        <v>-</v>
      </c>
      <c r="U107" s="237" t="str">
        <f t="shared" si="45"/>
        <v>OK</v>
      </c>
      <c r="V107" s="578">
        <f t="shared" si="46"/>
        <v>0</v>
      </c>
    </row>
    <row r="108" spans="3:22">
      <c r="C108" s="613" t="s">
        <v>1850</v>
      </c>
      <c r="D108" s="85"/>
      <c r="E108" s="85"/>
      <c r="F108" s="85"/>
      <c r="G108" s="85"/>
      <c r="H108" s="583"/>
      <c r="I108" s="583"/>
      <c r="J108" s="583"/>
      <c r="K108" s="583"/>
      <c r="L108" s="583"/>
      <c r="M108" s="583"/>
      <c r="N108" s="583"/>
      <c r="O108" s="618"/>
      <c r="P108" s="618"/>
      <c r="Q108" s="618"/>
      <c r="R108" s="619"/>
      <c r="T108" s="255" t="str">
        <f t="shared" si="47"/>
        <v>-</v>
      </c>
      <c r="U108" s="237" t="str">
        <f t="shared" si="45"/>
        <v>OK</v>
      </c>
      <c r="V108" s="578">
        <f t="shared" si="46"/>
        <v>0</v>
      </c>
    </row>
    <row r="109" spans="3:22">
      <c r="C109" s="616" t="str">
        <f>C62</f>
        <v>Product contracts by specifiers Potential Revenue</v>
      </c>
      <c r="D109" s="85"/>
      <c r="E109" s="85"/>
      <c r="F109" s="85"/>
      <c r="G109" s="85"/>
      <c r="H109" s="621"/>
      <c r="I109" s="621"/>
      <c r="J109" s="621"/>
      <c r="K109" s="621"/>
      <c r="L109" s="583">
        <f t="shared" ref="L109:R112" si="51">L62*L125</f>
        <v>4800.0000000000009</v>
      </c>
      <c r="M109" s="583">
        <f t="shared" si="51"/>
        <v>4800.0000000000009</v>
      </c>
      <c r="N109" s="583">
        <f t="shared" si="51"/>
        <v>4800.0000000000009</v>
      </c>
      <c r="O109" s="618">
        <f t="shared" si="51"/>
        <v>4800.0000000000009</v>
      </c>
      <c r="P109" s="618">
        <f t="shared" si="51"/>
        <v>4800.0000000000009</v>
      </c>
      <c r="Q109" s="618">
        <f t="shared" si="51"/>
        <v>4800.0000000000009</v>
      </c>
      <c r="R109" s="619">
        <f t="shared" si="51"/>
        <v>4800.0000000000009</v>
      </c>
      <c r="T109" s="255">
        <f t="shared" si="47"/>
        <v>0</v>
      </c>
      <c r="U109" s="237" t="str">
        <f t="shared" si="45"/>
        <v>OK</v>
      </c>
      <c r="V109" s="578">
        <f t="shared" si="46"/>
        <v>0</v>
      </c>
    </row>
    <row r="110" spans="3:22">
      <c r="C110" s="616" t="str">
        <f>C63</f>
        <v>NA Potential Revenue</v>
      </c>
      <c r="D110" s="85"/>
      <c r="E110" s="85"/>
      <c r="F110" s="85"/>
      <c r="G110" s="85"/>
      <c r="H110" s="621"/>
      <c r="I110" s="621"/>
      <c r="J110" s="621"/>
      <c r="K110" s="621"/>
      <c r="L110" s="583">
        <f t="shared" si="51"/>
        <v>0</v>
      </c>
      <c r="M110" s="583">
        <f t="shared" si="51"/>
        <v>0</v>
      </c>
      <c r="N110" s="583">
        <f t="shared" si="51"/>
        <v>0</v>
      </c>
      <c r="O110" s="618">
        <f t="shared" si="51"/>
        <v>0</v>
      </c>
      <c r="P110" s="618">
        <f t="shared" si="51"/>
        <v>0</v>
      </c>
      <c r="Q110" s="618">
        <f t="shared" si="51"/>
        <v>0</v>
      </c>
      <c r="R110" s="619">
        <f t="shared" si="51"/>
        <v>0</v>
      </c>
      <c r="T110" s="255" t="str">
        <f t="shared" si="47"/>
        <v>-</v>
      </c>
      <c r="U110" s="237" t="str">
        <f t="shared" si="45"/>
        <v>OK</v>
      </c>
      <c r="V110" s="578">
        <f t="shared" si="46"/>
        <v>0</v>
      </c>
    </row>
    <row r="111" spans="3:22">
      <c r="C111" s="616" t="str">
        <f>C64</f>
        <v>NA Potential Revenue</v>
      </c>
      <c r="D111" s="85"/>
      <c r="E111" s="85"/>
      <c r="F111" s="85"/>
      <c r="G111" s="85"/>
      <c r="H111" s="621"/>
      <c r="I111" s="621"/>
      <c r="J111" s="621"/>
      <c r="K111" s="621"/>
      <c r="L111" s="583">
        <f t="shared" si="51"/>
        <v>0</v>
      </c>
      <c r="M111" s="583">
        <f t="shared" si="51"/>
        <v>0</v>
      </c>
      <c r="N111" s="583">
        <f t="shared" si="51"/>
        <v>0</v>
      </c>
      <c r="O111" s="618">
        <f t="shared" si="51"/>
        <v>0</v>
      </c>
      <c r="P111" s="618">
        <f t="shared" si="51"/>
        <v>0</v>
      </c>
      <c r="Q111" s="618">
        <f t="shared" si="51"/>
        <v>0</v>
      </c>
      <c r="R111" s="619">
        <f t="shared" si="51"/>
        <v>0</v>
      </c>
      <c r="T111" s="255" t="str">
        <f t="shared" si="47"/>
        <v>-</v>
      </c>
      <c r="U111" s="237" t="str">
        <f t="shared" si="45"/>
        <v>OK</v>
      </c>
      <c r="V111" s="578">
        <f t="shared" si="46"/>
        <v>0</v>
      </c>
    </row>
    <row r="112" spans="3:22">
      <c r="C112" s="616" t="str">
        <f>C65</f>
        <v>NA Potential Revenue</v>
      </c>
      <c r="D112" s="85"/>
      <c r="E112" s="85"/>
      <c r="F112" s="85"/>
      <c r="G112" s="85"/>
      <c r="H112" s="621"/>
      <c r="I112" s="621"/>
      <c r="J112" s="621"/>
      <c r="K112" s="621"/>
      <c r="L112" s="583">
        <f t="shared" si="51"/>
        <v>0</v>
      </c>
      <c r="M112" s="583">
        <f t="shared" si="51"/>
        <v>0</v>
      </c>
      <c r="N112" s="583">
        <f t="shared" si="51"/>
        <v>0</v>
      </c>
      <c r="O112" s="618">
        <f t="shared" si="51"/>
        <v>0</v>
      </c>
      <c r="P112" s="618">
        <f t="shared" si="51"/>
        <v>0</v>
      </c>
      <c r="Q112" s="618">
        <f t="shared" si="51"/>
        <v>0</v>
      </c>
      <c r="R112" s="619">
        <f t="shared" si="51"/>
        <v>0</v>
      </c>
      <c r="T112" s="255" t="str">
        <f t="shared" si="47"/>
        <v>-</v>
      </c>
      <c r="U112" s="237" t="str">
        <f t="shared" si="45"/>
        <v>OK</v>
      </c>
      <c r="V112" s="578">
        <f t="shared" si="46"/>
        <v>0</v>
      </c>
    </row>
    <row r="113" spans="3:22">
      <c r="C113" s="586" t="s">
        <v>1852</v>
      </c>
      <c r="D113" s="587"/>
      <c r="E113" s="587"/>
      <c r="F113" s="587"/>
      <c r="G113" s="587"/>
      <c r="H113" s="588">
        <f>SUM(H109:H112)</f>
        <v>0</v>
      </c>
      <c r="I113" s="588">
        <f>SUM(I109:I112)</f>
        <v>0</v>
      </c>
      <c r="J113" s="588">
        <f t="shared" ref="J113:R113" si="52">SUM(J109:J112)</f>
        <v>0</v>
      </c>
      <c r="K113" s="588">
        <f>SUM(K109:K112)</f>
        <v>0</v>
      </c>
      <c r="L113" s="588">
        <f>SUM(L109:L112)</f>
        <v>4800.0000000000009</v>
      </c>
      <c r="M113" s="588">
        <f t="shared" si="52"/>
        <v>4800.0000000000009</v>
      </c>
      <c r="N113" s="588">
        <f t="shared" si="52"/>
        <v>4800.0000000000009</v>
      </c>
      <c r="O113" s="588">
        <f t="shared" si="52"/>
        <v>4800.0000000000009</v>
      </c>
      <c r="P113" s="588">
        <f t="shared" si="52"/>
        <v>4800.0000000000009</v>
      </c>
      <c r="Q113" s="588">
        <f t="shared" si="52"/>
        <v>4800.0000000000009</v>
      </c>
      <c r="R113" s="589">
        <f t="shared" si="52"/>
        <v>4800.0000000000009</v>
      </c>
      <c r="T113" s="255">
        <f t="shared" si="47"/>
        <v>0</v>
      </c>
      <c r="U113" s="237" t="str">
        <f t="shared" si="45"/>
        <v>OK</v>
      </c>
      <c r="V113" s="578">
        <f t="shared" si="46"/>
        <v>0</v>
      </c>
    </row>
    <row r="114" spans="3:22">
      <c r="C114" s="626" t="s">
        <v>1840</v>
      </c>
      <c r="D114" s="627"/>
      <c r="E114" s="627"/>
      <c r="F114" s="627"/>
      <c r="G114" s="627"/>
      <c r="H114" s="628">
        <f>H106+H99+H113</f>
        <v>0</v>
      </c>
      <c r="I114" s="628">
        <f>I106+I99+I113</f>
        <v>0</v>
      </c>
      <c r="J114" s="628">
        <f t="shared" ref="J114:R114" si="53">J106+J99+J113</f>
        <v>0</v>
      </c>
      <c r="K114" s="628">
        <f>K106+K99+K113</f>
        <v>0</v>
      </c>
      <c r="L114" s="628">
        <f>L106+L99+L113</f>
        <v>50400.000000000007</v>
      </c>
      <c r="M114" s="628">
        <f t="shared" si="53"/>
        <v>50400.000000000007</v>
      </c>
      <c r="N114" s="628">
        <f t="shared" si="53"/>
        <v>50400.000000000007</v>
      </c>
      <c r="O114" s="628">
        <f t="shared" si="53"/>
        <v>50400.000000000007</v>
      </c>
      <c r="P114" s="628">
        <f t="shared" si="53"/>
        <v>50400.000000000007</v>
      </c>
      <c r="Q114" s="628">
        <f t="shared" si="53"/>
        <v>50400.000000000007</v>
      </c>
      <c r="R114" s="629">
        <f t="shared" si="53"/>
        <v>50400.000000000007</v>
      </c>
      <c r="T114" s="255">
        <f t="shared" si="47"/>
        <v>0</v>
      </c>
      <c r="U114" s="237" t="str">
        <f t="shared" si="45"/>
        <v>OK</v>
      </c>
      <c r="V114" s="578">
        <f t="shared" si="46"/>
        <v>0</v>
      </c>
    </row>
    <row r="115" spans="3:22">
      <c r="C115" s="630"/>
      <c r="D115" s="631"/>
      <c r="E115" s="631"/>
      <c r="F115" s="631"/>
      <c r="G115" s="631"/>
      <c r="H115" s="631"/>
      <c r="I115" s="631"/>
      <c r="J115" s="631"/>
      <c r="K115" s="631"/>
      <c r="L115" s="631"/>
      <c r="M115" s="631"/>
      <c r="N115" s="631"/>
      <c r="O115" s="631"/>
      <c r="P115" s="631"/>
      <c r="Q115" s="631"/>
      <c r="R115" s="632"/>
      <c r="T115" s="255" t="str">
        <f t="shared" si="47"/>
        <v>-</v>
      </c>
      <c r="U115" s="237" t="str">
        <f t="shared" si="45"/>
        <v>OK</v>
      </c>
      <c r="V115" s="578">
        <f t="shared" si="46"/>
        <v>0</v>
      </c>
    </row>
    <row r="116" spans="3:22">
      <c r="C116" s="633" t="s">
        <v>1835</v>
      </c>
      <c r="D116" s="634"/>
      <c r="E116" s="634"/>
      <c r="F116" s="634"/>
      <c r="G116" s="634"/>
      <c r="H116" s="635"/>
      <c r="I116" s="635"/>
      <c r="J116" s="635"/>
      <c r="K116" s="635"/>
      <c r="L116" s="635"/>
      <c r="M116" s="635"/>
      <c r="N116" s="635"/>
      <c r="O116" s="635"/>
      <c r="P116" s="635"/>
      <c r="Q116" s="635"/>
      <c r="R116" s="636"/>
      <c r="T116" s="255" t="str">
        <f t="shared" si="47"/>
        <v>-</v>
      </c>
      <c r="U116" s="237" t="str">
        <f t="shared" si="45"/>
        <v>OK</v>
      </c>
      <c r="V116" s="578">
        <f t="shared" si="46"/>
        <v>0</v>
      </c>
    </row>
    <row r="117" spans="3:22">
      <c r="C117" s="582" t="str">
        <f t="shared" ref="C117:C128" si="54">D18</f>
        <v>Existing: Residential lighting</v>
      </c>
      <c r="D117" s="85"/>
      <c r="E117" s="85"/>
      <c r="F117" s="85"/>
      <c r="G117" s="85"/>
      <c r="H117" s="639">
        <f>1-H131</f>
        <v>0.7</v>
      </c>
      <c r="I117" s="639">
        <f>1-I131</f>
        <v>0.7</v>
      </c>
      <c r="J117" s="639">
        <f t="shared" ref="J117:K117" si="55">1-J131</f>
        <v>0.7</v>
      </c>
      <c r="K117" s="639">
        <f t="shared" si="55"/>
        <v>0.7</v>
      </c>
      <c r="L117" s="151">
        <f>1-L131</f>
        <v>0.30000000000000004</v>
      </c>
      <c r="M117" s="151">
        <f t="shared" ref="M117:R117" si="56">1-M131</f>
        <v>0.30000000000000004</v>
      </c>
      <c r="N117" s="151">
        <f t="shared" si="56"/>
        <v>0.30000000000000004</v>
      </c>
      <c r="O117" s="151">
        <f t="shared" si="56"/>
        <v>0.30000000000000004</v>
      </c>
      <c r="P117" s="151">
        <f t="shared" si="56"/>
        <v>0.30000000000000004</v>
      </c>
      <c r="Q117" s="151">
        <f t="shared" si="56"/>
        <v>0.30000000000000004</v>
      </c>
      <c r="R117" s="1354">
        <f t="shared" si="56"/>
        <v>0.30000000000000004</v>
      </c>
      <c r="T117" s="255">
        <f t="shared" si="47"/>
        <v>0</v>
      </c>
      <c r="U117" s="237" t="str">
        <f t="shared" si="45"/>
        <v>VARIANCE</v>
      </c>
      <c r="V117" s="578">
        <f t="shared" si="46"/>
        <v>0.93333333333333335</v>
      </c>
    </row>
    <row r="118" spans="3:22">
      <c r="C118" s="582" t="str">
        <f t="shared" si="54"/>
        <v>Existing: Hotels &amp; Hospitals</v>
      </c>
      <c r="D118" s="85"/>
      <c r="E118" s="85"/>
      <c r="F118" s="85"/>
      <c r="G118" s="85"/>
      <c r="H118" s="639">
        <f t="shared" ref="H118" si="57">1-H132</f>
        <v>0.7</v>
      </c>
      <c r="I118" s="639">
        <f t="shared" ref="I118:K120" si="58">1-I132</f>
        <v>0.7</v>
      </c>
      <c r="J118" s="639">
        <f t="shared" si="58"/>
        <v>0.7</v>
      </c>
      <c r="K118" s="639">
        <f t="shared" si="58"/>
        <v>0.7</v>
      </c>
      <c r="L118" s="151">
        <f t="shared" ref="L118:R128" si="59">1-L132</f>
        <v>0.30000000000000004</v>
      </c>
      <c r="M118" s="151">
        <f t="shared" si="59"/>
        <v>0.30000000000000004</v>
      </c>
      <c r="N118" s="151">
        <f t="shared" si="59"/>
        <v>0.30000000000000004</v>
      </c>
      <c r="O118" s="151">
        <f t="shared" si="59"/>
        <v>0.30000000000000004</v>
      </c>
      <c r="P118" s="151">
        <f t="shared" si="59"/>
        <v>0.30000000000000004</v>
      </c>
      <c r="Q118" s="151">
        <f t="shared" si="59"/>
        <v>0.30000000000000004</v>
      </c>
      <c r="R118" s="1354">
        <f t="shared" si="59"/>
        <v>0.30000000000000004</v>
      </c>
      <c r="T118" s="255">
        <f t="shared" si="47"/>
        <v>0</v>
      </c>
      <c r="U118" s="237" t="str">
        <f t="shared" si="45"/>
        <v>VARIANCE</v>
      </c>
      <c r="V118" s="578">
        <f t="shared" si="46"/>
        <v>0.93333333333333335</v>
      </c>
    </row>
    <row r="119" spans="3:22">
      <c r="C119" s="582" t="str">
        <f t="shared" si="54"/>
        <v>Existing: Government &amp; Infrastructure</v>
      </c>
      <c r="D119" s="85"/>
      <c r="E119" s="85"/>
      <c r="F119" s="85"/>
      <c r="G119" s="85"/>
      <c r="H119" s="639">
        <f t="shared" ref="H119" si="60">1-H133</f>
        <v>0.7</v>
      </c>
      <c r="I119" s="639">
        <f t="shared" si="58"/>
        <v>0.7</v>
      </c>
      <c r="J119" s="639">
        <f t="shared" si="58"/>
        <v>0.7</v>
      </c>
      <c r="K119" s="639">
        <f t="shared" si="58"/>
        <v>0.7</v>
      </c>
      <c r="L119" s="151">
        <f t="shared" si="59"/>
        <v>0.30000000000000004</v>
      </c>
      <c r="M119" s="151">
        <f t="shared" si="59"/>
        <v>0.30000000000000004</v>
      </c>
      <c r="N119" s="151">
        <f t="shared" si="59"/>
        <v>0.30000000000000004</v>
      </c>
      <c r="O119" s="151">
        <f t="shared" si="59"/>
        <v>0.30000000000000004</v>
      </c>
      <c r="P119" s="151">
        <f t="shared" si="59"/>
        <v>0.30000000000000004</v>
      </c>
      <c r="Q119" s="151">
        <f t="shared" si="59"/>
        <v>0.30000000000000004</v>
      </c>
      <c r="R119" s="1354">
        <f t="shared" si="59"/>
        <v>0.30000000000000004</v>
      </c>
      <c r="T119" s="255">
        <f t="shared" si="47"/>
        <v>0</v>
      </c>
      <c r="U119" s="237" t="str">
        <f t="shared" si="45"/>
        <v>VARIANCE</v>
      </c>
      <c r="V119" s="578">
        <f t="shared" si="46"/>
        <v>0.93333333333333335</v>
      </c>
    </row>
    <row r="120" spans="3:22">
      <c r="C120" s="582" t="str">
        <f t="shared" si="54"/>
        <v>Existing: Distributorship</v>
      </c>
      <c r="D120" s="85"/>
      <c r="E120" s="85"/>
      <c r="F120" s="85"/>
      <c r="G120" s="85"/>
      <c r="H120" s="639">
        <f t="shared" ref="H120" si="61">1-H134</f>
        <v>0.7</v>
      </c>
      <c r="I120" s="639">
        <f t="shared" si="58"/>
        <v>0.7</v>
      </c>
      <c r="J120" s="639">
        <f t="shared" si="58"/>
        <v>0.7</v>
      </c>
      <c r="K120" s="639">
        <f t="shared" si="58"/>
        <v>0.7</v>
      </c>
      <c r="L120" s="151">
        <f t="shared" si="59"/>
        <v>0.30000000000000004</v>
      </c>
      <c r="M120" s="151">
        <f t="shared" si="59"/>
        <v>0.30000000000000004</v>
      </c>
      <c r="N120" s="151">
        <f t="shared" si="59"/>
        <v>0.30000000000000004</v>
      </c>
      <c r="O120" s="151">
        <f t="shared" si="59"/>
        <v>0.30000000000000004</v>
      </c>
      <c r="P120" s="151">
        <f t="shared" si="59"/>
        <v>0.30000000000000004</v>
      </c>
      <c r="Q120" s="151">
        <f t="shared" si="59"/>
        <v>0.30000000000000004</v>
      </c>
      <c r="R120" s="1354">
        <f t="shared" si="59"/>
        <v>0.30000000000000004</v>
      </c>
      <c r="T120" s="255">
        <f t="shared" si="47"/>
        <v>0</v>
      </c>
      <c r="U120" s="237" t="str">
        <f t="shared" si="45"/>
        <v>VARIANCE</v>
      </c>
      <c r="V120" s="578">
        <f t="shared" si="46"/>
        <v>0.93333333333333335</v>
      </c>
    </row>
    <row r="121" spans="3:22">
      <c r="C121" s="582" t="str">
        <f t="shared" si="54"/>
        <v>Pipeline: UAE &amp; Oman projects</v>
      </c>
      <c r="D121" s="85"/>
      <c r="E121" s="85"/>
      <c r="F121" s="85"/>
      <c r="G121" s="85"/>
      <c r="H121" s="1359"/>
      <c r="I121" s="1359"/>
      <c r="J121" s="1359"/>
      <c r="K121" s="1359"/>
      <c r="L121" s="151">
        <f t="shared" si="59"/>
        <v>0.30000000000000004</v>
      </c>
      <c r="M121" s="151">
        <f t="shared" si="59"/>
        <v>0.30000000000000004</v>
      </c>
      <c r="N121" s="151">
        <f t="shared" si="59"/>
        <v>0.30000000000000004</v>
      </c>
      <c r="O121" s="151">
        <f t="shared" si="59"/>
        <v>0.30000000000000004</v>
      </c>
      <c r="P121" s="151">
        <f t="shared" si="59"/>
        <v>0.30000000000000004</v>
      </c>
      <c r="Q121" s="151">
        <f t="shared" si="59"/>
        <v>0.30000000000000004</v>
      </c>
      <c r="R121" s="1354">
        <f t="shared" si="59"/>
        <v>0.30000000000000004</v>
      </c>
      <c r="T121" s="255">
        <f t="shared" si="47"/>
        <v>0</v>
      </c>
      <c r="U121" s="237" t="str">
        <f t="shared" si="45"/>
        <v>OK</v>
      </c>
      <c r="V121" s="578">
        <f t="shared" si="46"/>
        <v>0</v>
      </c>
    </row>
    <row r="122" spans="3:22">
      <c r="C122" s="582" t="str">
        <f t="shared" si="54"/>
        <v>Pipeline: NA</v>
      </c>
      <c r="D122" s="85"/>
      <c r="E122" s="85"/>
      <c r="F122" s="85"/>
      <c r="G122" s="85"/>
      <c r="H122" s="1359"/>
      <c r="I122" s="1359"/>
      <c r="J122" s="1359"/>
      <c r="K122" s="1359"/>
      <c r="L122" s="151">
        <f t="shared" si="59"/>
        <v>0.30000000000000004</v>
      </c>
      <c r="M122" s="151">
        <f t="shared" si="59"/>
        <v>0.30000000000000004</v>
      </c>
      <c r="N122" s="151">
        <f t="shared" si="59"/>
        <v>0.30000000000000004</v>
      </c>
      <c r="O122" s="151">
        <f t="shared" si="59"/>
        <v>0.30000000000000004</v>
      </c>
      <c r="P122" s="151">
        <f t="shared" si="59"/>
        <v>0.30000000000000004</v>
      </c>
      <c r="Q122" s="151">
        <f t="shared" si="59"/>
        <v>0.30000000000000004</v>
      </c>
      <c r="R122" s="1354">
        <f t="shared" si="59"/>
        <v>0.30000000000000004</v>
      </c>
      <c r="T122" s="255">
        <f t="shared" si="47"/>
        <v>0</v>
      </c>
      <c r="U122" s="237" t="str">
        <f t="shared" si="45"/>
        <v>OK</v>
      </c>
      <c r="V122" s="578">
        <f t="shared" si="46"/>
        <v>0</v>
      </c>
    </row>
    <row r="123" spans="3:22">
      <c r="C123" s="582" t="str">
        <f t="shared" si="54"/>
        <v>Pipeline: NA</v>
      </c>
      <c r="D123" s="85"/>
      <c r="E123" s="85"/>
      <c r="F123" s="85"/>
      <c r="G123" s="85"/>
      <c r="H123" s="1359"/>
      <c r="I123" s="1359"/>
      <c r="J123" s="1359"/>
      <c r="K123" s="1359"/>
      <c r="L123" s="151">
        <f t="shared" si="59"/>
        <v>0.30000000000000004</v>
      </c>
      <c r="M123" s="151">
        <f t="shared" si="59"/>
        <v>0.30000000000000004</v>
      </c>
      <c r="N123" s="151">
        <f t="shared" si="59"/>
        <v>0.30000000000000004</v>
      </c>
      <c r="O123" s="151">
        <f t="shared" si="59"/>
        <v>0.30000000000000004</v>
      </c>
      <c r="P123" s="151">
        <f t="shared" si="59"/>
        <v>0.30000000000000004</v>
      </c>
      <c r="Q123" s="151">
        <f t="shared" si="59"/>
        <v>0.30000000000000004</v>
      </c>
      <c r="R123" s="1354">
        <f t="shared" si="59"/>
        <v>0.30000000000000004</v>
      </c>
      <c r="T123" s="255">
        <f t="shared" si="47"/>
        <v>0</v>
      </c>
      <c r="U123" s="237" t="str">
        <f t="shared" si="45"/>
        <v>OK</v>
      </c>
      <c r="V123" s="578">
        <f t="shared" si="46"/>
        <v>0</v>
      </c>
    </row>
    <row r="124" spans="3:22">
      <c r="C124" s="582" t="str">
        <f t="shared" si="54"/>
        <v>Pipeline: NA</v>
      </c>
      <c r="D124" s="85"/>
      <c r="E124" s="85"/>
      <c r="F124" s="85"/>
      <c r="G124" s="85"/>
      <c r="H124" s="1359"/>
      <c r="I124" s="1359"/>
      <c r="J124" s="1359"/>
      <c r="K124" s="1359"/>
      <c r="L124" s="151">
        <f t="shared" si="59"/>
        <v>0.30000000000000004</v>
      </c>
      <c r="M124" s="151">
        <f t="shared" si="59"/>
        <v>0.30000000000000004</v>
      </c>
      <c r="N124" s="151">
        <f t="shared" si="59"/>
        <v>0.30000000000000004</v>
      </c>
      <c r="O124" s="151">
        <f t="shared" si="59"/>
        <v>0.30000000000000004</v>
      </c>
      <c r="P124" s="151">
        <f t="shared" si="59"/>
        <v>0.30000000000000004</v>
      </c>
      <c r="Q124" s="151">
        <f t="shared" si="59"/>
        <v>0.30000000000000004</v>
      </c>
      <c r="R124" s="1354">
        <f t="shared" si="59"/>
        <v>0.30000000000000004</v>
      </c>
      <c r="T124" s="255">
        <f t="shared" si="47"/>
        <v>0</v>
      </c>
      <c r="U124" s="237" t="str">
        <f t="shared" si="45"/>
        <v>OK</v>
      </c>
      <c r="V124" s="578">
        <f t="shared" si="46"/>
        <v>0</v>
      </c>
    </row>
    <row r="125" spans="3:22">
      <c r="C125" s="582" t="str">
        <f t="shared" si="54"/>
        <v>Potential: Product contracts by specifiers</v>
      </c>
      <c r="D125" s="85"/>
      <c r="E125" s="85"/>
      <c r="F125" s="85"/>
      <c r="G125" s="85"/>
      <c r="H125" s="1359"/>
      <c r="I125" s="1359"/>
      <c r="J125" s="1359"/>
      <c r="K125" s="1359"/>
      <c r="L125" s="151">
        <f t="shared" si="59"/>
        <v>0.30000000000000004</v>
      </c>
      <c r="M125" s="151">
        <f t="shared" si="59"/>
        <v>0.30000000000000004</v>
      </c>
      <c r="N125" s="151">
        <f t="shared" si="59"/>
        <v>0.30000000000000004</v>
      </c>
      <c r="O125" s="151">
        <f t="shared" si="59"/>
        <v>0.30000000000000004</v>
      </c>
      <c r="P125" s="151">
        <f t="shared" si="59"/>
        <v>0.30000000000000004</v>
      </c>
      <c r="Q125" s="151">
        <f t="shared" si="59"/>
        <v>0.30000000000000004</v>
      </c>
      <c r="R125" s="1354">
        <f t="shared" si="59"/>
        <v>0.30000000000000004</v>
      </c>
      <c r="T125" s="255">
        <f t="shared" si="47"/>
        <v>0</v>
      </c>
      <c r="U125" s="237" t="str">
        <f t="shared" si="45"/>
        <v>OK</v>
      </c>
      <c r="V125" s="578">
        <f t="shared" si="46"/>
        <v>0</v>
      </c>
    </row>
    <row r="126" spans="3:22">
      <c r="C126" s="582" t="str">
        <f t="shared" si="54"/>
        <v>Potential: NA</v>
      </c>
      <c r="D126" s="85"/>
      <c r="E126" s="85"/>
      <c r="F126" s="85"/>
      <c r="G126" s="85"/>
      <c r="H126" s="1359"/>
      <c r="I126" s="1359"/>
      <c r="J126" s="1359"/>
      <c r="K126" s="1359"/>
      <c r="L126" s="151">
        <f t="shared" si="59"/>
        <v>0.30000000000000004</v>
      </c>
      <c r="M126" s="151">
        <f t="shared" si="59"/>
        <v>0.30000000000000004</v>
      </c>
      <c r="N126" s="151">
        <f t="shared" si="59"/>
        <v>0.30000000000000004</v>
      </c>
      <c r="O126" s="151">
        <f t="shared" si="59"/>
        <v>0.30000000000000004</v>
      </c>
      <c r="P126" s="151">
        <f t="shared" si="59"/>
        <v>0.30000000000000004</v>
      </c>
      <c r="Q126" s="151">
        <f t="shared" si="59"/>
        <v>0.30000000000000004</v>
      </c>
      <c r="R126" s="1354">
        <f t="shared" si="59"/>
        <v>0.30000000000000004</v>
      </c>
      <c r="T126" s="255">
        <f t="shared" si="47"/>
        <v>0</v>
      </c>
      <c r="U126" s="237" t="str">
        <f t="shared" si="45"/>
        <v>OK</v>
      </c>
      <c r="V126" s="578">
        <f t="shared" si="46"/>
        <v>0</v>
      </c>
    </row>
    <row r="127" spans="3:22">
      <c r="C127" s="582" t="str">
        <f t="shared" si="54"/>
        <v>Potential: NA</v>
      </c>
      <c r="D127" s="85"/>
      <c r="E127" s="85"/>
      <c r="F127" s="85"/>
      <c r="G127" s="85"/>
      <c r="H127" s="1359"/>
      <c r="I127" s="1359"/>
      <c r="J127" s="1359"/>
      <c r="K127" s="1359"/>
      <c r="L127" s="151">
        <f t="shared" si="59"/>
        <v>0.30000000000000004</v>
      </c>
      <c r="M127" s="151">
        <f t="shared" si="59"/>
        <v>0.30000000000000004</v>
      </c>
      <c r="N127" s="151">
        <f t="shared" si="59"/>
        <v>0.30000000000000004</v>
      </c>
      <c r="O127" s="151">
        <f t="shared" si="59"/>
        <v>0.30000000000000004</v>
      </c>
      <c r="P127" s="151">
        <f t="shared" si="59"/>
        <v>0.30000000000000004</v>
      </c>
      <c r="Q127" s="151">
        <f t="shared" si="59"/>
        <v>0.30000000000000004</v>
      </c>
      <c r="R127" s="1354">
        <f t="shared" si="59"/>
        <v>0.30000000000000004</v>
      </c>
      <c r="T127" s="255">
        <f t="shared" si="47"/>
        <v>0</v>
      </c>
      <c r="U127" s="237" t="str">
        <f t="shared" si="45"/>
        <v>OK</v>
      </c>
      <c r="V127" s="578">
        <f t="shared" si="46"/>
        <v>0</v>
      </c>
    </row>
    <row r="128" spans="3:22">
      <c r="C128" s="582" t="str">
        <f t="shared" si="54"/>
        <v>Potential: NA</v>
      </c>
      <c r="D128" s="85"/>
      <c r="E128" s="85"/>
      <c r="F128" s="85"/>
      <c r="G128" s="85"/>
      <c r="H128" s="1359"/>
      <c r="I128" s="1359"/>
      <c r="J128" s="1359"/>
      <c r="K128" s="1359"/>
      <c r="L128" s="151">
        <f t="shared" si="59"/>
        <v>0.30000000000000004</v>
      </c>
      <c r="M128" s="151">
        <f t="shared" si="59"/>
        <v>0.30000000000000004</v>
      </c>
      <c r="N128" s="151">
        <f t="shared" si="59"/>
        <v>0.30000000000000004</v>
      </c>
      <c r="O128" s="151">
        <f t="shared" si="59"/>
        <v>0.30000000000000004</v>
      </c>
      <c r="P128" s="151">
        <f t="shared" si="59"/>
        <v>0.30000000000000004</v>
      </c>
      <c r="Q128" s="151">
        <f t="shared" si="59"/>
        <v>0.30000000000000004</v>
      </c>
      <c r="R128" s="1354">
        <f t="shared" si="59"/>
        <v>0.30000000000000004</v>
      </c>
      <c r="T128" s="255">
        <f t="shared" si="47"/>
        <v>0</v>
      </c>
      <c r="U128" s="237" t="str">
        <f t="shared" si="45"/>
        <v>OK</v>
      </c>
      <c r="V128" s="578">
        <f t="shared" si="46"/>
        <v>0</v>
      </c>
    </row>
    <row r="129" spans="3:22">
      <c r="C129" s="637"/>
      <c r="D129" s="638"/>
      <c r="E129" s="638"/>
      <c r="F129" s="638"/>
      <c r="G129" s="638"/>
      <c r="H129" s="639"/>
      <c r="I129" s="639"/>
      <c r="J129" s="639"/>
      <c r="K129" s="639"/>
      <c r="L129" s="639"/>
      <c r="M129" s="639"/>
      <c r="N129" s="639"/>
      <c r="O129" s="639"/>
      <c r="P129" s="639"/>
      <c r="Q129" s="639"/>
      <c r="R129" s="640"/>
      <c r="T129" s="255" t="str">
        <f t="shared" si="47"/>
        <v>-</v>
      </c>
      <c r="U129" s="237" t="str">
        <f t="shared" ref="U129:U163" si="62">IFERROR(IF(K129+L129=M129,"OK","VARIANCE"),"")</f>
        <v>OK</v>
      </c>
      <c r="V129" s="578">
        <f t="shared" ref="V129:V162" si="63">IFERROR((K129/ytd.months)*12,"NA")</f>
        <v>0</v>
      </c>
    </row>
    <row r="130" spans="3:22">
      <c r="C130" s="633" t="s">
        <v>1813</v>
      </c>
      <c r="D130" s="634"/>
      <c r="E130" s="634"/>
      <c r="F130" s="634"/>
      <c r="G130" s="634"/>
      <c r="H130" s="635"/>
      <c r="I130" s="635"/>
      <c r="J130" s="635"/>
      <c r="K130" s="635"/>
      <c r="L130" s="635"/>
      <c r="M130" s="635"/>
      <c r="N130" s="635"/>
      <c r="O130" s="635"/>
      <c r="P130" s="635"/>
      <c r="Q130" s="635"/>
      <c r="R130" s="636"/>
      <c r="T130" s="255" t="str">
        <f t="shared" si="47"/>
        <v>-</v>
      </c>
      <c r="U130" s="237" t="str">
        <f t="shared" si="62"/>
        <v>OK</v>
      </c>
      <c r="V130" s="578">
        <f t="shared" si="63"/>
        <v>0</v>
      </c>
    </row>
    <row r="131" spans="3:22">
      <c r="C131" s="582" t="str">
        <f>C117</f>
        <v>Existing: Residential lighting</v>
      </c>
      <c r="D131" s="109"/>
      <c r="E131" s="109"/>
      <c r="F131" s="109"/>
      <c r="G131" s="109"/>
      <c r="H131" s="1364">
        <f>Hist.Fin!H31</f>
        <v>0.3</v>
      </c>
      <c r="I131" s="1364">
        <f>Hist.Fin!I31</f>
        <v>0.3</v>
      </c>
      <c r="J131" s="1364">
        <f>Hist.Fin!J31</f>
        <v>0.3</v>
      </c>
      <c r="K131" s="1364">
        <f>Hist.Fin!K31</f>
        <v>0.3</v>
      </c>
      <c r="L131" s="641">
        <f>M131</f>
        <v>0.7</v>
      </c>
      <c r="M131" s="1348">
        <f>Inputs!L167</f>
        <v>0.7</v>
      </c>
      <c r="N131" s="1349">
        <f>Inputs!M167</f>
        <v>0.7</v>
      </c>
      <c r="O131" s="1348">
        <f>Inputs!N167</f>
        <v>0.7</v>
      </c>
      <c r="P131" s="1348">
        <f>Inputs!O167</f>
        <v>0.7</v>
      </c>
      <c r="Q131" s="1348">
        <f>Inputs!P167</f>
        <v>0.7</v>
      </c>
      <c r="R131" s="1350">
        <f>Inputs!Q167</f>
        <v>0.7</v>
      </c>
      <c r="T131" s="255">
        <f t="shared" si="47"/>
        <v>0</v>
      </c>
      <c r="U131" s="237" t="str">
        <f t="shared" si="62"/>
        <v>VARIANCE</v>
      </c>
      <c r="V131" s="578">
        <f t="shared" si="63"/>
        <v>0.4</v>
      </c>
    </row>
    <row r="132" spans="3:22">
      <c r="C132" s="582" t="str">
        <f t="shared" ref="C132:C142" si="64">C118</f>
        <v>Existing: Hotels &amp; Hospitals</v>
      </c>
      <c r="D132" s="109"/>
      <c r="E132" s="109"/>
      <c r="F132" s="109"/>
      <c r="G132" s="109"/>
      <c r="H132" s="1364">
        <f>Hist.Fin!H32</f>
        <v>0.3</v>
      </c>
      <c r="I132" s="1364">
        <f>Hist.Fin!I32</f>
        <v>0.3</v>
      </c>
      <c r="J132" s="1364">
        <f>Hist.Fin!J32</f>
        <v>0.3</v>
      </c>
      <c r="K132" s="1364">
        <f>Hist.Fin!K32</f>
        <v>0.3</v>
      </c>
      <c r="L132" s="641">
        <f t="shared" ref="L132:L142" si="65">M132</f>
        <v>0.7</v>
      </c>
      <c r="M132" s="1348">
        <f>Inputs!L168</f>
        <v>0.7</v>
      </c>
      <c r="N132" s="1351">
        <f>Inputs!M168</f>
        <v>0.7</v>
      </c>
      <c r="O132" s="1351">
        <f>Inputs!N168</f>
        <v>0.7</v>
      </c>
      <c r="P132" s="1351">
        <f>Inputs!O168</f>
        <v>0.7</v>
      </c>
      <c r="Q132" s="1351">
        <f>Inputs!P168</f>
        <v>0.7</v>
      </c>
      <c r="R132" s="1350">
        <f>Inputs!Q168</f>
        <v>0.7</v>
      </c>
      <c r="T132" s="255">
        <f t="shared" si="47"/>
        <v>0</v>
      </c>
      <c r="U132" s="237" t="str">
        <f t="shared" si="62"/>
        <v>VARIANCE</v>
      </c>
      <c r="V132" s="578">
        <f t="shared" si="63"/>
        <v>0.4</v>
      </c>
    </row>
    <row r="133" spans="3:22">
      <c r="C133" s="582" t="str">
        <f t="shared" si="64"/>
        <v>Existing: Government &amp; Infrastructure</v>
      </c>
      <c r="D133" s="109"/>
      <c r="E133" s="109"/>
      <c r="F133" s="109"/>
      <c r="G133" s="109"/>
      <c r="H133" s="1364">
        <f>Hist.Fin!H33</f>
        <v>0.3</v>
      </c>
      <c r="I133" s="1364">
        <f>Hist.Fin!I33</f>
        <v>0.3</v>
      </c>
      <c r="J133" s="1364">
        <f>Hist.Fin!J33</f>
        <v>0.3</v>
      </c>
      <c r="K133" s="1364">
        <f>Hist.Fin!K33</f>
        <v>0.3</v>
      </c>
      <c r="L133" s="641">
        <f t="shared" si="65"/>
        <v>0.7</v>
      </c>
      <c r="M133" s="1348">
        <f>Inputs!L169</f>
        <v>0.7</v>
      </c>
      <c r="N133" s="1351">
        <f>Inputs!M169</f>
        <v>0.7</v>
      </c>
      <c r="O133" s="1348">
        <f>Inputs!N169</f>
        <v>0.7</v>
      </c>
      <c r="P133" s="1348">
        <f>Inputs!O169</f>
        <v>0.7</v>
      </c>
      <c r="Q133" s="1348">
        <f>Inputs!P169</f>
        <v>0.7</v>
      </c>
      <c r="R133" s="1350">
        <f>Inputs!Q169</f>
        <v>0.7</v>
      </c>
      <c r="T133" s="255">
        <f t="shared" si="47"/>
        <v>0</v>
      </c>
      <c r="U133" s="237" t="str">
        <f t="shared" si="62"/>
        <v>VARIANCE</v>
      </c>
      <c r="V133" s="578">
        <f t="shared" si="63"/>
        <v>0.4</v>
      </c>
    </row>
    <row r="134" spans="3:22">
      <c r="C134" s="582" t="str">
        <f t="shared" si="64"/>
        <v>Existing: Distributorship</v>
      </c>
      <c r="D134" s="109"/>
      <c r="E134" s="109"/>
      <c r="F134" s="109"/>
      <c r="G134" s="109"/>
      <c r="H134" s="1364">
        <f>Hist.Fin!H34</f>
        <v>0.3</v>
      </c>
      <c r="I134" s="1364">
        <f>Hist.Fin!I34</f>
        <v>0.3</v>
      </c>
      <c r="J134" s="1364">
        <f>Hist.Fin!J34</f>
        <v>0.3</v>
      </c>
      <c r="K134" s="1364">
        <f>Hist.Fin!K34</f>
        <v>0.3</v>
      </c>
      <c r="L134" s="641">
        <f t="shared" si="65"/>
        <v>0.7</v>
      </c>
      <c r="M134" s="1348">
        <f>Inputs!L170</f>
        <v>0.7</v>
      </c>
      <c r="N134" s="1351">
        <f>Inputs!M170</f>
        <v>0.7</v>
      </c>
      <c r="O134" s="1348">
        <f>Inputs!N170</f>
        <v>0.7</v>
      </c>
      <c r="P134" s="1348">
        <f>Inputs!O170</f>
        <v>0.7</v>
      </c>
      <c r="Q134" s="1348">
        <f>Inputs!P170</f>
        <v>0.7</v>
      </c>
      <c r="R134" s="1350">
        <f>Inputs!Q170</f>
        <v>0.7</v>
      </c>
      <c r="T134" s="255">
        <f t="shared" si="47"/>
        <v>0</v>
      </c>
      <c r="U134" s="237" t="str">
        <f t="shared" si="62"/>
        <v>VARIANCE</v>
      </c>
      <c r="V134" s="578">
        <f t="shared" si="63"/>
        <v>0.4</v>
      </c>
    </row>
    <row r="135" spans="3:22">
      <c r="C135" s="582" t="str">
        <f t="shared" si="64"/>
        <v>Pipeline: UAE &amp; Oman projects</v>
      </c>
      <c r="D135" s="109"/>
      <c r="E135" s="109"/>
      <c r="F135" s="109"/>
      <c r="G135" s="109"/>
      <c r="H135" s="1360"/>
      <c r="I135" s="1360"/>
      <c r="J135" s="1360"/>
      <c r="K135" s="1360"/>
      <c r="L135" s="641">
        <f t="shared" si="65"/>
        <v>0.7</v>
      </c>
      <c r="M135" s="1348">
        <f>Inputs!L171</f>
        <v>0.7</v>
      </c>
      <c r="N135" s="1351">
        <f>Inputs!M171</f>
        <v>0.7</v>
      </c>
      <c r="O135" s="1348">
        <f>Inputs!N171</f>
        <v>0.7</v>
      </c>
      <c r="P135" s="1348">
        <f>Inputs!O171</f>
        <v>0.7</v>
      </c>
      <c r="Q135" s="1348">
        <f>Inputs!P171</f>
        <v>0.7</v>
      </c>
      <c r="R135" s="1350">
        <f>Inputs!Q171</f>
        <v>0.7</v>
      </c>
      <c r="T135" s="255">
        <f t="shared" si="47"/>
        <v>0</v>
      </c>
      <c r="U135" s="237" t="str">
        <f t="shared" si="62"/>
        <v>OK</v>
      </c>
      <c r="V135" s="578">
        <f t="shared" si="63"/>
        <v>0</v>
      </c>
    </row>
    <row r="136" spans="3:22">
      <c r="C136" s="582" t="str">
        <f t="shared" si="64"/>
        <v>Pipeline: NA</v>
      </c>
      <c r="D136" s="109"/>
      <c r="E136" s="109"/>
      <c r="F136" s="109"/>
      <c r="G136" s="109"/>
      <c r="H136" s="1360"/>
      <c r="I136" s="1360"/>
      <c r="J136" s="1360"/>
      <c r="K136" s="1360"/>
      <c r="L136" s="641">
        <f t="shared" si="65"/>
        <v>0.7</v>
      </c>
      <c r="M136" s="1348">
        <f>Inputs!L172</f>
        <v>0.7</v>
      </c>
      <c r="N136" s="1351">
        <f>Inputs!M172</f>
        <v>0.7</v>
      </c>
      <c r="O136" s="1348">
        <f>Inputs!N172</f>
        <v>0.7</v>
      </c>
      <c r="P136" s="1348">
        <f>Inputs!O172</f>
        <v>0.7</v>
      </c>
      <c r="Q136" s="1348">
        <f>Inputs!P172</f>
        <v>0.7</v>
      </c>
      <c r="R136" s="1350">
        <f>Inputs!Q172</f>
        <v>0.7</v>
      </c>
      <c r="T136" s="255">
        <f t="shared" si="47"/>
        <v>0</v>
      </c>
      <c r="U136" s="237" t="str">
        <f t="shared" si="62"/>
        <v>OK</v>
      </c>
      <c r="V136" s="578">
        <f t="shared" si="63"/>
        <v>0</v>
      </c>
    </row>
    <row r="137" spans="3:22">
      <c r="C137" s="582" t="str">
        <f t="shared" si="64"/>
        <v>Pipeline: NA</v>
      </c>
      <c r="D137" s="109"/>
      <c r="E137" s="109"/>
      <c r="F137" s="109"/>
      <c r="G137" s="109"/>
      <c r="H137" s="1360"/>
      <c r="I137" s="1360"/>
      <c r="J137" s="1360"/>
      <c r="K137" s="1360"/>
      <c r="L137" s="641">
        <f t="shared" si="65"/>
        <v>0.7</v>
      </c>
      <c r="M137" s="1348">
        <f>Inputs!L173</f>
        <v>0.7</v>
      </c>
      <c r="N137" s="1351">
        <f>Inputs!M173</f>
        <v>0.7</v>
      </c>
      <c r="O137" s="1348">
        <f>Inputs!N173</f>
        <v>0.7</v>
      </c>
      <c r="P137" s="1348">
        <f>Inputs!O173</f>
        <v>0.7</v>
      </c>
      <c r="Q137" s="1348">
        <f>Inputs!P173</f>
        <v>0.7</v>
      </c>
      <c r="R137" s="1350">
        <f>Inputs!Q173</f>
        <v>0.7</v>
      </c>
      <c r="T137" s="255">
        <f t="shared" si="47"/>
        <v>0</v>
      </c>
      <c r="U137" s="237" t="str">
        <f t="shared" si="62"/>
        <v>OK</v>
      </c>
      <c r="V137" s="578">
        <f t="shared" si="63"/>
        <v>0</v>
      </c>
    </row>
    <row r="138" spans="3:22">
      <c r="C138" s="582" t="str">
        <f t="shared" si="64"/>
        <v>Pipeline: NA</v>
      </c>
      <c r="D138" s="109"/>
      <c r="E138" s="109"/>
      <c r="F138" s="109"/>
      <c r="G138" s="109"/>
      <c r="H138" s="1360"/>
      <c r="I138" s="1360"/>
      <c r="J138" s="1360"/>
      <c r="K138" s="1360"/>
      <c r="L138" s="641">
        <f t="shared" si="65"/>
        <v>0.7</v>
      </c>
      <c r="M138" s="1348">
        <f>Inputs!L174</f>
        <v>0.7</v>
      </c>
      <c r="N138" s="1351">
        <f>Inputs!M174</f>
        <v>0.7</v>
      </c>
      <c r="O138" s="1348">
        <f>Inputs!N174</f>
        <v>0.7</v>
      </c>
      <c r="P138" s="1348">
        <f>Inputs!O174</f>
        <v>0.7</v>
      </c>
      <c r="Q138" s="1348">
        <f>Inputs!P174</f>
        <v>0.7</v>
      </c>
      <c r="R138" s="1350">
        <f>Inputs!Q174</f>
        <v>0.7</v>
      </c>
      <c r="T138" s="255">
        <f t="shared" si="47"/>
        <v>0</v>
      </c>
      <c r="U138" s="237" t="str">
        <f t="shared" si="62"/>
        <v>OK</v>
      </c>
      <c r="V138" s="578">
        <f t="shared" si="63"/>
        <v>0</v>
      </c>
    </row>
    <row r="139" spans="3:22">
      <c r="C139" s="582" t="str">
        <f t="shared" si="64"/>
        <v>Potential: Product contracts by specifiers</v>
      </c>
      <c r="D139" s="109"/>
      <c r="E139" s="109"/>
      <c r="F139" s="109"/>
      <c r="G139" s="109"/>
      <c r="H139" s="1360"/>
      <c r="I139" s="1360"/>
      <c r="J139" s="1360"/>
      <c r="K139" s="1360"/>
      <c r="L139" s="641">
        <f t="shared" si="65"/>
        <v>0.7</v>
      </c>
      <c r="M139" s="1348">
        <f>Inputs!L175</f>
        <v>0.7</v>
      </c>
      <c r="N139" s="1351">
        <f>Inputs!M175</f>
        <v>0.7</v>
      </c>
      <c r="O139" s="1348">
        <f>Inputs!N175</f>
        <v>0.7</v>
      </c>
      <c r="P139" s="1348">
        <f>Inputs!O175</f>
        <v>0.7</v>
      </c>
      <c r="Q139" s="1348">
        <f>Inputs!P175</f>
        <v>0.7</v>
      </c>
      <c r="R139" s="1350">
        <f>Inputs!Q175</f>
        <v>0.7</v>
      </c>
      <c r="T139" s="255">
        <f t="shared" si="47"/>
        <v>0</v>
      </c>
      <c r="U139" s="237" t="str">
        <f t="shared" si="62"/>
        <v>OK</v>
      </c>
      <c r="V139" s="578">
        <f t="shared" si="63"/>
        <v>0</v>
      </c>
    </row>
    <row r="140" spans="3:22">
      <c r="C140" s="582" t="str">
        <f t="shared" si="64"/>
        <v>Potential: NA</v>
      </c>
      <c r="D140" s="109"/>
      <c r="E140" s="109"/>
      <c r="F140" s="109"/>
      <c r="G140" s="109"/>
      <c r="H140" s="1360"/>
      <c r="I140" s="1360"/>
      <c r="J140" s="1360"/>
      <c r="K140" s="1360"/>
      <c r="L140" s="641">
        <f t="shared" si="65"/>
        <v>0.7</v>
      </c>
      <c r="M140" s="1348">
        <f>Inputs!L176</f>
        <v>0.7</v>
      </c>
      <c r="N140" s="1351">
        <f>Inputs!M176</f>
        <v>0.7</v>
      </c>
      <c r="O140" s="1348">
        <f>Inputs!N176</f>
        <v>0.7</v>
      </c>
      <c r="P140" s="1348">
        <f>Inputs!O176</f>
        <v>0.7</v>
      </c>
      <c r="Q140" s="1348">
        <f>Inputs!P176</f>
        <v>0.7</v>
      </c>
      <c r="R140" s="1350">
        <f>Inputs!Q176</f>
        <v>0.7</v>
      </c>
      <c r="T140" s="255">
        <f t="shared" si="47"/>
        <v>0</v>
      </c>
      <c r="U140" s="237" t="str">
        <f t="shared" si="62"/>
        <v>OK</v>
      </c>
      <c r="V140" s="578">
        <f t="shared" si="63"/>
        <v>0</v>
      </c>
    </row>
    <row r="141" spans="3:22">
      <c r="C141" s="582" t="str">
        <f t="shared" si="64"/>
        <v>Potential: NA</v>
      </c>
      <c r="D141" s="109"/>
      <c r="E141" s="109"/>
      <c r="F141" s="109"/>
      <c r="G141" s="109"/>
      <c r="H141" s="1360"/>
      <c r="I141" s="1360"/>
      <c r="J141" s="1360"/>
      <c r="K141" s="1360"/>
      <c r="L141" s="641">
        <f t="shared" si="65"/>
        <v>0.7</v>
      </c>
      <c r="M141" s="1348">
        <f>Inputs!L177</f>
        <v>0.7</v>
      </c>
      <c r="N141" s="1351">
        <f>Inputs!M177</f>
        <v>0.7</v>
      </c>
      <c r="O141" s="1348">
        <f>Inputs!N177</f>
        <v>0.7</v>
      </c>
      <c r="P141" s="1348">
        <f>Inputs!O177</f>
        <v>0.7</v>
      </c>
      <c r="Q141" s="1348">
        <f>Inputs!P177</f>
        <v>0.7</v>
      </c>
      <c r="R141" s="1350">
        <f>Inputs!Q177</f>
        <v>0.7</v>
      </c>
      <c r="T141" s="255">
        <f t="shared" si="47"/>
        <v>0</v>
      </c>
      <c r="U141" s="237" t="str">
        <f t="shared" si="62"/>
        <v>OK</v>
      </c>
      <c r="V141" s="578">
        <f t="shared" si="63"/>
        <v>0</v>
      </c>
    </row>
    <row r="142" spans="3:22">
      <c r="C142" s="603" t="str">
        <f t="shared" si="64"/>
        <v>Potential: NA</v>
      </c>
      <c r="D142" s="126"/>
      <c r="E142" s="126"/>
      <c r="F142" s="126"/>
      <c r="G142" s="126"/>
      <c r="H142" s="1361"/>
      <c r="I142" s="1361"/>
      <c r="J142" s="1361"/>
      <c r="K142" s="1361"/>
      <c r="L142" s="642">
        <f t="shared" si="65"/>
        <v>0.7</v>
      </c>
      <c r="M142" s="1352">
        <f>Inputs!L178</f>
        <v>0.7</v>
      </c>
      <c r="N142" s="1352">
        <f>Inputs!M178</f>
        <v>0.7</v>
      </c>
      <c r="O142" s="1352">
        <f>Inputs!N178</f>
        <v>0.7</v>
      </c>
      <c r="P142" s="1352">
        <f>Inputs!O178</f>
        <v>0.7</v>
      </c>
      <c r="Q142" s="1352">
        <f>Inputs!P178</f>
        <v>0.7</v>
      </c>
      <c r="R142" s="1353">
        <f>Inputs!Q178</f>
        <v>0.7</v>
      </c>
      <c r="T142" s="255">
        <f t="shared" si="47"/>
        <v>0</v>
      </c>
      <c r="U142" s="237" t="str">
        <f t="shared" si="62"/>
        <v>OK</v>
      </c>
      <c r="V142" s="578">
        <f t="shared" si="63"/>
        <v>0</v>
      </c>
    </row>
    <row r="143" spans="3:22">
      <c r="C143" s="109"/>
      <c r="D143" s="109"/>
      <c r="E143" s="109"/>
      <c r="F143" s="109"/>
      <c r="G143" s="109"/>
      <c r="H143" s="109"/>
      <c r="I143" s="109"/>
      <c r="J143" s="109"/>
      <c r="K143" s="109"/>
      <c r="L143" s="109"/>
      <c r="M143" s="109"/>
      <c r="N143" s="109"/>
      <c r="O143" s="109"/>
      <c r="P143" s="109"/>
      <c r="Q143" s="109"/>
      <c r="R143" s="109"/>
      <c r="T143" s="255" t="str">
        <f t="shared" si="47"/>
        <v>-</v>
      </c>
      <c r="U143" s="237" t="str">
        <f t="shared" si="62"/>
        <v>OK</v>
      </c>
      <c r="V143" s="578">
        <f t="shared" si="63"/>
        <v>0</v>
      </c>
    </row>
    <row r="144" spans="3:22">
      <c r="C144" s="607" t="s">
        <v>1821</v>
      </c>
      <c r="D144" s="608"/>
      <c r="E144" s="608"/>
      <c r="F144" s="608"/>
      <c r="G144" s="608"/>
      <c r="H144" s="609" t="str">
        <f t="shared" ref="H144:R144" si="66">H7</f>
        <v>FY21</v>
      </c>
      <c r="I144" s="609" t="str">
        <f t="shared" si="66"/>
        <v>FY22</v>
      </c>
      <c r="J144" s="610" t="str">
        <f t="shared" si="66"/>
        <v>FY23</v>
      </c>
      <c r="K144" s="610" t="str">
        <f t="shared" si="66"/>
        <v>YTD24</v>
      </c>
      <c r="L144" s="610" t="str">
        <f t="shared" si="66"/>
        <v>YTG24</v>
      </c>
      <c r="M144" s="611" t="str">
        <f t="shared" si="66"/>
        <v>FY24</v>
      </c>
      <c r="N144" s="609" t="str">
        <f t="shared" si="66"/>
        <v>FY25</v>
      </c>
      <c r="O144" s="609" t="str">
        <f t="shared" si="66"/>
        <v>FY26</v>
      </c>
      <c r="P144" s="609" t="str">
        <f t="shared" si="66"/>
        <v>FY27</v>
      </c>
      <c r="Q144" s="609" t="str">
        <f t="shared" si="66"/>
        <v>FY28</v>
      </c>
      <c r="R144" s="612" t="str">
        <f t="shared" si="66"/>
        <v>FY29</v>
      </c>
      <c r="T144" s="255" t="str">
        <f t="shared" si="47"/>
        <v>-</v>
      </c>
      <c r="U144" s="237" t="str">
        <f t="shared" si="62"/>
        <v/>
      </c>
      <c r="V144" s="578" t="str">
        <f t="shared" si="63"/>
        <v>NA</v>
      </c>
    </row>
    <row r="145" spans="3:22">
      <c r="C145" s="568" t="str">
        <f>currency.heading1</f>
        <v>INR 'Units</v>
      </c>
      <c r="D145" s="562"/>
      <c r="E145" s="562"/>
      <c r="F145" s="562"/>
      <c r="G145" s="562"/>
      <c r="H145" s="69" t="str">
        <f t="shared" ref="H145:R145" si="67">H8</f>
        <v>Actual</v>
      </c>
      <c r="I145" s="69" t="str">
        <f t="shared" si="67"/>
        <v>Actual</v>
      </c>
      <c r="J145" s="643" t="str">
        <f t="shared" si="67"/>
        <v>Actual</v>
      </c>
      <c r="K145" s="643" t="str">
        <f t="shared" si="67"/>
        <v>Actual</v>
      </c>
      <c r="L145" s="643" t="str">
        <f t="shared" si="67"/>
        <v>Estimate</v>
      </c>
      <c r="M145" s="644" t="str">
        <f t="shared" si="67"/>
        <v>Estimate</v>
      </c>
      <c r="N145" s="644" t="str">
        <f t="shared" si="67"/>
        <v>Estimate</v>
      </c>
      <c r="O145" s="69" t="str">
        <f t="shared" si="67"/>
        <v>Forecast</v>
      </c>
      <c r="P145" s="69" t="str">
        <f t="shared" si="67"/>
        <v>Forecast</v>
      </c>
      <c r="Q145" s="69" t="str">
        <f t="shared" si="67"/>
        <v>Forecast</v>
      </c>
      <c r="R145" s="643" t="str">
        <f t="shared" si="67"/>
        <v>Forecast</v>
      </c>
      <c r="T145" s="255" t="str">
        <f t="shared" si="47"/>
        <v>-</v>
      </c>
      <c r="U145" s="237" t="str">
        <f t="shared" si="62"/>
        <v/>
      </c>
      <c r="V145" s="578" t="str">
        <f t="shared" si="63"/>
        <v>NA</v>
      </c>
    </row>
    <row r="146" spans="3:22">
      <c r="C146" s="616" t="str">
        <f>Inputs!C182</f>
        <v>Staff cost</v>
      </c>
      <c r="D146" s="85"/>
      <c r="E146" s="85"/>
      <c r="F146" s="85"/>
      <c r="G146" s="85"/>
      <c r="H146" s="1365">
        <f>Hist.Fin!H37</f>
        <v>0</v>
      </c>
      <c r="I146" s="1365">
        <f>Hist.Fin!I37</f>
        <v>0</v>
      </c>
      <c r="J146" s="1365">
        <f>Hist.Fin!J37</f>
        <v>0</v>
      </c>
      <c r="K146" s="1365">
        <f>Hist.Fin!K37</f>
        <v>0</v>
      </c>
      <c r="L146" s="647">
        <f>IF(ytg.approach=Inputs!$C$39,K146*ytg.actual,IF(ytg.approach=Inputs!$C$40,ytg.mgt*M146,M146-K146))</f>
        <v>5000</v>
      </c>
      <c r="M146" s="646">
        <f>IF(Inputs!$D$181="Selected",Inputs!L182,Inputs!L196)</f>
        <v>5000</v>
      </c>
      <c r="N146" s="646">
        <f>IF(Inputs!$D$181="Selected",Inputs!M182,M146*(1+N159))</f>
        <v>5000</v>
      </c>
      <c r="O146" s="646">
        <f>IF(Inputs!$D$181="Selected",Inputs!N182,N146*(1+O159))</f>
        <v>5000</v>
      </c>
      <c r="P146" s="646">
        <f>IF(Inputs!$D$181="Selected",Inputs!O182,O146*(1+P159))</f>
        <v>5000</v>
      </c>
      <c r="Q146" s="646">
        <f>IF(Inputs!$D$181="Selected",Inputs!P182,P146*(1+Q159))</f>
        <v>5000</v>
      </c>
      <c r="R146" s="1316">
        <f>IF(Inputs!$D$181="Selected",Inputs!Q182,Q146*(1+R159))</f>
        <v>5000</v>
      </c>
      <c r="T146" s="255">
        <f t="shared" si="47"/>
        <v>0</v>
      </c>
      <c r="U146" s="237" t="str">
        <f t="shared" si="62"/>
        <v>OK</v>
      </c>
      <c r="V146" s="578">
        <f t="shared" si="63"/>
        <v>0</v>
      </c>
    </row>
    <row r="147" spans="3:22">
      <c r="C147" s="616" t="str">
        <f>Inputs!C183</f>
        <v>Sales Commission</v>
      </c>
      <c r="D147" s="85"/>
      <c r="E147" s="85"/>
      <c r="F147" s="85"/>
      <c r="G147" s="85"/>
      <c r="H147" s="1365">
        <f>Hist.Fin!H38</f>
        <v>0</v>
      </c>
      <c r="I147" s="1365">
        <f>Hist.Fin!I38</f>
        <v>0</v>
      </c>
      <c r="J147" s="1365">
        <f>Hist.Fin!J38</f>
        <v>0</v>
      </c>
      <c r="K147" s="1365">
        <f>Hist.Fin!K38</f>
        <v>0</v>
      </c>
      <c r="L147" s="647">
        <f>IF(ytg.approach=Inputs!$C$39,K147*ytg.actual,IF(ytg.approach=Inputs!$C$40,ytg.mgt*M147,M147-K147))</f>
        <v>5000</v>
      </c>
      <c r="M147" s="646">
        <f>IF(Inputs!$D$181="Selected",Inputs!L183,Inputs!L197)</f>
        <v>5000</v>
      </c>
      <c r="N147" s="646">
        <f>IF(Inputs!$D$181="Selected",Inputs!M183,M147*(1+N160))</f>
        <v>5000</v>
      </c>
      <c r="O147" s="646">
        <f>IF(Inputs!$D$181="Selected",Inputs!N183,N147*(1+O160))</f>
        <v>5000</v>
      </c>
      <c r="P147" s="646">
        <f>IF(Inputs!$D$181="Selected",Inputs!O183,O147*(1+P160))</f>
        <v>5000</v>
      </c>
      <c r="Q147" s="646">
        <f>IF(Inputs!$D$181="Selected",Inputs!P183,P147*(1+Q160))</f>
        <v>5000</v>
      </c>
      <c r="R147" s="1316">
        <f>IF(Inputs!$D$181="Selected",Inputs!Q183,Q147*(1+R160))</f>
        <v>5000</v>
      </c>
      <c r="T147" s="255">
        <f t="shared" si="47"/>
        <v>0</v>
      </c>
      <c r="U147" s="237" t="str">
        <f t="shared" si="62"/>
        <v>OK</v>
      </c>
      <c r="V147" s="578">
        <f t="shared" si="63"/>
        <v>0</v>
      </c>
    </row>
    <row r="148" spans="3:22">
      <c r="C148" s="616" t="str">
        <f>Inputs!C184</f>
        <v>Rent</v>
      </c>
      <c r="D148" s="85"/>
      <c r="E148" s="85"/>
      <c r="F148" s="85"/>
      <c r="G148" s="85"/>
      <c r="H148" s="1365">
        <f>Hist.Fin!H39</f>
        <v>0</v>
      </c>
      <c r="I148" s="1365">
        <f>Hist.Fin!I39</f>
        <v>0</v>
      </c>
      <c r="J148" s="1365">
        <f>Hist.Fin!J39</f>
        <v>0</v>
      </c>
      <c r="K148" s="1365">
        <f>Hist.Fin!K39</f>
        <v>0</v>
      </c>
      <c r="L148" s="647">
        <f>IF(ytg.approach=Inputs!$C$39,K148*ytg.actual,IF(ytg.approach=Inputs!$C$40,ytg.mgt*M148,M148-K148))</f>
        <v>5000</v>
      </c>
      <c r="M148" s="646">
        <f>IF(Inputs!$D$181="Selected",Inputs!L184,Inputs!L198)</f>
        <v>5000</v>
      </c>
      <c r="N148" s="646">
        <f>IF(Inputs!$D$181="Selected",Inputs!M184,M148*(1+N161))</f>
        <v>5000</v>
      </c>
      <c r="O148" s="646">
        <f>IF(Inputs!$D$181="Selected",Inputs!N184,N148*(1+O161))</f>
        <v>5000</v>
      </c>
      <c r="P148" s="646">
        <f>IF(Inputs!$D$181="Selected",Inputs!O184,O148*(1+P161))</f>
        <v>5000</v>
      </c>
      <c r="Q148" s="646">
        <f>IF(Inputs!$D$181="Selected",Inputs!P184,P148*(1+Q161))</f>
        <v>5000</v>
      </c>
      <c r="R148" s="1316">
        <f>IF(Inputs!$D$181="Selected",Inputs!Q184,Q148*(1+R161))</f>
        <v>5000</v>
      </c>
      <c r="T148" s="255">
        <f t="shared" si="47"/>
        <v>0</v>
      </c>
      <c r="U148" s="237" t="str">
        <f t="shared" si="62"/>
        <v>OK</v>
      </c>
      <c r="V148" s="578">
        <f t="shared" si="63"/>
        <v>0</v>
      </c>
    </row>
    <row r="149" spans="3:22">
      <c r="C149" s="616" t="str">
        <f>Inputs!C185</f>
        <v>Legal and professional fee</v>
      </c>
      <c r="D149" s="85"/>
      <c r="E149" s="85"/>
      <c r="F149" s="85"/>
      <c r="G149" s="85"/>
      <c r="H149" s="1365">
        <f>Hist.Fin!H40</f>
        <v>0</v>
      </c>
      <c r="I149" s="1365">
        <f>Hist.Fin!I40</f>
        <v>0</v>
      </c>
      <c r="J149" s="1365">
        <f>Hist.Fin!J40</f>
        <v>0</v>
      </c>
      <c r="K149" s="1365">
        <f>Hist.Fin!K40</f>
        <v>0</v>
      </c>
      <c r="L149" s="647">
        <f>IF(ytg.approach=Inputs!$C$39,K149*ytg.actual,IF(ytg.approach=Inputs!$C$40,ytg.mgt*M149,M149-K149))</f>
        <v>5000</v>
      </c>
      <c r="M149" s="646">
        <f>IF(Inputs!$D$181="Selected",Inputs!L185,Inputs!L199)</f>
        <v>5000</v>
      </c>
      <c r="N149" s="646">
        <f>IF(Inputs!$D$181="Selected",Inputs!M185,M149*(1+N162))</f>
        <v>5000</v>
      </c>
      <c r="O149" s="646">
        <f>IF(Inputs!$D$181="Selected",Inputs!N185,N149*(1+O162))</f>
        <v>5000</v>
      </c>
      <c r="P149" s="646">
        <f>IF(Inputs!$D$181="Selected",Inputs!O185,O149*(1+P162))</f>
        <v>5000</v>
      </c>
      <c r="Q149" s="646">
        <f>IF(Inputs!$D$181="Selected",Inputs!P185,P149*(1+Q162))</f>
        <v>5000</v>
      </c>
      <c r="R149" s="1316">
        <f>IF(Inputs!$D$181="Selected",Inputs!Q185,Q149*(1+R162))</f>
        <v>5000</v>
      </c>
      <c r="T149" s="255">
        <f t="shared" si="47"/>
        <v>0</v>
      </c>
      <c r="U149" s="237" t="str">
        <f t="shared" si="62"/>
        <v>OK</v>
      </c>
      <c r="V149" s="578">
        <f t="shared" si="63"/>
        <v>0</v>
      </c>
    </row>
    <row r="150" spans="3:22">
      <c r="C150" s="616" t="str">
        <f>Inputs!C186</f>
        <v>Travelling &amp; communication</v>
      </c>
      <c r="D150" s="85"/>
      <c r="E150" s="85"/>
      <c r="F150" s="85"/>
      <c r="G150" s="85"/>
      <c r="H150" s="1365">
        <f>Hist.Fin!H41</f>
        <v>0</v>
      </c>
      <c r="I150" s="1365">
        <f>Hist.Fin!I41</f>
        <v>0</v>
      </c>
      <c r="J150" s="1365">
        <f>Hist.Fin!J41</f>
        <v>0</v>
      </c>
      <c r="K150" s="1365">
        <f>Hist.Fin!K41</f>
        <v>0</v>
      </c>
      <c r="L150" s="647">
        <f>IF(ytg.approach=Inputs!$C$39,K150*ytg.actual,IF(ytg.approach=Inputs!$C$40,ytg.mgt*M150,M150-K150))</f>
        <v>5000</v>
      </c>
      <c r="M150" s="646">
        <f>IF(Inputs!$D$181="Selected",Inputs!L186,Inputs!L200)</f>
        <v>5000</v>
      </c>
      <c r="N150" s="646">
        <f>IF(Inputs!$D$181="Selected",Inputs!M186,M150*(1+N163))</f>
        <v>5000</v>
      </c>
      <c r="O150" s="646">
        <f>IF(Inputs!$D$181="Selected",Inputs!N186,N150*(1+O163))</f>
        <v>5000</v>
      </c>
      <c r="P150" s="646">
        <f>IF(Inputs!$D$181="Selected",Inputs!O186,O150*(1+P163))</f>
        <v>5000</v>
      </c>
      <c r="Q150" s="646">
        <f>IF(Inputs!$D$181="Selected",Inputs!P186,P150*(1+Q163))</f>
        <v>5000</v>
      </c>
      <c r="R150" s="1316">
        <f>IF(Inputs!$D$181="Selected",Inputs!Q186,Q150*(1+R163))</f>
        <v>5000</v>
      </c>
      <c r="T150" s="255">
        <f t="shared" si="47"/>
        <v>0</v>
      </c>
      <c r="U150" s="237" t="str">
        <f t="shared" si="62"/>
        <v>OK</v>
      </c>
      <c r="V150" s="578">
        <f t="shared" si="63"/>
        <v>0</v>
      </c>
    </row>
    <row r="151" spans="3:22">
      <c r="C151" s="616" t="str">
        <f>Inputs!C187</f>
        <v>Marketing &amp; PR cost</v>
      </c>
      <c r="D151" s="85"/>
      <c r="E151" s="85"/>
      <c r="F151" s="85"/>
      <c r="G151" s="85"/>
      <c r="H151" s="1365">
        <f>Hist.Fin!H42</f>
        <v>0</v>
      </c>
      <c r="I151" s="1365">
        <f>Hist.Fin!I42</f>
        <v>0</v>
      </c>
      <c r="J151" s="1365">
        <f>Hist.Fin!J42</f>
        <v>0</v>
      </c>
      <c r="K151" s="1365">
        <f>Hist.Fin!K42</f>
        <v>0</v>
      </c>
      <c r="L151" s="647">
        <f>IF(ytg.approach=Inputs!$C$39,K151*ytg.actual,IF(ytg.approach=Inputs!$C$40,ytg.mgt*M151,M151-K151))</f>
        <v>5000</v>
      </c>
      <c r="M151" s="646">
        <f>IF(Inputs!$D$181="Selected",Inputs!L187,Inputs!L201)</f>
        <v>5000</v>
      </c>
      <c r="N151" s="646">
        <f>IF(Inputs!$D$181="Selected",Inputs!M187,M151*(1+N164))</f>
        <v>5000</v>
      </c>
      <c r="O151" s="646">
        <f>IF(Inputs!$D$181="Selected",Inputs!N187,N151*(1+O164))</f>
        <v>5000</v>
      </c>
      <c r="P151" s="646">
        <f>IF(Inputs!$D$181="Selected",Inputs!O187,O151*(1+P164))</f>
        <v>5000</v>
      </c>
      <c r="Q151" s="646">
        <f>IF(Inputs!$D$181="Selected",Inputs!P187,P151*(1+Q164))</f>
        <v>5000</v>
      </c>
      <c r="R151" s="1316">
        <f>IF(Inputs!$D$181="Selected",Inputs!Q187,Q151*(1+R164))</f>
        <v>5000</v>
      </c>
      <c r="T151" s="255">
        <f t="shared" ref="T151" si="68">IFERROR((R151/N151)^(1/5)-1,"-")</f>
        <v>0</v>
      </c>
      <c r="U151" s="237" t="str">
        <f t="shared" ref="U151" si="69">IFERROR(IF(K151+L151=M151,"OK","VARIANCE"),"")</f>
        <v>OK</v>
      </c>
      <c r="V151" s="578">
        <f t="shared" ref="V151" si="70">IFERROR((K151/ytd.months)*12,"NA")</f>
        <v>0</v>
      </c>
    </row>
    <row r="152" spans="3:22">
      <c r="C152" s="616" t="str">
        <f>Inputs!C188</f>
        <v>Office &amp; sundry expenses</v>
      </c>
      <c r="D152" s="85"/>
      <c r="E152" s="85"/>
      <c r="F152" s="85"/>
      <c r="G152" s="85"/>
      <c r="H152" s="1365">
        <f>Hist.Fin!H44</f>
        <v>0</v>
      </c>
      <c r="I152" s="1365">
        <f>Hist.Fin!I44</f>
        <v>0</v>
      </c>
      <c r="J152" s="1365">
        <f>Hist.Fin!J44</f>
        <v>0</v>
      </c>
      <c r="K152" s="1365">
        <f>Hist.Fin!K44</f>
        <v>0</v>
      </c>
      <c r="L152" s="647">
        <f>IF(ytg.approach=Inputs!$C$39,K152*ytg.actual,IF(ytg.approach=Inputs!$C$40,ytg.mgt*M152,M152-K152))</f>
        <v>5000</v>
      </c>
      <c r="M152" s="646">
        <f>IF(Inputs!$D$181="Selected",Inputs!L188,Inputs!L202)</f>
        <v>5000</v>
      </c>
      <c r="N152" s="646">
        <f>IF(Inputs!$D$181="Selected",Inputs!M188,M152*(1+N165))</f>
        <v>5000</v>
      </c>
      <c r="O152" s="646">
        <f>IF(Inputs!$D$181="Selected",Inputs!N188,N152*(1+O165))</f>
        <v>5000</v>
      </c>
      <c r="P152" s="646">
        <f>IF(Inputs!$D$181="Selected",Inputs!O188,O152*(1+P165))</f>
        <v>5000</v>
      </c>
      <c r="Q152" s="646">
        <f>IF(Inputs!$D$181="Selected",Inputs!P188,P152*(1+Q165))</f>
        <v>5000</v>
      </c>
      <c r="R152" s="1316">
        <f>IF(Inputs!$D$181="Selected",Inputs!Q188,Q152*(1+R165))</f>
        <v>5000</v>
      </c>
      <c r="T152" s="255"/>
      <c r="U152" s="237"/>
      <c r="V152" s="578"/>
    </row>
    <row r="153" spans="3:22">
      <c r="C153" s="616" t="str">
        <f>Inputs!C189</f>
        <v>Printing &amp; Stationery</v>
      </c>
      <c r="D153" s="85"/>
      <c r="E153" s="85"/>
      <c r="F153" s="85"/>
      <c r="G153" s="85"/>
      <c r="H153" s="1365">
        <f>Hist.Fin!H45</f>
        <v>0</v>
      </c>
      <c r="I153" s="1365">
        <f>Hist.Fin!I45</f>
        <v>0</v>
      </c>
      <c r="J153" s="1365">
        <f>Hist.Fin!J45</f>
        <v>0</v>
      </c>
      <c r="K153" s="1365">
        <f>Hist.Fin!K45</f>
        <v>0</v>
      </c>
      <c r="L153" s="647">
        <f>IF(ytg.approach=Inputs!$C$39,K153*ytg.actual,IF(ytg.approach=Inputs!$C$40,ytg.mgt*M153,M153-K153))</f>
        <v>5000</v>
      </c>
      <c r="M153" s="646">
        <f>IF(Inputs!$D$181="Selected",Inputs!L189,Inputs!L203)</f>
        <v>5000</v>
      </c>
      <c r="N153" s="646">
        <f>IF(Inputs!$D$181="Selected",Inputs!M189,M153*(1+N166))</f>
        <v>5000</v>
      </c>
      <c r="O153" s="646">
        <f>IF(Inputs!$D$181="Selected",Inputs!N189,N153*(1+O166))</f>
        <v>5000</v>
      </c>
      <c r="P153" s="646">
        <f>IF(Inputs!$D$181="Selected",Inputs!O189,O153*(1+P166))</f>
        <v>5000</v>
      </c>
      <c r="Q153" s="646">
        <f>IF(Inputs!$D$181="Selected",Inputs!P189,P153*(1+Q166))</f>
        <v>5000</v>
      </c>
      <c r="R153" s="1316">
        <f>IF(Inputs!$D$181="Selected",Inputs!Q189,Q153*(1+R166))</f>
        <v>5000</v>
      </c>
      <c r="T153" s="255">
        <f t="shared" si="47"/>
        <v>0</v>
      </c>
      <c r="U153" s="237" t="str">
        <f t="shared" si="62"/>
        <v>OK</v>
      </c>
      <c r="V153" s="578">
        <f t="shared" si="63"/>
        <v>0</v>
      </c>
    </row>
    <row r="154" spans="3:22">
      <c r="C154" s="616" t="str">
        <f>Inputs!C190</f>
        <v>Utilities</v>
      </c>
      <c r="D154" s="85"/>
      <c r="E154" s="85"/>
      <c r="F154" s="85"/>
      <c r="G154" s="85"/>
      <c r="H154" s="1365">
        <f>Hist.Fin!H46</f>
        <v>0</v>
      </c>
      <c r="I154" s="1365">
        <f>Hist.Fin!I46</f>
        <v>0</v>
      </c>
      <c r="J154" s="1365">
        <f>Hist.Fin!J46</f>
        <v>0</v>
      </c>
      <c r="K154" s="1365">
        <f>Hist.Fin!K46</f>
        <v>0</v>
      </c>
      <c r="L154" s="647">
        <f>IF(ytg.approach=Inputs!$C$39,K154*ytg.actual,IF(ytg.approach=Inputs!$C$40,ytg.mgt*M154,M154-K154))</f>
        <v>5000</v>
      </c>
      <c r="M154" s="646">
        <f>IF(Inputs!$D$181="Selected",Inputs!L190,Inputs!L204)</f>
        <v>5000</v>
      </c>
      <c r="N154" s="646">
        <f>IF(Inputs!$D$181="Selected",Inputs!M190,M154*(1+N167))</f>
        <v>5000</v>
      </c>
      <c r="O154" s="646">
        <f>IF(Inputs!$D$181="Selected",Inputs!N190,N154*(1+O167))</f>
        <v>5000</v>
      </c>
      <c r="P154" s="646">
        <f>IF(Inputs!$D$181="Selected",Inputs!O190,O154*(1+P167))</f>
        <v>5000</v>
      </c>
      <c r="Q154" s="646">
        <f>IF(Inputs!$D$181="Selected",Inputs!P190,P154*(1+Q167))</f>
        <v>5000</v>
      </c>
      <c r="R154" s="1316">
        <f>IF(Inputs!$D$181="Selected",Inputs!Q190,Q154*(1+R167))</f>
        <v>5000</v>
      </c>
      <c r="T154" s="255">
        <f t="shared" si="47"/>
        <v>0</v>
      </c>
      <c r="U154" s="237" t="str">
        <f t="shared" si="62"/>
        <v>OK</v>
      </c>
      <c r="V154" s="578">
        <f t="shared" si="63"/>
        <v>0</v>
      </c>
    </row>
    <row r="155" spans="3:22">
      <c r="C155" s="648" t="s">
        <v>1829</v>
      </c>
      <c r="D155" s="649"/>
      <c r="E155" s="649"/>
      <c r="F155" s="649"/>
      <c r="G155" s="649"/>
      <c r="H155" s="650">
        <f>SUM(H146:H154)</f>
        <v>0</v>
      </c>
      <c r="I155" s="650">
        <f>SUM(I146:I154)</f>
        <v>0</v>
      </c>
      <c r="J155" s="650">
        <f t="shared" ref="J155:R155" si="71">SUM(J146:J154)</f>
        <v>0</v>
      </c>
      <c r="K155" s="650">
        <f>SUM(K146:K154)</f>
        <v>0</v>
      </c>
      <c r="L155" s="650">
        <f>SUM(L146:L154)</f>
        <v>45000</v>
      </c>
      <c r="M155" s="650">
        <f t="shared" si="71"/>
        <v>45000</v>
      </c>
      <c r="N155" s="650">
        <f t="shared" si="71"/>
        <v>45000</v>
      </c>
      <c r="O155" s="650">
        <f t="shared" si="71"/>
        <v>45000</v>
      </c>
      <c r="P155" s="650">
        <f t="shared" si="71"/>
        <v>45000</v>
      </c>
      <c r="Q155" s="650">
        <f t="shared" si="71"/>
        <v>45000</v>
      </c>
      <c r="R155" s="651">
        <f t="shared" si="71"/>
        <v>45000</v>
      </c>
      <c r="T155" s="255">
        <f t="shared" si="47"/>
        <v>0</v>
      </c>
      <c r="U155" s="237" t="str">
        <f t="shared" si="62"/>
        <v>OK</v>
      </c>
      <c r="V155" s="578">
        <f t="shared" si="63"/>
        <v>0</v>
      </c>
    </row>
    <row r="156" spans="3:22">
      <c r="C156" s="109"/>
      <c r="D156" s="109"/>
      <c r="E156" s="109"/>
      <c r="F156" s="109"/>
      <c r="G156" s="109"/>
      <c r="H156" s="109"/>
      <c r="I156" s="109"/>
      <c r="J156" s="109"/>
      <c r="K156" s="109"/>
      <c r="L156" s="109"/>
      <c r="M156" s="109"/>
      <c r="N156" s="109"/>
      <c r="O156" s="109"/>
      <c r="P156" s="109"/>
      <c r="Q156" s="109"/>
      <c r="R156" s="109"/>
      <c r="T156" s="255" t="str">
        <f t="shared" si="47"/>
        <v>-</v>
      </c>
      <c r="U156" s="237" t="str">
        <f t="shared" si="62"/>
        <v>OK</v>
      </c>
      <c r="V156" s="578">
        <f t="shared" si="63"/>
        <v>0</v>
      </c>
    </row>
    <row r="157" spans="3:22">
      <c r="C157" s="607" t="s">
        <v>1830</v>
      </c>
      <c r="D157" s="608"/>
      <c r="E157" s="608"/>
      <c r="F157" s="608"/>
      <c r="G157" s="608"/>
      <c r="H157" s="609" t="str">
        <f t="shared" ref="H157:R157" si="72">H7</f>
        <v>FY21</v>
      </c>
      <c r="I157" s="609" t="str">
        <f t="shared" si="72"/>
        <v>FY22</v>
      </c>
      <c r="J157" s="610" t="str">
        <f t="shared" si="72"/>
        <v>FY23</v>
      </c>
      <c r="K157" s="610" t="str">
        <f t="shared" si="72"/>
        <v>YTD24</v>
      </c>
      <c r="L157" s="610" t="str">
        <f t="shared" si="72"/>
        <v>YTG24</v>
      </c>
      <c r="M157" s="611" t="str">
        <f t="shared" si="72"/>
        <v>FY24</v>
      </c>
      <c r="N157" s="609" t="str">
        <f t="shared" si="72"/>
        <v>FY25</v>
      </c>
      <c r="O157" s="609" t="str">
        <f t="shared" si="72"/>
        <v>FY26</v>
      </c>
      <c r="P157" s="609" t="str">
        <f t="shared" si="72"/>
        <v>FY27</v>
      </c>
      <c r="Q157" s="609" t="str">
        <f t="shared" si="72"/>
        <v>FY28</v>
      </c>
      <c r="R157" s="612" t="str">
        <f t="shared" si="72"/>
        <v>FY29</v>
      </c>
      <c r="T157" s="255" t="str">
        <f t="shared" si="47"/>
        <v>-</v>
      </c>
      <c r="U157" s="237" t="str">
        <f t="shared" si="62"/>
        <v/>
      </c>
      <c r="V157" s="578" t="str">
        <f t="shared" si="63"/>
        <v>NA</v>
      </c>
    </row>
    <row r="158" spans="3:22">
      <c r="C158" s="568" t="str">
        <f>currency.heading1</f>
        <v>INR 'Units</v>
      </c>
      <c r="D158" s="652"/>
      <c r="E158" s="652"/>
      <c r="F158" s="652"/>
      <c r="G158" s="652"/>
      <c r="H158" s="653" t="str">
        <f t="shared" ref="H158:R158" si="73">H8</f>
        <v>Actual</v>
      </c>
      <c r="I158" s="653" t="str">
        <f t="shared" si="73"/>
        <v>Actual</v>
      </c>
      <c r="J158" s="654" t="str">
        <f t="shared" si="73"/>
        <v>Actual</v>
      </c>
      <c r="K158" s="654" t="str">
        <f t="shared" si="73"/>
        <v>Actual</v>
      </c>
      <c r="L158" s="654" t="str">
        <f t="shared" si="73"/>
        <v>Estimate</v>
      </c>
      <c r="M158" s="655" t="str">
        <f t="shared" si="73"/>
        <v>Estimate</v>
      </c>
      <c r="N158" s="655" t="str">
        <f t="shared" si="73"/>
        <v>Estimate</v>
      </c>
      <c r="O158" s="653" t="str">
        <f t="shared" si="73"/>
        <v>Forecast</v>
      </c>
      <c r="P158" s="653" t="str">
        <f t="shared" si="73"/>
        <v>Forecast</v>
      </c>
      <c r="Q158" s="653" t="str">
        <f t="shared" si="73"/>
        <v>Forecast</v>
      </c>
      <c r="R158" s="654" t="str">
        <f t="shared" si="73"/>
        <v>Forecast</v>
      </c>
      <c r="T158" s="255" t="str">
        <f t="shared" si="47"/>
        <v>-</v>
      </c>
      <c r="U158" s="237" t="str">
        <f t="shared" si="62"/>
        <v/>
      </c>
      <c r="V158" s="578" t="str">
        <f t="shared" si="63"/>
        <v>NA</v>
      </c>
    </row>
    <row r="159" spans="3:22">
      <c r="C159" s="616" t="str">
        <f>C146</f>
        <v>Staff cost</v>
      </c>
      <c r="D159" s="109"/>
      <c r="E159" s="109"/>
      <c r="F159" s="109"/>
      <c r="G159" s="109"/>
      <c r="H159" s="123" t="e">
        <f t="shared" ref="H159:M159" si="74">H146/H$69</f>
        <v>#DIV/0!</v>
      </c>
      <c r="I159" s="123" t="e">
        <f t="shared" si="74"/>
        <v>#DIV/0!</v>
      </c>
      <c r="J159" s="123" t="e">
        <f t="shared" si="74"/>
        <v>#DIV/0!</v>
      </c>
      <c r="K159" s="123" t="e">
        <f t="shared" si="74"/>
        <v>#DIV/0!</v>
      </c>
      <c r="L159" s="123">
        <f t="shared" si="74"/>
        <v>2.976190476190476E-2</v>
      </c>
      <c r="M159" s="123">
        <f t="shared" si="74"/>
        <v>2.976190476190476E-2</v>
      </c>
      <c r="N159" s="656">
        <f>Inputs!M196</f>
        <v>0.02</v>
      </c>
      <c r="O159" s="656">
        <f>Inputs!N196</f>
        <v>0.02</v>
      </c>
      <c r="P159" s="656">
        <f>Inputs!O196</f>
        <v>0.02</v>
      </c>
      <c r="Q159" s="656">
        <f>Inputs!P196</f>
        <v>0.02</v>
      </c>
      <c r="R159" s="657">
        <f>Inputs!Q196</f>
        <v>0.02</v>
      </c>
      <c r="T159" s="255">
        <f t="shared" si="47"/>
        <v>0</v>
      </c>
      <c r="U159" s="237" t="str">
        <f t="shared" si="62"/>
        <v/>
      </c>
      <c r="V159" s="578" t="str">
        <f t="shared" si="63"/>
        <v>NA</v>
      </c>
    </row>
    <row r="160" spans="3:22">
      <c r="C160" s="616" t="str">
        <f t="shared" ref="C160:C167" si="75">C147</f>
        <v>Sales Commission</v>
      </c>
      <c r="D160" s="109"/>
      <c r="E160" s="109"/>
      <c r="F160" s="109"/>
      <c r="G160" s="109"/>
      <c r="H160" s="123" t="e">
        <f t="shared" ref="H160:M160" si="76">H147/H$69</f>
        <v>#DIV/0!</v>
      </c>
      <c r="I160" s="123" t="e">
        <f t="shared" si="76"/>
        <v>#DIV/0!</v>
      </c>
      <c r="J160" s="123" t="e">
        <f t="shared" si="76"/>
        <v>#DIV/0!</v>
      </c>
      <c r="K160" s="123" t="e">
        <f t="shared" si="76"/>
        <v>#DIV/0!</v>
      </c>
      <c r="L160" s="123">
        <f t="shared" si="76"/>
        <v>2.976190476190476E-2</v>
      </c>
      <c r="M160" s="123">
        <f t="shared" si="76"/>
        <v>2.976190476190476E-2</v>
      </c>
      <c r="N160" s="656">
        <f>Inputs!M197</f>
        <v>0.02</v>
      </c>
      <c r="O160" s="656">
        <f>Inputs!N197</f>
        <v>0.02</v>
      </c>
      <c r="P160" s="656">
        <f>Inputs!O197</f>
        <v>0.02</v>
      </c>
      <c r="Q160" s="656">
        <f>Inputs!P197</f>
        <v>0.02</v>
      </c>
      <c r="R160" s="657">
        <f>Inputs!Q197</f>
        <v>0.02</v>
      </c>
      <c r="T160" s="255">
        <f t="shared" si="47"/>
        <v>0</v>
      </c>
      <c r="U160" s="237" t="str">
        <f t="shared" si="62"/>
        <v/>
      </c>
      <c r="V160" s="578" t="str">
        <f t="shared" si="63"/>
        <v>NA</v>
      </c>
    </row>
    <row r="161" spans="3:22">
      <c r="C161" s="616" t="str">
        <f t="shared" si="75"/>
        <v>Rent</v>
      </c>
      <c r="D161" s="109"/>
      <c r="E161" s="109"/>
      <c r="F161" s="109"/>
      <c r="G161" s="109"/>
      <c r="H161" s="123" t="e">
        <f t="shared" ref="H161:M161" si="77">H148/H$69</f>
        <v>#DIV/0!</v>
      </c>
      <c r="I161" s="123" t="e">
        <f t="shared" si="77"/>
        <v>#DIV/0!</v>
      </c>
      <c r="J161" s="123" t="e">
        <f t="shared" si="77"/>
        <v>#DIV/0!</v>
      </c>
      <c r="K161" s="123" t="e">
        <f t="shared" si="77"/>
        <v>#DIV/0!</v>
      </c>
      <c r="L161" s="123">
        <f t="shared" si="77"/>
        <v>2.976190476190476E-2</v>
      </c>
      <c r="M161" s="123">
        <f t="shared" si="77"/>
        <v>2.976190476190476E-2</v>
      </c>
      <c r="N161" s="656">
        <f>Inputs!M198</f>
        <v>0.02</v>
      </c>
      <c r="O161" s="656">
        <f>Inputs!N198</f>
        <v>0.02</v>
      </c>
      <c r="P161" s="656">
        <f>Inputs!O198</f>
        <v>0.02</v>
      </c>
      <c r="Q161" s="656">
        <f>Inputs!P198</f>
        <v>0.02</v>
      </c>
      <c r="R161" s="657">
        <f>Inputs!Q198</f>
        <v>0.02</v>
      </c>
      <c r="T161" s="255">
        <f t="shared" si="47"/>
        <v>0</v>
      </c>
      <c r="U161" s="237" t="str">
        <f t="shared" si="62"/>
        <v/>
      </c>
      <c r="V161" s="578" t="str">
        <f t="shared" si="63"/>
        <v>NA</v>
      </c>
    </row>
    <row r="162" spans="3:22">
      <c r="C162" s="616" t="str">
        <f t="shared" si="75"/>
        <v>Legal and professional fee</v>
      </c>
      <c r="D162" s="109"/>
      <c r="E162" s="109"/>
      <c r="F162" s="109"/>
      <c r="G162" s="109"/>
      <c r="H162" s="123" t="e">
        <f t="shared" ref="H162:M162" si="78">H149/H$69</f>
        <v>#DIV/0!</v>
      </c>
      <c r="I162" s="123" t="e">
        <f t="shared" si="78"/>
        <v>#DIV/0!</v>
      </c>
      <c r="J162" s="123" t="e">
        <f t="shared" si="78"/>
        <v>#DIV/0!</v>
      </c>
      <c r="K162" s="123" t="e">
        <f t="shared" si="78"/>
        <v>#DIV/0!</v>
      </c>
      <c r="L162" s="123">
        <f t="shared" si="78"/>
        <v>2.976190476190476E-2</v>
      </c>
      <c r="M162" s="123">
        <f t="shared" si="78"/>
        <v>2.976190476190476E-2</v>
      </c>
      <c r="N162" s="656">
        <f>Inputs!M199</f>
        <v>0.02</v>
      </c>
      <c r="O162" s="656">
        <f>Inputs!N199</f>
        <v>0.02</v>
      </c>
      <c r="P162" s="656">
        <f>Inputs!O199</f>
        <v>0.02</v>
      </c>
      <c r="Q162" s="656">
        <f>Inputs!P199</f>
        <v>0.02</v>
      </c>
      <c r="R162" s="657">
        <f>Inputs!Q199</f>
        <v>0.02</v>
      </c>
      <c r="T162" s="255">
        <f t="shared" si="47"/>
        <v>0</v>
      </c>
      <c r="U162" s="237" t="str">
        <f t="shared" si="62"/>
        <v/>
      </c>
      <c r="V162" s="578" t="str">
        <f t="shared" si="63"/>
        <v>NA</v>
      </c>
    </row>
    <row r="163" spans="3:22">
      <c r="C163" s="616" t="str">
        <f t="shared" si="75"/>
        <v>Travelling &amp; communication</v>
      </c>
      <c r="D163" s="109"/>
      <c r="E163" s="109"/>
      <c r="F163" s="109"/>
      <c r="G163" s="109"/>
      <c r="H163" s="123" t="e">
        <f t="shared" ref="H163:M163" si="79">H150/H$69</f>
        <v>#DIV/0!</v>
      </c>
      <c r="I163" s="123" t="e">
        <f t="shared" si="79"/>
        <v>#DIV/0!</v>
      </c>
      <c r="J163" s="123" t="e">
        <f t="shared" si="79"/>
        <v>#DIV/0!</v>
      </c>
      <c r="K163" s="123" t="e">
        <f t="shared" si="79"/>
        <v>#DIV/0!</v>
      </c>
      <c r="L163" s="123">
        <f t="shared" si="79"/>
        <v>2.976190476190476E-2</v>
      </c>
      <c r="M163" s="123">
        <f t="shared" si="79"/>
        <v>2.976190476190476E-2</v>
      </c>
      <c r="N163" s="656">
        <f>Inputs!M200</f>
        <v>0.02</v>
      </c>
      <c r="O163" s="656">
        <f>Inputs!N200</f>
        <v>0.02</v>
      </c>
      <c r="P163" s="656">
        <f>Inputs!O200</f>
        <v>0.02</v>
      </c>
      <c r="Q163" s="656">
        <f>Inputs!P200</f>
        <v>0.02</v>
      </c>
      <c r="R163" s="657">
        <f>Inputs!Q200</f>
        <v>0.02</v>
      </c>
      <c r="T163" s="255">
        <f t="shared" si="47"/>
        <v>0</v>
      </c>
      <c r="U163" s="237" t="str">
        <f t="shared" si="62"/>
        <v/>
      </c>
      <c r="V163" s="578" t="str">
        <f t="shared" ref="V163:V174" si="80">IFERROR((K163/ytd.months)*12,"NA")</f>
        <v>NA</v>
      </c>
    </row>
    <row r="164" spans="3:22">
      <c r="C164" s="616" t="str">
        <f t="shared" si="75"/>
        <v>Marketing &amp; PR cost</v>
      </c>
      <c r="D164" s="109"/>
      <c r="E164" s="109"/>
      <c r="F164" s="109"/>
      <c r="G164" s="109"/>
      <c r="H164" s="123" t="e">
        <f t="shared" ref="H164:M164" si="81">H151/H$69</f>
        <v>#DIV/0!</v>
      </c>
      <c r="I164" s="123" t="e">
        <f t="shared" si="81"/>
        <v>#DIV/0!</v>
      </c>
      <c r="J164" s="123" t="e">
        <f t="shared" si="81"/>
        <v>#DIV/0!</v>
      </c>
      <c r="K164" s="123" t="e">
        <f t="shared" si="81"/>
        <v>#DIV/0!</v>
      </c>
      <c r="L164" s="123">
        <f t="shared" si="81"/>
        <v>2.976190476190476E-2</v>
      </c>
      <c r="M164" s="123">
        <f t="shared" si="81"/>
        <v>2.976190476190476E-2</v>
      </c>
      <c r="N164" s="656">
        <f>Inputs!M201</f>
        <v>0.02</v>
      </c>
      <c r="O164" s="656">
        <f>Inputs!N201</f>
        <v>0.02</v>
      </c>
      <c r="P164" s="656">
        <f>Inputs!O201</f>
        <v>0.02</v>
      </c>
      <c r="Q164" s="656">
        <f>Inputs!P201</f>
        <v>0.02</v>
      </c>
      <c r="R164" s="657">
        <f>Inputs!Q201</f>
        <v>0.02</v>
      </c>
      <c r="T164" s="255"/>
      <c r="U164" s="237"/>
      <c r="V164" s="578"/>
    </row>
    <row r="165" spans="3:22">
      <c r="C165" s="616" t="str">
        <f t="shared" si="75"/>
        <v>Office &amp; sundry expenses</v>
      </c>
      <c r="D165" s="109"/>
      <c r="E165" s="109"/>
      <c r="F165" s="109"/>
      <c r="G165" s="109"/>
      <c r="H165" s="123" t="e">
        <f t="shared" ref="H165:M165" si="82">H152/H$69</f>
        <v>#DIV/0!</v>
      </c>
      <c r="I165" s="123" t="e">
        <f t="shared" si="82"/>
        <v>#DIV/0!</v>
      </c>
      <c r="J165" s="123" t="e">
        <f t="shared" si="82"/>
        <v>#DIV/0!</v>
      </c>
      <c r="K165" s="123" t="e">
        <f t="shared" si="82"/>
        <v>#DIV/0!</v>
      </c>
      <c r="L165" s="123">
        <f t="shared" si="82"/>
        <v>2.976190476190476E-2</v>
      </c>
      <c r="M165" s="123">
        <f t="shared" si="82"/>
        <v>2.976190476190476E-2</v>
      </c>
      <c r="N165" s="656">
        <f>Inputs!M202</f>
        <v>0.02</v>
      </c>
      <c r="O165" s="656">
        <f>Inputs!N202</f>
        <v>0.02</v>
      </c>
      <c r="P165" s="656">
        <f>Inputs!O202</f>
        <v>0.02</v>
      </c>
      <c r="Q165" s="656">
        <f>Inputs!P202</f>
        <v>0.02</v>
      </c>
      <c r="R165" s="657">
        <f>Inputs!Q202</f>
        <v>0.02</v>
      </c>
      <c r="T165" s="255">
        <f t="shared" ref="T165:T174" si="83">IFERROR((R165/N165)^(1/5)-1,"-")</f>
        <v>0</v>
      </c>
      <c r="U165" s="237" t="str">
        <f t="shared" ref="U165:U174" si="84">IFERROR(IF(K165+L165=M165,"OK","VARIANCE"),"")</f>
        <v/>
      </c>
      <c r="V165" s="578" t="str">
        <f t="shared" si="80"/>
        <v>NA</v>
      </c>
    </row>
    <row r="166" spans="3:22">
      <c r="C166" s="616" t="str">
        <f t="shared" si="75"/>
        <v>Printing &amp; Stationery</v>
      </c>
      <c r="D166" s="109"/>
      <c r="E166" s="109"/>
      <c r="F166" s="109"/>
      <c r="G166" s="109"/>
      <c r="H166" s="123" t="e">
        <f t="shared" ref="H166:M166" si="85">H153/H$69</f>
        <v>#DIV/0!</v>
      </c>
      <c r="I166" s="123" t="e">
        <f t="shared" si="85"/>
        <v>#DIV/0!</v>
      </c>
      <c r="J166" s="123" t="e">
        <f t="shared" si="85"/>
        <v>#DIV/0!</v>
      </c>
      <c r="K166" s="123" t="e">
        <f t="shared" si="85"/>
        <v>#DIV/0!</v>
      </c>
      <c r="L166" s="123">
        <f t="shared" si="85"/>
        <v>2.976190476190476E-2</v>
      </c>
      <c r="M166" s="123">
        <f t="shared" si="85"/>
        <v>2.976190476190476E-2</v>
      </c>
      <c r="N166" s="656">
        <f>Inputs!M203</f>
        <v>0.02</v>
      </c>
      <c r="O166" s="656">
        <f>Inputs!N203</f>
        <v>0.02</v>
      </c>
      <c r="P166" s="656">
        <f>Inputs!O203</f>
        <v>0.02</v>
      </c>
      <c r="Q166" s="656">
        <f>Inputs!P203</f>
        <v>0.02</v>
      </c>
      <c r="R166" s="657">
        <f>Inputs!Q203</f>
        <v>0.02</v>
      </c>
      <c r="T166" s="255"/>
      <c r="U166" s="237"/>
      <c r="V166" s="578"/>
    </row>
    <row r="167" spans="3:22">
      <c r="C167" s="616" t="str">
        <f t="shared" si="75"/>
        <v>Utilities</v>
      </c>
      <c r="D167" s="658"/>
      <c r="E167" s="658"/>
      <c r="F167" s="658"/>
      <c r="G167" s="658"/>
      <c r="H167" s="123" t="e">
        <f t="shared" ref="H167:M167" si="86">H154/H$69</f>
        <v>#DIV/0!</v>
      </c>
      <c r="I167" s="123" t="e">
        <f t="shared" si="86"/>
        <v>#DIV/0!</v>
      </c>
      <c r="J167" s="123" t="e">
        <f t="shared" si="86"/>
        <v>#DIV/0!</v>
      </c>
      <c r="K167" s="123" t="e">
        <f t="shared" si="86"/>
        <v>#DIV/0!</v>
      </c>
      <c r="L167" s="123">
        <f t="shared" si="86"/>
        <v>2.976190476190476E-2</v>
      </c>
      <c r="M167" s="123">
        <f t="shared" si="86"/>
        <v>2.976190476190476E-2</v>
      </c>
      <c r="N167" s="656">
        <f>Inputs!M204</f>
        <v>0.02</v>
      </c>
      <c r="O167" s="656">
        <f>Inputs!N204</f>
        <v>0.02</v>
      </c>
      <c r="P167" s="656">
        <f>Inputs!O204</f>
        <v>0.02</v>
      </c>
      <c r="Q167" s="656">
        <f>Inputs!P204</f>
        <v>0.02</v>
      </c>
      <c r="R167" s="657">
        <f>Inputs!Q204</f>
        <v>0.02</v>
      </c>
      <c r="T167" s="255">
        <f t="shared" si="83"/>
        <v>0</v>
      </c>
      <c r="U167" s="237" t="str">
        <f t="shared" si="84"/>
        <v/>
      </c>
      <c r="V167" s="578" t="str">
        <f t="shared" si="80"/>
        <v>NA</v>
      </c>
    </row>
    <row r="168" spans="3:22">
      <c r="C168" s="648" t="s">
        <v>1829</v>
      </c>
      <c r="D168" s="660"/>
      <c r="E168" s="660"/>
      <c r="F168" s="660"/>
      <c r="G168" s="660"/>
      <c r="H168" s="661" t="e">
        <f>SUM(H159:H167)</f>
        <v>#DIV/0!</v>
      </c>
      <c r="I168" s="661" t="e">
        <f>SUM(I159:I167)</f>
        <v>#DIV/0!</v>
      </c>
      <c r="J168" s="662" t="e">
        <f t="shared" ref="J168:R168" si="87">SUM(J159:J167)</f>
        <v>#DIV/0!</v>
      </c>
      <c r="K168" s="662" t="e">
        <f>SUM(K159:K167)</f>
        <v>#DIV/0!</v>
      </c>
      <c r="L168" s="662">
        <f>SUM(L159:L167)</f>
        <v>0.26785714285714285</v>
      </c>
      <c r="M168" s="662">
        <f t="shared" si="87"/>
        <v>0.26785714285714285</v>
      </c>
      <c r="N168" s="662">
        <f t="shared" si="87"/>
        <v>0.18</v>
      </c>
      <c r="O168" s="662">
        <f t="shared" si="87"/>
        <v>0.18</v>
      </c>
      <c r="P168" s="662">
        <f t="shared" si="87"/>
        <v>0.18</v>
      </c>
      <c r="Q168" s="662">
        <f t="shared" si="87"/>
        <v>0.18</v>
      </c>
      <c r="R168" s="663">
        <f t="shared" si="87"/>
        <v>0.18</v>
      </c>
      <c r="T168" s="255">
        <f t="shared" si="83"/>
        <v>0</v>
      </c>
      <c r="U168" s="237" t="str">
        <f t="shared" si="84"/>
        <v/>
      </c>
      <c r="V168" s="578" t="str">
        <f t="shared" si="80"/>
        <v>NA</v>
      </c>
    </row>
    <row r="169" spans="3:22">
      <c r="T169" s="255" t="str">
        <f t="shared" si="83"/>
        <v>-</v>
      </c>
      <c r="U169" s="237" t="str">
        <f t="shared" si="84"/>
        <v>OK</v>
      </c>
      <c r="V169" s="578">
        <f t="shared" si="80"/>
        <v>0</v>
      </c>
    </row>
    <row r="170" spans="3:22">
      <c r="C170" s="607" t="s">
        <v>1885</v>
      </c>
      <c r="D170" s="608"/>
      <c r="E170" s="608"/>
      <c r="F170" s="608"/>
      <c r="G170" s="608"/>
      <c r="H170" s="609" t="str">
        <f t="shared" ref="H170:R170" si="88">H7</f>
        <v>FY21</v>
      </c>
      <c r="I170" s="609" t="str">
        <f t="shared" si="88"/>
        <v>FY22</v>
      </c>
      <c r="J170" s="610" t="str">
        <f t="shared" si="88"/>
        <v>FY23</v>
      </c>
      <c r="K170" s="610" t="str">
        <f t="shared" si="88"/>
        <v>YTD24</v>
      </c>
      <c r="L170" s="610" t="str">
        <f t="shared" si="88"/>
        <v>YTG24</v>
      </c>
      <c r="M170" s="611" t="str">
        <f t="shared" si="88"/>
        <v>FY24</v>
      </c>
      <c r="N170" s="609" t="str">
        <f t="shared" si="88"/>
        <v>FY25</v>
      </c>
      <c r="O170" s="609" t="str">
        <f t="shared" si="88"/>
        <v>FY26</v>
      </c>
      <c r="P170" s="609" t="str">
        <f t="shared" si="88"/>
        <v>FY27</v>
      </c>
      <c r="Q170" s="609" t="str">
        <f t="shared" si="88"/>
        <v>FY28</v>
      </c>
      <c r="R170" s="612" t="str">
        <f t="shared" si="88"/>
        <v>FY29</v>
      </c>
      <c r="T170" s="255" t="str">
        <f t="shared" si="83"/>
        <v>-</v>
      </c>
      <c r="U170" s="237" t="str">
        <f t="shared" si="84"/>
        <v/>
      </c>
      <c r="V170" s="578" t="str">
        <f t="shared" si="80"/>
        <v>NA</v>
      </c>
    </row>
    <row r="171" spans="3:22">
      <c r="C171" s="568" t="str">
        <f>currency.heading1</f>
        <v>INR 'Units</v>
      </c>
      <c r="D171" s="562"/>
      <c r="E171" s="562"/>
      <c r="F171" s="562"/>
      <c r="G171" s="562"/>
      <c r="H171" s="69" t="str">
        <f t="shared" ref="H171:R171" si="89">H8</f>
        <v>Actual</v>
      </c>
      <c r="I171" s="69" t="str">
        <f t="shared" si="89"/>
        <v>Actual</v>
      </c>
      <c r="J171" s="643" t="str">
        <f t="shared" si="89"/>
        <v>Actual</v>
      </c>
      <c r="K171" s="643" t="str">
        <f t="shared" si="89"/>
        <v>Actual</v>
      </c>
      <c r="L171" s="643" t="str">
        <f t="shared" si="89"/>
        <v>Estimate</v>
      </c>
      <c r="M171" s="644" t="str">
        <f t="shared" si="89"/>
        <v>Estimate</v>
      </c>
      <c r="N171" s="644" t="str">
        <f t="shared" si="89"/>
        <v>Estimate</v>
      </c>
      <c r="O171" s="69" t="str">
        <f t="shared" si="89"/>
        <v>Forecast</v>
      </c>
      <c r="P171" s="69" t="str">
        <f t="shared" si="89"/>
        <v>Forecast</v>
      </c>
      <c r="Q171" s="69" t="str">
        <f t="shared" si="89"/>
        <v>Forecast</v>
      </c>
      <c r="R171" s="643" t="str">
        <f t="shared" si="89"/>
        <v>Forecast</v>
      </c>
      <c r="T171" s="255" t="str">
        <f t="shared" si="83"/>
        <v>-</v>
      </c>
      <c r="U171" s="237" t="str">
        <f t="shared" si="84"/>
        <v/>
      </c>
      <c r="V171" s="578" t="str">
        <f t="shared" si="80"/>
        <v>NA</v>
      </c>
    </row>
    <row r="172" spans="3:22">
      <c r="C172" s="616" t="s">
        <v>1886</v>
      </c>
      <c r="D172" s="85"/>
      <c r="E172" s="85"/>
      <c r="F172" s="85"/>
      <c r="G172" s="85"/>
      <c r="H172" s="1365">
        <f>Hist.Fin!H52</f>
        <v>0</v>
      </c>
      <c r="I172" s="1365">
        <f>Hist.Fin!I52</f>
        <v>0</v>
      </c>
      <c r="J172" s="1365">
        <f>Hist.Fin!J52</f>
        <v>0</v>
      </c>
      <c r="K172" s="1365">
        <f>Hist.Fin!K52</f>
        <v>0</v>
      </c>
      <c r="L172" s="647">
        <f>IF(ytg.approach=Inputs!$C$39,K172*ytg.actual,IF(ytg.approach=Inputs!$C$40,ytg.mgt*M172,M172-K172))</f>
        <v>5000</v>
      </c>
      <c r="M172" s="1273">
        <f>IF(Inputs!$D$181="Selected",Inputs!L191,Inputs!L205)</f>
        <v>5000</v>
      </c>
      <c r="N172" s="1273">
        <f>IF(Inputs!$D$181="Selected",Inputs!M191,M172*(1+Inputs!M205))</f>
        <v>5000</v>
      </c>
      <c r="O172" s="1273">
        <f>IF(Inputs!$D$181="Selected",Inputs!N191,N172*(1+Inputs!N205))</f>
        <v>5000</v>
      </c>
      <c r="P172" s="1273">
        <f>IF(Inputs!$D$181="Selected",Inputs!O191,O172*(1+Inputs!O205))</f>
        <v>5000</v>
      </c>
      <c r="Q172" s="1273">
        <f>IF(Inputs!$D$181="Selected",Inputs!P191,P172*(1+Inputs!P205))</f>
        <v>5000</v>
      </c>
      <c r="R172" s="1274">
        <f>IF(Inputs!$D$181="Selected",Inputs!Q191,Q172*(1+Inputs!Q205))</f>
        <v>5000</v>
      </c>
      <c r="T172" s="255">
        <f t="shared" si="83"/>
        <v>0</v>
      </c>
      <c r="U172" s="237" t="str">
        <f t="shared" si="84"/>
        <v>OK</v>
      </c>
      <c r="V172" s="578">
        <f t="shared" si="80"/>
        <v>0</v>
      </c>
    </row>
    <row r="173" spans="3:22">
      <c r="C173" s="616" t="s">
        <v>1887</v>
      </c>
      <c r="D173" s="85"/>
      <c r="E173" s="85"/>
      <c r="F173" s="85"/>
      <c r="G173" s="85"/>
      <c r="H173" s="1365">
        <f>Hist.Fin!H53</f>
        <v>0</v>
      </c>
      <c r="I173" s="1365">
        <f>Hist.Fin!I53</f>
        <v>0</v>
      </c>
      <c r="J173" s="1365">
        <f>Hist.Fin!J53</f>
        <v>0</v>
      </c>
      <c r="K173" s="1365">
        <f>Hist.Fin!K53</f>
        <v>0</v>
      </c>
      <c r="L173" s="647">
        <f>IF(ytg.approach=Inputs!$C$39,K173*ytg.actual,IF(ytg.approach=Inputs!$C$40,ytg.mgt*M173,M173-K173))</f>
        <v>5000</v>
      </c>
      <c r="M173" s="1273">
        <f>IF(Inputs!$D$181="Selected",Inputs!L192,Inputs!L206)</f>
        <v>5000</v>
      </c>
      <c r="N173" s="1273">
        <f>IF(Inputs!$D$181="Selected",Inputs!M192,M173*(1+Inputs!M206))</f>
        <v>5000</v>
      </c>
      <c r="O173" s="1273">
        <f>IF(Inputs!$D$181="Selected",Inputs!N192,N173*(1+Inputs!N206))</f>
        <v>5000</v>
      </c>
      <c r="P173" s="1273">
        <f>IF(Inputs!$D$181="Selected",Inputs!O192,O173*(1+Inputs!O206))</f>
        <v>5000</v>
      </c>
      <c r="Q173" s="1273">
        <f>IF(Inputs!$D$181="Selected",Inputs!P192,P173*(1+Inputs!P206))</f>
        <v>5000</v>
      </c>
      <c r="R173" s="1343">
        <f>IF(Inputs!$D$181="Selected",Inputs!Q192,Q173*(1+Inputs!Q206))</f>
        <v>5000</v>
      </c>
      <c r="T173" s="255">
        <f t="shared" si="83"/>
        <v>0</v>
      </c>
      <c r="U173" s="237" t="str">
        <f t="shared" si="84"/>
        <v>OK</v>
      </c>
      <c r="V173" s="578">
        <f t="shared" si="80"/>
        <v>0</v>
      </c>
    </row>
    <row r="174" spans="3:22">
      <c r="C174" s="648" t="s">
        <v>1888</v>
      </c>
      <c r="D174" s="649"/>
      <c r="E174" s="649"/>
      <c r="F174" s="649"/>
      <c r="G174" s="649"/>
      <c r="H174" s="650">
        <f t="shared" ref="H174" si="90">SUM(H172:H173)</f>
        <v>0</v>
      </c>
      <c r="I174" s="650">
        <f t="shared" ref="I174:R174" si="91">SUM(I172:I173)</f>
        <v>0</v>
      </c>
      <c r="J174" s="650">
        <f t="shared" si="91"/>
        <v>0</v>
      </c>
      <c r="K174" s="650">
        <f>SUM(K172:K173)</f>
        <v>0</v>
      </c>
      <c r="L174" s="650">
        <f>SUM(L172:L173)</f>
        <v>10000</v>
      </c>
      <c r="M174" s="650">
        <f t="shared" si="91"/>
        <v>10000</v>
      </c>
      <c r="N174" s="650">
        <f t="shared" si="91"/>
        <v>10000</v>
      </c>
      <c r="O174" s="650">
        <f t="shared" si="91"/>
        <v>10000</v>
      </c>
      <c r="P174" s="650">
        <f t="shared" si="91"/>
        <v>10000</v>
      </c>
      <c r="Q174" s="650">
        <f t="shared" si="91"/>
        <v>10000</v>
      </c>
      <c r="R174" s="651">
        <f t="shared" si="91"/>
        <v>10000</v>
      </c>
      <c r="T174" s="256">
        <f t="shared" si="83"/>
        <v>0</v>
      </c>
      <c r="U174" s="250" t="str">
        <f t="shared" si="84"/>
        <v>OK</v>
      </c>
      <c r="V174" s="664">
        <f t="shared" si="80"/>
        <v>0</v>
      </c>
    </row>
    <row r="176" spans="3:22">
      <c r="C176" s="113" t="s">
        <v>2539</v>
      </c>
      <c r="D176" s="114"/>
      <c r="E176" s="114"/>
      <c r="F176" s="114"/>
      <c r="G176" s="114"/>
      <c r="H176" s="115" t="str">
        <f t="shared" ref="H176:R176" si="92">H7</f>
        <v>FY21</v>
      </c>
      <c r="I176" s="115" t="str">
        <f t="shared" si="92"/>
        <v>FY22</v>
      </c>
      <c r="J176" s="115" t="str">
        <f t="shared" si="92"/>
        <v>FY23</v>
      </c>
      <c r="K176" s="115" t="str">
        <f t="shared" si="92"/>
        <v>YTD24</v>
      </c>
      <c r="L176" s="115" t="str">
        <f t="shared" si="92"/>
        <v>YTG24</v>
      </c>
      <c r="M176" s="115" t="str">
        <f t="shared" si="92"/>
        <v>FY24</v>
      </c>
      <c r="N176" s="115" t="str">
        <f t="shared" si="92"/>
        <v>FY25</v>
      </c>
      <c r="O176" s="115" t="str">
        <f t="shared" si="92"/>
        <v>FY26</v>
      </c>
      <c r="P176" s="115" t="str">
        <f t="shared" si="92"/>
        <v>FY27</v>
      </c>
      <c r="Q176" s="115" t="str">
        <f t="shared" si="92"/>
        <v>FY28</v>
      </c>
      <c r="R176" s="281" t="str">
        <f t="shared" si="92"/>
        <v>FY29</v>
      </c>
    </row>
    <row r="177" spans="3:18">
      <c r="C177" s="665" t="str">
        <f>currency.heading1</f>
        <v>INR 'Units</v>
      </c>
      <c r="D177" s="562"/>
      <c r="E177" s="562"/>
      <c r="F177" s="562"/>
      <c r="G177" s="562"/>
      <c r="H177" s="69" t="str">
        <f t="shared" ref="H177:R177" si="93">H8</f>
        <v>Actual</v>
      </c>
      <c r="I177" s="69" t="str">
        <f t="shared" si="93"/>
        <v>Actual</v>
      </c>
      <c r="J177" s="69" t="str">
        <f t="shared" si="93"/>
        <v>Actual</v>
      </c>
      <c r="K177" s="69" t="str">
        <f t="shared" si="93"/>
        <v>Actual</v>
      </c>
      <c r="L177" s="69" t="str">
        <f t="shared" si="93"/>
        <v>Estimate</v>
      </c>
      <c r="M177" s="69" t="str">
        <f t="shared" si="93"/>
        <v>Estimate</v>
      </c>
      <c r="N177" s="69" t="str">
        <f t="shared" si="93"/>
        <v>Estimate</v>
      </c>
      <c r="O177" s="69" t="str">
        <f t="shared" si="93"/>
        <v>Forecast</v>
      </c>
      <c r="P177" s="69" t="str">
        <f t="shared" si="93"/>
        <v>Forecast</v>
      </c>
      <c r="Q177" s="69" t="str">
        <f t="shared" si="93"/>
        <v>Forecast</v>
      </c>
      <c r="R177" s="282" t="str">
        <f t="shared" si="93"/>
        <v>Forecast</v>
      </c>
    </row>
    <row r="178" spans="3:18">
      <c r="C178" s="582" t="s">
        <v>2649</v>
      </c>
      <c r="D178" s="85"/>
      <c r="E178" s="85"/>
      <c r="F178" s="1277" t="str">
        <f>Inputs!E56</f>
        <v>India</v>
      </c>
      <c r="G178" s="1278">
        <f>_xlfn.XLOOKUP(IS_Calcs!F178,Tax!$A$5:$A$168,Tax!$B$5:$B$168)/100</f>
        <v>0.34939999999999999</v>
      </c>
      <c r="H178" s="621"/>
      <c r="I178" s="621"/>
      <c r="J178" s="621"/>
      <c r="K178" s="621"/>
      <c r="L178" s="621"/>
      <c r="M178" s="621"/>
      <c r="N178" s="621"/>
      <c r="O178" s="621"/>
      <c r="P178" s="621"/>
      <c r="Q178" s="621"/>
      <c r="R178" s="1716"/>
    </row>
    <row r="179" spans="3:18">
      <c r="C179" s="582" t="s">
        <v>2650</v>
      </c>
      <c r="D179" s="85"/>
      <c r="E179" s="85"/>
      <c r="F179" s="1279">
        <f>1-F182</f>
        <v>0.5</v>
      </c>
      <c r="G179" s="85"/>
      <c r="H179" s="621"/>
      <c r="I179" s="621"/>
      <c r="J179" s="621"/>
      <c r="K179" s="621"/>
      <c r="L179" s="621"/>
      <c r="M179" s="621"/>
      <c r="N179" s="621"/>
      <c r="O179" s="621"/>
      <c r="P179" s="621"/>
      <c r="Q179" s="621"/>
      <c r="R179" s="1716"/>
    </row>
    <row r="180" spans="3:18">
      <c r="C180" s="582"/>
      <c r="D180" s="85"/>
      <c r="E180" s="85"/>
      <c r="F180" s="85"/>
      <c r="G180" s="85"/>
      <c r="H180" s="621"/>
      <c r="I180" s="621"/>
      <c r="J180" s="621"/>
      <c r="K180" s="621"/>
      <c r="L180" s="621"/>
      <c r="M180" s="621"/>
      <c r="N180" s="621"/>
      <c r="O180" s="621"/>
      <c r="P180" s="621"/>
      <c r="Q180" s="621"/>
      <c r="R180" s="1716"/>
    </row>
    <row r="181" spans="3:18">
      <c r="C181" s="582" t="s">
        <v>2654</v>
      </c>
      <c r="D181" s="85"/>
      <c r="E181" s="85"/>
      <c r="F181" s="1277" t="str">
        <f>Inputs!E67</f>
        <v>India</v>
      </c>
      <c r="G181" s="1278">
        <f>_xlfn.XLOOKUP(IS_Calcs!F181,Tax!$A$5:$A$168,Tax!$B$5:$B$168)/100</f>
        <v>0.34939999999999999</v>
      </c>
      <c r="H181" s="621"/>
      <c r="I181" s="621"/>
      <c r="J181" s="621"/>
      <c r="K181" s="621"/>
      <c r="L181" s="621"/>
      <c r="M181" s="621"/>
      <c r="N181" s="621"/>
      <c r="O181" s="621"/>
      <c r="P181" s="621"/>
      <c r="Q181" s="621"/>
      <c r="R181" s="1716"/>
    </row>
    <row r="182" spans="3:18">
      <c r="C182" s="582" t="s">
        <v>2651</v>
      </c>
      <c r="D182" s="85"/>
      <c r="E182" s="85"/>
      <c r="F182" s="1280">
        <f>Inputs!E68</f>
        <v>0.5</v>
      </c>
      <c r="G182" s="85"/>
      <c r="H182" s="621"/>
      <c r="I182" s="621"/>
      <c r="J182" s="621"/>
      <c r="K182" s="621"/>
      <c r="L182" s="621"/>
      <c r="M182" s="621"/>
      <c r="N182" s="621"/>
      <c r="O182" s="621"/>
      <c r="P182" s="621"/>
      <c r="Q182" s="621"/>
      <c r="R182" s="1716"/>
    </row>
    <row r="183" spans="3:18">
      <c r="C183" s="582"/>
      <c r="D183" s="85"/>
      <c r="E183" s="85"/>
      <c r="F183" s="85"/>
      <c r="G183" s="85"/>
      <c r="H183" s="621"/>
      <c r="I183" s="621"/>
      <c r="J183" s="621"/>
      <c r="K183" s="621"/>
      <c r="L183" s="621"/>
      <c r="M183" s="621"/>
      <c r="N183" s="621"/>
      <c r="O183" s="621"/>
      <c r="P183" s="621"/>
      <c r="Q183" s="621"/>
      <c r="R183" s="1716"/>
    </row>
    <row r="184" spans="3:18">
      <c r="C184" s="582" t="s">
        <v>1864</v>
      </c>
      <c r="D184" s="85"/>
      <c r="E184" s="85"/>
      <c r="F184" s="1284">
        <f>(G178*F179)+(G181*F182)</f>
        <v>0.34939999999999999</v>
      </c>
      <c r="G184" s="85"/>
      <c r="H184" s="621"/>
      <c r="I184" s="621"/>
      <c r="J184" s="621"/>
      <c r="K184" s="621"/>
      <c r="L184" s="621"/>
      <c r="M184" s="621"/>
      <c r="N184" s="621"/>
      <c r="O184" s="621"/>
      <c r="P184" s="621"/>
      <c r="Q184" s="621"/>
      <c r="R184" s="1716"/>
    </row>
    <row r="185" spans="3:18">
      <c r="C185" s="582"/>
      <c r="D185" s="85"/>
      <c r="E185" s="85"/>
      <c r="F185" s="85"/>
      <c r="G185" s="85"/>
      <c r="H185" s="621"/>
      <c r="I185" s="621"/>
      <c r="J185" s="621"/>
      <c r="K185" s="621"/>
      <c r="L185" s="621"/>
      <c r="M185" s="621"/>
      <c r="N185" s="621"/>
      <c r="O185" s="621"/>
      <c r="P185" s="621"/>
      <c r="Q185" s="621"/>
      <c r="R185" s="1716"/>
    </row>
    <row r="186" spans="3:18">
      <c r="C186" s="582" t="s">
        <v>2655</v>
      </c>
      <c r="D186" s="85"/>
      <c r="E186" s="85"/>
      <c r="F186" s="85"/>
      <c r="G186" s="85"/>
      <c r="H186" s="1273">
        <f>IS!G60</f>
        <v>0</v>
      </c>
      <c r="I186" s="1273">
        <f>IS!I60</f>
        <v>0</v>
      </c>
      <c r="J186" s="1273">
        <f>IS!J60</f>
        <v>0</v>
      </c>
      <c r="K186" s="1273">
        <f>IS!K60</f>
        <v>0</v>
      </c>
      <c r="L186" s="1273">
        <f>IS!L60</f>
        <v>53016.666666666672</v>
      </c>
      <c r="M186" s="1273">
        <f>IS!M60</f>
        <v>52216.666666666672</v>
      </c>
      <c r="N186" s="1273">
        <f>IS!N60</f>
        <v>51083.333333333336</v>
      </c>
      <c r="O186" s="1273">
        <f>IS!O60</f>
        <v>49950</v>
      </c>
      <c r="P186" s="1273">
        <f>IS!P60</f>
        <v>48816.666666666672</v>
      </c>
      <c r="Q186" s="1273">
        <f>IS!Q60</f>
        <v>47683.333333333336</v>
      </c>
      <c r="R186" s="1274">
        <f>IS!R60</f>
        <v>46550</v>
      </c>
    </row>
    <row r="187" spans="3:18">
      <c r="C187" s="603" t="s">
        <v>2652</v>
      </c>
      <c r="D187" s="1281"/>
      <c r="E187" s="1281"/>
      <c r="F187" s="1281"/>
      <c r="G187" s="1281"/>
      <c r="H187" s="1282">
        <f>IF(H186&lt;0,0,H186*$F$184)</f>
        <v>0</v>
      </c>
      <c r="I187" s="1282">
        <f>IF(I186&lt;0,0,I186*$F$184)</f>
        <v>0</v>
      </c>
      <c r="J187" s="1282">
        <f t="shared" ref="J187:R187" si="94">IF(J186&lt;0,0,J186*$F$184)</f>
        <v>0</v>
      </c>
      <c r="K187" s="1282">
        <f t="shared" si="94"/>
        <v>0</v>
      </c>
      <c r="L187" s="1282">
        <f t="shared" si="94"/>
        <v>18524.023333333334</v>
      </c>
      <c r="M187" s="1282">
        <f t="shared" si="94"/>
        <v>18244.503333333334</v>
      </c>
      <c r="N187" s="1282">
        <f t="shared" si="94"/>
        <v>17848.516666666666</v>
      </c>
      <c r="O187" s="1282">
        <f t="shared" si="94"/>
        <v>17452.53</v>
      </c>
      <c r="P187" s="1282">
        <f t="shared" si="94"/>
        <v>17056.543333333335</v>
      </c>
      <c r="Q187" s="1282">
        <f t="shared" si="94"/>
        <v>16660.556666666667</v>
      </c>
      <c r="R187" s="1283">
        <f t="shared" si="94"/>
        <v>16264.57</v>
      </c>
    </row>
    <row r="188" spans="3:18">
      <c r="C188" s="659" t="s">
        <v>2653</v>
      </c>
      <c r="D188" s="660"/>
      <c r="E188" s="660"/>
      <c r="F188" s="660"/>
      <c r="G188" s="660"/>
      <c r="H188" s="1366">
        <f>Hist.Fin!H54</f>
        <v>0</v>
      </c>
      <c r="I188" s="1366">
        <f>Hist.Fin!I54</f>
        <v>0</v>
      </c>
      <c r="J188" s="1366">
        <f>Hist.Fin!J54</f>
        <v>0</v>
      </c>
      <c r="K188" s="1366">
        <f>Hist.Fin!K54</f>
        <v>0</v>
      </c>
      <c r="L188" s="1275">
        <f t="shared" ref="L188:R188" si="95">L187</f>
        <v>18524.023333333334</v>
      </c>
      <c r="M188" s="1275">
        <f t="shared" si="95"/>
        <v>18244.503333333334</v>
      </c>
      <c r="N188" s="1275">
        <f t="shared" si="95"/>
        <v>17848.516666666666</v>
      </c>
      <c r="O188" s="1275">
        <f t="shared" si="95"/>
        <v>17452.53</v>
      </c>
      <c r="P188" s="1275">
        <f t="shared" si="95"/>
        <v>17056.543333333335</v>
      </c>
      <c r="Q188" s="1275">
        <f t="shared" si="95"/>
        <v>16660.556666666667</v>
      </c>
      <c r="R188" s="1276">
        <f t="shared" si="95"/>
        <v>16264.57</v>
      </c>
    </row>
  </sheetData>
  <pageMargins left="0.7" right="0.7" top="0.75" bottom="0.75" header="0.3" footer="0.3"/>
  <pageSetup orientation="portrait" r:id="rId1"/>
  <ignoredErrors>
    <ignoredError sqref="L95:L98" formula="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92A4FC"/>
    <pageSetUpPr fitToPage="1"/>
  </sheetPr>
  <dimension ref="B1:V106"/>
  <sheetViews>
    <sheetView showGridLines="0" view="pageBreakPreview" topLeftCell="A21" zoomScale="86" zoomScaleNormal="90" zoomScaleSheetLayoutView="86" workbookViewId="0">
      <selection activeCell="E36" sqref="E36"/>
    </sheetView>
  </sheetViews>
  <sheetFormatPr defaultColWidth="8" defaultRowHeight="11.25" outlineLevelRow="1"/>
  <cols>
    <col min="1" max="1" width="3.5546875" style="229" customWidth="1"/>
    <col min="2" max="2" width="5.109375" style="229" customWidth="1"/>
    <col min="3" max="3" width="27.33203125" style="229" customWidth="1"/>
    <col min="4" max="4" width="12.88671875" style="229" customWidth="1"/>
    <col min="5" max="5" width="11.88671875" style="229" customWidth="1"/>
    <col min="6" max="6" width="18.33203125" style="229" customWidth="1"/>
    <col min="7" max="7" width="20.88671875" style="229" customWidth="1"/>
    <col min="8" max="8" width="11.88671875" style="229" customWidth="1"/>
    <col min="9" max="10" width="10.88671875" style="229" customWidth="1"/>
    <col min="11" max="11" width="21.33203125" style="229" bestFit="1" customWidth="1"/>
    <col min="12" max="12" width="2.88671875" style="229" customWidth="1"/>
    <col min="13" max="13" width="8" style="229"/>
    <col min="14" max="14" width="17.33203125" style="229" customWidth="1"/>
    <col min="15" max="15" width="13.44140625" style="229" customWidth="1"/>
    <col min="16" max="16" width="11.44140625" style="229" customWidth="1"/>
    <col min="17" max="21" width="10" style="229" customWidth="1"/>
    <col min="22" max="22" width="13.88671875" style="229" customWidth="1"/>
    <col min="23" max="16384" width="8" style="229"/>
  </cols>
  <sheetData>
    <row r="1" spans="2:22" s="392" customFormat="1"/>
    <row r="2" spans="2:22">
      <c r="B2" s="62" t="s">
        <v>2224</v>
      </c>
      <c r="C2" s="393"/>
      <c r="D2" s="393"/>
      <c r="E2" s="393"/>
      <c r="F2" s="393"/>
      <c r="G2" s="394"/>
      <c r="H2" s="394"/>
      <c r="I2" s="394"/>
      <c r="J2" s="394"/>
      <c r="K2" s="395"/>
      <c r="L2" s="396"/>
      <c r="M2" s="251"/>
      <c r="N2" s="251"/>
      <c r="O2" s="251"/>
      <c r="P2" s="251"/>
      <c r="Q2" s="251"/>
      <c r="R2" s="251"/>
      <c r="S2" s="251"/>
      <c r="T2" s="251"/>
      <c r="U2" s="251"/>
      <c r="V2" s="251"/>
    </row>
    <row r="3" spans="2:22">
      <c r="B3" s="397" t="str">
        <f>Inputs!B3</f>
        <v>Lazure Worldwide FZCO - Self Valuation using DCF Method, Transaction Multiples Method, &amp; Market Multiples Method as at September 30, 2024</v>
      </c>
      <c r="C3" s="398"/>
      <c r="D3" s="398"/>
      <c r="E3" s="398"/>
      <c r="F3" s="398"/>
      <c r="G3" s="399"/>
      <c r="H3" s="399"/>
      <c r="I3" s="399"/>
      <c r="J3" s="399"/>
      <c r="K3" s="400"/>
      <c r="L3" s="401"/>
      <c r="M3" s="251"/>
      <c r="N3" s="251"/>
      <c r="O3" s="251"/>
      <c r="P3" s="251"/>
      <c r="Q3" s="251"/>
      <c r="R3" s="251"/>
      <c r="S3" s="251"/>
      <c r="T3" s="251"/>
      <c r="U3" s="251"/>
      <c r="V3" s="251"/>
    </row>
    <row r="4" spans="2:22">
      <c r="B4" s="402" t="s">
        <v>1943</v>
      </c>
      <c r="C4" s="403"/>
      <c r="D4" s="403"/>
      <c r="E4" s="403"/>
      <c r="F4" s="403"/>
      <c r="G4" s="404"/>
      <c r="H4" s="404"/>
      <c r="I4" s="404"/>
      <c r="J4" s="404"/>
      <c r="K4" s="502" t="str">
        <f>valuation.date.header</f>
        <v>Valuation Date:  September 30, 2024</v>
      </c>
      <c r="L4" s="401"/>
      <c r="M4" s="405"/>
      <c r="N4" s="405"/>
      <c r="O4" s="251"/>
      <c r="P4" s="405"/>
      <c r="Q4" s="405"/>
      <c r="R4" s="405"/>
      <c r="S4" s="251"/>
      <c r="T4" s="251"/>
      <c r="U4" s="251"/>
      <c r="V4" s="251"/>
    </row>
    <row r="5" spans="2:22">
      <c r="B5" s="406"/>
      <c r="C5" s="406"/>
      <c r="D5" s="406"/>
      <c r="E5" s="406"/>
      <c r="F5" s="406"/>
      <c r="G5" s="406"/>
      <c r="H5" s="406"/>
      <c r="I5" s="406"/>
      <c r="J5" s="406"/>
      <c r="K5" s="407"/>
      <c r="M5" s="408"/>
      <c r="N5" s="405"/>
      <c r="O5" s="251"/>
      <c r="P5" s="408"/>
      <c r="Q5" s="405"/>
      <c r="R5" s="408"/>
      <c r="S5" s="251"/>
      <c r="T5" s="251"/>
      <c r="U5" s="251"/>
      <c r="V5" s="251"/>
    </row>
    <row r="6" spans="2:22">
      <c r="B6" s="406"/>
      <c r="C6" s="409" t="s">
        <v>2216</v>
      </c>
      <c r="D6" s="410" t="s">
        <v>1742</v>
      </c>
      <c r="E6" s="406"/>
      <c r="F6" s="406"/>
      <c r="G6" s="406"/>
      <c r="H6" s="406"/>
      <c r="I6" s="406"/>
      <c r="J6" s="406"/>
      <c r="K6" s="407"/>
      <c r="M6" s="408"/>
      <c r="N6" s="405"/>
      <c r="O6" s="251"/>
      <c r="P6" s="408"/>
      <c r="Q6" s="405"/>
      <c r="R6" s="408"/>
      <c r="S6" s="251"/>
      <c r="T6" s="251"/>
      <c r="U6" s="251"/>
      <c r="V6" s="251"/>
    </row>
    <row r="7" spans="2:22">
      <c r="B7" s="406"/>
      <c r="C7" s="406"/>
      <c r="D7" s="406"/>
      <c r="E7" s="406"/>
      <c r="F7" s="406"/>
      <c r="G7" s="406"/>
      <c r="H7" s="406"/>
      <c r="I7" s="406"/>
      <c r="J7" s="406"/>
      <c r="K7" s="407"/>
      <c r="M7" s="408"/>
      <c r="N7" s="405"/>
      <c r="O7" s="251"/>
      <c r="P7" s="408"/>
      <c r="Q7" s="405"/>
      <c r="R7" s="408"/>
      <c r="S7" s="251"/>
      <c r="T7" s="251"/>
      <c r="U7" s="251"/>
      <c r="V7" s="251"/>
    </row>
    <row r="8" spans="2:22">
      <c r="C8" s="1663" t="s">
        <v>1376</v>
      </c>
      <c r="D8" s="1664" t="s">
        <v>208</v>
      </c>
      <c r="E8" s="1665" t="s">
        <v>209</v>
      </c>
      <c r="F8" s="1662" t="s">
        <v>1940</v>
      </c>
      <c r="G8" s="411" t="s">
        <v>2219</v>
      </c>
      <c r="H8" s="412"/>
      <c r="I8" s="412"/>
      <c r="J8" s="412"/>
      <c r="M8" s="251"/>
      <c r="N8" s="251"/>
      <c r="O8" s="251"/>
      <c r="P8" s="251"/>
      <c r="Q8" s="251"/>
      <c r="R8" s="251"/>
      <c r="S8" s="251"/>
      <c r="T8" s="251"/>
      <c r="U8" s="251"/>
      <c r="V8" s="251"/>
    </row>
    <row r="9" spans="2:22">
      <c r="C9" s="1666" t="s">
        <v>1927</v>
      </c>
      <c r="D9" s="413"/>
      <c r="E9" s="1667"/>
      <c r="M9" s="251"/>
      <c r="N9" s="251"/>
      <c r="O9" s="251"/>
      <c r="P9" s="251"/>
      <c r="Q9" s="251"/>
      <c r="R9" s="251"/>
      <c r="S9" s="251"/>
      <c r="T9" s="251"/>
      <c r="U9" s="251"/>
      <c r="V9" s="251"/>
    </row>
    <row r="10" spans="2:22">
      <c r="C10" s="1668" t="s">
        <v>1927</v>
      </c>
      <c r="D10" s="414">
        <v>7.0000000000000007E-2</v>
      </c>
      <c r="E10" s="1669">
        <v>0.08</v>
      </c>
      <c r="F10" s="229" t="s">
        <v>2222</v>
      </c>
      <c r="M10" s="251"/>
      <c r="N10" s="251"/>
      <c r="O10" s="251"/>
      <c r="P10" s="251"/>
      <c r="Q10" s="251"/>
      <c r="R10" s="251"/>
      <c r="S10" s="251"/>
      <c r="T10" s="251"/>
      <c r="U10" s="251"/>
      <c r="V10" s="251"/>
    </row>
    <row r="11" spans="2:22">
      <c r="C11" s="1670" t="s">
        <v>1928</v>
      </c>
      <c r="D11" s="415">
        <f>D10*(1-effective.taxrate)</f>
        <v>4.5542000000000006E-2</v>
      </c>
      <c r="E11" s="1671">
        <f>E10*(1-effective.taxrate)</f>
        <v>5.2048000000000004E-2</v>
      </c>
      <c r="F11" s="229" t="s">
        <v>1382</v>
      </c>
      <c r="M11" s="251"/>
      <c r="N11" s="251"/>
      <c r="O11" s="251"/>
      <c r="P11" s="251"/>
      <c r="Q11" s="251"/>
      <c r="R11" s="251"/>
      <c r="S11" s="251"/>
      <c r="T11" s="251"/>
      <c r="U11" s="251"/>
      <c r="V11" s="251"/>
    </row>
    <row r="12" spans="2:22">
      <c r="C12" s="1672" t="s">
        <v>1929</v>
      </c>
      <c r="D12" s="416">
        <f>G75</f>
        <v>0</v>
      </c>
      <c r="E12" s="1673" t="e">
        <f>#REF!</f>
        <v>#REF!</v>
      </c>
    </row>
    <row r="13" spans="2:22">
      <c r="C13" s="1666" t="s">
        <v>1930</v>
      </c>
      <c r="D13" s="1674"/>
      <c r="E13" s="1675"/>
    </row>
    <row r="14" spans="2:22">
      <c r="C14" s="1668" t="s">
        <v>1931</v>
      </c>
      <c r="D14" s="417">
        <v>4.4900000000000002E-2</v>
      </c>
      <c r="E14" s="1676">
        <v>4.4900000000000002E-2</v>
      </c>
      <c r="F14" s="229" t="s">
        <v>2220</v>
      </c>
      <c r="G14" s="418" t="s">
        <v>2223</v>
      </c>
    </row>
    <row r="15" spans="2:22">
      <c r="C15" s="1668" t="s">
        <v>1932</v>
      </c>
      <c r="D15" s="417">
        <v>0.02</v>
      </c>
      <c r="E15" s="1676">
        <v>0.02</v>
      </c>
      <c r="F15" s="229" t="s">
        <v>2221</v>
      </c>
      <c r="G15" s="418" t="s">
        <v>2217</v>
      </c>
    </row>
    <row r="16" spans="2:22">
      <c r="C16" s="1668" t="s">
        <v>1933</v>
      </c>
      <c r="D16" s="417">
        <f>D15</f>
        <v>0.02</v>
      </c>
      <c r="E16" s="1676">
        <f>E15</f>
        <v>0.02</v>
      </c>
      <c r="F16" s="229" t="s">
        <v>2221</v>
      </c>
      <c r="G16" s="418" t="s">
        <v>2218</v>
      </c>
    </row>
    <row r="17" spans="2:21">
      <c r="C17" s="1670" t="s">
        <v>1934</v>
      </c>
      <c r="D17" s="419">
        <f>D14-D15+D16</f>
        <v>4.4900000000000002E-2</v>
      </c>
      <c r="E17" s="1677">
        <f>E14-E15+E16</f>
        <v>4.4900000000000002E-2</v>
      </c>
    </row>
    <row r="18" spans="2:21">
      <c r="C18" s="1668" t="s">
        <v>1935</v>
      </c>
      <c r="D18" s="420">
        <f>G99-D20</f>
        <v>4.6000000000000006E-2</v>
      </c>
      <c r="E18" s="1678">
        <f>D18</f>
        <v>4.6000000000000006E-2</v>
      </c>
      <c r="F18" s="229" t="s">
        <v>1941</v>
      </c>
    </row>
    <row r="19" spans="2:21">
      <c r="C19" s="1668" t="s">
        <v>1936</v>
      </c>
      <c r="D19" s="421">
        <f>$G$77</f>
        <v>0</v>
      </c>
      <c r="E19" s="1679">
        <f>D19</f>
        <v>0</v>
      </c>
      <c r="F19" s="229" t="s">
        <v>2226</v>
      </c>
    </row>
    <row r="20" spans="2:21">
      <c r="C20" s="1668" t="s">
        <v>1937</v>
      </c>
      <c r="D20" s="422">
        <f>I99</f>
        <v>3.0083999999999993E-2</v>
      </c>
      <c r="E20" s="1680">
        <f>D20</f>
        <v>3.0083999999999993E-2</v>
      </c>
      <c r="F20" s="229" t="s">
        <v>1378</v>
      </c>
    </row>
    <row r="21" spans="2:21">
      <c r="C21" s="1668" t="s">
        <v>1938</v>
      </c>
      <c r="D21" s="1681">
        <f>SizePremia!$BV$21</f>
        <v>4.7E-2</v>
      </c>
      <c r="E21" s="1682">
        <f>D21</f>
        <v>4.7E-2</v>
      </c>
      <c r="F21" s="229" t="s">
        <v>2198</v>
      </c>
    </row>
    <row r="22" spans="2:21">
      <c r="C22" s="1683" t="s">
        <v>1942</v>
      </c>
      <c r="D22" s="423">
        <f>F88-0.5%</f>
        <v>5.0000000000000001E-3</v>
      </c>
      <c r="E22" s="1684">
        <f>D22+1%</f>
        <v>1.4999999999999999E-2</v>
      </c>
      <c r="F22" s="229" t="s">
        <v>1377</v>
      </c>
    </row>
    <row r="23" spans="2:21">
      <c r="C23" s="1670" t="s">
        <v>1930</v>
      </c>
      <c r="D23" s="415">
        <f>D17+(D18*D19)+D20+D21+D22</f>
        <v>0.12698399999999999</v>
      </c>
      <c r="E23" s="1671">
        <f>E17+(E18*E19)+E20+E21+E22</f>
        <v>0.13698399999999999</v>
      </c>
      <c r="F23" s="229" t="s">
        <v>1379</v>
      </c>
    </row>
    <row r="24" spans="2:21">
      <c r="C24" s="1672" t="s">
        <v>1939</v>
      </c>
      <c r="D24" s="424">
        <f>1-D12</f>
        <v>1</v>
      </c>
      <c r="E24" s="1685" t="e">
        <f>1-E12</f>
        <v>#REF!</v>
      </c>
    </row>
    <row r="25" spans="2:21">
      <c r="C25" s="1686" t="s">
        <v>1376</v>
      </c>
      <c r="D25" s="1687">
        <f>(D11*D12)+(D23*D24)</f>
        <v>0.12698399999999999</v>
      </c>
      <c r="E25" s="1688" t="e">
        <f>(E11*E12)+(E23*E24)</f>
        <v>#REF!</v>
      </c>
    </row>
    <row r="27" spans="2:21" s="232" customFormat="1" ht="15.6" customHeight="1">
      <c r="C27" s="425" t="s">
        <v>1360</v>
      </c>
      <c r="D27" s="426"/>
      <c r="E27" s="426"/>
      <c r="F27" s="426"/>
      <c r="G27" s="426"/>
      <c r="H27" s="426"/>
      <c r="I27" s="426"/>
      <c r="J27" s="426"/>
      <c r="M27" s="1833"/>
      <c r="N27" s="1833"/>
      <c r="O27" s="427"/>
      <c r="P27" s="427"/>
      <c r="Q27" s="428"/>
      <c r="R27" s="428"/>
      <c r="S27" s="428"/>
      <c r="T27" s="428"/>
      <c r="U27" s="429"/>
    </row>
    <row r="28" spans="2:21" s="232" customFormat="1" ht="59.1" customHeight="1" thickBot="1">
      <c r="C28" s="430" t="s">
        <v>1361</v>
      </c>
      <c r="D28" s="431"/>
      <c r="E28" s="431"/>
      <c r="F28" s="431" t="s">
        <v>1363</v>
      </c>
      <c r="G28" s="431" t="s">
        <v>1364</v>
      </c>
      <c r="H28" s="431" t="s">
        <v>1365</v>
      </c>
      <c r="I28" s="431" t="str">
        <f>$M$5&amp;IF(R5="No",""," Adjusted")&amp;" Equity Beta (Levered)"</f>
        <v xml:space="preserve"> Adjusted Equity Beta (Levered)</v>
      </c>
      <c r="J28" s="431" t="str">
        <f>$M$5&amp;IF(R5="No",""," Adjusted")&amp;" Asset Beta (Unlevered)"</f>
        <v xml:space="preserve"> Adjusted Asset Beta (Unlevered)</v>
      </c>
      <c r="L28" s="432"/>
      <c r="M28" s="432"/>
      <c r="N28" s="432" t="s">
        <v>2197</v>
      </c>
      <c r="O28" s="433"/>
      <c r="P28" s="434"/>
      <c r="Q28" s="435"/>
      <c r="R28" s="435"/>
      <c r="S28" s="435"/>
      <c r="T28" s="435"/>
      <c r="U28" s="435"/>
    </row>
    <row r="29" spans="2:21" ht="12" customHeight="1" thickBot="1">
      <c r="B29" s="436">
        <v>1</v>
      </c>
      <c r="C29" s="437" t="str">
        <f>'GPC Data'!E22</f>
        <v>Comp 1</v>
      </c>
      <c r="D29" s="438"/>
      <c r="E29" s="439"/>
      <c r="F29" s="440">
        <f>'GPC Data'!X124</f>
        <v>0</v>
      </c>
      <c r="G29" s="440">
        <f>IF($P$5="Spot",'D|E'!R5,IF($P$5="5 Year",'D|E'!S5,'D|E'!T5))</f>
        <v>0</v>
      </c>
      <c r="H29" s="440">
        <f>'GPC Data'!R22</f>
        <v>0</v>
      </c>
      <c r="I29" s="441">
        <f>'GPC Data'!N22</f>
        <v>0</v>
      </c>
      <c r="J29" s="442">
        <f t="shared" ref="J29:J58" si="0">IF(C29="","",I29/(1+F29*(1-H29)))</f>
        <v>0</v>
      </c>
      <c r="L29" s="251"/>
      <c r="M29" s="251"/>
      <c r="N29" s="443" t="s">
        <v>1359</v>
      </c>
      <c r="O29" s="444"/>
      <c r="P29" s="445"/>
      <c r="Q29" s="446"/>
      <c r="R29" s="446"/>
      <c r="S29" s="447"/>
      <c r="T29" s="447"/>
      <c r="U29" s="444"/>
    </row>
    <row r="30" spans="2:21" ht="12" customHeight="1" thickBot="1">
      <c r="B30" s="436">
        <v>2</v>
      </c>
      <c r="C30" s="448" t="str">
        <f>'GPC Data'!E23</f>
        <v>Comp 2</v>
      </c>
      <c r="D30" s="449"/>
      <c r="E30" s="450"/>
      <c r="F30" s="451">
        <f>'GPC Data'!X125</f>
        <v>0</v>
      </c>
      <c r="G30" s="451">
        <f>IF($P$5="Spot",'D|E'!R6,IF($P$5="5 Year",'D|E'!S6,'D|E'!T6))</f>
        <v>0</v>
      </c>
      <c r="H30" s="451">
        <f>'GPC Data'!R23</f>
        <v>0</v>
      </c>
      <c r="I30" s="452">
        <f>'GPC Data'!N23</f>
        <v>0</v>
      </c>
      <c r="J30" s="453">
        <f t="shared" si="0"/>
        <v>0</v>
      </c>
      <c r="L30" s="251"/>
      <c r="M30" s="251"/>
      <c r="N30" s="443" t="s">
        <v>1359</v>
      </c>
      <c r="O30" s="444"/>
      <c r="P30" s="445"/>
      <c r="Q30" s="446"/>
      <c r="R30" s="446"/>
      <c r="S30" s="447"/>
      <c r="T30" s="447"/>
      <c r="U30" s="444"/>
    </row>
    <row r="31" spans="2:21" ht="12" customHeight="1" thickBot="1">
      <c r="B31" s="436">
        <v>3</v>
      </c>
      <c r="C31" s="448" t="str">
        <f>'GPC Data'!E24</f>
        <v>Comp 3</v>
      </c>
      <c r="D31" s="449"/>
      <c r="E31" s="450"/>
      <c r="F31" s="451">
        <f>'GPC Data'!X126</f>
        <v>0</v>
      </c>
      <c r="G31" s="451">
        <f>IF($P$5="Spot",'D|E'!R7,IF($P$5="5 Year",'D|E'!S7,'D|E'!T7))</f>
        <v>0</v>
      </c>
      <c r="H31" s="451">
        <f>'GPC Data'!R24</f>
        <v>0</v>
      </c>
      <c r="I31" s="452">
        <f>'GPC Data'!N24</f>
        <v>0</v>
      </c>
      <c r="J31" s="453">
        <f t="shared" si="0"/>
        <v>0</v>
      </c>
      <c r="L31" s="251"/>
      <c r="M31" s="251"/>
      <c r="N31" s="443" t="s">
        <v>1359</v>
      </c>
      <c r="O31" s="444"/>
      <c r="P31" s="445"/>
      <c r="Q31" s="446"/>
      <c r="R31" s="446"/>
      <c r="S31" s="447"/>
      <c r="T31" s="447"/>
      <c r="U31" s="444"/>
    </row>
    <row r="32" spans="2:21" ht="12" customHeight="1" thickBot="1">
      <c r="B32" s="436">
        <v>4</v>
      </c>
      <c r="C32" s="448" t="str">
        <f>'GPC Data'!E25</f>
        <v>Comp 4</v>
      </c>
      <c r="D32" s="449"/>
      <c r="E32" s="450"/>
      <c r="F32" s="451">
        <f>'GPC Data'!X127</f>
        <v>0</v>
      </c>
      <c r="G32" s="451">
        <f>IF($P$5="Spot",'D|E'!R8,IF($P$5="5 Year",'D|E'!S8,'D|E'!T8))</f>
        <v>0</v>
      </c>
      <c r="H32" s="451">
        <f>'GPC Data'!R25</f>
        <v>0</v>
      </c>
      <c r="I32" s="452">
        <f>'GPC Data'!N25</f>
        <v>0</v>
      </c>
      <c r="J32" s="453">
        <f t="shared" si="0"/>
        <v>0</v>
      </c>
      <c r="L32" s="251"/>
      <c r="M32" s="251"/>
      <c r="N32" s="443" t="s">
        <v>1359</v>
      </c>
      <c r="O32" s="444"/>
      <c r="P32" s="445"/>
      <c r="Q32" s="446"/>
      <c r="R32" s="446"/>
      <c r="S32" s="447"/>
      <c r="T32" s="447"/>
      <c r="U32" s="444"/>
    </row>
    <row r="33" spans="2:21" ht="12" customHeight="1" thickBot="1">
      <c r="B33" s="436">
        <v>5</v>
      </c>
      <c r="C33" s="448" t="str">
        <f>'GPC Data'!E26</f>
        <v>Comp 5</v>
      </c>
      <c r="D33" s="449"/>
      <c r="E33" s="450"/>
      <c r="F33" s="451">
        <f>'GPC Data'!X128</f>
        <v>0</v>
      </c>
      <c r="G33" s="451">
        <f>IF($P$5="Spot",'D|E'!R9,IF($P$5="5 Year",'D|E'!S9,'D|E'!T9))</f>
        <v>0</v>
      </c>
      <c r="H33" s="451">
        <f>'GPC Data'!R26</f>
        <v>0</v>
      </c>
      <c r="I33" s="452">
        <f>'GPC Data'!N26</f>
        <v>0</v>
      </c>
      <c r="J33" s="453">
        <f t="shared" si="0"/>
        <v>0</v>
      </c>
      <c r="L33" s="251"/>
      <c r="M33" s="251"/>
      <c r="N33" s="443" t="s">
        <v>1359</v>
      </c>
      <c r="O33" s="444"/>
      <c r="P33" s="445"/>
      <c r="Q33" s="446"/>
      <c r="R33" s="446"/>
      <c r="S33" s="447"/>
      <c r="T33" s="447"/>
      <c r="U33" s="444"/>
    </row>
    <row r="34" spans="2:21" ht="12" customHeight="1" thickBot="1">
      <c r="B34" s="436">
        <v>6</v>
      </c>
      <c r="C34" s="448" t="str">
        <f>'GPC Data'!E27</f>
        <v>Comp 6</v>
      </c>
      <c r="D34" s="449"/>
      <c r="E34" s="450"/>
      <c r="F34" s="451">
        <f>'GPC Data'!X129</f>
        <v>0</v>
      </c>
      <c r="G34" s="451">
        <f>IF($P$5="Spot",'D|E'!R10,IF($P$5="5 Year",'D|E'!S10,'D|E'!T10))</f>
        <v>0</v>
      </c>
      <c r="H34" s="451">
        <f>'GPC Data'!R27</f>
        <v>0</v>
      </c>
      <c r="I34" s="452">
        <f>'GPC Data'!N27</f>
        <v>0</v>
      </c>
      <c r="J34" s="453">
        <f t="shared" si="0"/>
        <v>0</v>
      </c>
      <c r="L34" s="251"/>
      <c r="M34" s="251"/>
      <c r="N34" s="443" t="s">
        <v>1359</v>
      </c>
      <c r="O34" s="444"/>
      <c r="P34" s="445"/>
      <c r="Q34" s="446"/>
      <c r="R34" s="446"/>
      <c r="S34" s="447"/>
      <c r="T34" s="447"/>
      <c r="U34" s="444"/>
    </row>
    <row r="35" spans="2:21" ht="12" customHeight="1" thickBot="1">
      <c r="B35" s="436">
        <v>7</v>
      </c>
      <c r="C35" s="448" t="str">
        <f>'GPC Data'!E28</f>
        <v>Comp 7</v>
      </c>
      <c r="D35" s="449"/>
      <c r="E35" s="450"/>
      <c r="F35" s="451">
        <f>'GPC Data'!X130</f>
        <v>0</v>
      </c>
      <c r="G35" s="451">
        <f>IF($P$5="Spot",'D|E'!R11,IF($P$5="5 Year",'D|E'!S11,'D|E'!T11))</f>
        <v>0</v>
      </c>
      <c r="H35" s="451">
        <f>'GPC Data'!R28</f>
        <v>0</v>
      </c>
      <c r="I35" s="452">
        <f>'GPC Data'!N28</f>
        <v>0</v>
      </c>
      <c r="J35" s="453">
        <f t="shared" si="0"/>
        <v>0</v>
      </c>
      <c r="L35" s="251"/>
      <c r="M35" s="251"/>
      <c r="N35" s="443" t="s">
        <v>1359</v>
      </c>
      <c r="O35" s="444"/>
      <c r="P35" s="445"/>
      <c r="Q35" s="446"/>
      <c r="R35" s="446"/>
      <c r="S35" s="447"/>
      <c r="T35" s="447"/>
      <c r="U35" s="444"/>
    </row>
    <row r="36" spans="2:21" ht="12" customHeight="1" thickBot="1">
      <c r="B36" s="436">
        <v>8</v>
      </c>
      <c r="C36" s="448" t="str">
        <f>'GPC Data'!E29</f>
        <v>Comp 8</v>
      </c>
      <c r="D36" s="449"/>
      <c r="E36" s="450"/>
      <c r="F36" s="451">
        <f>'GPC Data'!X131</f>
        <v>0</v>
      </c>
      <c r="G36" s="451">
        <f>IF($P$5="Spot",'D|E'!R12,IF($P$5="5 Year",'D|E'!S12,'D|E'!T12))</f>
        <v>0</v>
      </c>
      <c r="H36" s="451">
        <f>'GPC Data'!R29</f>
        <v>0</v>
      </c>
      <c r="I36" s="452">
        <f>'GPC Data'!N29</f>
        <v>0</v>
      </c>
      <c r="J36" s="453">
        <f t="shared" si="0"/>
        <v>0</v>
      </c>
      <c r="L36" s="251"/>
      <c r="M36" s="251"/>
      <c r="N36" s="443" t="s">
        <v>1359</v>
      </c>
      <c r="O36" s="444"/>
      <c r="P36" s="445"/>
      <c r="Q36" s="446"/>
      <c r="R36" s="446"/>
      <c r="S36" s="447"/>
      <c r="T36" s="447"/>
      <c r="U36" s="444"/>
    </row>
    <row r="37" spans="2:21" ht="12" customHeight="1" thickBot="1">
      <c r="B37" s="436">
        <v>9</v>
      </c>
      <c r="C37" s="448" t="str">
        <f>'GPC Data'!E30</f>
        <v>Comp 9</v>
      </c>
      <c r="D37" s="449"/>
      <c r="E37" s="450"/>
      <c r="F37" s="451">
        <f>'GPC Data'!X132</f>
        <v>0</v>
      </c>
      <c r="G37" s="451">
        <f>IF($P$5="Spot",'D|E'!R13,IF($P$5="5 Year",'D|E'!S13,'D|E'!T13))</f>
        <v>0</v>
      </c>
      <c r="H37" s="451">
        <f>'GPC Data'!R30</f>
        <v>0</v>
      </c>
      <c r="I37" s="452">
        <f>'GPC Data'!N30</f>
        <v>0</v>
      </c>
      <c r="J37" s="453">
        <f t="shared" si="0"/>
        <v>0</v>
      </c>
      <c r="L37" s="251"/>
      <c r="M37" s="251"/>
      <c r="N37" s="443" t="s">
        <v>1359</v>
      </c>
      <c r="O37" s="444"/>
      <c r="P37" s="445"/>
      <c r="Q37" s="446"/>
      <c r="R37" s="446"/>
      <c r="S37" s="447"/>
      <c r="T37" s="447"/>
      <c r="U37" s="444"/>
    </row>
    <row r="38" spans="2:21" ht="12" customHeight="1" thickBot="1">
      <c r="B38" s="436"/>
      <c r="C38" s="448" t="str">
        <f>'GPC Data'!E31</f>
        <v>Comp 10</v>
      </c>
      <c r="D38" s="449"/>
      <c r="E38" s="450"/>
      <c r="F38" s="451">
        <f>'GPC Data'!X133</f>
        <v>0</v>
      </c>
      <c r="G38" s="451">
        <f>IF($P$5="Spot",'D|E'!R14,IF($P$5="5 Year",'D|E'!S14,'D|E'!T14))</f>
        <v>0</v>
      </c>
      <c r="H38" s="451">
        <f>'GPC Data'!R31</f>
        <v>0</v>
      </c>
      <c r="I38" s="452">
        <f>'GPC Data'!N31</f>
        <v>0</v>
      </c>
      <c r="J38" s="453">
        <f t="shared" si="0"/>
        <v>0</v>
      </c>
      <c r="L38" s="251"/>
      <c r="M38" s="251"/>
      <c r="N38" s="443" t="s">
        <v>1359</v>
      </c>
      <c r="O38" s="444"/>
      <c r="P38" s="445"/>
      <c r="Q38" s="446"/>
      <c r="R38" s="446"/>
      <c r="S38" s="447"/>
      <c r="T38" s="447"/>
      <c r="U38" s="444"/>
    </row>
    <row r="39" spans="2:21" ht="12" hidden="1" customHeight="1" outlineLevel="1" thickBot="1">
      <c r="B39" s="436"/>
      <c r="C39" s="448" t="str">
        <f>'GPC Data'!E32</f>
        <v>Comp 11</v>
      </c>
      <c r="D39" s="449" t="e">
        <f>_xlfn.SINGLE(INDEX('D|E'!#REF!,B39))</f>
        <v>#REF!</v>
      </c>
      <c r="E39" s="450" t="e">
        <f>_xlfn.SINGLE(INDEX('D|E'!#REF!,B39))</f>
        <v>#REF!</v>
      </c>
      <c r="F39" s="451">
        <f>'GPC Data'!X134</f>
        <v>0</v>
      </c>
      <c r="G39" s="451">
        <f>IF($P$5="Spot",'D|E'!R15,IF($P$5="5 Year",'D|E'!S15,'D|E'!T15))</f>
        <v>0</v>
      </c>
      <c r="H39" s="451">
        <f>'GPC Data'!R32</f>
        <v>0</v>
      </c>
      <c r="I39" s="452">
        <f>'GPC Data'!N32</f>
        <v>0</v>
      </c>
      <c r="J39" s="453">
        <f t="shared" si="0"/>
        <v>0</v>
      </c>
      <c r="L39" s="251"/>
      <c r="M39" s="251"/>
      <c r="N39" s="443" t="s">
        <v>106</v>
      </c>
      <c r="O39" s="444"/>
      <c r="P39" s="445"/>
      <c r="Q39" s="446"/>
      <c r="R39" s="446"/>
      <c r="S39" s="447"/>
      <c r="T39" s="447"/>
      <c r="U39" s="444"/>
    </row>
    <row r="40" spans="2:21" ht="12" hidden="1" customHeight="1" outlineLevel="1" thickBot="1">
      <c r="B40" s="436"/>
      <c r="C40" s="448" t="str">
        <f>'GPC Data'!E33</f>
        <v>Comp 12</v>
      </c>
      <c r="D40" s="449" t="e">
        <f>_xlfn.SINGLE(INDEX('D|E'!#REF!,B40))</f>
        <v>#REF!</v>
      </c>
      <c r="E40" s="450" t="e">
        <f>_xlfn.SINGLE(INDEX('D|E'!#REF!,B40))</f>
        <v>#REF!</v>
      </c>
      <c r="F40" s="451">
        <f>'GPC Data'!X135</f>
        <v>0</v>
      </c>
      <c r="G40" s="451">
        <f>IF($P$5="Spot",'D|E'!R16,IF($P$5="5 Year",'D|E'!S16,'D|E'!T16))</f>
        <v>0</v>
      </c>
      <c r="H40" s="451">
        <f>'GPC Data'!R33</f>
        <v>0</v>
      </c>
      <c r="I40" s="452">
        <f>'GPC Data'!N33</f>
        <v>0</v>
      </c>
      <c r="J40" s="453">
        <f t="shared" si="0"/>
        <v>0</v>
      </c>
      <c r="L40" s="251"/>
      <c r="M40" s="251"/>
      <c r="N40" s="443" t="s">
        <v>106</v>
      </c>
      <c r="O40" s="444"/>
      <c r="P40" s="445"/>
      <c r="Q40" s="446"/>
      <c r="R40" s="446"/>
      <c r="S40" s="447"/>
      <c r="T40" s="447"/>
      <c r="U40" s="444"/>
    </row>
    <row r="41" spans="2:21" ht="12" hidden="1" customHeight="1" outlineLevel="1" thickBot="1">
      <c r="B41" s="436"/>
      <c r="C41" s="448" t="str">
        <f>'GPC Data'!E34</f>
        <v>Comp 13</v>
      </c>
      <c r="D41" s="449" t="e">
        <f>_xlfn.SINGLE(INDEX('D|E'!#REF!,B41))</f>
        <v>#REF!</v>
      </c>
      <c r="E41" s="450" t="e">
        <f>_xlfn.SINGLE(INDEX('D|E'!#REF!,B41))</f>
        <v>#REF!</v>
      </c>
      <c r="F41" s="451">
        <f>'GPC Data'!X136</f>
        <v>0</v>
      </c>
      <c r="G41" s="451">
        <f>IF($P$5="Spot",'D|E'!R17,IF($P$5="5 Year",'D|E'!S17,'D|E'!T17))</f>
        <v>0</v>
      </c>
      <c r="H41" s="451">
        <f>'GPC Data'!R34</f>
        <v>0</v>
      </c>
      <c r="I41" s="452">
        <f>'GPC Data'!N34</f>
        <v>0</v>
      </c>
      <c r="J41" s="453">
        <f t="shared" si="0"/>
        <v>0</v>
      </c>
      <c r="L41" s="251"/>
      <c r="M41" s="251"/>
      <c r="N41" s="443" t="s">
        <v>106</v>
      </c>
      <c r="O41" s="444"/>
      <c r="P41" s="445"/>
      <c r="Q41" s="446"/>
      <c r="R41" s="446"/>
      <c r="S41" s="447"/>
      <c r="T41" s="447"/>
      <c r="U41" s="444"/>
    </row>
    <row r="42" spans="2:21" ht="12" hidden="1" customHeight="1" outlineLevel="1" thickBot="1">
      <c r="B42" s="436"/>
      <c r="C42" s="448" t="str">
        <f>'GPC Data'!E35</f>
        <v>Comp 14</v>
      </c>
      <c r="D42" s="449" t="e">
        <f>_xlfn.SINGLE(INDEX('D|E'!#REF!,B42))</f>
        <v>#REF!</v>
      </c>
      <c r="E42" s="450" t="e">
        <f>_xlfn.SINGLE(INDEX('D|E'!#REF!,B42))</f>
        <v>#REF!</v>
      </c>
      <c r="F42" s="451">
        <f>'GPC Data'!X137</f>
        <v>0</v>
      </c>
      <c r="G42" s="451">
        <f>IF($P$5="Spot",'D|E'!R18,IF($P$5="5 Year",'D|E'!S18,'D|E'!T18))</f>
        <v>0</v>
      </c>
      <c r="H42" s="451">
        <f>'GPC Data'!R35</f>
        <v>0</v>
      </c>
      <c r="I42" s="452">
        <f>'GPC Data'!N35</f>
        <v>0</v>
      </c>
      <c r="J42" s="453">
        <f t="shared" si="0"/>
        <v>0</v>
      </c>
      <c r="L42" s="251"/>
      <c r="M42" s="251"/>
      <c r="N42" s="443" t="s">
        <v>106</v>
      </c>
      <c r="O42" s="444"/>
      <c r="P42" s="445"/>
      <c r="Q42" s="446"/>
      <c r="R42" s="446"/>
      <c r="S42" s="447"/>
      <c r="T42" s="447"/>
      <c r="U42" s="444"/>
    </row>
    <row r="43" spans="2:21" ht="12" hidden="1" customHeight="1" outlineLevel="1" thickBot="1">
      <c r="B43" s="436"/>
      <c r="C43" s="448" t="str">
        <f>'GPC Data'!E36</f>
        <v>Comp 15</v>
      </c>
      <c r="D43" s="449" t="e">
        <f>_xlfn.SINGLE(INDEX('D|E'!#REF!,B43))</f>
        <v>#REF!</v>
      </c>
      <c r="E43" s="450" t="e">
        <f>_xlfn.SINGLE(INDEX('D|E'!#REF!,B43))</f>
        <v>#REF!</v>
      </c>
      <c r="F43" s="451">
        <f>'GPC Data'!X138</f>
        <v>0</v>
      </c>
      <c r="G43" s="451">
        <f>IF($P$5="Spot",'D|E'!R19,IF($P$5="5 Year",'D|E'!S19,'D|E'!T19))</f>
        <v>0</v>
      </c>
      <c r="H43" s="451">
        <f>'GPC Data'!R36</f>
        <v>0</v>
      </c>
      <c r="I43" s="452">
        <f>'GPC Data'!N36</f>
        <v>0</v>
      </c>
      <c r="J43" s="453">
        <f t="shared" si="0"/>
        <v>0</v>
      </c>
      <c r="L43" s="251"/>
      <c r="M43" s="251"/>
      <c r="N43" s="443" t="s">
        <v>106</v>
      </c>
      <c r="O43" s="444"/>
      <c r="P43" s="445"/>
      <c r="Q43" s="446"/>
      <c r="R43" s="446"/>
      <c r="S43" s="447"/>
      <c r="T43" s="447"/>
      <c r="U43" s="444"/>
    </row>
    <row r="44" spans="2:21" ht="12" hidden="1" customHeight="1" outlineLevel="1" thickBot="1">
      <c r="B44" s="436"/>
      <c r="C44" s="448" t="str">
        <f>'GPC Data'!E37</f>
        <v>Comp 16</v>
      </c>
      <c r="D44" s="449" t="e">
        <f>_xlfn.SINGLE(INDEX('D|E'!#REF!,B44))</f>
        <v>#REF!</v>
      </c>
      <c r="E44" s="450" t="e">
        <f>_xlfn.SINGLE(INDEX('D|E'!#REF!,B44))</f>
        <v>#REF!</v>
      </c>
      <c r="F44" s="451">
        <f>'GPC Data'!X139</f>
        <v>0</v>
      </c>
      <c r="G44" s="451">
        <f>IF($P$5="Spot",'D|E'!R20,IF($P$5="5 Year",'D|E'!S20,'D|E'!T20))</f>
        <v>0</v>
      </c>
      <c r="H44" s="451">
        <f>'GPC Data'!R37</f>
        <v>0</v>
      </c>
      <c r="I44" s="452">
        <f>'GPC Data'!N37</f>
        <v>0</v>
      </c>
      <c r="J44" s="453">
        <f t="shared" si="0"/>
        <v>0</v>
      </c>
      <c r="L44" s="251"/>
      <c r="M44" s="251"/>
      <c r="N44" s="443" t="s">
        <v>106</v>
      </c>
      <c r="O44" s="444"/>
      <c r="P44" s="445"/>
      <c r="Q44" s="446"/>
      <c r="R44" s="446"/>
      <c r="S44" s="447"/>
      <c r="T44" s="447"/>
      <c r="U44" s="444"/>
    </row>
    <row r="45" spans="2:21" ht="12" hidden="1" customHeight="1" outlineLevel="1" thickBot="1">
      <c r="B45" s="436"/>
      <c r="C45" s="448" t="str">
        <f>'GPC Data'!E38</f>
        <v>Comp 17</v>
      </c>
      <c r="D45" s="449" t="e">
        <f>_xlfn.SINGLE(INDEX('D|E'!#REF!,B45))</f>
        <v>#REF!</v>
      </c>
      <c r="E45" s="450" t="e">
        <f>_xlfn.SINGLE(INDEX('D|E'!#REF!,B45))</f>
        <v>#REF!</v>
      </c>
      <c r="F45" s="451">
        <f>'GPC Data'!X140</f>
        <v>0</v>
      </c>
      <c r="G45" s="451">
        <f>IF($P$5="Spot",'D|E'!R21,IF($P$5="5 Year",'D|E'!S21,'D|E'!T21))</f>
        <v>0</v>
      </c>
      <c r="H45" s="451">
        <f>'GPC Data'!R38</f>
        <v>0</v>
      </c>
      <c r="I45" s="452">
        <f>'GPC Data'!N38</f>
        <v>0</v>
      </c>
      <c r="J45" s="453">
        <f t="shared" si="0"/>
        <v>0</v>
      </c>
      <c r="L45" s="251"/>
      <c r="M45" s="251"/>
      <c r="N45" s="443" t="s">
        <v>106</v>
      </c>
      <c r="O45" s="444"/>
      <c r="P45" s="445"/>
      <c r="Q45" s="446"/>
      <c r="R45" s="446"/>
      <c r="S45" s="447"/>
      <c r="T45" s="447"/>
      <c r="U45" s="444"/>
    </row>
    <row r="46" spans="2:21" ht="12" hidden="1" customHeight="1" outlineLevel="1" thickBot="1">
      <c r="B46" s="436"/>
      <c r="C46" s="448" t="str">
        <f>'GPC Data'!E39</f>
        <v>Comp 18</v>
      </c>
      <c r="D46" s="449" t="e">
        <f>_xlfn.SINGLE(INDEX('D|E'!#REF!,B46))</f>
        <v>#REF!</v>
      </c>
      <c r="E46" s="450" t="e">
        <f>_xlfn.SINGLE(INDEX('D|E'!#REF!,B46))</f>
        <v>#REF!</v>
      </c>
      <c r="F46" s="451">
        <f>'GPC Data'!X141</f>
        <v>0</v>
      </c>
      <c r="G46" s="451">
        <f>IF($P$5="Spot",'D|E'!R22,IF($P$5="5 Year",'D|E'!S22,'D|E'!T22))</f>
        <v>0</v>
      </c>
      <c r="H46" s="451">
        <f>'GPC Data'!R39</f>
        <v>0</v>
      </c>
      <c r="I46" s="452">
        <f>'GPC Data'!N39</f>
        <v>0</v>
      </c>
      <c r="J46" s="453">
        <f t="shared" si="0"/>
        <v>0</v>
      </c>
      <c r="L46" s="251"/>
      <c r="M46" s="251"/>
      <c r="N46" s="443" t="s">
        <v>106</v>
      </c>
      <c r="O46" s="444"/>
      <c r="P46" s="445"/>
      <c r="Q46" s="446"/>
      <c r="R46" s="446"/>
      <c r="S46" s="447"/>
      <c r="T46" s="447"/>
      <c r="U46" s="444"/>
    </row>
    <row r="47" spans="2:21" ht="12" hidden="1" customHeight="1" outlineLevel="1" thickBot="1">
      <c r="B47" s="436"/>
      <c r="C47" s="448" t="str">
        <f>'GPC Data'!E40</f>
        <v>Comp 19</v>
      </c>
      <c r="D47" s="449" t="e">
        <f>_xlfn.SINGLE(INDEX('D|E'!#REF!,B47))</f>
        <v>#REF!</v>
      </c>
      <c r="E47" s="450" t="e">
        <f>_xlfn.SINGLE(INDEX('D|E'!#REF!,B47))</f>
        <v>#REF!</v>
      </c>
      <c r="F47" s="451">
        <f>'GPC Data'!X142</f>
        <v>0</v>
      </c>
      <c r="G47" s="451">
        <f>IF($P$5="Spot",'D|E'!R23,IF($P$5="5 Year",'D|E'!S23,'D|E'!T23))</f>
        <v>0</v>
      </c>
      <c r="H47" s="451">
        <f>'GPC Data'!R40</f>
        <v>0</v>
      </c>
      <c r="I47" s="452">
        <f>'GPC Data'!N40</f>
        <v>0</v>
      </c>
      <c r="J47" s="453">
        <f t="shared" si="0"/>
        <v>0</v>
      </c>
      <c r="L47" s="251"/>
      <c r="M47" s="251"/>
      <c r="N47" s="443" t="s">
        <v>106</v>
      </c>
      <c r="O47" s="444"/>
      <c r="P47" s="445"/>
      <c r="Q47" s="446"/>
      <c r="R47" s="446"/>
      <c r="S47" s="447"/>
      <c r="T47" s="447"/>
      <c r="U47" s="444"/>
    </row>
    <row r="48" spans="2:21" ht="12" hidden="1" customHeight="1" outlineLevel="1" thickBot="1">
      <c r="B48" s="436"/>
      <c r="C48" s="448" t="str">
        <f>'GPC Data'!E41</f>
        <v>Comp 20</v>
      </c>
      <c r="D48" s="449" t="e">
        <f>_xlfn.SINGLE(INDEX('D|E'!#REF!,B48))</f>
        <v>#REF!</v>
      </c>
      <c r="E48" s="450" t="e">
        <f>_xlfn.SINGLE(INDEX('D|E'!#REF!,B48))</f>
        <v>#REF!</v>
      </c>
      <c r="F48" s="451">
        <f>'GPC Data'!X143</f>
        <v>0</v>
      </c>
      <c r="G48" s="451">
        <f>IF($P$5="Spot",'D|E'!R24,IF($P$5="5 Year",'D|E'!S24,'D|E'!T24))</f>
        <v>0</v>
      </c>
      <c r="H48" s="451">
        <f>'GPC Data'!R41</f>
        <v>0</v>
      </c>
      <c r="I48" s="452">
        <f>'GPC Data'!N41</f>
        <v>0</v>
      </c>
      <c r="J48" s="453">
        <f t="shared" si="0"/>
        <v>0</v>
      </c>
      <c r="L48" s="251"/>
      <c r="M48" s="251"/>
      <c r="N48" s="443" t="s">
        <v>106</v>
      </c>
      <c r="O48" s="444"/>
      <c r="P48" s="445"/>
      <c r="Q48" s="446"/>
      <c r="R48" s="446"/>
      <c r="S48" s="447"/>
      <c r="T48" s="447"/>
      <c r="U48" s="444"/>
    </row>
    <row r="49" spans="2:21" ht="12" hidden="1" customHeight="1" outlineLevel="1" thickBot="1">
      <c r="B49" s="436"/>
      <c r="C49" s="448" t="str">
        <f>'GPC Data'!E42</f>
        <v>Comp 21</v>
      </c>
      <c r="D49" s="449" t="e">
        <f>_xlfn.SINGLE(INDEX('D|E'!#REF!,B49))</f>
        <v>#REF!</v>
      </c>
      <c r="E49" s="450" t="e">
        <f>_xlfn.SINGLE(INDEX('D|E'!#REF!,B49))</f>
        <v>#REF!</v>
      </c>
      <c r="F49" s="451">
        <f>'GPC Data'!X144</f>
        <v>0</v>
      </c>
      <c r="G49" s="451">
        <f>IF($P$5="Spot",'D|E'!R25,IF($P$5="5 Year",'D|E'!S25,'D|E'!T25))</f>
        <v>0</v>
      </c>
      <c r="H49" s="451">
        <f>'GPC Data'!R42</f>
        <v>0</v>
      </c>
      <c r="I49" s="452">
        <f>'GPC Data'!N42</f>
        <v>0</v>
      </c>
      <c r="J49" s="453">
        <f t="shared" si="0"/>
        <v>0</v>
      </c>
      <c r="L49" s="251"/>
      <c r="M49" s="251"/>
      <c r="N49" s="443" t="s">
        <v>106</v>
      </c>
      <c r="O49" s="444"/>
      <c r="P49" s="445"/>
      <c r="Q49" s="446"/>
      <c r="R49" s="446"/>
      <c r="S49" s="447"/>
      <c r="T49" s="447"/>
      <c r="U49" s="444"/>
    </row>
    <row r="50" spans="2:21" ht="12" hidden="1" customHeight="1" outlineLevel="1" thickBot="1">
      <c r="B50" s="436"/>
      <c r="C50" s="448" t="str">
        <f>'GPC Data'!E43</f>
        <v>Comp 22</v>
      </c>
      <c r="D50" s="449" t="e">
        <f>_xlfn.SINGLE(INDEX('D|E'!#REF!,B50))</f>
        <v>#REF!</v>
      </c>
      <c r="E50" s="450" t="e">
        <f>_xlfn.SINGLE(INDEX('D|E'!#REF!,B50))</f>
        <v>#REF!</v>
      </c>
      <c r="F50" s="451">
        <f>'GPC Data'!X145</f>
        <v>0</v>
      </c>
      <c r="G50" s="451">
        <f>IF($P$5="Spot",'D|E'!R26,IF($P$5="5 Year",'D|E'!S26,'D|E'!T26))</f>
        <v>0</v>
      </c>
      <c r="H50" s="451">
        <f>'GPC Data'!R43</f>
        <v>0</v>
      </c>
      <c r="I50" s="452">
        <f>'GPC Data'!N43</f>
        <v>0</v>
      </c>
      <c r="J50" s="453">
        <f t="shared" si="0"/>
        <v>0</v>
      </c>
      <c r="L50" s="251"/>
      <c r="M50" s="251"/>
      <c r="N50" s="443" t="s">
        <v>106</v>
      </c>
      <c r="O50" s="444"/>
      <c r="P50" s="445"/>
      <c r="Q50" s="446"/>
      <c r="R50" s="446"/>
      <c r="S50" s="447"/>
      <c r="T50" s="447"/>
      <c r="U50" s="444"/>
    </row>
    <row r="51" spans="2:21" ht="12" hidden="1" customHeight="1" outlineLevel="1" thickBot="1">
      <c r="B51" s="436"/>
      <c r="C51" s="448" t="str">
        <f>'GPC Data'!E44</f>
        <v>Comp 23</v>
      </c>
      <c r="D51" s="449" t="e">
        <f>_xlfn.SINGLE(INDEX('D|E'!#REF!,B51))</f>
        <v>#REF!</v>
      </c>
      <c r="E51" s="450" t="e">
        <f>_xlfn.SINGLE(INDEX('D|E'!#REF!,B51))</f>
        <v>#REF!</v>
      </c>
      <c r="F51" s="451">
        <f>'GPC Data'!X146</f>
        <v>0</v>
      </c>
      <c r="G51" s="451">
        <f>IF($P$5="Spot",'D|E'!R27,IF($P$5="5 Year",'D|E'!S27,'D|E'!T27))</f>
        <v>0</v>
      </c>
      <c r="H51" s="451">
        <f>'GPC Data'!R44</f>
        <v>0</v>
      </c>
      <c r="I51" s="452">
        <f>'GPC Data'!N44</f>
        <v>0</v>
      </c>
      <c r="J51" s="453">
        <f t="shared" si="0"/>
        <v>0</v>
      </c>
      <c r="L51" s="251"/>
      <c r="M51" s="251"/>
      <c r="N51" s="443" t="s">
        <v>106</v>
      </c>
      <c r="O51" s="444"/>
      <c r="P51" s="445"/>
      <c r="Q51" s="446"/>
      <c r="R51" s="446"/>
      <c r="S51" s="447"/>
      <c r="T51" s="447"/>
      <c r="U51" s="444"/>
    </row>
    <row r="52" spans="2:21" ht="12" hidden="1" customHeight="1" outlineLevel="1" thickBot="1">
      <c r="B52" s="436"/>
      <c r="C52" s="448" t="str">
        <f>'GPC Data'!E45</f>
        <v>Comp 24</v>
      </c>
      <c r="D52" s="449" t="e">
        <f>_xlfn.SINGLE(INDEX('D|E'!#REF!,B52))</f>
        <v>#REF!</v>
      </c>
      <c r="E52" s="450" t="e">
        <f>_xlfn.SINGLE(INDEX('D|E'!#REF!,B52))</f>
        <v>#REF!</v>
      </c>
      <c r="F52" s="451">
        <f>'GPC Data'!X147</f>
        <v>0</v>
      </c>
      <c r="G52" s="451">
        <f>IF($P$5="Spot",'D|E'!R28,IF($P$5="5 Year",'D|E'!S28,'D|E'!T28))</f>
        <v>0</v>
      </c>
      <c r="H52" s="451">
        <f>'GPC Data'!R45</f>
        <v>0</v>
      </c>
      <c r="I52" s="452">
        <f>'GPC Data'!N45</f>
        <v>0</v>
      </c>
      <c r="J52" s="453">
        <f t="shared" si="0"/>
        <v>0</v>
      </c>
      <c r="L52" s="251"/>
      <c r="M52" s="251"/>
      <c r="N52" s="443" t="s">
        <v>106</v>
      </c>
      <c r="O52" s="444"/>
      <c r="P52" s="445"/>
      <c r="Q52" s="446"/>
      <c r="R52" s="446"/>
      <c r="S52" s="447"/>
      <c r="T52" s="447"/>
      <c r="U52" s="444"/>
    </row>
    <row r="53" spans="2:21" ht="12" hidden="1" customHeight="1" outlineLevel="1" thickBot="1">
      <c r="B53" s="436"/>
      <c r="C53" s="448" t="str">
        <f>'GPC Data'!E46</f>
        <v>Comp 25</v>
      </c>
      <c r="D53" s="449" t="e">
        <f>_xlfn.SINGLE(INDEX('D|E'!#REF!,B53))</f>
        <v>#REF!</v>
      </c>
      <c r="E53" s="450" t="e">
        <f>_xlfn.SINGLE(INDEX('D|E'!#REF!,B53))</f>
        <v>#REF!</v>
      </c>
      <c r="F53" s="451">
        <f>'GPC Data'!X148</f>
        <v>0</v>
      </c>
      <c r="G53" s="451">
        <f>IF($P$5="Spot",'D|E'!R29,IF($P$5="5 Year",'D|E'!S29,'D|E'!T29))</f>
        <v>0</v>
      </c>
      <c r="H53" s="451">
        <f>'GPC Data'!R46</f>
        <v>0</v>
      </c>
      <c r="I53" s="452">
        <f>'GPC Data'!N46</f>
        <v>0</v>
      </c>
      <c r="J53" s="453">
        <f t="shared" si="0"/>
        <v>0</v>
      </c>
      <c r="L53" s="251"/>
      <c r="M53" s="251"/>
      <c r="N53" s="443" t="s">
        <v>106</v>
      </c>
      <c r="O53" s="444"/>
      <c r="P53" s="445"/>
      <c r="Q53" s="446"/>
      <c r="R53" s="446"/>
      <c r="S53" s="447"/>
      <c r="T53" s="447"/>
      <c r="U53" s="444"/>
    </row>
    <row r="54" spans="2:21" ht="12" hidden="1" customHeight="1" outlineLevel="1" thickBot="1">
      <c r="B54" s="436"/>
      <c r="C54" s="448" t="str">
        <f>'GPC Data'!E47</f>
        <v>Comp 26</v>
      </c>
      <c r="D54" s="449" t="e">
        <f>_xlfn.SINGLE(INDEX('D|E'!#REF!,B54))</f>
        <v>#REF!</v>
      </c>
      <c r="E54" s="450" t="e">
        <f>_xlfn.SINGLE(INDEX('D|E'!#REF!,B54))</f>
        <v>#REF!</v>
      </c>
      <c r="F54" s="451">
        <f>'GPC Data'!X149</f>
        <v>0</v>
      </c>
      <c r="G54" s="451">
        <f>IF($P$5="Spot",'D|E'!R30,IF($P$5="5 Year",'D|E'!S30,'D|E'!T30))</f>
        <v>0</v>
      </c>
      <c r="H54" s="451">
        <f>'GPC Data'!R47</f>
        <v>0</v>
      </c>
      <c r="I54" s="452">
        <f>'GPC Data'!N47</f>
        <v>0</v>
      </c>
      <c r="J54" s="453">
        <f t="shared" si="0"/>
        <v>0</v>
      </c>
      <c r="L54" s="251"/>
      <c r="M54" s="251"/>
      <c r="N54" s="443" t="s">
        <v>106</v>
      </c>
      <c r="O54" s="444"/>
      <c r="P54" s="445"/>
      <c r="Q54" s="446"/>
      <c r="R54" s="446"/>
      <c r="S54" s="447"/>
      <c r="T54" s="447"/>
      <c r="U54" s="444"/>
    </row>
    <row r="55" spans="2:21" ht="12" hidden="1" customHeight="1" outlineLevel="1" thickBot="1">
      <c r="B55" s="436"/>
      <c r="C55" s="448" t="str">
        <f>'GPC Data'!E48</f>
        <v>Comp 27</v>
      </c>
      <c r="D55" s="449" t="e">
        <f>_xlfn.SINGLE(INDEX('D|E'!#REF!,B55))</f>
        <v>#REF!</v>
      </c>
      <c r="E55" s="450" t="e">
        <f>_xlfn.SINGLE(INDEX('D|E'!#REF!,B55))</f>
        <v>#REF!</v>
      </c>
      <c r="F55" s="451">
        <f>'GPC Data'!X150</f>
        <v>0</v>
      </c>
      <c r="G55" s="451">
        <f>IF($P$5="Spot",'D|E'!R31,IF($P$5="5 Year",'D|E'!S31,'D|E'!T31))</f>
        <v>0</v>
      </c>
      <c r="H55" s="451">
        <f>'GPC Data'!R48</f>
        <v>0</v>
      </c>
      <c r="I55" s="452">
        <f>'GPC Data'!N48</f>
        <v>0</v>
      </c>
      <c r="J55" s="453">
        <f t="shared" si="0"/>
        <v>0</v>
      </c>
      <c r="L55" s="251"/>
      <c r="M55" s="251"/>
      <c r="N55" s="443" t="s">
        <v>106</v>
      </c>
      <c r="O55" s="444"/>
      <c r="P55" s="445"/>
      <c r="Q55" s="446"/>
      <c r="R55" s="446"/>
      <c r="S55" s="447"/>
      <c r="T55" s="447"/>
      <c r="U55" s="444"/>
    </row>
    <row r="56" spans="2:21" ht="12" hidden="1" customHeight="1" outlineLevel="1" thickBot="1">
      <c r="B56" s="436"/>
      <c r="C56" s="448" t="str">
        <f>'GPC Data'!E49</f>
        <v>Comp 28</v>
      </c>
      <c r="D56" s="449" t="e">
        <f>_xlfn.SINGLE(INDEX('D|E'!#REF!,B56))</f>
        <v>#REF!</v>
      </c>
      <c r="E56" s="450" t="e">
        <f>_xlfn.SINGLE(INDEX('D|E'!#REF!,B56))</f>
        <v>#REF!</v>
      </c>
      <c r="F56" s="451">
        <f>'GPC Data'!X151</f>
        <v>0</v>
      </c>
      <c r="G56" s="451">
        <f>IF($P$5="Spot",'D|E'!R32,IF($P$5="5 Year",'D|E'!S32,'D|E'!T32))</f>
        <v>0</v>
      </c>
      <c r="H56" s="451">
        <f>'GPC Data'!R49</f>
        <v>0</v>
      </c>
      <c r="I56" s="452">
        <f>'GPC Data'!N49</f>
        <v>0</v>
      </c>
      <c r="J56" s="453">
        <f t="shared" si="0"/>
        <v>0</v>
      </c>
      <c r="L56" s="251"/>
      <c r="M56" s="251"/>
      <c r="N56" s="443" t="s">
        <v>106</v>
      </c>
      <c r="O56" s="444"/>
      <c r="P56" s="445"/>
      <c r="Q56" s="446"/>
      <c r="R56" s="446"/>
      <c r="S56" s="447"/>
      <c r="T56" s="447"/>
      <c r="U56" s="444"/>
    </row>
    <row r="57" spans="2:21" ht="12" hidden="1" customHeight="1" outlineLevel="1" thickBot="1">
      <c r="B57" s="436"/>
      <c r="C57" s="448" t="str">
        <f>'GPC Data'!E50</f>
        <v>Comp 29</v>
      </c>
      <c r="D57" s="449" t="e">
        <f>_xlfn.SINGLE(INDEX('D|E'!#REF!,B57))</f>
        <v>#REF!</v>
      </c>
      <c r="E57" s="450" t="e">
        <f>_xlfn.SINGLE(INDEX('D|E'!#REF!,B57))</f>
        <v>#REF!</v>
      </c>
      <c r="F57" s="451">
        <f>'GPC Data'!X152</f>
        <v>0</v>
      </c>
      <c r="G57" s="451">
        <f>IF($P$5="Spot",'D|E'!R33,IF($P$5="5 Year",'D|E'!S33,'D|E'!T33))</f>
        <v>0</v>
      </c>
      <c r="H57" s="451">
        <f>'GPC Data'!R50</f>
        <v>0</v>
      </c>
      <c r="I57" s="452">
        <f>'GPC Data'!N50</f>
        <v>0</v>
      </c>
      <c r="J57" s="453">
        <f t="shared" si="0"/>
        <v>0</v>
      </c>
      <c r="L57" s="251"/>
      <c r="M57" s="251"/>
      <c r="N57" s="443" t="s">
        <v>106</v>
      </c>
      <c r="O57" s="444"/>
      <c r="P57" s="445"/>
      <c r="Q57" s="446"/>
      <c r="R57" s="446"/>
      <c r="S57" s="447"/>
      <c r="T57" s="447"/>
      <c r="U57" s="444"/>
    </row>
    <row r="58" spans="2:21" ht="12" hidden="1" customHeight="1" outlineLevel="1" thickBot="1">
      <c r="B58" s="436">
        <v>10</v>
      </c>
      <c r="C58" s="448" t="str">
        <f>'GPC Data'!E51</f>
        <v>Comp 30</v>
      </c>
      <c r="D58" s="449" t="e">
        <f>_xlfn.SINGLE(INDEX('D|E'!#REF!,B58))</f>
        <v>#REF!</v>
      </c>
      <c r="E58" s="450" t="e">
        <f>_xlfn.SINGLE(INDEX('D|E'!#REF!,B58))</f>
        <v>#REF!</v>
      </c>
      <c r="F58" s="451">
        <f>'GPC Data'!X153</f>
        <v>0</v>
      </c>
      <c r="G58" s="451">
        <f>IF($P$5="Spot",'D|E'!R14,IF($P$5="5 Year",'D|E'!S14,'D|E'!T14))</f>
        <v>0</v>
      </c>
      <c r="H58" s="451">
        <f>'GPC Data'!R51</f>
        <v>0</v>
      </c>
      <c r="I58" s="452">
        <f>'GPC Data'!N51</f>
        <v>0</v>
      </c>
      <c r="J58" s="453">
        <f t="shared" si="0"/>
        <v>0</v>
      </c>
      <c r="L58" s="251"/>
      <c r="M58" s="251"/>
      <c r="N58" s="443" t="s">
        <v>106</v>
      </c>
      <c r="O58" s="444"/>
      <c r="P58" s="445"/>
      <c r="Q58" s="446"/>
      <c r="R58" s="446"/>
      <c r="S58" s="447"/>
      <c r="T58" s="447"/>
      <c r="U58" s="444"/>
    </row>
    <row r="59" spans="2:21" s="232" customFormat="1" collapsed="1">
      <c r="C59" s="454" t="str">
        <f>"As of "&amp;TEXT(valuation.date,"d mmmm yyy")&amp;"."&amp;" Historical financial information for the selected guideline public companies provided by EIKON"</f>
        <v>As of 30 September 2024. Historical financial information for the selected guideline public companies provided by EIKON</v>
      </c>
      <c r="D59" s="455"/>
      <c r="E59" s="456"/>
      <c r="F59" s="457"/>
      <c r="G59" s="457"/>
      <c r="H59" s="457"/>
      <c r="I59" s="458"/>
      <c r="J59" s="458"/>
      <c r="Q59" s="459"/>
      <c r="R59" s="460"/>
      <c r="S59" s="461"/>
      <c r="T59" s="461"/>
    </row>
    <row r="60" spans="2:21" s="232" customFormat="1">
      <c r="C60" s="462"/>
      <c r="E60" s="463"/>
      <c r="F60" s="464"/>
      <c r="G60" s="464"/>
      <c r="H60" s="464"/>
      <c r="I60" s="465"/>
      <c r="J60" s="465"/>
      <c r="Q60" s="459"/>
      <c r="R60" s="460"/>
      <c r="S60" s="461"/>
      <c r="T60" s="461"/>
    </row>
    <row r="61" spans="2:21" s="232" customFormat="1">
      <c r="E61" s="466" t="s">
        <v>1366</v>
      </c>
      <c r="F61" s="464"/>
      <c r="G61" s="464"/>
      <c r="H61" s="464"/>
      <c r="I61" s="465"/>
      <c r="J61" s="465"/>
      <c r="Q61" s="459"/>
      <c r="R61" s="460"/>
      <c r="S61" s="461"/>
      <c r="T61" s="461"/>
    </row>
    <row r="62" spans="2:21" s="232" customFormat="1" ht="12" customHeight="1">
      <c r="E62" s="467" t="s">
        <v>1367</v>
      </c>
      <c r="F62" s="440">
        <f t="shared" ref="F62:J62" si="1">IFERROR(MAX(F29:F58),"NA")</f>
        <v>0</v>
      </c>
      <c r="G62" s="440">
        <f t="shared" si="1"/>
        <v>0</v>
      </c>
      <c r="H62" s="440">
        <f t="shared" si="1"/>
        <v>0</v>
      </c>
      <c r="I62" s="468">
        <f t="shared" si="1"/>
        <v>0</v>
      </c>
      <c r="J62" s="468">
        <f t="shared" si="1"/>
        <v>0</v>
      </c>
      <c r="S62" s="461"/>
      <c r="T62" s="461"/>
    </row>
    <row r="63" spans="2:21" s="232" customFormat="1" ht="12" customHeight="1">
      <c r="E63" s="469" t="s">
        <v>1368</v>
      </c>
      <c r="F63" s="451">
        <f t="shared" ref="F63:J63" si="2">IFERROR(MIN(F29:F58),"NA")</f>
        <v>0</v>
      </c>
      <c r="G63" s="451">
        <f t="shared" si="2"/>
        <v>0</v>
      </c>
      <c r="H63" s="451">
        <f t="shared" si="2"/>
        <v>0</v>
      </c>
      <c r="I63" s="470">
        <f t="shared" si="2"/>
        <v>0</v>
      </c>
      <c r="J63" s="470">
        <f t="shared" si="2"/>
        <v>0</v>
      </c>
      <c r="S63" s="461"/>
      <c r="T63" s="461"/>
    </row>
    <row r="64" spans="2:21" s="232" customFormat="1" ht="12" customHeight="1">
      <c r="E64" s="469" t="s">
        <v>1369</v>
      </c>
      <c r="F64" s="451">
        <f t="shared" ref="F64:J64" si="3">IFERROR(AVERAGE(F29:F58),"NA")</f>
        <v>0</v>
      </c>
      <c r="G64" s="451">
        <f t="shared" si="3"/>
        <v>0</v>
      </c>
      <c r="H64" s="451">
        <f t="shared" si="3"/>
        <v>0</v>
      </c>
      <c r="I64" s="470">
        <f t="shared" si="3"/>
        <v>0</v>
      </c>
      <c r="J64" s="470">
        <f t="shared" si="3"/>
        <v>0</v>
      </c>
      <c r="S64" s="461"/>
      <c r="T64" s="461"/>
    </row>
    <row r="65" spans="2:21" s="232" customFormat="1" ht="12" customHeight="1">
      <c r="E65" s="471" t="s">
        <v>1370</v>
      </c>
      <c r="F65" s="472">
        <f t="shared" ref="F65:J65" si="4">IFERROR(MEDIAN(F29:F58),"NA")</f>
        <v>0</v>
      </c>
      <c r="G65" s="472">
        <f t="shared" si="4"/>
        <v>0</v>
      </c>
      <c r="H65" s="472">
        <f t="shared" si="4"/>
        <v>0</v>
      </c>
      <c r="I65" s="473">
        <f t="shared" si="4"/>
        <v>0</v>
      </c>
      <c r="J65" s="473">
        <f t="shared" si="4"/>
        <v>0</v>
      </c>
      <c r="S65" s="461"/>
      <c r="T65" s="461"/>
    </row>
    <row r="66" spans="2:21" s="232" customFormat="1" ht="12" customHeight="1">
      <c r="E66" s="474"/>
      <c r="F66" s="464"/>
      <c r="G66" s="464"/>
      <c r="H66" s="464"/>
      <c r="I66" s="465"/>
      <c r="J66" s="465"/>
      <c r="S66" s="461"/>
      <c r="T66" s="461"/>
    </row>
    <row r="67" spans="2:21" s="232" customFormat="1" ht="12" customHeight="1">
      <c r="E67" s="466" t="s">
        <v>1371</v>
      </c>
      <c r="F67" s="464"/>
      <c r="G67" s="464"/>
      <c r="H67" s="464"/>
      <c r="I67" s="465"/>
      <c r="J67" s="465"/>
      <c r="P67" s="475"/>
      <c r="Q67" s="476"/>
      <c r="R67" s="476"/>
      <c r="S67" s="461"/>
      <c r="T67" s="461"/>
    </row>
    <row r="68" spans="2:21" s="232" customFormat="1" ht="12" customHeight="1">
      <c r="E68" s="467" t="s">
        <v>1367</v>
      </c>
      <c r="F68" s="440" cm="1">
        <f t="array" ref="F68">IFERROR(MAX(IF($N$29:$N$58="No",F29:F58)),"")</f>
        <v>0</v>
      </c>
      <c r="G68" s="440" cm="1">
        <f t="array" ref="G68">IFERROR(MAX(IF($N$29:$N$58="No",G29:G58)),"")</f>
        <v>0</v>
      </c>
      <c r="H68" s="440" cm="1">
        <f t="array" ref="H68">IFERROR(MAX(IF($N$29:$N$58="No",H29:H58)),"")</f>
        <v>0</v>
      </c>
      <c r="I68" s="440" cm="1">
        <f t="array" ref="I68">IFERROR(MAX(IF($N$29:$N$58="No",I29:I58)),"")</f>
        <v>0</v>
      </c>
      <c r="J68" s="440" cm="1">
        <f t="array" ref="J68">IFERROR(MAX(IF($N$29:$N$58="No",J29:J58)),"")</f>
        <v>0</v>
      </c>
      <c r="P68" s="475"/>
      <c r="Q68" s="476"/>
      <c r="R68" s="476"/>
      <c r="S68" s="461"/>
      <c r="T68" s="461"/>
    </row>
    <row r="69" spans="2:21" s="232" customFormat="1" ht="12" customHeight="1">
      <c r="E69" s="469" t="s">
        <v>1368</v>
      </c>
      <c r="F69" s="451" cm="1">
        <f t="array" ref="F69">IFERROR(MIN(IF($N$29:$N$58="No",F29:F58)),"")</f>
        <v>0</v>
      </c>
      <c r="G69" s="477" cm="1">
        <f t="array" ref="G69">IFERROR(MIN(IF($N$29:$N$58="No",G29:G58)),"")</f>
        <v>0</v>
      </c>
      <c r="H69" s="477" cm="1">
        <f t="array" ref="H69">IFERROR(MIN(IF($N$29:$N$58="No",H29:H58)),"")</f>
        <v>0</v>
      </c>
      <c r="I69" s="477" cm="1">
        <f t="array" ref="I69">IFERROR(MIN(IF($N$29:$N$58="No",I29:I58)),"")</f>
        <v>0</v>
      </c>
      <c r="J69" s="477" cm="1">
        <f t="array" ref="J69">IFERROR(MIN(IF($N$29:$N$58="No",J29:J58)),"")</f>
        <v>0</v>
      </c>
      <c r="P69" s="475"/>
      <c r="Q69" s="476"/>
      <c r="R69" s="476"/>
      <c r="S69" s="461"/>
      <c r="T69" s="461"/>
    </row>
    <row r="70" spans="2:21" s="232" customFormat="1" ht="12" customHeight="1">
      <c r="E70" s="469" t="s">
        <v>1369</v>
      </c>
      <c r="F70" s="451">
        <f>IFERROR(AVERAGEIF($N$29:$N$58,"No",F29:F58),"")</f>
        <v>0</v>
      </c>
      <c r="G70" s="451">
        <f>IFERROR(AVERAGEIF($N$29:$N$58,"No",G29:G58),"")</f>
        <v>0</v>
      </c>
      <c r="H70" s="451">
        <f>IFERROR(AVERAGEIF($N$29:$N$58,"No",H29:H58),"")</f>
        <v>0</v>
      </c>
      <c r="I70" s="477">
        <f>IFERROR(AVERAGEIF($N$29:$N$58,"No",I29:I58),"")</f>
        <v>0</v>
      </c>
      <c r="J70" s="477">
        <f>IFERROR(AVERAGEIF($N$29:$N$58,"No",J29:J58),"")</f>
        <v>0</v>
      </c>
      <c r="P70" s="475"/>
      <c r="Q70" s="476"/>
      <c r="R70" s="476"/>
      <c r="S70" s="461"/>
      <c r="T70" s="461"/>
    </row>
    <row r="71" spans="2:21" s="232" customFormat="1" ht="12" customHeight="1">
      <c r="E71" s="471" t="s">
        <v>1370</v>
      </c>
      <c r="F71" s="472" cm="1">
        <f t="array" ref="F71">IFERROR(MEDIAN(IF($N$29:$N$58="No",F29:F58)),"")</f>
        <v>0</v>
      </c>
      <c r="G71" s="478" cm="1">
        <f t="array" ref="G71">IFERROR(MEDIAN(IF($N$29:$N$58="No",G29:G58)),"")</f>
        <v>0</v>
      </c>
      <c r="H71" s="478" cm="1">
        <f t="array" ref="H71">IFERROR(MEDIAN(IF($N$29:$N$58="No",H29:H58)),"")</f>
        <v>0</v>
      </c>
      <c r="I71" s="478" cm="1">
        <f t="array" ref="I71">IFERROR(MEDIAN(IF($N$29:$N$58="No",I29:I58)),"")</f>
        <v>0</v>
      </c>
      <c r="J71" s="478" cm="1">
        <f t="array" ref="J71">IFERROR(MEDIAN(IF($N$29:$N$58="No",J29:J58)),"")</f>
        <v>0</v>
      </c>
      <c r="K71" s="479"/>
      <c r="P71" s="475"/>
      <c r="Q71" s="476"/>
      <c r="R71" s="476"/>
      <c r="S71" s="461"/>
      <c r="T71" s="461"/>
    </row>
    <row r="72" spans="2:21" s="232" customFormat="1" ht="13.5">
      <c r="F72" s="480"/>
      <c r="G72" s="481"/>
      <c r="H72" s="480"/>
      <c r="I72" s="482"/>
      <c r="J72" s="482"/>
      <c r="Q72" s="483"/>
      <c r="R72" s="483"/>
      <c r="S72" s="484"/>
      <c r="T72" s="484"/>
      <c r="U72" s="485"/>
    </row>
    <row r="73" spans="2:21" ht="13.5">
      <c r="E73" s="486" t="s">
        <v>1372</v>
      </c>
      <c r="F73" s="487"/>
      <c r="G73" s="487"/>
      <c r="K73" s="253"/>
      <c r="L73" s="253"/>
      <c r="Q73" s="461"/>
      <c r="R73" s="488"/>
      <c r="S73" s="489"/>
      <c r="T73" s="489"/>
      <c r="U73" s="392"/>
    </row>
    <row r="74" spans="2:21" ht="13.5">
      <c r="E74" s="490" t="s">
        <v>1373</v>
      </c>
      <c r="F74" s="490"/>
      <c r="G74" s="470">
        <f>J71</f>
        <v>0</v>
      </c>
      <c r="K74" s="253"/>
      <c r="L74" s="253"/>
      <c r="Q74" s="461"/>
      <c r="R74" s="488"/>
      <c r="S74" s="489"/>
      <c r="T74" s="489"/>
      <c r="U74" s="392"/>
    </row>
    <row r="75" spans="2:21" ht="13.5">
      <c r="E75" s="462" t="s">
        <v>1374</v>
      </c>
      <c r="F75" s="462"/>
      <c r="G75" s="491">
        <f>G71</f>
        <v>0</v>
      </c>
      <c r="K75" s="253"/>
      <c r="L75" s="253"/>
      <c r="Q75" s="461"/>
      <c r="R75" s="488"/>
      <c r="S75" s="489"/>
      <c r="T75" s="489"/>
      <c r="U75" s="392"/>
    </row>
    <row r="76" spans="2:21" ht="13.5">
      <c r="E76" s="462" t="s">
        <v>1864</v>
      </c>
      <c r="F76" s="462"/>
      <c r="G76" s="1336">
        <f>IS_Calcs!F184</f>
        <v>0.34939999999999999</v>
      </c>
      <c r="K76" s="253"/>
      <c r="L76" s="253"/>
      <c r="Q76" s="461"/>
      <c r="R76" s="488"/>
      <c r="S76" s="489"/>
      <c r="T76" s="489"/>
      <c r="U76" s="392"/>
    </row>
    <row r="77" spans="2:21" ht="13.5">
      <c r="E77" s="492" t="s">
        <v>1375</v>
      </c>
      <c r="F77" s="492"/>
      <c r="G77" s="493">
        <f>IFERROR(G74*(1+G75*(1-G76)/(1-G75)),"na")</f>
        <v>0</v>
      </c>
      <c r="K77" s="253"/>
      <c r="L77" s="253"/>
      <c r="Q77" s="461"/>
      <c r="R77" s="488"/>
      <c r="S77" s="489"/>
      <c r="T77" s="489"/>
      <c r="U77" s="392"/>
    </row>
    <row r="78" spans="2:21" ht="17.25">
      <c r="F78"/>
      <c r="G78"/>
      <c r="K78" s="253"/>
      <c r="L78" s="253"/>
      <c r="Q78" s="461"/>
      <c r="R78" s="488"/>
      <c r="S78" s="489"/>
      <c r="T78" s="489"/>
      <c r="U78" s="392"/>
    </row>
    <row r="79" spans="2:21">
      <c r="B79" s="251"/>
      <c r="C79" s="1807" t="s">
        <v>2844</v>
      </c>
      <c r="D79" s="1808" t="s">
        <v>2845</v>
      </c>
      <c r="E79" s="1808" t="s">
        <v>2846</v>
      </c>
      <c r="F79" s="1809" t="s">
        <v>2861</v>
      </c>
      <c r="P79" s="259"/>
      <c r="Q79" s="259"/>
      <c r="R79" s="259"/>
    </row>
    <row r="80" spans="2:21">
      <c r="B80" s="251"/>
      <c r="C80" s="1212" t="str">
        <f>Inputs!C274</f>
        <v>Niche Nature</v>
      </c>
      <c r="D80" s="251" t="str">
        <f>Inputs!E274</f>
        <v>No</v>
      </c>
      <c r="E80" s="1496">
        <v>0.01</v>
      </c>
      <c r="F80" s="1803">
        <f>IF(D80="Yes",E80,0)</f>
        <v>0</v>
      </c>
      <c r="P80" s="259"/>
      <c r="Q80" s="259"/>
      <c r="R80" s="259"/>
    </row>
    <row r="81" spans="2:18">
      <c r="B81" s="251"/>
      <c r="C81" s="1212" t="str">
        <f>Inputs!C275</f>
        <v>Penetration risk</v>
      </c>
      <c r="D81" s="251" t="str">
        <f>Inputs!E275</f>
        <v>No</v>
      </c>
      <c r="E81" s="1496">
        <v>0.01</v>
      </c>
      <c r="F81" s="1803">
        <f t="shared" ref="F81:F87" si="5">IF(D81="Yes",E81,0)</f>
        <v>0</v>
      </c>
      <c r="P81" s="259"/>
      <c r="Q81" s="259"/>
      <c r="R81" s="259"/>
    </row>
    <row r="82" spans="2:18">
      <c r="B82" s="251"/>
      <c r="C82" s="1212" t="str">
        <f>Inputs!C276</f>
        <v>Risky contracts</v>
      </c>
      <c r="D82" s="251" t="str">
        <f>Inputs!E276</f>
        <v>No</v>
      </c>
      <c r="E82" s="1496">
        <v>0.01</v>
      </c>
      <c r="F82" s="1803">
        <f t="shared" si="5"/>
        <v>0</v>
      </c>
      <c r="P82" s="259"/>
      <c r="Q82" s="259"/>
      <c r="R82" s="259"/>
    </row>
    <row r="83" spans="2:18">
      <c r="B83" s="251"/>
      <c r="C83" s="1212" t="str">
        <f>Inputs!C277</f>
        <v>Vendor Dependency</v>
      </c>
      <c r="D83" s="251" t="str">
        <f>Inputs!E277</f>
        <v>No</v>
      </c>
      <c r="E83" s="1496">
        <v>5.0000000000000001E-3</v>
      </c>
      <c r="F83" s="1803">
        <f t="shared" si="5"/>
        <v>0</v>
      </c>
      <c r="P83" s="259"/>
      <c r="Q83" s="259"/>
      <c r="R83" s="259"/>
    </row>
    <row r="84" spans="2:18">
      <c r="B84" s="251"/>
      <c r="C84" s="1212" t="str">
        <f>Inputs!C278</f>
        <v>Key customer risk</v>
      </c>
      <c r="D84" s="251" t="str">
        <f>Inputs!E278</f>
        <v>No</v>
      </c>
      <c r="E84" s="1496">
        <v>0.01</v>
      </c>
      <c r="F84" s="1803">
        <f t="shared" si="5"/>
        <v>0</v>
      </c>
      <c r="P84" s="259"/>
      <c r="Q84" s="259"/>
      <c r="R84" s="259"/>
    </row>
    <row r="85" spans="2:18">
      <c r="B85" s="251"/>
      <c r="C85" s="1212" t="s">
        <v>3039</v>
      </c>
      <c r="D85" s="251" t="str">
        <f>Inputs!E279</f>
        <v>No</v>
      </c>
      <c r="E85" s="1496">
        <v>5.0000000000000001E-3</v>
      </c>
      <c r="F85" s="1803">
        <f t="shared" si="5"/>
        <v>0</v>
      </c>
      <c r="P85" s="259"/>
      <c r="Q85" s="259"/>
      <c r="R85" s="259"/>
    </row>
    <row r="86" spans="2:18">
      <c r="B86" s="251"/>
      <c r="C86" s="1212" t="s">
        <v>3009</v>
      </c>
      <c r="D86" s="251" t="str">
        <f>Inputs!E280</f>
        <v>Yes</v>
      </c>
      <c r="E86" s="1496">
        <v>0.01</v>
      </c>
      <c r="F86" s="1803">
        <f t="shared" si="5"/>
        <v>0.01</v>
      </c>
      <c r="P86" s="259"/>
      <c r="Q86" s="259"/>
      <c r="R86" s="259"/>
    </row>
    <row r="87" spans="2:18">
      <c r="B87" s="251"/>
      <c r="C87" s="1212" t="s">
        <v>3040</v>
      </c>
      <c r="D87" s="251" t="str">
        <f>Inputs!E281</f>
        <v>No</v>
      </c>
      <c r="E87" s="1496">
        <v>0.01</v>
      </c>
      <c r="F87" s="1803">
        <f t="shared" si="5"/>
        <v>0</v>
      </c>
      <c r="P87" s="259"/>
      <c r="Q87" s="259"/>
      <c r="R87" s="259"/>
    </row>
    <row r="88" spans="2:18">
      <c r="B88" s="251"/>
      <c r="C88" s="1804" t="s">
        <v>2847</v>
      </c>
      <c r="D88" s="1805"/>
      <c r="E88" s="1810">
        <f>SUM(E80:E87)</f>
        <v>6.9999999999999993E-2</v>
      </c>
      <c r="F88" s="1806">
        <f>SUM(F80:F87)</f>
        <v>0.01</v>
      </c>
      <c r="P88" s="259"/>
      <c r="Q88" s="259"/>
      <c r="R88" s="259"/>
    </row>
    <row r="89" spans="2:18">
      <c r="B89" s="251"/>
      <c r="C89" s="251"/>
      <c r="D89" s="251"/>
      <c r="E89" s="251"/>
      <c r="F89" s="251"/>
      <c r="G89" s="251"/>
      <c r="H89" s="251"/>
      <c r="I89" s="251"/>
      <c r="J89" s="251"/>
      <c r="K89" s="251"/>
      <c r="P89" s="259"/>
      <c r="Q89" s="259"/>
      <c r="R89" s="259"/>
    </row>
    <row r="90" spans="2:18">
      <c r="B90" s="251"/>
      <c r="C90" s="1800" t="s">
        <v>3179</v>
      </c>
      <c r="D90" s="1813" t="s">
        <v>96</v>
      </c>
      <c r="E90" s="1801" t="s">
        <v>3188</v>
      </c>
      <c r="F90" s="1801" t="s">
        <v>3189</v>
      </c>
      <c r="G90" s="1802" t="s">
        <v>3190</v>
      </c>
      <c r="H90" s="1801" t="s">
        <v>3191</v>
      </c>
      <c r="I90" s="1802" t="s">
        <v>3192</v>
      </c>
      <c r="J90" s="251"/>
      <c r="K90" s="251"/>
      <c r="P90" s="259"/>
      <c r="Q90" s="259"/>
      <c r="R90" s="259"/>
    </row>
    <row r="91" spans="2:18">
      <c r="B91" s="251"/>
      <c r="C91" s="1212" t="s">
        <v>3180</v>
      </c>
      <c r="D91" s="1811" t="str">
        <f>Inputs!E56</f>
        <v>India</v>
      </c>
      <c r="E91" s="1814">
        <f>1-SUM(E92:E98)</f>
        <v>0.29999999999999993</v>
      </c>
      <c r="F91" s="1814">
        <f>_xlfn.XLOOKUP(D91,DamodaranCRP!$A$5:$A$195,DamodaranCRP!$C$5:$C$195)</f>
        <v>7.8100000000000003E-2</v>
      </c>
      <c r="G91" s="1816">
        <f>F91*E91</f>
        <v>2.3429999999999996E-2</v>
      </c>
      <c r="H91" s="1819">
        <f>_xlfn.XLOOKUP(D91,DamodaranCRP!$A$5:$A$195,DamodaranCRP!$D$5:$D$195)</f>
        <v>3.2099999999999997E-2</v>
      </c>
      <c r="I91" s="1816">
        <f>H91*E91</f>
        <v>9.6299999999999962E-3</v>
      </c>
      <c r="J91" s="251"/>
      <c r="K91" s="251"/>
      <c r="P91" s="259"/>
      <c r="Q91" s="259"/>
      <c r="R91" s="259"/>
    </row>
    <row r="92" spans="2:18">
      <c r="B92" s="251"/>
      <c r="C92" s="1212" t="s">
        <v>3181</v>
      </c>
      <c r="D92" s="1812" t="str">
        <f>Inputs!D59</f>
        <v>Italy</v>
      </c>
      <c r="E92" s="1815">
        <f>Inputs!E59</f>
        <v>0.1</v>
      </c>
      <c r="F92" s="1814">
        <f>_xlfn.XLOOKUP(D92,DamodaranCRP!$A$5:$A$195,DamodaranCRP!$C$5:$C$195)</f>
        <v>7.8100000000000003E-2</v>
      </c>
      <c r="G92" s="1816">
        <f t="shared" ref="G92:G98" si="6">F92*E92</f>
        <v>7.810000000000001E-3</v>
      </c>
      <c r="H92" s="1819">
        <f>_xlfn.XLOOKUP(D92,DamodaranCRP!$A$5:$A$195,DamodaranCRP!$D$5:$D$195)</f>
        <v>3.2099999999999997E-2</v>
      </c>
      <c r="I92" s="1816">
        <f t="shared" ref="I92:I98" si="7">H92*E92</f>
        <v>3.2099999999999997E-3</v>
      </c>
      <c r="J92" s="251"/>
      <c r="K92" s="251"/>
      <c r="P92" s="259"/>
      <c r="Q92" s="259"/>
      <c r="R92" s="259"/>
    </row>
    <row r="93" spans="2:18">
      <c r="B93" s="251"/>
      <c r="C93" s="1212" t="s">
        <v>3182</v>
      </c>
      <c r="D93" s="1812" t="str">
        <f>Inputs!D60</f>
        <v>United Arab Emirates</v>
      </c>
      <c r="E93" s="1815">
        <f>Inputs!E60</f>
        <v>0.06</v>
      </c>
      <c r="F93" s="1814">
        <f>_xlfn.XLOOKUP(D93,DamodaranCRP!$A$5:$A$195,DamodaranCRP!$C$5:$C$195)</f>
        <v>5.3199999999999997E-2</v>
      </c>
      <c r="G93" s="1816">
        <f t="shared" si="6"/>
        <v>3.1919999999999995E-3</v>
      </c>
      <c r="H93" s="1819">
        <f>_xlfn.XLOOKUP(D93,DamodaranCRP!$A$5:$A$195,DamodaranCRP!$D$5:$D$195)</f>
        <v>7.1999999999999998E-3</v>
      </c>
      <c r="I93" s="1816">
        <f t="shared" si="7"/>
        <v>4.3199999999999998E-4</v>
      </c>
      <c r="J93" s="251"/>
      <c r="K93" s="251"/>
      <c r="P93" s="259"/>
      <c r="Q93" s="259"/>
      <c r="R93" s="259"/>
    </row>
    <row r="94" spans="2:18">
      <c r="B94" s="251"/>
      <c r="C94" s="1212" t="s">
        <v>3183</v>
      </c>
      <c r="D94" s="1812" t="str">
        <f>Inputs!D61</f>
        <v>Spain</v>
      </c>
      <c r="E94" s="1815">
        <f>Inputs!E61</f>
        <v>0.04</v>
      </c>
      <c r="F94" s="1814">
        <f>_xlfn.XLOOKUP(D94,DamodaranCRP!$A$5:$A$195,DamodaranCRP!$C$5:$C$195)</f>
        <v>6.9400000000000003E-2</v>
      </c>
      <c r="G94" s="1816">
        <f t="shared" si="6"/>
        <v>2.7760000000000003E-3</v>
      </c>
      <c r="H94" s="1819">
        <f>_xlfn.XLOOKUP(D94,DamodaranCRP!$A$5:$A$195,DamodaranCRP!$D$5:$D$195)</f>
        <v>2.3400000000000001E-2</v>
      </c>
      <c r="I94" s="1816">
        <f t="shared" si="7"/>
        <v>9.3600000000000009E-4</v>
      </c>
      <c r="J94" s="251"/>
      <c r="K94" s="251"/>
      <c r="P94" s="259"/>
      <c r="Q94" s="259"/>
      <c r="R94" s="259"/>
    </row>
    <row r="95" spans="2:18">
      <c r="B95" s="251"/>
      <c r="C95" s="1212" t="s">
        <v>3184</v>
      </c>
      <c r="D95" s="1811" t="str">
        <f>Inputs!E67</f>
        <v>India</v>
      </c>
      <c r="E95" s="1814">
        <f>Inputs!E68-SUM(E96:E98)</f>
        <v>0.40499999999999997</v>
      </c>
      <c r="F95" s="1814">
        <f>_xlfn.XLOOKUP(D95,DamodaranCRP!$A$5:$A$195,DamodaranCRP!$C$5:$C$195)</f>
        <v>7.8100000000000003E-2</v>
      </c>
      <c r="G95" s="1816">
        <f t="shared" si="6"/>
        <v>3.1630499999999999E-2</v>
      </c>
      <c r="H95" s="1819">
        <f>_xlfn.XLOOKUP(D95,DamodaranCRP!$A$5:$A$195,DamodaranCRP!$D$5:$D$195)</f>
        <v>3.2099999999999997E-2</v>
      </c>
      <c r="I95" s="1816">
        <f t="shared" si="7"/>
        <v>1.3000499999999998E-2</v>
      </c>
      <c r="J95" s="251"/>
      <c r="K95" s="251"/>
      <c r="P95" s="259"/>
      <c r="Q95" s="259"/>
      <c r="R95" s="259"/>
    </row>
    <row r="96" spans="2:18">
      <c r="B96" s="251"/>
      <c r="C96" s="1212" t="s">
        <v>3185</v>
      </c>
      <c r="D96" s="1812" t="str">
        <f>Inputs!D71</f>
        <v>Italy</v>
      </c>
      <c r="E96" s="1815">
        <f>Inputs!E68*Inputs!E71</f>
        <v>0.05</v>
      </c>
      <c r="F96" s="1814">
        <f>_xlfn.XLOOKUP(D96,DamodaranCRP!$A$5:$A$195,DamodaranCRP!$C$5:$C$195)</f>
        <v>7.8100000000000003E-2</v>
      </c>
      <c r="G96" s="1816">
        <f t="shared" si="6"/>
        <v>3.9050000000000005E-3</v>
      </c>
      <c r="H96" s="1819">
        <f>_xlfn.XLOOKUP(D96,DamodaranCRP!$A$5:$A$195,DamodaranCRP!$D$5:$D$195)</f>
        <v>3.2099999999999997E-2</v>
      </c>
      <c r="I96" s="1816">
        <f t="shared" si="7"/>
        <v>1.6049999999999999E-3</v>
      </c>
      <c r="J96" s="251"/>
      <c r="K96" s="251"/>
      <c r="P96" s="259"/>
      <c r="Q96" s="259"/>
      <c r="R96" s="259"/>
    </row>
    <row r="97" spans="2:18">
      <c r="B97" s="251"/>
      <c r="C97" s="1212" t="s">
        <v>3186</v>
      </c>
      <c r="D97" s="1812" t="str">
        <f>Inputs!D72</f>
        <v>India</v>
      </c>
      <c r="E97" s="1815">
        <f>Inputs!E68*Inputs!E72</f>
        <v>2.5000000000000001E-2</v>
      </c>
      <c r="F97" s="1814">
        <f>_xlfn.XLOOKUP(D97,DamodaranCRP!$A$5:$A$195,DamodaranCRP!$C$5:$C$195)</f>
        <v>7.8100000000000003E-2</v>
      </c>
      <c r="G97" s="1816">
        <f t="shared" si="6"/>
        <v>1.9525000000000002E-3</v>
      </c>
      <c r="H97" s="1819">
        <f>_xlfn.XLOOKUP(D97,DamodaranCRP!$A$5:$A$195,DamodaranCRP!$D$5:$D$195)</f>
        <v>3.2099999999999997E-2</v>
      </c>
      <c r="I97" s="1816">
        <f t="shared" si="7"/>
        <v>8.0249999999999994E-4</v>
      </c>
      <c r="J97" s="251"/>
      <c r="K97" s="251"/>
      <c r="P97" s="259"/>
      <c r="Q97" s="259"/>
      <c r="R97" s="259"/>
    </row>
    <row r="98" spans="2:18">
      <c r="B98" s="251"/>
      <c r="C98" s="1212" t="s">
        <v>3187</v>
      </c>
      <c r="D98" s="1812" t="str">
        <f>Inputs!D73</f>
        <v>Spain</v>
      </c>
      <c r="E98" s="1815">
        <f>Inputs!E68*Inputs!E73</f>
        <v>0.02</v>
      </c>
      <c r="F98" s="1814">
        <f>_xlfn.XLOOKUP(D98,DamodaranCRP!$A$5:$A$195,DamodaranCRP!$C$5:$C$195)</f>
        <v>6.9400000000000003E-2</v>
      </c>
      <c r="G98" s="1816">
        <f t="shared" si="6"/>
        <v>1.3880000000000001E-3</v>
      </c>
      <c r="H98" s="1819">
        <f>_xlfn.XLOOKUP(D98,DamodaranCRP!$A$5:$A$195,DamodaranCRP!$D$5:$D$195)</f>
        <v>2.3400000000000001E-2</v>
      </c>
      <c r="I98" s="1816">
        <f t="shared" si="7"/>
        <v>4.6800000000000005E-4</v>
      </c>
      <c r="J98" s="251"/>
      <c r="K98" s="251"/>
      <c r="P98" s="259"/>
      <c r="Q98" s="259"/>
      <c r="R98" s="259"/>
    </row>
    <row r="99" spans="2:18">
      <c r="B99" s="251"/>
      <c r="C99" s="1804" t="s">
        <v>3178</v>
      </c>
      <c r="D99" s="1805"/>
      <c r="E99" s="1817">
        <f>SUM(E91:E98)</f>
        <v>0.99999999999999989</v>
      </c>
      <c r="F99" s="1817"/>
      <c r="G99" s="1818">
        <f>SUM(G91:G98)</f>
        <v>7.6083999999999999E-2</v>
      </c>
      <c r="H99" s="1817"/>
      <c r="I99" s="1818">
        <f>SUM(I91:I98)</f>
        <v>3.0083999999999993E-2</v>
      </c>
      <c r="J99" s="251"/>
      <c r="K99" s="251"/>
      <c r="P99" s="259"/>
      <c r="Q99" s="259"/>
      <c r="R99" s="259"/>
    </row>
    <row r="100" spans="2:18">
      <c r="B100" s="251"/>
      <c r="C100" s="251"/>
      <c r="D100" s="251"/>
      <c r="E100" s="251"/>
      <c r="F100" s="251"/>
      <c r="G100" s="251"/>
      <c r="H100" s="251"/>
      <c r="I100" s="251"/>
      <c r="J100" s="251"/>
      <c r="K100" s="251"/>
      <c r="P100" s="259"/>
      <c r="Q100" s="259"/>
      <c r="R100" s="259"/>
    </row>
    <row r="101" spans="2:18" s="496" customFormat="1">
      <c r="B101" s="494" t="s">
        <v>1383</v>
      </c>
      <c r="C101" s="495"/>
      <c r="D101" s="495"/>
      <c r="E101" s="495"/>
      <c r="F101" s="495"/>
      <c r="G101" s="495"/>
      <c r="H101" s="495"/>
      <c r="I101" s="495"/>
      <c r="J101" s="495"/>
      <c r="K101" s="495"/>
    </row>
    <row r="102" spans="2:18" s="499" customFormat="1">
      <c r="B102" s="497">
        <v>1</v>
      </c>
      <c r="C102" s="1497" t="s">
        <v>1384</v>
      </c>
    </row>
    <row r="103" spans="2:18" s="499" customFormat="1">
      <c r="B103" s="497">
        <v>2</v>
      </c>
      <c r="C103" s="498" t="s">
        <v>1385</v>
      </c>
    </row>
    <row r="104" spans="2:18" s="499" customFormat="1">
      <c r="B104" s="497">
        <v>3</v>
      </c>
      <c r="C104" s="498" t="s">
        <v>1386</v>
      </c>
    </row>
    <row r="105" spans="2:18" s="499" customFormat="1">
      <c r="B105" s="497">
        <v>4</v>
      </c>
      <c r="C105" s="498" t="s">
        <v>1387</v>
      </c>
    </row>
    <row r="106" spans="2:18" s="501" customFormat="1">
      <c r="B106" s="500"/>
      <c r="C106" s="498"/>
    </row>
  </sheetData>
  <mergeCells count="1">
    <mergeCell ref="M27:N27"/>
  </mergeCells>
  <phoneticPr fontId="21" type="noConversion"/>
  <conditionalFormatting sqref="C29:C56">
    <cfRule type="expression" dxfId="16" priority="21">
      <formula>$U29="Yes"</formula>
    </cfRule>
  </conditionalFormatting>
  <conditionalFormatting sqref="D31:E56 F31:J58 C57:E58">
    <cfRule type="expression" dxfId="15" priority="23">
      <formula>$U31="Yes"</formula>
    </cfRule>
  </conditionalFormatting>
  <conditionalFormatting sqref="D29:J30">
    <cfRule type="expression" dxfId="14" priority="22">
      <formula>$U29="Yes"</formula>
    </cfRule>
  </conditionalFormatting>
  <conditionalFormatting sqref="E62:E65">
    <cfRule type="expression" dxfId="13" priority="1">
      <formula>$U62="Yes"</formula>
    </cfRule>
  </conditionalFormatting>
  <conditionalFormatting sqref="E68:E71">
    <cfRule type="expression" dxfId="12" priority="13">
      <formula>$U68="Yes"</formula>
    </cfRule>
  </conditionalFormatting>
  <conditionalFormatting sqref="E74:F74 E77:F77">
    <cfRule type="expression" dxfId="11" priority="46">
      <formula>#REF!="Yes"</formula>
    </cfRule>
  </conditionalFormatting>
  <conditionalFormatting sqref="O29:O58">
    <cfRule type="cellIs" dxfId="10" priority="33" operator="between">
      <formula>61</formula>
      <formula>103</formula>
    </cfRule>
    <cfRule type="cellIs" dxfId="9" priority="34" operator="lessThan">
      <formula>60</formula>
    </cfRule>
    <cfRule type="cellIs" dxfId="8" priority="35" operator="greaterThan">
      <formula>104</formula>
    </cfRule>
  </conditionalFormatting>
  <conditionalFormatting sqref="Q29:R58">
    <cfRule type="cellIs" dxfId="7" priority="39" operator="lessThan">
      <formula>0.0999999</formula>
    </cfRule>
    <cfRule type="cellIs" dxfId="6" priority="41" operator="greaterThan">
      <formula>0.1</formula>
    </cfRule>
  </conditionalFormatting>
  <dataValidations disablePrompts="1" count="5">
    <dataValidation type="list" allowBlank="1" showInputMessage="1" showErrorMessage="1" sqref="M5:M7" xr:uid="{00000000-0002-0000-0700-000000000000}">
      <formula1>"5-Year Monthly, 2-Year Weekly"</formula1>
    </dataValidation>
    <dataValidation type="list" allowBlank="1" showInputMessage="1" showErrorMessage="1" sqref="P5:P7" xr:uid="{00000000-0002-0000-0700-000004000000}">
      <formula1>"Spot, 5 Year, 2 Year"</formula1>
    </dataValidation>
    <dataValidation type="list" allowBlank="1" showInputMessage="1" showErrorMessage="1" sqref="R5:R7" xr:uid="{BDEFFE49-CC0E-4176-9B6D-2CA17A427A37}">
      <formula1>"No, Blume, Vasicek"</formula1>
    </dataValidation>
    <dataValidation type="list" allowBlank="1" showInputMessage="1" showErrorMessage="1" sqref="U29:U58" xr:uid="{00000000-0002-0000-0700-000001000000}">
      <formula1>"Yes, No"</formula1>
    </dataValidation>
    <dataValidation type="list" allowBlank="1" showInputMessage="1" showErrorMessage="1" sqref="N29:N58" xr:uid="{7B55D3C8-8192-4268-BC50-1817C412E36B}">
      <formula1>"Yes,No"</formula1>
    </dataValidation>
  </dataValidations>
  <hyperlinks>
    <hyperlink ref="G15" r:id="rId1" xr:uid="{416B7FE5-0FFD-4434-8793-DDA42B4D83F8}"/>
    <hyperlink ref="G16" r:id="rId2" xr:uid="{36280434-E074-4DCA-A5E4-CDA7A18F50D2}"/>
    <hyperlink ref="G14" r:id="rId3" xr:uid="{BA7949CA-7A93-48C9-9851-D9F51CA71BCB}"/>
  </hyperlinks>
  <printOptions horizontalCentered="1"/>
  <pageMargins left="0.7" right="0.7" top="0.75" bottom="0.75" header="0.3" footer="0.3"/>
  <pageSetup scale="50" orientation="portrait" r:id="rId4"/>
  <headerFooter alignWithMargins="0">
    <oddHeader>&amp;R&amp;"Arial"&amp;8&amp;K000000Confidential&amp;1#</oddHeader>
  </headerFooter>
  <legacyDrawing r:id="rId5"/>
  <extLst>
    <ext xmlns:x14="http://schemas.microsoft.com/office/spreadsheetml/2009/9/main" uri="{78C0D931-6437-407d-A8EE-F0AAD7539E65}">
      <x14:conditionalFormattings>
        <x14:conditionalFormatting xmlns:xm="http://schemas.microsoft.com/office/excel/2006/main">
          <x14:cfRule type="iconSet" priority="118" id="{A5510649-03D0-4ED3-B6A3-5B29BC456BBE}">
            <x14:iconSet iconSet="5Boxes">
              <x14:cfvo type="percent">
                <xm:f>0</xm:f>
              </x14:cfvo>
              <x14:cfvo type="percent">
                <xm:f>20</xm:f>
              </x14:cfvo>
              <x14:cfvo type="percent">
                <xm:f>40</xm:f>
              </x14:cfvo>
              <x14:cfvo type="percent">
                <xm:f>60</xm:f>
              </x14:cfvo>
              <x14:cfvo type="percent">
                <xm:f>80</xm:f>
              </x14:cfvo>
            </x14:iconSet>
          </x14:cfRule>
          <xm:sqref>P29:P58</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63E1E6EF-A22C-40E1-BF7E-2344D482E021}">
          <x14:formula1>
            <xm:f>DamodaranCRP!$A$5:$A$195</xm:f>
          </x14:formula1>
          <xm:sqref>D6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8161B-93E0-481A-8307-5F54D133778F}">
  <sheetPr>
    <tabColor theme="9" tint="-0.499984740745262"/>
  </sheetPr>
  <dimension ref="A1:H15"/>
  <sheetViews>
    <sheetView showGridLines="0" workbookViewId="0">
      <selection activeCell="C152" sqref="C146:C152"/>
    </sheetView>
  </sheetViews>
  <sheetFormatPr defaultColWidth="0" defaultRowHeight="11.25" zeroHeight="1"/>
  <cols>
    <col min="1" max="1" width="2.33203125" style="63" customWidth="1"/>
    <col min="2" max="8" width="8.6640625" style="63" customWidth="1"/>
    <col min="9" max="16384" width="8.6640625" style="63" hidden="1"/>
  </cols>
  <sheetData>
    <row r="1" spans="2:8"/>
    <row r="2" spans="2:8">
      <c r="B2" s="62" t="s">
        <v>2224</v>
      </c>
    </row>
    <row r="3" spans="2:8">
      <c r="B3" s="64" t="str">
        <f>Inputs!$B$3</f>
        <v>Lazure Worldwide FZCO - Self Valuation using DCF Method, Transaction Multiples Method, &amp; Market Multiples Method as at September 30, 2024</v>
      </c>
    </row>
    <row r="4" spans="2:8">
      <c r="B4" s="101" t="s">
        <v>2188</v>
      </c>
    </row>
    <row r="5" spans="2:8" ht="5.0999999999999996" customHeight="1" thickBot="1">
      <c r="B5" s="99"/>
      <c r="C5" s="66"/>
      <c r="D5" s="66"/>
      <c r="E5" s="66"/>
      <c r="F5" s="66"/>
      <c r="G5" s="66"/>
      <c r="H5" s="66"/>
    </row>
    <row r="6" spans="2:8" ht="12" thickTop="1"/>
    <row r="7" spans="2:8">
      <c r="B7" s="62" t="s">
        <v>2189</v>
      </c>
    </row>
    <row r="8" spans="2:8"/>
    <row r="9" spans="2:8"/>
    <row r="10" spans="2:8"/>
    <row r="11" spans="2:8"/>
    <row r="12" spans="2:8"/>
    <row r="13" spans="2:8"/>
    <row r="14" spans="2:8"/>
    <row r="15" spans="2:8"/>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EEBF-81F3-4673-8E39-FEE0F8250695}">
  <dimension ref="A1:IV5"/>
  <sheetViews>
    <sheetView workbookViewId="0"/>
  </sheetViews>
  <sheetFormatPr defaultRowHeight="15"/>
  <sheetData>
    <row r="1" spans="1:256">
      <c r="A1">
        <v>1125</v>
      </c>
      <c r="B1" t="s">
        <v>235</v>
      </c>
      <c r="C1" t="s">
        <v>236</v>
      </c>
      <c r="D1" t="s">
        <v>237</v>
      </c>
      <c r="E1" t="s">
        <v>238</v>
      </c>
      <c r="F1" t="s">
        <v>239</v>
      </c>
      <c r="G1" t="s">
        <v>240</v>
      </c>
      <c r="H1" t="s">
        <v>241</v>
      </c>
      <c r="I1" t="s">
        <v>242</v>
      </c>
      <c r="J1" t="s">
        <v>243</v>
      </c>
      <c r="K1" t="s">
        <v>244</v>
      </c>
      <c r="L1" t="s">
        <v>245</v>
      </c>
      <c r="M1" t="s">
        <v>246</v>
      </c>
      <c r="N1" t="s">
        <v>247</v>
      </c>
      <c r="O1" t="s">
        <v>248</v>
      </c>
      <c r="P1" t="s">
        <v>249</v>
      </c>
      <c r="Q1" t="s">
        <v>250</v>
      </c>
      <c r="R1" t="s">
        <v>251</v>
      </c>
      <c r="S1" t="s">
        <v>252</v>
      </c>
      <c r="T1" t="s">
        <v>253</v>
      </c>
      <c r="U1" t="s">
        <v>254</v>
      </c>
      <c r="V1" t="s">
        <v>255</v>
      </c>
      <c r="W1" t="s">
        <v>256</v>
      </c>
      <c r="X1" t="s">
        <v>257</v>
      </c>
      <c r="Y1" t="s">
        <v>258</v>
      </c>
      <c r="Z1" t="s">
        <v>259</v>
      </c>
      <c r="AA1" t="s">
        <v>260</v>
      </c>
      <c r="AB1" t="s">
        <v>261</v>
      </c>
      <c r="AC1" t="s">
        <v>262</v>
      </c>
      <c r="AD1" t="s">
        <v>263</v>
      </c>
      <c r="AE1" t="s">
        <v>264</v>
      </c>
      <c r="AF1" t="s">
        <v>265</v>
      </c>
      <c r="AG1" t="s">
        <v>266</v>
      </c>
      <c r="AH1" t="s">
        <v>267</v>
      </c>
      <c r="AI1" t="s">
        <v>268</v>
      </c>
      <c r="AJ1" t="s">
        <v>269</v>
      </c>
      <c r="AK1" t="s">
        <v>270</v>
      </c>
      <c r="AL1" t="s">
        <v>271</v>
      </c>
      <c r="AM1" t="s">
        <v>272</v>
      </c>
      <c r="AN1" t="s">
        <v>273</v>
      </c>
      <c r="AO1" t="s">
        <v>274</v>
      </c>
      <c r="AP1" t="s">
        <v>275</v>
      </c>
      <c r="AQ1" t="s">
        <v>276</v>
      </c>
      <c r="AR1" t="s">
        <v>277</v>
      </c>
      <c r="AS1" t="s">
        <v>278</v>
      </c>
      <c r="AT1" t="s">
        <v>279</v>
      </c>
      <c r="AU1" t="s">
        <v>280</v>
      </c>
      <c r="AV1" t="s">
        <v>281</v>
      </c>
      <c r="AW1" t="s">
        <v>282</v>
      </c>
      <c r="AX1" t="s">
        <v>283</v>
      </c>
      <c r="AY1" t="s">
        <v>284</v>
      </c>
      <c r="AZ1" t="s">
        <v>285</v>
      </c>
      <c r="BA1" t="s">
        <v>286</v>
      </c>
      <c r="BB1" t="s">
        <v>287</v>
      </c>
      <c r="BC1" t="s">
        <v>288</v>
      </c>
      <c r="BD1" t="s">
        <v>289</v>
      </c>
      <c r="BE1" t="s">
        <v>290</v>
      </c>
      <c r="BF1" t="s">
        <v>291</v>
      </c>
      <c r="BG1" t="s">
        <v>292</v>
      </c>
      <c r="BH1" t="s">
        <v>293</v>
      </c>
      <c r="BI1" t="s">
        <v>294</v>
      </c>
      <c r="BJ1" t="s">
        <v>295</v>
      </c>
      <c r="BK1" t="s">
        <v>296</v>
      </c>
      <c r="BL1" t="s">
        <v>297</v>
      </c>
      <c r="BM1" t="s">
        <v>298</v>
      </c>
      <c r="BN1" t="s">
        <v>299</v>
      </c>
      <c r="BO1" t="s">
        <v>300</v>
      </c>
      <c r="BP1" t="s">
        <v>301</v>
      </c>
      <c r="BQ1" t="s">
        <v>302</v>
      </c>
      <c r="BR1" t="s">
        <v>303</v>
      </c>
      <c r="BS1" t="s">
        <v>304</v>
      </c>
      <c r="BT1" t="s">
        <v>305</v>
      </c>
      <c r="BU1" t="s">
        <v>306</v>
      </c>
      <c r="BV1" t="s">
        <v>307</v>
      </c>
      <c r="BW1" t="s">
        <v>308</v>
      </c>
      <c r="BX1" t="s">
        <v>309</v>
      </c>
      <c r="BY1" t="s">
        <v>310</v>
      </c>
      <c r="BZ1" t="s">
        <v>311</v>
      </c>
      <c r="CA1" t="s">
        <v>312</v>
      </c>
      <c r="CB1" t="s">
        <v>313</v>
      </c>
      <c r="CC1" t="s">
        <v>314</v>
      </c>
      <c r="CD1" t="s">
        <v>315</v>
      </c>
      <c r="CE1" t="s">
        <v>316</v>
      </c>
      <c r="CF1" t="s">
        <v>317</v>
      </c>
      <c r="CG1" t="s">
        <v>318</v>
      </c>
      <c r="CH1" t="s">
        <v>319</v>
      </c>
      <c r="CI1" t="s">
        <v>320</v>
      </c>
      <c r="CJ1" t="s">
        <v>321</v>
      </c>
      <c r="CK1" t="s">
        <v>322</v>
      </c>
      <c r="CL1" t="s">
        <v>323</v>
      </c>
      <c r="CM1" t="s">
        <v>324</v>
      </c>
      <c r="CN1" t="s">
        <v>325</v>
      </c>
      <c r="CO1" t="s">
        <v>326</v>
      </c>
      <c r="CP1" t="s">
        <v>327</v>
      </c>
      <c r="CQ1" t="s">
        <v>328</v>
      </c>
      <c r="CR1" t="s">
        <v>329</v>
      </c>
      <c r="CS1" t="s">
        <v>330</v>
      </c>
      <c r="CT1" t="s">
        <v>331</v>
      </c>
      <c r="CU1" t="s">
        <v>332</v>
      </c>
      <c r="CV1" t="s">
        <v>333</v>
      </c>
      <c r="CW1" t="s">
        <v>334</v>
      </c>
      <c r="CX1" t="s">
        <v>335</v>
      </c>
      <c r="CY1" t="s">
        <v>336</v>
      </c>
      <c r="CZ1" t="s">
        <v>337</v>
      </c>
      <c r="DA1" t="s">
        <v>338</v>
      </c>
      <c r="DB1" t="s">
        <v>339</v>
      </c>
      <c r="DC1" t="s">
        <v>340</v>
      </c>
      <c r="DD1" t="s">
        <v>341</v>
      </c>
      <c r="DE1" t="s">
        <v>342</v>
      </c>
      <c r="DF1" t="s">
        <v>343</v>
      </c>
      <c r="DG1" t="s">
        <v>344</v>
      </c>
      <c r="DH1" t="s">
        <v>345</v>
      </c>
      <c r="DI1" t="s">
        <v>346</v>
      </c>
      <c r="DJ1" t="s">
        <v>347</v>
      </c>
      <c r="DK1" t="s">
        <v>348</v>
      </c>
      <c r="DL1" t="s">
        <v>349</v>
      </c>
      <c r="DM1" t="s">
        <v>350</v>
      </c>
      <c r="DN1" t="s">
        <v>351</v>
      </c>
      <c r="DO1" t="s">
        <v>352</v>
      </c>
      <c r="DP1" t="s">
        <v>353</v>
      </c>
      <c r="DQ1" t="s">
        <v>354</v>
      </c>
      <c r="DR1" t="s">
        <v>355</v>
      </c>
      <c r="DS1" t="s">
        <v>356</v>
      </c>
      <c r="DT1" t="s">
        <v>357</v>
      </c>
      <c r="DU1" t="s">
        <v>358</v>
      </c>
      <c r="DV1" t="s">
        <v>359</v>
      </c>
      <c r="DW1" t="s">
        <v>360</v>
      </c>
      <c r="DX1" t="s">
        <v>361</v>
      </c>
      <c r="DY1" t="s">
        <v>362</v>
      </c>
      <c r="DZ1" t="s">
        <v>363</v>
      </c>
      <c r="EA1" t="s">
        <v>364</v>
      </c>
      <c r="EB1" t="s">
        <v>365</v>
      </c>
      <c r="EC1" t="s">
        <v>366</v>
      </c>
      <c r="ED1" t="s">
        <v>367</v>
      </c>
      <c r="EE1" t="s">
        <v>368</v>
      </c>
      <c r="EF1" t="s">
        <v>369</v>
      </c>
      <c r="EG1" t="s">
        <v>370</v>
      </c>
      <c r="EH1" t="s">
        <v>371</v>
      </c>
      <c r="EI1" t="s">
        <v>372</v>
      </c>
      <c r="EJ1" t="s">
        <v>373</v>
      </c>
      <c r="EK1" t="s">
        <v>374</v>
      </c>
      <c r="EL1" t="s">
        <v>375</v>
      </c>
      <c r="EM1" t="s">
        <v>376</v>
      </c>
      <c r="EN1" t="s">
        <v>377</v>
      </c>
      <c r="EO1" t="s">
        <v>378</v>
      </c>
      <c r="EP1" t="s">
        <v>379</v>
      </c>
      <c r="EQ1" t="s">
        <v>380</v>
      </c>
      <c r="ER1" t="s">
        <v>381</v>
      </c>
      <c r="ES1" t="s">
        <v>382</v>
      </c>
      <c r="ET1" t="s">
        <v>383</v>
      </c>
      <c r="EU1" t="s">
        <v>384</v>
      </c>
      <c r="EV1" t="s">
        <v>385</v>
      </c>
      <c r="EW1" t="s">
        <v>386</v>
      </c>
      <c r="EX1" t="s">
        <v>387</v>
      </c>
      <c r="EY1" t="s">
        <v>388</v>
      </c>
      <c r="EZ1" t="s">
        <v>389</v>
      </c>
      <c r="FA1" t="s">
        <v>390</v>
      </c>
      <c r="FB1" t="s">
        <v>391</v>
      </c>
      <c r="FC1" t="s">
        <v>392</v>
      </c>
      <c r="FD1" t="s">
        <v>393</v>
      </c>
      <c r="FE1" t="s">
        <v>394</v>
      </c>
      <c r="FF1" t="s">
        <v>395</v>
      </c>
      <c r="FG1" t="s">
        <v>396</v>
      </c>
      <c r="FH1" t="s">
        <v>397</v>
      </c>
      <c r="FI1" t="s">
        <v>398</v>
      </c>
      <c r="FJ1" t="s">
        <v>399</v>
      </c>
      <c r="FK1" t="s">
        <v>400</v>
      </c>
      <c r="FL1" t="s">
        <v>401</v>
      </c>
      <c r="FM1" t="s">
        <v>402</v>
      </c>
      <c r="FN1" t="s">
        <v>403</v>
      </c>
      <c r="FO1" t="s">
        <v>404</v>
      </c>
      <c r="FP1" t="s">
        <v>405</v>
      </c>
      <c r="FQ1" t="s">
        <v>406</v>
      </c>
      <c r="FR1" t="s">
        <v>407</v>
      </c>
      <c r="FS1" t="s">
        <v>408</v>
      </c>
      <c r="FT1" t="s">
        <v>409</v>
      </c>
      <c r="FU1" t="s">
        <v>410</v>
      </c>
      <c r="FV1" t="s">
        <v>411</v>
      </c>
      <c r="FW1" t="s">
        <v>412</v>
      </c>
      <c r="FX1" t="s">
        <v>413</v>
      </c>
      <c r="FY1" t="s">
        <v>414</v>
      </c>
      <c r="FZ1" t="s">
        <v>415</v>
      </c>
      <c r="GA1" t="s">
        <v>416</v>
      </c>
      <c r="GB1" t="s">
        <v>417</v>
      </c>
      <c r="GC1" t="s">
        <v>418</v>
      </c>
      <c r="GD1" t="s">
        <v>419</v>
      </c>
      <c r="GE1" t="s">
        <v>420</v>
      </c>
      <c r="GF1" t="s">
        <v>421</v>
      </c>
      <c r="GG1" t="s">
        <v>422</v>
      </c>
      <c r="GH1" t="s">
        <v>423</v>
      </c>
      <c r="GI1" t="s">
        <v>424</v>
      </c>
      <c r="GJ1" t="s">
        <v>425</v>
      </c>
      <c r="GK1" t="s">
        <v>426</v>
      </c>
      <c r="GL1" t="s">
        <v>427</v>
      </c>
      <c r="GM1" t="s">
        <v>428</v>
      </c>
      <c r="GN1" t="s">
        <v>429</v>
      </c>
      <c r="GO1" t="s">
        <v>430</v>
      </c>
      <c r="GP1" t="s">
        <v>431</v>
      </c>
      <c r="GQ1" t="s">
        <v>432</v>
      </c>
      <c r="GR1" t="s">
        <v>433</v>
      </c>
      <c r="GS1" t="s">
        <v>434</v>
      </c>
      <c r="GT1" t="s">
        <v>435</v>
      </c>
      <c r="GU1" t="s">
        <v>436</v>
      </c>
      <c r="GV1" t="s">
        <v>437</v>
      </c>
      <c r="GW1" t="s">
        <v>438</v>
      </c>
      <c r="GX1" t="s">
        <v>439</v>
      </c>
      <c r="GY1" t="s">
        <v>440</v>
      </c>
      <c r="GZ1" t="s">
        <v>441</v>
      </c>
      <c r="HA1" t="s">
        <v>442</v>
      </c>
      <c r="HB1" t="s">
        <v>443</v>
      </c>
      <c r="HC1" t="s">
        <v>444</v>
      </c>
      <c r="HD1" t="s">
        <v>445</v>
      </c>
      <c r="HE1" t="s">
        <v>446</v>
      </c>
      <c r="HF1" t="s">
        <v>447</v>
      </c>
      <c r="HG1" t="s">
        <v>448</v>
      </c>
      <c r="HH1" t="s">
        <v>449</v>
      </c>
      <c r="HI1" t="s">
        <v>450</v>
      </c>
      <c r="HJ1" t="s">
        <v>451</v>
      </c>
      <c r="HK1" t="s">
        <v>452</v>
      </c>
      <c r="HL1" t="s">
        <v>453</v>
      </c>
      <c r="HM1" t="s">
        <v>454</v>
      </c>
      <c r="HN1" t="s">
        <v>455</v>
      </c>
      <c r="HO1" t="s">
        <v>456</v>
      </c>
      <c r="HP1" t="s">
        <v>457</v>
      </c>
      <c r="HQ1" t="s">
        <v>458</v>
      </c>
      <c r="HR1" t="s">
        <v>459</v>
      </c>
      <c r="HS1" t="s">
        <v>460</v>
      </c>
      <c r="HT1" t="s">
        <v>461</v>
      </c>
      <c r="HU1" t="s">
        <v>462</v>
      </c>
      <c r="HV1" t="s">
        <v>463</v>
      </c>
      <c r="HW1" t="s">
        <v>464</v>
      </c>
      <c r="HX1" t="s">
        <v>465</v>
      </c>
      <c r="HY1" t="s">
        <v>466</v>
      </c>
      <c r="HZ1" t="s">
        <v>467</v>
      </c>
      <c r="IA1" t="s">
        <v>468</v>
      </c>
      <c r="IB1" t="s">
        <v>469</v>
      </c>
      <c r="IC1" t="s">
        <v>470</v>
      </c>
      <c r="ID1" t="s">
        <v>471</v>
      </c>
      <c r="IE1" t="s">
        <v>472</v>
      </c>
      <c r="IF1" t="s">
        <v>473</v>
      </c>
      <c r="IG1" t="s">
        <v>474</v>
      </c>
      <c r="IH1" t="s">
        <v>475</v>
      </c>
      <c r="II1" t="s">
        <v>476</v>
      </c>
      <c r="IJ1" t="s">
        <v>477</v>
      </c>
      <c r="IK1" t="s">
        <v>478</v>
      </c>
      <c r="IL1" t="s">
        <v>479</v>
      </c>
      <c r="IM1" t="s">
        <v>480</v>
      </c>
      <c r="IN1" t="s">
        <v>481</v>
      </c>
      <c r="IO1" t="s">
        <v>482</v>
      </c>
      <c r="IP1" t="s">
        <v>483</v>
      </c>
      <c r="IQ1" t="s">
        <v>484</v>
      </c>
      <c r="IR1" t="s">
        <v>485</v>
      </c>
      <c r="IS1" t="s">
        <v>486</v>
      </c>
      <c r="IT1" t="s">
        <v>487</v>
      </c>
      <c r="IU1" t="s">
        <v>488</v>
      </c>
      <c r="IV1" t="s">
        <v>489</v>
      </c>
    </row>
    <row r="2" spans="1:256">
      <c r="A2" t="s">
        <v>490</v>
      </c>
      <c r="B2" t="s">
        <v>491</v>
      </c>
      <c r="C2" t="s">
        <v>492</v>
      </c>
      <c r="D2" t="s">
        <v>493</v>
      </c>
      <c r="E2" t="s">
        <v>494</v>
      </c>
      <c r="F2" t="s">
        <v>495</v>
      </c>
      <c r="G2" t="s">
        <v>496</v>
      </c>
      <c r="H2" t="s">
        <v>497</v>
      </c>
      <c r="I2" t="s">
        <v>498</v>
      </c>
      <c r="J2" t="s">
        <v>499</v>
      </c>
      <c r="K2" t="s">
        <v>500</v>
      </c>
      <c r="L2" t="s">
        <v>501</v>
      </c>
      <c r="M2" t="s">
        <v>502</v>
      </c>
      <c r="N2" t="s">
        <v>503</v>
      </c>
      <c r="O2" t="s">
        <v>504</v>
      </c>
      <c r="P2" t="s">
        <v>505</v>
      </c>
      <c r="Q2" t="s">
        <v>506</v>
      </c>
      <c r="R2" t="s">
        <v>507</v>
      </c>
      <c r="S2" t="s">
        <v>508</v>
      </c>
      <c r="T2" t="s">
        <v>509</v>
      </c>
      <c r="U2" t="s">
        <v>510</v>
      </c>
      <c r="V2" t="s">
        <v>511</v>
      </c>
      <c r="W2" t="s">
        <v>512</v>
      </c>
      <c r="X2" t="s">
        <v>513</v>
      </c>
      <c r="Y2" t="s">
        <v>514</v>
      </c>
      <c r="Z2" t="s">
        <v>515</v>
      </c>
      <c r="AA2" t="s">
        <v>516</v>
      </c>
      <c r="AB2" t="s">
        <v>517</v>
      </c>
      <c r="AC2" t="s">
        <v>518</v>
      </c>
      <c r="AD2" t="s">
        <v>519</v>
      </c>
      <c r="AE2" t="s">
        <v>520</v>
      </c>
      <c r="AF2" t="s">
        <v>521</v>
      </c>
      <c r="AG2" t="s">
        <v>522</v>
      </c>
      <c r="AH2" t="s">
        <v>523</v>
      </c>
      <c r="AI2" t="s">
        <v>524</v>
      </c>
      <c r="AJ2" t="s">
        <v>525</v>
      </c>
      <c r="AK2" t="s">
        <v>526</v>
      </c>
      <c r="AL2" t="s">
        <v>527</v>
      </c>
      <c r="AM2" t="s">
        <v>528</v>
      </c>
      <c r="AN2" t="s">
        <v>529</v>
      </c>
      <c r="AO2" t="s">
        <v>530</v>
      </c>
      <c r="AP2" t="s">
        <v>531</v>
      </c>
      <c r="AQ2" t="s">
        <v>532</v>
      </c>
      <c r="AR2" t="s">
        <v>533</v>
      </c>
      <c r="AS2" t="s">
        <v>534</v>
      </c>
      <c r="AT2" t="s">
        <v>535</v>
      </c>
      <c r="AU2" t="s">
        <v>536</v>
      </c>
      <c r="AV2" t="s">
        <v>537</v>
      </c>
      <c r="AW2" t="s">
        <v>538</v>
      </c>
      <c r="AX2" t="s">
        <v>539</v>
      </c>
      <c r="AY2" t="s">
        <v>540</v>
      </c>
      <c r="AZ2" t="s">
        <v>541</v>
      </c>
      <c r="BA2" t="s">
        <v>542</v>
      </c>
      <c r="BB2" t="s">
        <v>543</v>
      </c>
      <c r="BC2" t="s">
        <v>544</v>
      </c>
      <c r="BD2" t="s">
        <v>545</v>
      </c>
      <c r="BE2" t="s">
        <v>546</v>
      </c>
      <c r="BF2" t="s">
        <v>547</v>
      </c>
      <c r="BG2" t="s">
        <v>548</v>
      </c>
      <c r="BH2" t="s">
        <v>549</v>
      </c>
      <c r="BI2" t="s">
        <v>550</v>
      </c>
      <c r="BJ2" t="s">
        <v>551</v>
      </c>
      <c r="BK2" t="s">
        <v>552</v>
      </c>
      <c r="BL2" t="s">
        <v>553</v>
      </c>
      <c r="BM2" t="s">
        <v>554</v>
      </c>
      <c r="BN2" t="s">
        <v>555</v>
      </c>
      <c r="BO2" t="s">
        <v>556</v>
      </c>
      <c r="BP2" t="s">
        <v>557</v>
      </c>
      <c r="BQ2" t="s">
        <v>558</v>
      </c>
      <c r="BR2" t="s">
        <v>559</v>
      </c>
      <c r="BS2" t="s">
        <v>560</v>
      </c>
      <c r="BT2" t="s">
        <v>561</v>
      </c>
      <c r="BU2" t="s">
        <v>562</v>
      </c>
      <c r="BV2" t="s">
        <v>563</v>
      </c>
      <c r="BW2" t="s">
        <v>564</v>
      </c>
      <c r="BX2" t="s">
        <v>565</v>
      </c>
      <c r="BY2" t="s">
        <v>566</v>
      </c>
      <c r="BZ2" t="s">
        <v>567</v>
      </c>
      <c r="CA2" t="s">
        <v>568</v>
      </c>
      <c r="CB2" t="s">
        <v>569</v>
      </c>
      <c r="CC2" t="s">
        <v>570</v>
      </c>
      <c r="CD2" t="s">
        <v>571</v>
      </c>
      <c r="CE2" t="s">
        <v>572</v>
      </c>
      <c r="CF2" t="s">
        <v>573</v>
      </c>
      <c r="CG2" t="s">
        <v>574</v>
      </c>
      <c r="CH2" t="s">
        <v>575</v>
      </c>
      <c r="CI2" t="s">
        <v>576</v>
      </c>
      <c r="CJ2" t="s">
        <v>577</v>
      </c>
      <c r="CK2" t="s">
        <v>578</v>
      </c>
      <c r="CL2" t="s">
        <v>579</v>
      </c>
      <c r="CM2" t="s">
        <v>580</v>
      </c>
      <c r="CN2" t="s">
        <v>581</v>
      </c>
      <c r="CO2" t="s">
        <v>582</v>
      </c>
      <c r="CP2" t="s">
        <v>583</v>
      </c>
      <c r="CQ2" t="s">
        <v>584</v>
      </c>
      <c r="CR2" t="s">
        <v>585</v>
      </c>
      <c r="CS2" t="s">
        <v>586</v>
      </c>
      <c r="CT2" t="s">
        <v>587</v>
      </c>
      <c r="CU2" t="s">
        <v>588</v>
      </c>
      <c r="CV2" t="s">
        <v>589</v>
      </c>
      <c r="CW2" t="s">
        <v>590</v>
      </c>
      <c r="CX2" t="s">
        <v>591</v>
      </c>
      <c r="CY2" t="s">
        <v>592</v>
      </c>
      <c r="CZ2" t="s">
        <v>593</v>
      </c>
      <c r="DA2" t="s">
        <v>594</v>
      </c>
      <c r="DB2" t="s">
        <v>595</v>
      </c>
      <c r="DC2" t="s">
        <v>596</v>
      </c>
      <c r="DD2" t="s">
        <v>597</v>
      </c>
      <c r="DE2" t="s">
        <v>598</v>
      </c>
      <c r="DF2" t="s">
        <v>599</v>
      </c>
      <c r="DG2" t="s">
        <v>600</v>
      </c>
      <c r="DH2" t="s">
        <v>601</v>
      </c>
      <c r="DI2" t="s">
        <v>602</v>
      </c>
      <c r="DJ2" t="s">
        <v>603</v>
      </c>
      <c r="DK2" t="s">
        <v>604</v>
      </c>
      <c r="DL2" t="s">
        <v>605</v>
      </c>
      <c r="DM2" t="s">
        <v>606</v>
      </c>
      <c r="DN2" t="s">
        <v>607</v>
      </c>
      <c r="DO2" t="s">
        <v>608</v>
      </c>
      <c r="DP2" t="s">
        <v>609</v>
      </c>
      <c r="DQ2" t="s">
        <v>610</v>
      </c>
      <c r="DR2" t="s">
        <v>611</v>
      </c>
      <c r="DS2" t="s">
        <v>612</v>
      </c>
      <c r="DT2" t="s">
        <v>613</v>
      </c>
      <c r="DU2" t="s">
        <v>614</v>
      </c>
      <c r="DV2" t="s">
        <v>615</v>
      </c>
      <c r="DW2" t="s">
        <v>616</v>
      </c>
      <c r="DX2" t="s">
        <v>617</v>
      </c>
      <c r="DY2" t="s">
        <v>618</v>
      </c>
      <c r="DZ2" t="s">
        <v>619</v>
      </c>
      <c r="EA2" t="s">
        <v>620</v>
      </c>
      <c r="EB2" t="s">
        <v>621</v>
      </c>
      <c r="EC2" t="s">
        <v>622</v>
      </c>
      <c r="ED2" t="s">
        <v>623</v>
      </c>
      <c r="EE2" t="s">
        <v>624</v>
      </c>
      <c r="EF2" t="s">
        <v>625</v>
      </c>
      <c r="EG2" t="s">
        <v>626</v>
      </c>
      <c r="EH2" t="s">
        <v>627</v>
      </c>
      <c r="EI2" t="s">
        <v>628</v>
      </c>
      <c r="EJ2" t="s">
        <v>629</v>
      </c>
      <c r="EK2" t="s">
        <v>630</v>
      </c>
      <c r="EL2" t="s">
        <v>631</v>
      </c>
      <c r="EM2" t="s">
        <v>632</v>
      </c>
      <c r="EN2" t="s">
        <v>633</v>
      </c>
      <c r="EO2" t="s">
        <v>634</v>
      </c>
      <c r="EP2" t="s">
        <v>635</v>
      </c>
      <c r="EQ2" t="s">
        <v>636</v>
      </c>
      <c r="ER2" t="s">
        <v>637</v>
      </c>
      <c r="ES2" t="s">
        <v>638</v>
      </c>
      <c r="ET2" t="s">
        <v>639</v>
      </c>
      <c r="EU2" t="s">
        <v>640</v>
      </c>
      <c r="EV2" t="s">
        <v>641</v>
      </c>
      <c r="EW2" t="s">
        <v>642</v>
      </c>
      <c r="EX2" t="s">
        <v>643</v>
      </c>
      <c r="EY2" t="s">
        <v>644</v>
      </c>
      <c r="EZ2" t="s">
        <v>645</v>
      </c>
      <c r="FA2" t="s">
        <v>646</v>
      </c>
      <c r="FB2" t="s">
        <v>647</v>
      </c>
      <c r="FC2" t="s">
        <v>648</v>
      </c>
      <c r="FD2" t="s">
        <v>649</v>
      </c>
      <c r="FE2" t="s">
        <v>650</v>
      </c>
      <c r="FF2" t="s">
        <v>651</v>
      </c>
      <c r="FG2" t="s">
        <v>652</v>
      </c>
      <c r="FH2" t="s">
        <v>653</v>
      </c>
      <c r="FI2" t="s">
        <v>654</v>
      </c>
      <c r="FJ2" t="s">
        <v>655</v>
      </c>
      <c r="FK2" t="s">
        <v>656</v>
      </c>
      <c r="FL2" t="s">
        <v>657</v>
      </c>
      <c r="FM2" t="s">
        <v>658</v>
      </c>
      <c r="FN2" t="s">
        <v>659</v>
      </c>
      <c r="FO2" t="s">
        <v>660</v>
      </c>
      <c r="FP2" t="s">
        <v>661</v>
      </c>
      <c r="FQ2" t="s">
        <v>662</v>
      </c>
      <c r="FR2" t="s">
        <v>663</v>
      </c>
      <c r="FS2" t="s">
        <v>664</v>
      </c>
      <c r="FT2" t="s">
        <v>665</v>
      </c>
      <c r="FU2" t="s">
        <v>666</v>
      </c>
      <c r="FV2" t="s">
        <v>667</v>
      </c>
      <c r="FW2" t="s">
        <v>668</v>
      </c>
      <c r="FX2" t="s">
        <v>669</v>
      </c>
      <c r="FY2" t="s">
        <v>670</v>
      </c>
      <c r="FZ2" t="s">
        <v>671</v>
      </c>
      <c r="GA2" t="s">
        <v>672</v>
      </c>
      <c r="GB2" t="s">
        <v>673</v>
      </c>
      <c r="GC2" t="s">
        <v>674</v>
      </c>
      <c r="GD2" t="s">
        <v>675</v>
      </c>
      <c r="GE2" t="s">
        <v>676</v>
      </c>
      <c r="GF2" t="s">
        <v>677</v>
      </c>
      <c r="GG2" t="s">
        <v>678</v>
      </c>
      <c r="GH2" t="s">
        <v>679</v>
      </c>
      <c r="GI2" t="s">
        <v>680</v>
      </c>
      <c r="GJ2" t="s">
        <v>681</v>
      </c>
      <c r="GK2" t="s">
        <v>682</v>
      </c>
      <c r="GL2" t="s">
        <v>683</v>
      </c>
      <c r="GM2" t="s">
        <v>684</v>
      </c>
      <c r="GN2" t="s">
        <v>685</v>
      </c>
      <c r="GO2" t="s">
        <v>686</v>
      </c>
      <c r="GP2" t="s">
        <v>687</v>
      </c>
      <c r="GQ2" t="s">
        <v>688</v>
      </c>
      <c r="GR2" t="s">
        <v>689</v>
      </c>
      <c r="GS2" t="s">
        <v>690</v>
      </c>
      <c r="GT2" t="s">
        <v>691</v>
      </c>
      <c r="GU2" t="s">
        <v>692</v>
      </c>
      <c r="GV2" t="s">
        <v>693</v>
      </c>
      <c r="GW2" t="s">
        <v>694</v>
      </c>
      <c r="GX2" t="s">
        <v>695</v>
      </c>
      <c r="GY2" t="s">
        <v>696</v>
      </c>
      <c r="GZ2" t="s">
        <v>697</v>
      </c>
      <c r="HA2" t="s">
        <v>698</v>
      </c>
      <c r="HB2" t="s">
        <v>699</v>
      </c>
      <c r="HC2" t="s">
        <v>700</v>
      </c>
      <c r="HD2" t="s">
        <v>701</v>
      </c>
      <c r="HE2" t="s">
        <v>702</v>
      </c>
      <c r="HF2" t="s">
        <v>703</v>
      </c>
      <c r="HG2" t="s">
        <v>704</v>
      </c>
      <c r="HH2" t="s">
        <v>705</v>
      </c>
      <c r="HI2" t="s">
        <v>706</v>
      </c>
      <c r="HJ2" t="s">
        <v>707</v>
      </c>
      <c r="HK2" t="s">
        <v>708</v>
      </c>
      <c r="HL2" t="s">
        <v>709</v>
      </c>
      <c r="HM2" t="s">
        <v>710</v>
      </c>
      <c r="HN2" t="s">
        <v>711</v>
      </c>
      <c r="HO2" t="s">
        <v>712</v>
      </c>
      <c r="HP2" t="s">
        <v>713</v>
      </c>
      <c r="HQ2" t="s">
        <v>714</v>
      </c>
      <c r="HR2" t="s">
        <v>715</v>
      </c>
      <c r="HS2" t="s">
        <v>716</v>
      </c>
      <c r="HT2" t="s">
        <v>717</v>
      </c>
      <c r="HU2" t="s">
        <v>718</v>
      </c>
      <c r="HV2" t="s">
        <v>719</v>
      </c>
      <c r="HW2" t="s">
        <v>720</v>
      </c>
      <c r="HX2" t="s">
        <v>721</v>
      </c>
      <c r="HY2" t="s">
        <v>722</v>
      </c>
      <c r="HZ2" t="s">
        <v>723</v>
      </c>
      <c r="IA2" t="s">
        <v>724</v>
      </c>
      <c r="IB2" t="s">
        <v>725</v>
      </c>
      <c r="IC2" t="s">
        <v>726</v>
      </c>
      <c r="ID2" t="s">
        <v>727</v>
      </c>
      <c r="IE2" t="s">
        <v>728</v>
      </c>
      <c r="IF2" t="s">
        <v>729</v>
      </c>
      <c r="IG2" t="s">
        <v>730</v>
      </c>
      <c r="IH2" t="s">
        <v>731</v>
      </c>
      <c r="II2" t="s">
        <v>732</v>
      </c>
      <c r="IJ2" t="s">
        <v>733</v>
      </c>
      <c r="IK2" t="s">
        <v>734</v>
      </c>
      <c r="IL2" t="s">
        <v>735</v>
      </c>
      <c r="IM2" t="s">
        <v>736</v>
      </c>
      <c r="IN2" t="s">
        <v>737</v>
      </c>
      <c r="IO2" t="s">
        <v>738</v>
      </c>
      <c r="IP2" t="s">
        <v>739</v>
      </c>
      <c r="IQ2" t="s">
        <v>740</v>
      </c>
      <c r="IR2" t="s">
        <v>741</v>
      </c>
      <c r="IS2" t="s">
        <v>742</v>
      </c>
      <c r="IT2" t="s">
        <v>743</v>
      </c>
      <c r="IU2" t="s">
        <v>744</v>
      </c>
      <c r="IV2" t="s">
        <v>745</v>
      </c>
    </row>
    <row r="3" spans="1:256">
      <c r="A3" t="s">
        <v>746</v>
      </c>
      <c r="B3" t="s">
        <v>747</v>
      </c>
      <c r="C3" t="s">
        <v>748</v>
      </c>
      <c r="D3" t="s">
        <v>749</v>
      </c>
      <c r="E3" t="s">
        <v>750</v>
      </c>
      <c r="F3" t="s">
        <v>751</v>
      </c>
      <c r="G3" t="s">
        <v>752</v>
      </c>
      <c r="H3" t="s">
        <v>753</v>
      </c>
      <c r="I3" t="s">
        <v>754</v>
      </c>
      <c r="J3" t="s">
        <v>755</v>
      </c>
      <c r="K3" t="s">
        <v>756</v>
      </c>
      <c r="L3" t="s">
        <v>757</v>
      </c>
      <c r="M3" t="s">
        <v>758</v>
      </c>
      <c r="N3" t="s">
        <v>759</v>
      </c>
      <c r="O3" t="s">
        <v>760</v>
      </c>
      <c r="P3" t="s">
        <v>761</v>
      </c>
      <c r="Q3" t="s">
        <v>762</v>
      </c>
      <c r="R3" t="s">
        <v>763</v>
      </c>
      <c r="S3" t="s">
        <v>764</v>
      </c>
      <c r="T3" t="s">
        <v>765</v>
      </c>
      <c r="U3" t="s">
        <v>766</v>
      </c>
      <c r="V3" t="s">
        <v>767</v>
      </c>
      <c r="W3" t="s">
        <v>768</v>
      </c>
      <c r="X3" t="s">
        <v>769</v>
      </c>
      <c r="Y3" t="s">
        <v>770</v>
      </c>
      <c r="Z3" t="s">
        <v>771</v>
      </c>
      <c r="AA3" t="s">
        <v>772</v>
      </c>
      <c r="AB3" t="s">
        <v>773</v>
      </c>
      <c r="AC3" t="s">
        <v>774</v>
      </c>
      <c r="AD3" t="s">
        <v>775</v>
      </c>
      <c r="AE3" t="s">
        <v>776</v>
      </c>
      <c r="AF3" t="s">
        <v>777</v>
      </c>
      <c r="AG3" t="s">
        <v>778</v>
      </c>
      <c r="AH3" t="s">
        <v>779</v>
      </c>
      <c r="AI3" t="s">
        <v>780</v>
      </c>
      <c r="AJ3" t="s">
        <v>781</v>
      </c>
      <c r="AK3" t="s">
        <v>782</v>
      </c>
      <c r="AL3" t="s">
        <v>783</v>
      </c>
      <c r="AM3" t="s">
        <v>784</v>
      </c>
      <c r="AN3" t="s">
        <v>785</v>
      </c>
      <c r="AO3" t="s">
        <v>786</v>
      </c>
      <c r="AP3" t="s">
        <v>787</v>
      </c>
      <c r="AQ3" t="s">
        <v>788</v>
      </c>
      <c r="AR3" t="s">
        <v>789</v>
      </c>
      <c r="AS3" t="s">
        <v>790</v>
      </c>
      <c r="AT3" t="s">
        <v>791</v>
      </c>
      <c r="AU3" t="s">
        <v>792</v>
      </c>
      <c r="AV3" t="s">
        <v>793</v>
      </c>
      <c r="AW3" t="s">
        <v>794</v>
      </c>
      <c r="AX3" t="s">
        <v>795</v>
      </c>
      <c r="AY3" t="s">
        <v>796</v>
      </c>
      <c r="AZ3" t="s">
        <v>797</v>
      </c>
      <c r="BA3" t="s">
        <v>798</v>
      </c>
      <c r="BB3" t="s">
        <v>799</v>
      </c>
      <c r="BC3" t="s">
        <v>800</v>
      </c>
      <c r="BD3" t="s">
        <v>801</v>
      </c>
      <c r="BE3" t="s">
        <v>802</v>
      </c>
      <c r="BF3" t="s">
        <v>803</v>
      </c>
      <c r="BG3" t="s">
        <v>804</v>
      </c>
      <c r="BH3" t="s">
        <v>805</v>
      </c>
      <c r="BI3" t="s">
        <v>806</v>
      </c>
      <c r="BJ3" t="s">
        <v>807</v>
      </c>
      <c r="BK3" t="s">
        <v>808</v>
      </c>
      <c r="BL3" t="s">
        <v>809</v>
      </c>
      <c r="BM3" t="s">
        <v>810</v>
      </c>
      <c r="BN3" t="s">
        <v>811</v>
      </c>
      <c r="BO3" t="s">
        <v>812</v>
      </c>
      <c r="BP3" t="s">
        <v>813</v>
      </c>
      <c r="BQ3" t="s">
        <v>814</v>
      </c>
      <c r="BR3" t="s">
        <v>815</v>
      </c>
      <c r="BS3" t="s">
        <v>816</v>
      </c>
      <c r="BT3" t="s">
        <v>817</v>
      </c>
      <c r="BU3" t="s">
        <v>818</v>
      </c>
      <c r="BV3" t="s">
        <v>819</v>
      </c>
      <c r="BW3" t="s">
        <v>820</v>
      </c>
      <c r="BX3" t="s">
        <v>821</v>
      </c>
      <c r="BY3" t="s">
        <v>822</v>
      </c>
      <c r="BZ3" t="s">
        <v>823</v>
      </c>
      <c r="CA3" t="s">
        <v>824</v>
      </c>
      <c r="CB3" t="s">
        <v>825</v>
      </c>
      <c r="CC3" t="s">
        <v>826</v>
      </c>
      <c r="CD3" t="s">
        <v>827</v>
      </c>
      <c r="CE3" t="s">
        <v>828</v>
      </c>
      <c r="CF3" t="s">
        <v>829</v>
      </c>
      <c r="CG3" t="s">
        <v>830</v>
      </c>
      <c r="CH3" t="s">
        <v>831</v>
      </c>
      <c r="CI3" t="s">
        <v>832</v>
      </c>
      <c r="CJ3" t="s">
        <v>833</v>
      </c>
      <c r="CK3" t="s">
        <v>834</v>
      </c>
      <c r="CL3" t="s">
        <v>835</v>
      </c>
      <c r="CM3" t="s">
        <v>836</v>
      </c>
      <c r="CN3" t="s">
        <v>837</v>
      </c>
      <c r="CO3" t="s">
        <v>838</v>
      </c>
      <c r="CP3" t="s">
        <v>839</v>
      </c>
      <c r="CQ3" t="s">
        <v>840</v>
      </c>
      <c r="CR3" t="s">
        <v>841</v>
      </c>
      <c r="CS3" t="s">
        <v>842</v>
      </c>
      <c r="CT3" t="s">
        <v>843</v>
      </c>
      <c r="CU3" t="s">
        <v>844</v>
      </c>
      <c r="CV3" t="s">
        <v>845</v>
      </c>
      <c r="CW3" t="s">
        <v>846</v>
      </c>
      <c r="CX3" t="s">
        <v>847</v>
      </c>
      <c r="CY3" t="s">
        <v>848</v>
      </c>
      <c r="CZ3" t="s">
        <v>849</v>
      </c>
      <c r="DA3" t="s">
        <v>850</v>
      </c>
      <c r="DB3" t="s">
        <v>851</v>
      </c>
      <c r="DC3" t="s">
        <v>852</v>
      </c>
      <c r="DD3" t="s">
        <v>853</v>
      </c>
      <c r="DE3" t="s">
        <v>854</v>
      </c>
      <c r="DF3" t="s">
        <v>855</v>
      </c>
      <c r="DG3" t="s">
        <v>856</v>
      </c>
      <c r="DH3" t="s">
        <v>857</v>
      </c>
      <c r="DI3" t="s">
        <v>858</v>
      </c>
      <c r="DJ3" t="s">
        <v>859</v>
      </c>
      <c r="DK3" t="s">
        <v>860</v>
      </c>
      <c r="DL3" t="s">
        <v>861</v>
      </c>
      <c r="DM3" t="s">
        <v>862</v>
      </c>
      <c r="DN3" t="s">
        <v>863</v>
      </c>
      <c r="DO3" t="s">
        <v>864</v>
      </c>
      <c r="DP3" t="s">
        <v>865</v>
      </c>
      <c r="DQ3" t="s">
        <v>866</v>
      </c>
      <c r="DR3" t="s">
        <v>867</v>
      </c>
      <c r="DS3" t="s">
        <v>868</v>
      </c>
      <c r="DT3" t="s">
        <v>869</v>
      </c>
      <c r="DU3" t="s">
        <v>870</v>
      </c>
      <c r="DV3" t="s">
        <v>871</v>
      </c>
      <c r="DW3" t="s">
        <v>872</v>
      </c>
      <c r="DX3" t="s">
        <v>873</v>
      </c>
      <c r="DY3" t="s">
        <v>874</v>
      </c>
      <c r="DZ3" t="s">
        <v>875</v>
      </c>
      <c r="EA3" t="s">
        <v>876</v>
      </c>
      <c r="EB3" t="s">
        <v>877</v>
      </c>
      <c r="EC3" t="s">
        <v>878</v>
      </c>
      <c r="ED3" t="s">
        <v>879</v>
      </c>
      <c r="EE3" t="s">
        <v>880</v>
      </c>
      <c r="EF3" t="s">
        <v>881</v>
      </c>
      <c r="EG3" t="s">
        <v>882</v>
      </c>
      <c r="EH3" t="s">
        <v>883</v>
      </c>
      <c r="EI3" t="s">
        <v>884</v>
      </c>
      <c r="EJ3" t="s">
        <v>885</v>
      </c>
      <c r="EK3" t="s">
        <v>886</v>
      </c>
      <c r="EL3" t="s">
        <v>887</v>
      </c>
      <c r="EM3" t="s">
        <v>888</v>
      </c>
      <c r="EN3" t="s">
        <v>889</v>
      </c>
      <c r="EO3" t="s">
        <v>890</v>
      </c>
      <c r="EP3" t="s">
        <v>891</v>
      </c>
      <c r="EQ3" t="s">
        <v>892</v>
      </c>
      <c r="ER3" t="s">
        <v>893</v>
      </c>
      <c r="ES3" t="s">
        <v>894</v>
      </c>
      <c r="ET3" t="s">
        <v>895</v>
      </c>
      <c r="EU3" t="s">
        <v>896</v>
      </c>
      <c r="EV3" t="s">
        <v>897</v>
      </c>
      <c r="EW3" t="s">
        <v>898</v>
      </c>
      <c r="EX3" t="s">
        <v>899</v>
      </c>
      <c r="EY3" t="s">
        <v>900</v>
      </c>
      <c r="EZ3" t="s">
        <v>901</v>
      </c>
      <c r="FA3" t="s">
        <v>902</v>
      </c>
      <c r="FB3" t="s">
        <v>903</v>
      </c>
      <c r="FC3" t="s">
        <v>904</v>
      </c>
      <c r="FD3" t="s">
        <v>905</v>
      </c>
      <c r="FE3" t="s">
        <v>906</v>
      </c>
      <c r="FF3" t="s">
        <v>907</v>
      </c>
      <c r="FG3" t="s">
        <v>908</v>
      </c>
      <c r="FH3" t="s">
        <v>909</v>
      </c>
      <c r="FI3" t="s">
        <v>910</v>
      </c>
      <c r="FJ3" t="s">
        <v>911</v>
      </c>
      <c r="FK3" t="s">
        <v>912</v>
      </c>
      <c r="FL3" t="s">
        <v>913</v>
      </c>
      <c r="FM3" t="s">
        <v>914</v>
      </c>
      <c r="FN3" t="s">
        <v>915</v>
      </c>
      <c r="FO3" t="s">
        <v>916</v>
      </c>
      <c r="FP3" t="s">
        <v>917</v>
      </c>
      <c r="FQ3" t="s">
        <v>918</v>
      </c>
      <c r="FR3" t="s">
        <v>919</v>
      </c>
      <c r="FS3" t="s">
        <v>920</v>
      </c>
      <c r="FT3" t="s">
        <v>921</v>
      </c>
      <c r="FU3" t="s">
        <v>922</v>
      </c>
      <c r="FV3" t="s">
        <v>923</v>
      </c>
      <c r="FW3" t="s">
        <v>924</v>
      </c>
      <c r="FX3" t="s">
        <v>925</v>
      </c>
      <c r="FY3" t="s">
        <v>926</v>
      </c>
      <c r="FZ3" t="s">
        <v>927</v>
      </c>
      <c r="GA3" t="s">
        <v>928</v>
      </c>
      <c r="GB3" t="s">
        <v>929</v>
      </c>
      <c r="GC3" t="s">
        <v>930</v>
      </c>
      <c r="GD3" t="s">
        <v>931</v>
      </c>
      <c r="GE3" t="s">
        <v>932</v>
      </c>
      <c r="GF3" t="s">
        <v>933</v>
      </c>
      <c r="GG3" t="s">
        <v>934</v>
      </c>
      <c r="GH3" t="s">
        <v>935</v>
      </c>
      <c r="GI3" t="s">
        <v>936</v>
      </c>
      <c r="GJ3" t="s">
        <v>937</v>
      </c>
      <c r="GK3" t="s">
        <v>938</v>
      </c>
      <c r="GL3" t="s">
        <v>939</v>
      </c>
      <c r="GM3" t="s">
        <v>940</v>
      </c>
      <c r="GN3" t="s">
        <v>941</v>
      </c>
      <c r="GO3" t="s">
        <v>942</v>
      </c>
      <c r="GP3" t="s">
        <v>943</v>
      </c>
      <c r="GQ3" t="s">
        <v>944</v>
      </c>
      <c r="GR3" t="s">
        <v>945</v>
      </c>
      <c r="GS3" t="s">
        <v>946</v>
      </c>
      <c r="GT3" t="s">
        <v>947</v>
      </c>
      <c r="GU3" t="s">
        <v>948</v>
      </c>
      <c r="GV3" t="s">
        <v>949</v>
      </c>
      <c r="GW3" t="s">
        <v>950</v>
      </c>
      <c r="GX3" t="s">
        <v>951</v>
      </c>
      <c r="GY3" t="s">
        <v>952</v>
      </c>
      <c r="GZ3" t="s">
        <v>953</v>
      </c>
      <c r="HA3" t="s">
        <v>954</v>
      </c>
      <c r="HB3" t="s">
        <v>955</v>
      </c>
      <c r="HC3" t="s">
        <v>956</v>
      </c>
      <c r="HD3" t="s">
        <v>957</v>
      </c>
      <c r="HE3" t="s">
        <v>958</v>
      </c>
      <c r="HF3" t="s">
        <v>959</v>
      </c>
      <c r="HG3" t="s">
        <v>960</v>
      </c>
      <c r="HH3" t="s">
        <v>961</v>
      </c>
      <c r="HI3" t="s">
        <v>962</v>
      </c>
      <c r="HJ3" t="s">
        <v>963</v>
      </c>
      <c r="HK3" t="s">
        <v>964</v>
      </c>
      <c r="HL3" t="s">
        <v>965</v>
      </c>
      <c r="HM3" t="s">
        <v>966</v>
      </c>
      <c r="HN3" t="s">
        <v>967</v>
      </c>
      <c r="HO3" t="s">
        <v>968</v>
      </c>
      <c r="HP3" t="s">
        <v>969</v>
      </c>
      <c r="HQ3" t="s">
        <v>970</v>
      </c>
      <c r="HR3" t="s">
        <v>971</v>
      </c>
      <c r="HS3" t="s">
        <v>972</v>
      </c>
      <c r="HT3" t="s">
        <v>973</v>
      </c>
      <c r="HU3" t="s">
        <v>974</v>
      </c>
      <c r="HV3" t="s">
        <v>975</v>
      </c>
      <c r="HW3" t="s">
        <v>976</v>
      </c>
      <c r="HX3" t="s">
        <v>977</v>
      </c>
      <c r="HY3" t="s">
        <v>978</v>
      </c>
      <c r="HZ3" t="s">
        <v>979</v>
      </c>
      <c r="IA3" t="s">
        <v>980</v>
      </c>
      <c r="IB3" t="s">
        <v>981</v>
      </c>
      <c r="IC3" t="s">
        <v>982</v>
      </c>
      <c r="ID3" t="s">
        <v>983</v>
      </c>
      <c r="IE3" t="s">
        <v>984</v>
      </c>
      <c r="IF3" t="s">
        <v>985</v>
      </c>
      <c r="IG3" t="s">
        <v>986</v>
      </c>
      <c r="IH3" t="s">
        <v>987</v>
      </c>
      <c r="II3" t="s">
        <v>988</v>
      </c>
      <c r="IJ3" t="s">
        <v>989</v>
      </c>
      <c r="IK3" t="s">
        <v>990</v>
      </c>
      <c r="IL3" t="s">
        <v>991</v>
      </c>
      <c r="IM3" t="s">
        <v>992</v>
      </c>
      <c r="IN3" t="s">
        <v>993</v>
      </c>
      <c r="IO3" t="s">
        <v>994</v>
      </c>
      <c r="IP3" t="s">
        <v>995</v>
      </c>
      <c r="IQ3" t="s">
        <v>996</v>
      </c>
      <c r="IR3" t="s">
        <v>997</v>
      </c>
      <c r="IS3" t="s">
        <v>998</v>
      </c>
      <c r="IT3" t="s">
        <v>999</v>
      </c>
      <c r="IU3" t="s">
        <v>1000</v>
      </c>
      <c r="IV3" t="s">
        <v>1001</v>
      </c>
    </row>
    <row r="4" spans="1:256">
      <c r="A4" t="s">
        <v>1002</v>
      </c>
      <c r="B4" t="s">
        <v>1003</v>
      </c>
      <c r="C4" t="s">
        <v>1004</v>
      </c>
      <c r="D4" t="s">
        <v>1005</v>
      </c>
      <c r="E4" t="s">
        <v>1006</v>
      </c>
      <c r="F4" t="s">
        <v>1007</v>
      </c>
      <c r="G4" t="s">
        <v>1008</v>
      </c>
      <c r="H4" t="s">
        <v>1009</v>
      </c>
      <c r="I4" t="s">
        <v>1010</v>
      </c>
      <c r="J4" t="s">
        <v>1011</v>
      </c>
      <c r="K4" t="s">
        <v>1012</v>
      </c>
      <c r="L4" t="s">
        <v>1013</v>
      </c>
      <c r="M4" t="s">
        <v>1014</v>
      </c>
      <c r="N4" t="s">
        <v>1015</v>
      </c>
      <c r="O4" t="s">
        <v>1016</v>
      </c>
      <c r="P4" t="s">
        <v>1017</v>
      </c>
      <c r="Q4" t="s">
        <v>1018</v>
      </c>
      <c r="R4" t="s">
        <v>1019</v>
      </c>
      <c r="S4" t="s">
        <v>1020</v>
      </c>
      <c r="T4" t="s">
        <v>1021</v>
      </c>
      <c r="U4" t="s">
        <v>1022</v>
      </c>
      <c r="V4" t="s">
        <v>1023</v>
      </c>
      <c r="W4" t="s">
        <v>1024</v>
      </c>
      <c r="X4" t="s">
        <v>1025</v>
      </c>
      <c r="Y4" t="s">
        <v>1026</v>
      </c>
      <c r="Z4" t="s">
        <v>1027</v>
      </c>
      <c r="AA4" t="s">
        <v>1028</v>
      </c>
      <c r="AB4" t="s">
        <v>1029</v>
      </c>
      <c r="AC4" t="s">
        <v>1030</v>
      </c>
      <c r="AD4" t="s">
        <v>1031</v>
      </c>
      <c r="AE4" t="s">
        <v>1032</v>
      </c>
      <c r="AF4" t="s">
        <v>1033</v>
      </c>
      <c r="AG4" t="s">
        <v>1034</v>
      </c>
      <c r="AH4" t="s">
        <v>1035</v>
      </c>
      <c r="AI4" t="s">
        <v>1036</v>
      </c>
      <c r="AJ4" t="s">
        <v>1037</v>
      </c>
      <c r="AK4" t="s">
        <v>1038</v>
      </c>
      <c r="AL4" t="s">
        <v>1039</v>
      </c>
      <c r="AM4" t="s">
        <v>1040</v>
      </c>
      <c r="AN4" t="s">
        <v>1041</v>
      </c>
      <c r="AO4" t="s">
        <v>1042</v>
      </c>
      <c r="AP4" t="s">
        <v>1043</v>
      </c>
      <c r="AQ4" t="s">
        <v>1044</v>
      </c>
      <c r="AR4" t="s">
        <v>1045</v>
      </c>
      <c r="AS4" t="s">
        <v>1046</v>
      </c>
      <c r="AT4" t="s">
        <v>1047</v>
      </c>
      <c r="AU4" t="s">
        <v>1048</v>
      </c>
      <c r="AV4" t="s">
        <v>1049</v>
      </c>
      <c r="AW4" t="s">
        <v>1050</v>
      </c>
      <c r="AX4" t="s">
        <v>1051</v>
      </c>
      <c r="AY4" t="s">
        <v>1052</v>
      </c>
      <c r="AZ4" t="s">
        <v>1053</v>
      </c>
      <c r="BA4" t="s">
        <v>1054</v>
      </c>
      <c r="BB4" t="s">
        <v>1055</v>
      </c>
      <c r="BC4" t="s">
        <v>1056</v>
      </c>
      <c r="BD4" t="s">
        <v>1057</v>
      </c>
      <c r="BE4" t="s">
        <v>1058</v>
      </c>
      <c r="BF4" t="s">
        <v>1059</v>
      </c>
      <c r="BG4" t="s">
        <v>1060</v>
      </c>
      <c r="BH4" t="s">
        <v>1061</v>
      </c>
      <c r="BI4" t="s">
        <v>1062</v>
      </c>
      <c r="BJ4" t="s">
        <v>1063</v>
      </c>
      <c r="BK4" t="s">
        <v>1064</v>
      </c>
      <c r="BL4" t="s">
        <v>1065</v>
      </c>
      <c r="BM4" t="s">
        <v>1066</v>
      </c>
      <c r="BN4" t="s">
        <v>1067</v>
      </c>
      <c r="BO4" t="s">
        <v>1068</v>
      </c>
      <c r="BP4" t="s">
        <v>1069</v>
      </c>
      <c r="BQ4" t="s">
        <v>1070</v>
      </c>
      <c r="BR4" t="s">
        <v>1071</v>
      </c>
      <c r="BS4" t="s">
        <v>1072</v>
      </c>
      <c r="BT4" t="s">
        <v>1073</v>
      </c>
      <c r="BU4" t="s">
        <v>1074</v>
      </c>
      <c r="BV4" t="s">
        <v>1075</v>
      </c>
      <c r="BW4" t="s">
        <v>1076</v>
      </c>
      <c r="BX4" t="s">
        <v>1077</v>
      </c>
      <c r="BY4" t="s">
        <v>1078</v>
      </c>
      <c r="BZ4" t="s">
        <v>1079</v>
      </c>
      <c r="CA4" t="s">
        <v>1080</v>
      </c>
      <c r="CB4" t="s">
        <v>1081</v>
      </c>
      <c r="CC4" t="s">
        <v>1082</v>
      </c>
      <c r="CD4" t="s">
        <v>1083</v>
      </c>
      <c r="CE4" t="s">
        <v>1084</v>
      </c>
      <c r="CF4" t="s">
        <v>1085</v>
      </c>
      <c r="CG4" t="s">
        <v>1086</v>
      </c>
      <c r="CH4" t="s">
        <v>1087</v>
      </c>
      <c r="CI4" t="s">
        <v>1088</v>
      </c>
      <c r="CJ4" t="s">
        <v>1089</v>
      </c>
      <c r="CK4" t="s">
        <v>1090</v>
      </c>
      <c r="CL4" t="s">
        <v>1091</v>
      </c>
      <c r="CM4" t="s">
        <v>1092</v>
      </c>
      <c r="CN4" t="s">
        <v>1093</v>
      </c>
      <c r="CO4" t="s">
        <v>1094</v>
      </c>
      <c r="CP4" t="s">
        <v>1095</v>
      </c>
      <c r="CQ4" t="s">
        <v>1096</v>
      </c>
      <c r="CR4" t="s">
        <v>1097</v>
      </c>
      <c r="CS4" t="s">
        <v>1098</v>
      </c>
      <c r="CT4" t="s">
        <v>1099</v>
      </c>
      <c r="CU4" t="s">
        <v>1100</v>
      </c>
      <c r="CV4" t="s">
        <v>1101</v>
      </c>
      <c r="CW4" t="s">
        <v>1102</v>
      </c>
      <c r="CX4" t="s">
        <v>1103</v>
      </c>
      <c r="CY4" t="s">
        <v>1104</v>
      </c>
      <c r="CZ4" t="s">
        <v>1105</v>
      </c>
      <c r="DA4" t="s">
        <v>1106</v>
      </c>
      <c r="DB4" t="s">
        <v>1107</v>
      </c>
      <c r="DC4" t="s">
        <v>1108</v>
      </c>
      <c r="DD4" t="s">
        <v>1109</v>
      </c>
      <c r="DE4" t="s">
        <v>1110</v>
      </c>
      <c r="DF4" t="s">
        <v>1111</v>
      </c>
      <c r="DG4" t="s">
        <v>1112</v>
      </c>
      <c r="DH4" t="s">
        <v>1113</v>
      </c>
      <c r="DI4" t="s">
        <v>1114</v>
      </c>
      <c r="DJ4" t="s">
        <v>1115</v>
      </c>
      <c r="DK4" t="s">
        <v>1116</v>
      </c>
      <c r="DL4" t="s">
        <v>1117</v>
      </c>
      <c r="DM4" t="s">
        <v>1118</v>
      </c>
      <c r="DN4" t="s">
        <v>1119</v>
      </c>
      <c r="DO4" t="s">
        <v>1120</v>
      </c>
      <c r="DP4" t="s">
        <v>1121</v>
      </c>
      <c r="DQ4" t="s">
        <v>1122</v>
      </c>
      <c r="DR4" t="s">
        <v>1123</v>
      </c>
      <c r="DS4" t="s">
        <v>1124</v>
      </c>
      <c r="DT4" t="s">
        <v>1125</v>
      </c>
      <c r="DU4" t="s">
        <v>1126</v>
      </c>
      <c r="DV4" t="s">
        <v>1127</v>
      </c>
      <c r="DW4" t="s">
        <v>1128</v>
      </c>
      <c r="DX4" t="s">
        <v>1129</v>
      </c>
      <c r="DY4" t="s">
        <v>1130</v>
      </c>
      <c r="DZ4" t="s">
        <v>1131</v>
      </c>
      <c r="EA4" t="s">
        <v>1132</v>
      </c>
      <c r="EB4" t="s">
        <v>1133</v>
      </c>
      <c r="EC4" t="s">
        <v>1134</v>
      </c>
      <c r="ED4" t="s">
        <v>1135</v>
      </c>
      <c r="EE4" t="s">
        <v>1136</v>
      </c>
      <c r="EF4" t="s">
        <v>1137</v>
      </c>
      <c r="EG4" t="s">
        <v>1138</v>
      </c>
      <c r="EH4" t="s">
        <v>1139</v>
      </c>
      <c r="EI4" t="s">
        <v>1140</v>
      </c>
      <c r="EJ4" t="s">
        <v>1141</v>
      </c>
      <c r="EK4" t="s">
        <v>1142</v>
      </c>
      <c r="EL4" t="s">
        <v>1143</v>
      </c>
      <c r="EM4" t="s">
        <v>1144</v>
      </c>
      <c r="EN4" t="s">
        <v>1145</v>
      </c>
      <c r="EO4" t="s">
        <v>1146</v>
      </c>
      <c r="EP4" t="s">
        <v>1147</v>
      </c>
      <c r="EQ4" t="s">
        <v>1148</v>
      </c>
      <c r="ER4" t="s">
        <v>1149</v>
      </c>
      <c r="ES4" t="s">
        <v>1150</v>
      </c>
      <c r="ET4" t="s">
        <v>1151</v>
      </c>
      <c r="EU4" t="s">
        <v>1152</v>
      </c>
      <c r="EV4" t="s">
        <v>1153</v>
      </c>
      <c r="EW4" t="s">
        <v>1154</v>
      </c>
      <c r="EX4" t="s">
        <v>1155</v>
      </c>
      <c r="EY4" t="s">
        <v>1156</v>
      </c>
      <c r="EZ4" t="s">
        <v>1157</v>
      </c>
      <c r="FA4" t="s">
        <v>1158</v>
      </c>
      <c r="FB4" t="s">
        <v>1159</v>
      </c>
      <c r="FC4" t="s">
        <v>1160</v>
      </c>
      <c r="FD4" t="s">
        <v>1161</v>
      </c>
      <c r="FE4" t="s">
        <v>1162</v>
      </c>
      <c r="FF4" t="s">
        <v>1163</v>
      </c>
      <c r="FG4" t="s">
        <v>1164</v>
      </c>
      <c r="FH4" t="s">
        <v>1165</v>
      </c>
      <c r="FI4" t="s">
        <v>1166</v>
      </c>
      <c r="FJ4" t="s">
        <v>1167</v>
      </c>
      <c r="FK4" t="s">
        <v>1168</v>
      </c>
      <c r="FL4" t="s">
        <v>1169</v>
      </c>
      <c r="FM4" t="s">
        <v>1170</v>
      </c>
      <c r="FN4" t="s">
        <v>1171</v>
      </c>
      <c r="FO4" t="s">
        <v>1172</v>
      </c>
      <c r="FP4" t="s">
        <v>1173</v>
      </c>
      <c r="FQ4" t="s">
        <v>1174</v>
      </c>
      <c r="FR4" t="s">
        <v>1175</v>
      </c>
      <c r="FS4" t="s">
        <v>1176</v>
      </c>
      <c r="FT4" t="s">
        <v>1177</v>
      </c>
      <c r="FU4" t="s">
        <v>1178</v>
      </c>
      <c r="FV4" t="s">
        <v>1179</v>
      </c>
      <c r="FW4" t="s">
        <v>1180</v>
      </c>
      <c r="FX4" t="s">
        <v>1181</v>
      </c>
      <c r="FY4" t="s">
        <v>1182</v>
      </c>
      <c r="FZ4" t="s">
        <v>1183</v>
      </c>
      <c r="GA4" t="s">
        <v>1184</v>
      </c>
      <c r="GB4" t="s">
        <v>1185</v>
      </c>
      <c r="GC4" t="s">
        <v>1186</v>
      </c>
      <c r="GD4" t="s">
        <v>1187</v>
      </c>
      <c r="GE4" t="s">
        <v>1188</v>
      </c>
      <c r="GF4" t="s">
        <v>1189</v>
      </c>
      <c r="GG4" t="s">
        <v>1190</v>
      </c>
      <c r="GH4" t="s">
        <v>1191</v>
      </c>
      <c r="GI4" t="s">
        <v>1192</v>
      </c>
      <c r="GJ4" t="s">
        <v>1193</v>
      </c>
      <c r="GK4" t="s">
        <v>1194</v>
      </c>
      <c r="GL4" t="s">
        <v>1195</v>
      </c>
      <c r="GM4" t="s">
        <v>1196</v>
      </c>
      <c r="GN4" t="s">
        <v>1197</v>
      </c>
      <c r="GO4" t="s">
        <v>1198</v>
      </c>
      <c r="GP4" t="s">
        <v>1199</v>
      </c>
      <c r="GQ4" t="s">
        <v>1200</v>
      </c>
      <c r="GR4" t="s">
        <v>1201</v>
      </c>
      <c r="GS4" t="s">
        <v>1202</v>
      </c>
      <c r="GT4" t="s">
        <v>1203</v>
      </c>
      <c r="GU4" t="s">
        <v>1204</v>
      </c>
      <c r="GV4" t="s">
        <v>1205</v>
      </c>
      <c r="GW4" t="s">
        <v>1206</v>
      </c>
      <c r="GX4" t="s">
        <v>1207</v>
      </c>
      <c r="GY4" t="s">
        <v>1208</v>
      </c>
      <c r="GZ4" t="s">
        <v>1209</v>
      </c>
      <c r="HA4" t="s">
        <v>1210</v>
      </c>
      <c r="HB4" t="s">
        <v>1211</v>
      </c>
      <c r="HC4" t="s">
        <v>1212</v>
      </c>
      <c r="HD4" t="s">
        <v>1213</v>
      </c>
      <c r="HE4" t="s">
        <v>1214</v>
      </c>
      <c r="HF4" t="s">
        <v>1215</v>
      </c>
      <c r="HG4" t="s">
        <v>1216</v>
      </c>
      <c r="HH4" t="s">
        <v>1217</v>
      </c>
      <c r="HI4" t="s">
        <v>1218</v>
      </c>
      <c r="HJ4" t="s">
        <v>1219</v>
      </c>
      <c r="HK4" t="s">
        <v>1220</v>
      </c>
      <c r="HL4" t="s">
        <v>1221</v>
      </c>
      <c r="HM4" t="s">
        <v>1222</v>
      </c>
      <c r="HN4" t="s">
        <v>1223</v>
      </c>
      <c r="HO4" t="s">
        <v>1224</v>
      </c>
      <c r="HP4" t="s">
        <v>1225</v>
      </c>
      <c r="HQ4" t="s">
        <v>1226</v>
      </c>
      <c r="HR4" t="s">
        <v>1227</v>
      </c>
      <c r="HS4" t="s">
        <v>1228</v>
      </c>
      <c r="HT4" t="s">
        <v>1229</v>
      </c>
      <c r="HU4" t="s">
        <v>1230</v>
      </c>
      <c r="HV4" t="s">
        <v>1231</v>
      </c>
      <c r="HW4" t="s">
        <v>1232</v>
      </c>
      <c r="HX4" t="s">
        <v>1233</v>
      </c>
      <c r="HY4" t="s">
        <v>1234</v>
      </c>
      <c r="HZ4" t="s">
        <v>1235</v>
      </c>
      <c r="IA4" t="s">
        <v>1236</v>
      </c>
      <c r="IB4" t="s">
        <v>1237</v>
      </c>
      <c r="IC4" t="s">
        <v>1238</v>
      </c>
      <c r="ID4" t="s">
        <v>1239</v>
      </c>
      <c r="IE4" t="s">
        <v>1240</v>
      </c>
      <c r="IF4" t="s">
        <v>1241</v>
      </c>
      <c r="IG4" t="s">
        <v>1242</v>
      </c>
      <c r="IH4" t="s">
        <v>1243</v>
      </c>
      <c r="II4" t="s">
        <v>1244</v>
      </c>
      <c r="IJ4" t="s">
        <v>1245</v>
      </c>
      <c r="IK4" t="s">
        <v>1246</v>
      </c>
      <c r="IL4" t="s">
        <v>1247</v>
      </c>
      <c r="IM4" t="s">
        <v>1248</v>
      </c>
      <c r="IN4" t="s">
        <v>1249</v>
      </c>
      <c r="IO4" t="s">
        <v>1250</v>
      </c>
      <c r="IP4" t="s">
        <v>1251</v>
      </c>
      <c r="IQ4" t="s">
        <v>1252</v>
      </c>
      <c r="IR4" t="s">
        <v>1253</v>
      </c>
      <c r="IS4" t="s">
        <v>1254</v>
      </c>
      <c r="IT4" t="s">
        <v>1255</v>
      </c>
      <c r="IU4" t="s">
        <v>1256</v>
      </c>
      <c r="IV4" t="s">
        <v>1257</v>
      </c>
    </row>
    <row r="5" spans="1:256">
      <c r="A5" t="s">
        <v>1258</v>
      </c>
      <c r="B5" t="s">
        <v>1259</v>
      </c>
      <c r="C5" t="s">
        <v>1260</v>
      </c>
      <c r="D5" t="s">
        <v>1261</v>
      </c>
      <c r="E5" t="s">
        <v>1262</v>
      </c>
      <c r="F5" t="s">
        <v>1263</v>
      </c>
      <c r="G5" t="s">
        <v>1264</v>
      </c>
      <c r="H5" t="s">
        <v>1265</v>
      </c>
      <c r="I5" t="s">
        <v>1266</v>
      </c>
      <c r="J5" t="s">
        <v>1267</v>
      </c>
      <c r="K5" t="s">
        <v>1268</v>
      </c>
      <c r="L5" t="s">
        <v>1269</v>
      </c>
      <c r="M5" t="s">
        <v>1270</v>
      </c>
      <c r="N5" t="s">
        <v>1271</v>
      </c>
      <c r="O5" t="s">
        <v>1272</v>
      </c>
      <c r="P5" t="s">
        <v>1273</v>
      </c>
      <c r="Q5" t="s">
        <v>1274</v>
      </c>
      <c r="R5" t="s">
        <v>1275</v>
      </c>
      <c r="S5" t="s">
        <v>1276</v>
      </c>
      <c r="T5" t="s">
        <v>1277</v>
      </c>
      <c r="U5" t="s">
        <v>1278</v>
      </c>
      <c r="V5" t="s">
        <v>1279</v>
      </c>
      <c r="W5" t="s">
        <v>1280</v>
      </c>
      <c r="X5" t="s">
        <v>1281</v>
      </c>
      <c r="Y5" t="s">
        <v>1282</v>
      </c>
      <c r="Z5" t="s">
        <v>1283</v>
      </c>
      <c r="AA5" t="s">
        <v>1284</v>
      </c>
      <c r="AB5" t="s">
        <v>1285</v>
      </c>
      <c r="AC5" t="s">
        <v>1286</v>
      </c>
      <c r="AD5" t="s">
        <v>1287</v>
      </c>
      <c r="AE5" t="s">
        <v>1288</v>
      </c>
      <c r="AF5" t="s">
        <v>1289</v>
      </c>
      <c r="AG5" t="s">
        <v>1290</v>
      </c>
      <c r="AH5" t="s">
        <v>1291</v>
      </c>
      <c r="AI5" t="s">
        <v>1292</v>
      </c>
      <c r="AJ5" t="s">
        <v>1293</v>
      </c>
      <c r="AK5" t="s">
        <v>1294</v>
      </c>
      <c r="AL5" t="s">
        <v>1295</v>
      </c>
      <c r="AM5" t="s">
        <v>1296</v>
      </c>
      <c r="AN5" t="s">
        <v>1297</v>
      </c>
      <c r="AO5" t="s">
        <v>1298</v>
      </c>
      <c r="AP5" t="s">
        <v>1299</v>
      </c>
      <c r="AQ5" t="s">
        <v>1300</v>
      </c>
      <c r="AR5" t="s">
        <v>1301</v>
      </c>
      <c r="AS5" t="s">
        <v>1302</v>
      </c>
      <c r="AT5" t="s">
        <v>1303</v>
      </c>
      <c r="AU5" t="s">
        <v>1304</v>
      </c>
      <c r="AV5" t="s">
        <v>1305</v>
      </c>
      <c r="AW5" t="s">
        <v>1306</v>
      </c>
      <c r="AX5" t="s">
        <v>1307</v>
      </c>
      <c r="AY5" t="s">
        <v>1308</v>
      </c>
      <c r="AZ5" t="s">
        <v>1309</v>
      </c>
      <c r="BA5" t="s">
        <v>1310</v>
      </c>
      <c r="BB5" t="s">
        <v>1311</v>
      </c>
      <c r="BC5" t="s">
        <v>1312</v>
      </c>
      <c r="BD5" t="s">
        <v>1313</v>
      </c>
      <c r="BE5" t="s">
        <v>1314</v>
      </c>
      <c r="BF5" t="s">
        <v>1315</v>
      </c>
      <c r="BG5" t="s">
        <v>1316</v>
      </c>
      <c r="BH5" t="s">
        <v>1317</v>
      </c>
      <c r="BI5" t="s">
        <v>1318</v>
      </c>
      <c r="BJ5" t="s">
        <v>1319</v>
      </c>
      <c r="BK5" t="s">
        <v>1320</v>
      </c>
      <c r="BL5" t="s">
        <v>1321</v>
      </c>
      <c r="BM5" t="s">
        <v>1322</v>
      </c>
      <c r="BN5" t="s">
        <v>1323</v>
      </c>
      <c r="BO5" t="s">
        <v>1324</v>
      </c>
      <c r="BP5" t="s">
        <v>1325</v>
      </c>
      <c r="BQ5" t="s">
        <v>1326</v>
      </c>
      <c r="BR5" t="s">
        <v>1327</v>
      </c>
      <c r="BS5" t="s">
        <v>1328</v>
      </c>
      <c r="BT5" t="s">
        <v>1329</v>
      </c>
      <c r="BU5" t="s">
        <v>1330</v>
      </c>
      <c r="BV5" t="s">
        <v>1331</v>
      </c>
      <c r="BW5" t="s">
        <v>1332</v>
      </c>
      <c r="BX5" t="s">
        <v>1333</v>
      </c>
      <c r="BY5" t="s">
        <v>1334</v>
      </c>
      <c r="BZ5" t="s">
        <v>1335</v>
      </c>
      <c r="CA5" t="s">
        <v>1336</v>
      </c>
      <c r="CB5" t="s">
        <v>1337</v>
      </c>
      <c r="CC5" t="s">
        <v>1338</v>
      </c>
      <c r="CD5" t="s">
        <v>1339</v>
      </c>
      <c r="CE5" t="s">
        <v>1340</v>
      </c>
      <c r="CF5" t="s">
        <v>1341</v>
      </c>
      <c r="CG5" t="s">
        <v>1342</v>
      </c>
      <c r="CH5" t="s">
        <v>1343</v>
      </c>
      <c r="CI5" t="s">
        <v>1344</v>
      </c>
      <c r="CJ5" t="s">
        <v>1345</v>
      </c>
      <c r="CK5" t="s">
        <v>1346</v>
      </c>
      <c r="CL5" t="s">
        <v>1347</v>
      </c>
      <c r="CM5" t="s">
        <v>1348</v>
      </c>
      <c r="CN5" t="s">
        <v>1349</v>
      </c>
      <c r="CO5" t="s">
        <v>1350</v>
      </c>
      <c r="CP5" t="s">
        <v>1351</v>
      </c>
      <c r="CQ5" t="s">
        <v>1352</v>
      </c>
      <c r="CR5" t="s">
        <v>1353</v>
      </c>
      <c r="CS5" t="s">
        <v>1354</v>
      </c>
      <c r="CT5" t="s">
        <v>1355</v>
      </c>
      <c r="CU5" t="s">
        <v>1356</v>
      </c>
      <c r="CV5" t="s">
        <v>1357</v>
      </c>
      <c r="CW5" t="s">
        <v>1358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tabColor theme="9" tint="-9.9978637043366805E-2"/>
    <pageSetUpPr fitToPage="1"/>
  </sheetPr>
  <dimension ref="A2:AW87"/>
  <sheetViews>
    <sheetView showGridLines="0" topLeftCell="M1" zoomScale="70" zoomScaleNormal="85" zoomScaleSheetLayoutView="85" workbookViewId="0">
      <selection activeCell="AA31" sqref="AA31"/>
    </sheetView>
  </sheetViews>
  <sheetFormatPr defaultColWidth="8.88671875" defaultRowHeight="11.25" outlineLevelRow="1" outlineLevelCol="1"/>
  <cols>
    <col min="1" max="1" width="1.88671875" style="259" customWidth="1"/>
    <col min="2" max="2" width="2.88671875" style="229" customWidth="1"/>
    <col min="3" max="3" width="21.88671875" style="229" customWidth="1"/>
    <col min="4" max="4" width="10.109375" style="229" customWidth="1"/>
    <col min="5" max="5" width="9.109375" style="229" customWidth="1"/>
    <col min="6" max="8" width="9.44140625" style="229" customWidth="1"/>
    <col min="9" max="16" width="8.5546875" style="229" customWidth="1" outlineLevel="1"/>
    <col min="17" max="19" width="8.109375" style="229" customWidth="1" outlineLevel="1"/>
    <col min="20" max="22" width="8.88671875" style="229" customWidth="1" outlineLevel="1"/>
    <col min="23" max="25" width="7.88671875" style="229" customWidth="1"/>
    <col min="26" max="26" width="8.5546875" style="229" customWidth="1"/>
    <col min="27" max="28" width="7.109375" style="229" customWidth="1"/>
    <col min="29" max="31" width="7.88671875" style="229" customWidth="1"/>
    <col min="32" max="37" width="7.109375" style="229" hidden="1" customWidth="1" outlineLevel="1"/>
    <col min="38" max="42" width="7.6640625" style="229" hidden="1" customWidth="1" outlineLevel="1"/>
    <col min="43" max="43" width="8.6640625" style="229" hidden="1" customWidth="1" outlineLevel="1"/>
    <col min="44" max="44" width="9.44140625" style="229" hidden="1" customWidth="1" outlineLevel="1"/>
    <col min="45" max="45" width="7.5546875" style="229" customWidth="1" collapsed="1"/>
    <col min="46" max="46" width="3.88671875" style="229" customWidth="1"/>
    <col min="47" max="47" width="3.109375" style="229" customWidth="1"/>
    <col min="48" max="48" width="14" style="229" bestFit="1" customWidth="1"/>
    <col min="49" max="16384" width="8.88671875" style="229"/>
  </cols>
  <sheetData>
    <row r="2" spans="1:49" s="407" customFormat="1">
      <c r="A2" s="738"/>
      <c r="B2" s="62" t="str">
        <f>Inputs!$B$2</f>
        <v>Valify - UAE Valuation Services</v>
      </c>
      <c r="C2" s="739"/>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393"/>
      <c r="AD2" s="393"/>
      <c r="AE2" s="393"/>
      <c r="AF2" s="740"/>
      <c r="AG2" s="740"/>
      <c r="AH2" s="740"/>
      <c r="AI2" s="740"/>
      <c r="AJ2" s="740"/>
      <c r="AK2" s="740"/>
      <c r="AL2" s="258"/>
      <c r="AM2" s="258"/>
      <c r="AN2" s="258"/>
      <c r="AO2" s="258"/>
      <c r="AP2" s="258"/>
      <c r="AQ2" s="258"/>
      <c r="AR2" s="258"/>
      <c r="AS2" s="258"/>
      <c r="AT2" s="741"/>
      <c r="AV2" s="229"/>
      <c r="AW2" s="229"/>
    </row>
    <row r="3" spans="1:49" s="407" customFormat="1" ht="13.35" customHeight="1">
      <c r="A3" s="738"/>
      <c r="B3" s="64" t="str">
        <f>Inputs!$B$3</f>
        <v>Lazure Worldwide FZCO - Self Valuation using DCF Method, Transaction Multiples Method, &amp; Market Multiples Method as at September 30, 2024</v>
      </c>
      <c r="C3" s="742"/>
      <c r="D3" s="506"/>
      <c r="E3" s="506"/>
      <c r="F3" s="506"/>
      <c r="G3" s="506"/>
      <c r="H3" s="506"/>
      <c r="I3" s="506"/>
      <c r="J3" s="506"/>
      <c r="K3" s="506"/>
      <c r="L3" s="506"/>
      <c r="M3" s="506"/>
      <c r="N3" s="506"/>
      <c r="O3" s="506"/>
      <c r="P3" s="506"/>
      <c r="Q3" s="506"/>
      <c r="R3" s="506"/>
      <c r="S3" s="506"/>
      <c r="T3" s="506"/>
      <c r="U3" s="506"/>
      <c r="V3" s="506"/>
      <c r="W3" s="743"/>
      <c r="X3" s="744"/>
      <c r="Y3" s="744"/>
      <c r="Z3" s="506"/>
      <c r="AA3" s="506"/>
      <c r="AB3" s="506"/>
      <c r="AC3" s="506"/>
      <c r="AD3" s="506"/>
      <c r="AE3" s="506"/>
      <c r="AF3" s="503"/>
      <c r="AG3" s="503"/>
      <c r="AH3" s="503"/>
      <c r="AI3" s="503"/>
      <c r="AJ3" s="503"/>
      <c r="AK3" s="503"/>
      <c r="AL3" s="258"/>
      <c r="AM3" s="258"/>
      <c r="AN3" s="258"/>
      <c r="AO3" s="258"/>
      <c r="AP3" s="258"/>
      <c r="AQ3" s="258"/>
      <c r="AR3" s="258"/>
      <c r="AS3" s="258"/>
      <c r="AT3" s="745"/>
      <c r="AV3" s="229"/>
      <c r="AW3" s="229"/>
    </row>
    <row r="4" spans="1:49" s="747" customFormat="1">
      <c r="A4" s="746"/>
      <c r="B4" s="65" t="s">
        <v>1406</v>
      </c>
      <c r="C4" s="742"/>
      <c r="D4" s="506"/>
      <c r="E4" s="506"/>
      <c r="F4" s="506"/>
      <c r="G4" s="506"/>
      <c r="H4" s="506"/>
      <c r="I4" s="506"/>
      <c r="J4" s="506"/>
      <c r="K4" s="506"/>
      <c r="L4" s="506"/>
      <c r="M4" s="506"/>
      <c r="N4" s="506"/>
      <c r="O4" s="506"/>
      <c r="P4" s="506"/>
      <c r="Q4" s="506"/>
      <c r="R4" s="506"/>
      <c r="S4" s="506"/>
      <c r="T4" s="506"/>
      <c r="U4" s="506"/>
      <c r="V4" s="506"/>
      <c r="W4" s="506"/>
      <c r="X4" s="506"/>
      <c r="Y4" s="506"/>
      <c r="Z4" s="506"/>
      <c r="AA4" s="506"/>
      <c r="AB4" s="506"/>
      <c r="AC4" s="506"/>
      <c r="AD4" s="506"/>
      <c r="AE4" s="506"/>
      <c r="AF4" s="506"/>
      <c r="AG4" s="506"/>
      <c r="AH4" s="506"/>
      <c r="AI4" s="506"/>
      <c r="AJ4" s="506"/>
      <c r="AK4" s="506"/>
      <c r="AL4" s="506"/>
      <c r="AM4" s="506"/>
      <c r="AN4" s="506"/>
      <c r="AO4" s="506"/>
      <c r="AP4" s="506"/>
      <c r="AQ4" s="506"/>
      <c r="AR4" s="506"/>
      <c r="AS4" s="506"/>
      <c r="AT4" s="745" t="str">
        <f>valuation.date.header</f>
        <v>Valuation Date:  September 30, 2024</v>
      </c>
      <c r="AV4" s="229"/>
      <c r="AW4" s="229"/>
    </row>
    <row r="5" spans="1:49" s="71" customFormat="1" ht="5.0999999999999996" customHeight="1" thickBot="1">
      <c r="A5" s="748"/>
      <c r="B5" s="749"/>
      <c r="C5" s="750"/>
      <c r="D5" s="750"/>
      <c r="E5" s="751"/>
      <c r="F5" s="750"/>
      <c r="G5" s="750"/>
      <c r="H5" s="750"/>
      <c r="I5" s="750"/>
      <c r="J5" s="750"/>
      <c r="K5" s="750"/>
      <c r="L5" s="750"/>
      <c r="M5" s="750"/>
      <c r="N5" s="750"/>
      <c r="O5" s="750"/>
      <c r="P5" s="750"/>
      <c r="Q5" s="750"/>
      <c r="R5" s="750"/>
      <c r="S5" s="750"/>
      <c r="T5" s="750"/>
      <c r="U5" s="750"/>
      <c r="V5" s="750"/>
      <c r="W5" s="750"/>
      <c r="X5" s="750"/>
      <c r="Y5" s="750"/>
      <c r="Z5" s="750"/>
      <c r="AA5" s="750"/>
      <c r="AB5" s="750"/>
      <c r="AC5" s="750"/>
      <c r="AD5" s="750"/>
      <c r="AE5" s="750"/>
      <c r="AF5" s="749"/>
      <c r="AG5" s="749"/>
      <c r="AH5" s="749"/>
      <c r="AI5" s="749"/>
      <c r="AJ5" s="749"/>
      <c r="AK5" s="749"/>
      <c r="AL5" s="749"/>
      <c r="AM5" s="749"/>
      <c r="AN5" s="749"/>
      <c r="AO5" s="749"/>
      <c r="AP5" s="749"/>
      <c r="AQ5" s="749"/>
      <c r="AR5" s="749"/>
      <c r="AS5" s="750"/>
      <c r="AT5" s="750"/>
      <c r="AU5" s="750"/>
    </row>
    <row r="6" spans="1:49" s="392" customFormat="1" ht="12" thickTop="1">
      <c r="A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row>
    <row r="7" spans="1:49" s="485" customFormat="1">
      <c r="A7" s="753"/>
      <c r="C7" s="1835" t="str">
        <f>"As of "&amp;TEXT(valuation.date,"mmm d, 'yy")</f>
        <v>As of Sep 30, '24</v>
      </c>
      <c r="D7" s="1835"/>
      <c r="E7" s="1835"/>
      <c r="F7" s="1835"/>
      <c r="G7" s="1835"/>
      <c r="H7" s="1835"/>
      <c r="I7" s="1835" t="s">
        <v>2284</v>
      </c>
      <c r="J7" s="754" t="s">
        <v>2285</v>
      </c>
      <c r="K7" s="1835" t="s">
        <v>1915</v>
      </c>
      <c r="L7" s="1835"/>
      <c r="M7" s="1835"/>
      <c r="N7" s="1835" t="s">
        <v>1813</v>
      </c>
      <c r="O7" s="1835"/>
      <c r="P7" s="1835"/>
      <c r="Q7" s="1835" t="s">
        <v>1407</v>
      </c>
      <c r="R7" s="1835"/>
      <c r="S7" s="1835"/>
      <c r="T7" s="1835" t="s">
        <v>1408</v>
      </c>
      <c r="U7" s="1835"/>
      <c r="V7" s="1835"/>
      <c r="W7" s="1835" t="s">
        <v>1409</v>
      </c>
      <c r="X7" s="1835"/>
      <c r="Y7" s="1835"/>
      <c r="Z7" s="1835" t="s">
        <v>1410</v>
      </c>
      <c r="AA7" s="1835"/>
      <c r="AB7" s="1835"/>
      <c r="AC7" s="1835" t="s">
        <v>1411</v>
      </c>
      <c r="AD7" s="1835"/>
      <c r="AE7" s="1835"/>
      <c r="AF7" s="1834" t="s">
        <v>1412</v>
      </c>
      <c r="AG7" s="1834"/>
      <c r="AH7" s="1834"/>
      <c r="AI7" s="1834"/>
      <c r="AJ7" s="1834"/>
      <c r="AK7" s="1834"/>
      <c r="AL7" s="1834" t="s">
        <v>1413</v>
      </c>
      <c r="AM7" s="1834"/>
      <c r="AN7" s="1834"/>
      <c r="AO7" s="1834"/>
      <c r="AP7" s="1834"/>
      <c r="AQ7" s="1834"/>
      <c r="AR7" s="755" t="s">
        <v>1414</v>
      </c>
    </row>
    <row r="8" spans="1:49" ht="40.35" customHeight="1" thickBot="1">
      <c r="C8" s="756" t="s">
        <v>94</v>
      </c>
      <c r="D8" s="757" t="s">
        <v>96</v>
      </c>
      <c r="E8" s="758" t="s">
        <v>1415</v>
      </c>
      <c r="F8" s="758" t="s">
        <v>2280</v>
      </c>
      <c r="G8" s="758" t="s">
        <v>2281</v>
      </c>
      <c r="H8" s="759" t="s">
        <v>1416</v>
      </c>
      <c r="I8" s="758" t="s">
        <v>131</v>
      </c>
      <c r="J8" s="758" t="s">
        <v>131</v>
      </c>
      <c r="K8" s="756" t="s">
        <v>1417</v>
      </c>
      <c r="L8" s="756" t="s">
        <v>131</v>
      </c>
      <c r="M8" s="758" t="s">
        <v>129</v>
      </c>
      <c r="N8" s="758" t="s">
        <v>1417</v>
      </c>
      <c r="O8" s="758" t="s">
        <v>131</v>
      </c>
      <c r="P8" s="758" t="s">
        <v>129</v>
      </c>
      <c r="Q8" s="758" t="s">
        <v>1417</v>
      </c>
      <c r="R8" s="758" t="s">
        <v>131</v>
      </c>
      <c r="S8" s="758" t="s">
        <v>129</v>
      </c>
      <c r="T8" s="758" t="s">
        <v>1417</v>
      </c>
      <c r="U8" s="758" t="s">
        <v>131</v>
      </c>
      <c r="V8" s="758" t="s">
        <v>129</v>
      </c>
      <c r="W8" s="758" t="s">
        <v>1417</v>
      </c>
      <c r="X8" s="758" t="s">
        <v>131</v>
      </c>
      <c r="Y8" s="758" t="s">
        <v>129</v>
      </c>
      <c r="Z8" s="758" t="s">
        <v>1417</v>
      </c>
      <c r="AA8" s="758" t="s">
        <v>131</v>
      </c>
      <c r="AB8" s="758" t="s">
        <v>129</v>
      </c>
      <c r="AC8" s="758" t="s">
        <v>1417</v>
      </c>
      <c r="AD8" s="758" t="s">
        <v>131</v>
      </c>
      <c r="AE8" s="758" t="s">
        <v>129</v>
      </c>
      <c r="AF8" s="760" t="s">
        <v>1417</v>
      </c>
      <c r="AG8" s="760" t="s">
        <v>131</v>
      </c>
      <c r="AH8" s="761" t="s">
        <v>129</v>
      </c>
      <c r="AI8" s="760" t="s">
        <v>149</v>
      </c>
      <c r="AJ8" s="760" t="s">
        <v>151</v>
      </c>
      <c r="AK8" s="760" t="s">
        <v>1418</v>
      </c>
      <c r="AL8" s="760" t="s">
        <v>1417</v>
      </c>
      <c r="AM8" s="760" t="s">
        <v>131</v>
      </c>
      <c r="AN8" s="761" t="s">
        <v>129</v>
      </c>
      <c r="AO8" s="760" t="s">
        <v>149</v>
      </c>
      <c r="AP8" s="760" t="s">
        <v>151</v>
      </c>
      <c r="AQ8" s="761" t="s">
        <v>1418</v>
      </c>
      <c r="AR8" s="761" t="s">
        <v>131</v>
      </c>
      <c r="AV8" s="516" t="s">
        <v>1395</v>
      </c>
    </row>
    <row r="9" spans="1:49" ht="12" thickBot="1">
      <c r="B9" s="436">
        <v>1</v>
      </c>
      <c r="C9" s="454" t="str">
        <f>'GPC Data'!E294</f>
        <v>Comp 1</v>
      </c>
      <c r="D9" s="762">
        <f>'GPC Data'!H22</f>
        <v>0</v>
      </c>
      <c r="E9" s="763">
        <f>'GPC Data'!P22</f>
        <v>0</v>
      </c>
      <c r="F9" s="764">
        <f>'GPC Data'!I22</f>
        <v>0</v>
      </c>
      <c r="G9" s="764"/>
      <c r="H9" s="764">
        <f>'GPC Data'!F294</f>
        <v>0</v>
      </c>
      <c r="I9" s="765">
        <f>'GPC Data'!I124</f>
        <v>0</v>
      </c>
      <c r="J9" s="765">
        <f>'GPC Data'!Q124</f>
        <v>0</v>
      </c>
      <c r="K9" s="766">
        <f>'GPC Data'!L158</f>
        <v>0</v>
      </c>
      <c r="L9" s="765">
        <f>'GPC Data'!M158</f>
        <v>0</v>
      </c>
      <c r="M9" s="765">
        <f>'GPC Data'!N158</f>
        <v>0</v>
      </c>
      <c r="N9" s="767">
        <f>'GPC Data'!F192</f>
        <v>0</v>
      </c>
      <c r="O9" s="768">
        <f>'GPC Data'!G192</f>
        <v>0</v>
      </c>
      <c r="P9" s="768">
        <f>'GPC Data'!H192</f>
        <v>0</v>
      </c>
      <c r="Q9" s="767">
        <f>'GPC Data'!O192</f>
        <v>0</v>
      </c>
      <c r="R9" s="768">
        <f>'GPC Data'!P192</f>
        <v>0</v>
      </c>
      <c r="S9" s="768">
        <f>'GPC Data'!Q192</f>
        <v>0</v>
      </c>
      <c r="T9" s="767">
        <f>'GPC Data'!X192</f>
        <v>0</v>
      </c>
      <c r="U9" s="768">
        <f>'GPC Data'!Y192</f>
        <v>0</v>
      </c>
      <c r="V9" s="768">
        <f>'GPC Data'!Z192</f>
        <v>0</v>
      </c>
      <c r="W9" s="769">
        <f>'GPC Data'!F260</f>
        <v>0</v>
      </c>
      <c r="X9" s="770">
        <f>'GPC Data'!G260</f>
        <v>3</v>
      </c>
      <c r="Y9" s="770">
        <f>'GPC Data'!H260</f>
        <v>0</v>
      </c>
      <c r="Z9" s="769">
        <f>'GPC Data'!L260</f>
        <v>0</v>
      </c>
      <c r="AA9" s="770">
        <f>'GPC Data'!M260</f>
        <v>6</v>
      </c>
      <c r="AB9" s="770">
        <f>'GPC Data'!N260</f>
        <v>0</v>
      </c>
      <c r="AC9" s="769">
        <f>'GPC Data'!R260</f>
        <v>0</v>
      </c>
      <c r="AD9" s="770">
        <f>'GPC Data'!S260</f>
        <v>0</v>
      </c>
      <c r="AE9" s="770">
        <f>'GPC Data'!T260</f>
        <v>0</v>
      </c>
      <c r="AF9" s="769" t="str">
        <f>IF(C9="","",IFERROR(IF(#REF!=0,$F9/#REF!,$F9/I9),"NA"))</f>
        <v>NA</v>
      </c>
      <c r="AG9" s="770" t="str">
        <f>IF(C9="","",IFERROR(IF(#REF!=0,$F9/I9,$F9/#REF!),"NA"))</f>
        <v>NA</v>
      </c>
      <c r="AH9" s="770" t="e">
        <f>IF(C9="","",$F9/#REF!)</f>
        <v>#REF!</v>
      </c>
      <c r="AI9" s="770" t="str">
        <f>IF(C9="","",IFERROR(IF(#REF!=0,$F9/#REF!,$F9/#REF!),"NA"))</f>
        <v>NA</v>
      </c>
      <c r="AJ9" s="770" t="str">
        <f>IF(C9="","",IFERROR(IF(#REF!=0,$F9/#REF!,$F9/#REF!),"NA"))</f>
        <v>NA</v>
      </c>
      <c r="AK9" s="770" t="str">
        <f>IF(C9="","",IFERROR(IF(#REF!=0,$F9/#REF!,"NA"),"NA"))</f>
        <v>NA</v>
      </c>
      <c r="AL9" s="769" t="str">
        <f>IF(C9="","",IFERROR(IF(#REF!=0,$F9/K9,$F9/L9),"NA"))</f>
        <v>NA</v>
      </c>
      <c r="AM9" s="770" t="str">
        <f>IF(C9="","",IFERROR(IF(#REF!=0,$F9/L9,$F9/#REF!),"NA"))</f>
        <v>NA</v>
      </c>
      <c r="AN9" s="770" t="e">
        <f t="shared" ref="AN9:AN18" si="0">IF(C9="","",F9/M9)</f>
        <v>#DIV/0!</v>
      </c>
      <c r="AO9" s="770" t="str">
        <f>IF(C9="","",IFERROR(IF(#REF!=0,$F9/#REF!,$F9/#REF!),"NA"))</f>
        <v>NA</v>
      </c>
      <c r="AP9" s="770" t="str">
        <f>IF(C9="","",IFERROR(IF(#REF!=0,$F9/#REF!,$F9/#REF!),"NA"))</f>
        <v>NA</v>
      </c>
      <c r="AQ9" s="770" t="str">
        <f>IF(C9="","",IFERROR(IF(#REF!=0,$F9/#REF!,"NA"),"NA"))</f>
        <v>NA</v>
      </c>
      <c r="AR9" s="769" t="str">
        <f>IFERROR(IF(AV3="Local Currency",($F9/INDEX(#REF!,B9)),($F9/INDEX(#REF!,B9))),"")</f>
        <v/>
      </c>
      <c r="AV9" s="443" t="s">
        <v>1359</v>
      </c>
    </row>
    <row r="10" spans="1:49" ht="12" thickBot="1">
      <c r="B10" s="436">
        <f>B9+1</f>
        <v>2</v>
      </c>
      <c r="C10" s="771" t="str">
        <f>'GPC Data'!E295</f>
        <v>Comp 2</v>
      </c>
      <c r="D10" s="251">
        <f>'GPC Data'!H23</f>
        <v>0</v>
      </c>
      <c r="E10" s="772">
        <f t="shared" ref="E10:E18" si="1">$E$9</f>
        <v>0</v>
      </c>
      <c r="F10" s="773">
        <f>'GPC Data'!I23</f>
        <v>0</v>
      </c>
      <c r="G10" s="773"/>
      <c r="H10" s="773">
        <f>'GPC Data'!F295</f>
        <v>0</v>
      </c>
      <c r="I10" s="774">
        <f>'GPC Data'!I125</f>
        <v>0</v>
      </c>
      <c r="J10" s="774">
        <f>'GPC Data'!Q125</f>
        <v>0</v>
      </c>
      <c r="K10" s="776">
        <f t="shared" ref="K10:K18" si="2">K9</f>
        <v>0</v>
      </c>
      <c r="L10" s="774">
        <f t="shared" ref="L10:L18" si="3">L9</f>
        <v>0</v>
      </c>
      <c r="M10" s="774">
        <f t="shared" ref="M10:M18" si="4">M9</f>
        <v>0</v>
      </c>
      <c r="N10" s="777">
        <f>'GPC Data'!F193</f>
        <v>0</v>
      </c>
      <c r="O10" s="778">
        <f>'GPC Data'!G193</f>
        <v>0</v>
      </c>
      <c r="P10" s="778">
        <f>'GPC Data'!H193</f>
        <v>0</v>
      </c>
      <c r="Q10" s="777">
        <f>'GPC Data'!O193</f>
        <v>0</v>
      </c>
      <c r="R10" s="778">
        <f>'GPC Data'!P193</f>
        <v>0</v>
      </c>
      <c r="S10" s="778">
        <f>'GPC Data'!Q193</f>
        <v>0</v>
      </c>
      <c r="T10" s="777">
        <f>'GPC Data'!X193</f>
        <v>0</v>
      </c>
      <c r="U10" s="778">
        <f>'GPC Data'!Y193</f>
        <v>0</v>
      </c>
      <c r="V10" s="778">
        <f>'GPC Data'!Z193</f>
        <v>0</v>
      </c>
      <c r="W10" s="779">
        <f>'GPC Data'!F261</f>
        <v>0</v>
      </c>
      <c r="X10" s="780">
        <f>'GPC Data'!G261</f>
        <v>4</v>
      </c>
      <c r="Y10" s="780">
        <f>'GPC Data'!H261</f>
        <v>0</v>
      </c>
      <c r="Z10" s="779">
        <f>'GPC Data'!L261</f>
        <v>0</v>
      </c>
      <c r="AA10" s="780">
        <f>'GPC Data'!M261</f>
        <v>5</v>
      </c>
      <c r="AB10" s="780">
        <f>'GPC Data'!N261</f>
        <v>0</v>
      </c>
      <c r="AC10" s="779">
        <f>'GPC Data'!R261</f>
        <v>0</v>
      </c>
      <c r="AD10" s="780">
        <f>'GPC Data'!S261</f>
        <v>0</v>
      </c>
      <c r="AE10" s="780">
        <f>'GPC Data'!T261</f>
        <v>0</v>
      </c>
      <c r="AF10" s="779" t="str">
        <f>IF(C10="","",IFERROR(IF(#REF!=0,$F10/#REF!,$F10/I10),"NA"))</f>
        <v>NA</v>
      </c>
      <c r="AG10" s="780" t="str">
        <f>IF(C10="","",IFERROR(IF(#REF!=0,$F10/I10,$F10/#REF!),"NA"))</f>
        <v>NA</v>
      </c>
      <c r="AH10" s="780" t="e">
        <f>IF(C10="","",$F10/#REF!)</f>
        <v>#REF!</v>
      </c>
      <c r="AI10" s="780" t="str">
        <f>IF(C10="","",IFERROR(IF(#REF!=0,$F10/#REF!,$F10/#REF!),"NA"))</f>
        <v>NA</v>
      </c>
      <c r="AJ10" s="780" t="str">
        <f>IF(C10="","",IFERROR(IF(#REF!=0,$F10/#REF!,$F10/#REF!),"NA"))</f>
        <v>NA</v>
      </c>
      <c r="AK10" s="780" t="str">
        <f>IF(C10="","",IFERROR(IF(#REF!=0,$F10/#REF!,"NA"),"NA"))</f>
        <v>NA</v>
      </c>
      <c r="AL10" s="779" t="str">
        <f>IF(C10="","",IFERROR(IF(#REF!=0,$F10/K10,$F10/L10),"NA"))</f>
        <v>NA</v>
      </c>
      <c r="AM10" s="780" t="str">
        <f>IF(C10="","",IFERROR(IF(#REF!=0,$F10/L10,$F10/#REF!),"NA"))</f>
        <v>NA</v>
      </c>
      <c r="AN10" s="780" t="e">
        <f t="shared" si="0"/>
        <v>#DIV/0!</v>
      </c>
      <c r="AO10" s="780" t="str">
        <f>IF(C10="","",IFERROR(IF(#REF!=0,$F10/#REF!,$F10/#REF!),"NA"))</f>
        <v>NA</v>
      </c>
      <c r="AP10" s="780" t="str">
        <f>IF(C10="","",IFERROR(IF(#REF!=0,$F10/#REF!,$F10/#REF!),"NA"))</f>
        <v>NA</v>
      </c>
      <c r="AQ10" s="780" t="str">
        <f>IF(C10="","",IFERROR(IF(#REF!=0,$F10/#REF!,"NA"),"NA"))</f>
        <v>NA</v>
      </c>
      <c r="AR10" s="779" t="str">
        <f>IFERROR(IF(AV4="Local Currency",($F10/INDEX(#REF!,B10)),($F10/INDEX(#REF!,B10))),"")</f>
        <v/>
      </c>
      <c r="AV10" s="443" t="s">
        <v>1359</v>
      </c>
    </row>
    <row r="11" spans="1:49" ht="12" thickBot="1">
      <c r="B11" s="436">
        <f t="shared" ref="B11:B18" si="5">B10+1</f>
        <v>3</v>
      </c>
      <c r="C11" s="771" t="str">
        <f>'GPC Data'!E296</f>
        <v>Comp 3</v>
      </c>
      <c r="D11" s="251">
        <f>'GPC Data'!H24</f>
        <v>0</v>
      </c>
      <c r="E11" s="772">
        <f t="shared" si="1"/>
        <v>0</v>
      </c>
      <c r="F11" s="773">
        <f>'GPC Data'!I24</f>
        <v>0</v>
      </c>
      <c r="G11" s="773"/>
      <c r="H11" s="773">
        <f>'GPC Data'!F296</f>
        <v>0</v>
      </c>
      <c r="I11" s="774">
        <f>'GPC Data'!I126</f>
        <v>0</v>
      </c>
      <c r="J11" s="774">
        <f>'GPC Data'!Q126</f>
        <v>0</v>
      </c>
      <c r="K11" s="776">
        <f t="shared" si="2"/>
        <v>0</v>
      </c>
      <c r="L11" s="774">
        <f t="shared" si="3"/>
        <v>0</v>
      </c>
      <c r="M11" s="774">
        <f t="shared" si="4"/>
        <v>0</v>
      </c>
      <c r="N11" s="777">
        <f>'GPC Data'!F194</f>
        <v>0</v>
      </c>
      <c r="O11" s="778">
        <f>'GPC Data'!G194</f>
        <v>0</v>
      </c>
      <c r="P11" s="778">
        <f>'GPC Data'!H194</f>
        <v>0</v>
      </c>
      <c r="Q11" s="777">
        <f>'GPC Data'!O194</f>
        <v>0</v>
      </c>
      <c r="R11" s="778">
        <f>'GPC Data'!P194</f>
        <v>0</v>
      </c>
      <c r="S11" s="778">
        <f>'GPC Data'!Q194</f>
        <v>0</v>
      </c>
      <c r="T11" s="777">
        <f>'GPC Data'!X194</f>
        <v>0</v>
      </c>
      <c r="U11" s="778">
        <f>'GPC Data'!Y194</f>
        <v>0</v>
      </c>
      <c r="V11" s="778">
        <f>'GPC Data'!Z194</f>
        <v>0</v>
      </c>
      <c r="W11" s="779">
        <f>'GPC Data'!F262</f>
        <v>0</v>
      </c>
      <c r="X11" s="780">
        <f>'GPC Data'!G262</f>
        <v>5</v>
      </c>
      <c r="Y11" s="780">
        <f>'GPC Data'!H262</f>
        <v>0</v>
      </c>
      <c r="Z11" s="779">
        <f>'GPC Data'!L262</f>
        <v>0</v>
      </c>
      <c r="AA11" s="780">
        <f>'GPC Data'!M262</f>
        <v>6</v>
      </c>
      <c r="AB11" s="780">
        <f>'GPC Data'!N262</f>
        <v>0</v>
      </c>
      <c r="AC11" s="779">
        <f>'GPC Data'!R262</f>
        <v>0</v>
      </c>
      <c r="AD11" s="780">
        <f>'GPC Data'!S262</f>
        <v>0</v>
      </c>
      <c r="AE11" s="780">
        <f>'GPC Data'!T262</f>
        <v>0</v>
      </c>
      <c r="AF11" s="779" t="str">
        <f>IF(C11="","",IFERROR(IF(#REF!=0,$F11/#REF!,$F11/I11),"NA"))</f>
        <v>NA</v>
      </c>
      <c r="AG11" s="780" t="str">
        <f>IF(C11="","",IFERROR(IF(#REF!=0,$F11/I11,$F11/#REF!),"NA"))</f>
        <v>NA</v>
      </c>
      <c r="AH11" s="780" t="e">
        <f>IF(C11="","",$F11/#REF!)</f>
        <v>#REF!</v>
      </c>
      <c r="AI11" s="780" t="str">
        <f>IF(C11="","",IFERROR(IF(#REF!=0,$F11/#REF!,$F11/#REF!),"NA"))</f>
        <v>NA</v>
      </c>
      <c r="AJ11" s="780" t="str">
        <f>IF(C11="","",IFERROR(IF(#REF!=0,$F11/#REF!,$F11/#REF!),"NA"))</f>
        <v>NA</v>
      </c>
      <c r="AK11" s="780" t="str">
        <f>IF(C11="","",IFERROR(IF(#REF!=0,$F11/#REF!,"NA"),"NA"))</f>
        <v>NA</v>
      </c>
      <c r="AL11" s="779" t="str">
        <f>IF(C11="","",IFERROR(IF(#REF!=0,$F11/K11,$F11/L11),"NA"))</f>
        <v>NA</v>
      </c>
      <c r="AM11" s="780" t="str">
        <f>IF(C11="","",IFERROR(IF(#REF!=0,$F11/L11,$F11/#REF!),"NA"))</f>
        <v>NA</v>
      </c>
      <c r="AN11" s="780" t="e">
        <f t="shared" si="0"/>
        <v>#DIV/0!</v>
      </c>
      <c r="AO11" s="780" t="str">
        <f>IF(C11="","",IFERROR(IF(#REF!=0,$F11/#REF!,$F11/#REF!),"NA"))</f>
        <v>NA</v>
      </c>
      <c r="AP11" s="780" t="str">
        <f>IF(C11="","",IFERROR(IF(#REF!=0,$F11/#REF!,$F11/#REF!),"NA"))</f>
        <v>NA</v>
      </c>
      <c r="AQ11" s="780" t="str">
        <f>IF(C11="","",IFERROR(IF(#REF!=0,$F11/#REF!,"NA"),"NA"))</f>
        <v>NA</v>
      </c>
      <c r="AR11" s="779" t="str">
        <f>IFERROR(IF(#REF!="Local Currency",($F11/INDEX(#REF!,B11)),($F11/INDEX(#REF!,B11))),"")</f>
        <v/>
      </c>
      <c r="AV11" s="443" t="s">
        <v>1359</v>
      </c>
    </row>
    <row r="12" spans="1:49" ht="12" thickBot="1">
      <c r="B12" s="436">
        <f t="shared" si="5"/>
        <v>4</v>
      </c>
      <c r="C12" s="771" t="str">
        <f>'GPC Data'!E297</f>
        <v>Comp 4</v>
      </c>
      <c r="D12" s="251">
        <f>'GPC Data'!H25</f>
        <v>0</v>
      </c>
      <c r="E12" s="772">
        <f t="shared" si="1"/>
        <v>0</v>
      </c>
      <c r="F12" s="773">
        <f>'GPC Data'!I25</f>
        <v>0</v>
      </c>
      <c r="G12" s="773"/>
      <c r="H12" s="775">
        <f>'GPC Data'!F297</f>
        <v>0</v>
      </c>
      <c r="I12" s="774">
        <f>'GPC Data'!I127</f>
        <v>0</v>
      </c>
      <c r="J12" s="774">
        <f>'GPC Data'!Q127</f>
        <v>0</v>
      </c>
      <c r="K12" s="776">
        <f t="shared" si="2"/>
        <v>0</v>
      </c>
      <c r="L12" s="774">
        <f t="shared" si="3"/>
        <v>0</v>
      </c>
      <c r="M12" s="774">
        <f t="shared" si="4"/>
        <v>0</v>
      </c>
      <c r="N12" s="777">
        <f>'GPC Data'!F195</f>
        <v>0</v>
      </c>
      <c r="O12" s="778">
        <f>'GPC Data'!G195</f>
        <v>0</v>
      </c>
      <c r="P12" s="778">
        <f>'GPC Data'!H195</f>
        <v>0</v>
      </c>
      <c r="Q12" s="777">
        <f>'GPC Data'!O195</f>
        <v>0</v>
      </c>
      <c r="R12" s="778">
        <f>'GPC Data'!P195</f>
        <v>0</v>
      </c>
      <c r="S12" s="778">
        <f>'GPC Data'!Q195</f>
        <v>0</v>
      </c>
      <c r="T12" s="777">
        <f>'GPC Data'!X195</f>
        <v>0</v>
      </c>
      <c r="U12" s="778">
        <f>'GPC Data'!Y195</f>
        <v>0</v>
      </c>
      <c r="V12" s="778">
        <f>'GPC Data'!Z195</f>
        <v>0</v>
      </c>
      <c r="W12" s="779">
        <f>'GPC Data'!F263</f>
        <v>0</v>
      </c>
      <c r="X12" s="780">
        <f>'GPC Data'!G263</f>
        <v>6</v>
      </c>
      <c r="Y12" s="780">
        <f>'GPC Data'!H263</f>
        <v>0</v>
      </c>
      <c r="Z12" s="779">
        <f>'GPC Data'!L263</f>
        <v>0</v>
      </c>
      <c r="AA12" s="780">
        <f>'GPC Data'!M263</f>
        <v>7</v>
      </c>
      <c r="AB12" s="780">
        <f>'GPC Data'!N263</f>
        <v>0</v>
      </c>
      <c r="AC12" s="779">
        <f>'GPC Data'!R263</f>
        <v>0</v>
      </c>
      <c r="AD12" s="780">
        <f>'GPC Data'!S263</f>
        <v>0</v>
      </c>
      <c r="AE12" s="780">
        <f>'GPC Data'!T263</f>
        <v>0</v>
      </c>
      <c r="AF12" s="779" t="str">
        <f>IF(C12="","",IFERROR(IF(#REF!=0,$F12/#REF!,$F12/I12),"NA"))</f>
        <v>NA</v>
      </c>
      <c r="AG12" s="780" t="str">
        <f>IF(C12="","",IFERROR(IF(#REF!=0,$F12/I12,$F12/#REF!),"NA"))</f>
        <v>NA</v>
      </c>
      <c r="AH12" s="780" t="e">
        <f>IF(C12="","",$F12/#REF!)</f>
        <v>#REF!</v>
      </c>
      <c r="AI12" s="780" t="str">
        <f>IF(C12="","",IFERROR(IF(#REF!=0,$F12/#REF!,$F12/#REF!),"NA"))</f>
        <v>NA</v>
      </c>
      <c r="AJ12" s="780" t="str">
        <f>IF(C12="","",IFERROR(IF(#REF!=0,$F12/#REF!,$F12/#REF!),"NA"))</f>
        <v>NA</v>
      </c>
      <c r="AK12" s="780" t="str">
        <f>IF(C12="","",IFERROR(IF(#REF!=0,$F12/#REF!,"NA"),"NA"))</f>
        <v>NA</v>
      </c>
      <c r="AL12" s="779" t="str">
        <f>IF(C12="","",IFERROR(IF(#REF!=0,$F12/K12,$F12/L12),"NA"))</f>
        <v>NA</v>
      </c>
      <c r="AM12" s="780" t="str">
        <f>IF(C12="","",IFERROR(IF(#REF!=0,$F12/L12,$F12/#REF!),"NA"))</f>
        <v>NA</v>
      </c>
      <c r="AN12" s="780" t="e">
        <f t="shared" si="0"/>
        <v>#DIV/0!</v>
      </c>
      <c r="AO12" s="780" t="str">
        <f>IF(C12="","",IFERROR(IF(#REF!=0,$F12/#REF!,$F12/#REF!),"NA"))</f>
        <v>NA</v>
      </c>
      <c r="AP12" s="780" t="str">
        <f>IF(C12="","",IFERROR(IF(#REF!=0,$F12/#REF!,$F12/#REF!),"NA"))</f>
        <v>NA</v>
      </c>
      <c r="AQ12" s="780" t="str">
        <f>IF(C12="","",IFERROR(IF(#REF!=0,$F12/#REF!,"NA"),"NA"))</f>
        <v>NA</v>
      </c>
      <c r="AR12" s="779" t="str">
        <f>IFERROR(IF(AV5="Local Currency",($F12/INDEX(#REF!,B12)),($F12/INDEX(#REF!,B12))),"")</f>
        <v/>
      </c>
      <c r="AV12" s="443" t="s">
        <v>1359</v>
      </c>
    </row>
    <row r="13" spans="1:49" ht="12" thickBot="1">
      <c r="B13" s="436">
        <f t="shared" si="5"/>
        <v>5</v>
      </c>
      <c r="C13" s="771" t="str">
        <f>'GPC Data'!E298</f>
        <v>Comp 5</v>
      </c>
      <c r="D13" s="251">
        <f>'GPC Data'!H26</f>
        <v>0</v>
      </c>
      <c r="E13" s="772">
        <f t="shared" si="1"/>
        <v>0</v>
      </c>
      <c r="F13" s="773">
        <f>'GPC Data'!I26</f>
        <v>0</v>
      </c>
      <c r="G13" s="773"/>
      <c r="H13" s="775">
        <f>'GPC Data'!F298</f>
        <v>0</v>
      </c>
      <c r="I13" s="774">
        <f>'GPC Data'!I128</f>
        <v>0</v>
      </c>
      <c r="J13" s="774">
        <f>'GPC Data'!Q128</f>
        <v>0</v>
      </c>
      <c r="K13" s="776">
        <f t="shared" si="2"/>
        <v>0</v>
      </c>
      <c r="L13" s="774">
        <f t="shared" si="3"/>
        <v>0</v>
      </c>
      <c r="M13" s="774">
        <f t="shared" si="4"/>
        <v>0</v>
      </c>
      <c r="N13" s="777">
        <f>'GPC Data'!F196</f>
        <v>0</v>
      </c>
      <c r="O13" s="778">
        <f>'GPC Data'!G196</f>
        <v>0</v>
      </c>
      <c r="P13" s="778">
        <f>'GPC Data'!H196</f>
        <v>0</v>
      </c>
      <c r="Q13" s="777">
        <f>'GPC Data'!O196</f>
        <v>0</v>
      </c>
      <c r="R13" s="778">
        <f>'GPC Data'!P196</f>
        <v>0</v>
      </c>
      <c r="S13" s="778">
        <f>'GPC Data'!Q196</f>
        <v>0</v>
      </c>
      <c r="T13" s="777">
        <f>'GPC Data'!X196</f>
        <v>0</v>
      </c>
      <c r="U13" s="778">
        <f>'GPC Data'!Y196</f>
        <v>0</v>
      </c>
      <c r="V13" s="778">
        <f>'GPC Data'!Z196</f>
        <v>0</v>
      </c>
      <c r="W13" s="779">
        <f>'GPC Data'!F264</f>
        <v>0</v>
      </c>
      <c r="X13" s="780">
        <f>'GPC Data'!G264</f>
        <v>3</v>
      </c>
      <c r="Y13" s="780">
        <f>'GPC Data'!H264</f>
        <v>0</v>
      </c>
      <c r="Z13" s="779">
        <f>'GPC Data'!L264</f>
        <v>0</v>
      </c>
      <c r="AA13" s="780">
        <f>'GPC Data'!M264</f>
        <v>9</v>
      </c>
      <c r="AB13" s="780">
        <f>'GPC Data'!N264</f>
        <v>0</v>
      </c>
      <c r="AC13" s="779">
        <f>'GPC Data'!R264</f>
        <v>0</v>
      </c>
      <c r="AD13" s="780">
        <f>'GPC Data'!S264</f>
        <v>0</v>
      </c>
      <c r="AE13" s="780">
        <f>'GPC Data'!T264</f>
        <v>0</v>
      </c>
      <c r="AF13" s="779" t="str">
        <f>IF(C13="","",IFERROR(IF(#REF!=0,$F13/#REF!,$F13/I13),"NA"))</f>
        <v>NA</v>
      </c>
      <c r="AG13" s="780" t="str">
        <f>IF(C13="","",IFERROR(IF(#REF!=0,$F13/I13,$F13/#REF!),"NA"))</f>
        <v>NA</v>
      </c>
      <c r="AH13" s="780" t="e">
        <f>IF(C13="","",$F13/#REF!)</f>
        <v>#REF!</v>
      </c>
      <c r="AI13" s="780" t="str">
        <f>IF(C13="","",IFERROR(IF(#REF!=0,$F13/#REF!,$F13/#REF!),"NA"))</f>
        <v>NA</v>
      </c>
      <c r="AJ13" s="780" t="str">
        <f>IF(C13="","",IFERROR(IF(#REF!=0,$F13/#REF!,$F13/#REF!),"NA"))</f>
        <v>NA</v>
      </c>
      <c r="AK13" s="780" t="str">
        <f>IF(C13="","",IFERROR(IF(#REF!=0,$F13/#REF!,"NA"),"NA"))</f>
        <v>NA</v>
      </c>
      <c r="AL13" s="779" t="str">
        <f>IF(C13="","",IFERROR(IF(#REF!=0,$F13/K13,$F13/L13),"NA"))</f>
        <v>NA</v>
      </c>
      <c r="AM13" s="780" t="str">
        <f>IF(C13="","",IFERROR(IF(#REF!=0,$F13/L13,$F13/#REF!),"NA"))</f>
        <v>NA</v>
      </c>
      <c r="AN13" s="780" t="e">
        <f t="shared" si="0"/>
        <v>#DIV/0!</v>
      </c>
      <c r="AO13" s="780" t="str">
        <f>IF(C13="","",IFERROR(IF(#REF!=0,$F13/#REF!,$F13/#REF!),"NA"))</f>
        <v>NA</v>
      </c>
      <c r="AP13" s="780" t="str">
        <f>IF(C13="","",IFERROR(IF(#REF!=0,$F13/#REF!,$F13/#REF!),"NA"))</f>
        <v>NA</v>
      </c>
      <c r="AQ13" s="780" t="str">
        <f>IF(C13="","",IFERROR(IF(#REF!=0,$F13/#REF!,"NA"),"NA"))</f>
        <v>NA</v>
      </c>
      <c r="AR13" s="779" t="str">
        <f>IFERROR(IF(AV6="Local Currency",($F13/INDEX(#REF!,B13)),($F13/INDEX(#REF!,B13))),"")</f>
        <v/>
      </c>
      <c r="AV13" s="443" t="s">
        <v>1359</v>
      </c>
    </row>
    <row r="14" spans="1:49" ht="12" thickBot="1">
      <c r="B14" s="436">
        <f t="shared" si="5"/>
        <v>6</v>
      </c>
      <c r="C14" s="771" t="str">
        <f>'GPC Data'!E299</f>
        <v>Comp 6</v>
      </c>
      <c r="D14" s="251">
        <f>'GPC Data'!H27</f>
        <v>0</v>
      </c>
      <c r="E14" s="772">
        <f t="shared" si="1"/>
        <v>0</v>
      </c>
      <c r="F14" s="773">
        <f>'GPC Data'!I27</f>
        <v>0</v>
      </c>
      <c r="G14" s="773"/>
      <c r="H14" s="775">
        <f>'GPC Data'!F299</f>
        <v>0</v>
      </c>
      <c r="I14" s="774">
        <f>'GPC Data'!I129</f>
        <v>0</v>
      </c>
      <c r="J14" s="774">
        <f>'GPC Data'!Q129</f>
        <v>0</v>
      </c>
      <c r="K14" s="776">
        <f t="shared" si="2"/>
        <v>0</v>
      </c>
      <c r="L14" s="774">
        <f t="shared" si="3"/>
        <v>0</v>
      </c>
      <c r="M14" s="774">
        <f t="shared" si="4"/>
        <v>0</v>
      </c>
      <c r="N14" s="777">
        <f>'GPC Data'!F197</f>
        <v>0</v>
      </c>
      <c r="O14" s="778">
        <f>'GPC Data'!G197</f>
        <v>0</v>
      </c>
      <c r="P14" s="778">
        <f>'GPC Data'!H197</f>
        <v>0</v>
      </c>
      <c r="Q14" s="777">
        <f>'GPC Data'!O197</f>
        <v>0</v>
      </c>
      <c r="R14" s="778">
        <f>'GPC Data'!P197</f>
        <v>0</v>
      </c>
      <c r="S14" s="778">
        <f>'GPC Data'!Q197</f>
        <v>0</v>
      </c>
      <c r="T14" s="777">
        <f>'GPC Data'!X197</f>
        <v>0</v>
      </c>
      <c r="U14" s="778">
        <f>'GPC Data'!Y197</f>
        <v>0</v>
      </c>
      <c r="V14" s="778">
        <f>'GPC Data'!Z197</f>
        <v>0</v>
      </c>
      <c r="W14" s="779">
        <f>'GPC Data'!F265</f>
        <v>0</v>
      </c>
      <c r="X14" s="780">
        <f>'GPC Data'!G265</f>
        <v>2</v>
      </c>
      <c r="Y14" s="780">
        <f>'GPC Data'!H265</f>
        <v>0</v>
      </c>
      <c r="Z14" s="779">
        <f>'GPC Data'!L265</f>
        <v>0</v>
      </c>
      <c r="AA14" s="780">
        <f>'GPC Data'!M265</f>
        <v>6</v>
      </c>
      <c r="AB14" s="780">
        <f>'GPC Data'!N265</f>
        <v>0</v>
      </c>
      <c r="AC14" s="779">
        <f>'GPC Data'!R265</f>
        <v>0</v>
      </c>
      <c r="AD14" s="780">
        <f>'GPC Data'!S265</f>
        <v>0</v>
      </c>
      <c r="AE14" s="780">
        <f>'GPC Data'!T265</f>
        <v>0</v>
      </c>
      <c r="AF14" s="779" t="str">
        <f>IF(C14="","",IFERROR(IF(#REF!=0,$F14/#REF!,$F14/I14),"NA"))</f>
        <v>NA</v>
      </c>
      <c r="AG14" s="780" t="str">
        <f>IF(C14="","",IFERROR(IF(#REF!=0,$F14/I14,$F14/#REF!),"NA"))</f>
        <v>NA</v>
      </c>
      <c r="AH14" s="780" t="e">
        <f>IF(C14="","",$F14/#REF!)</f>
        <v>#REF!</v>
      </c>
      <c r="AI14" s="780" t="str">
        <f>IF(C14="","",IFERROR(IF(#REF!=0,$F14/#REF!,$F14/#REF!),"NA"))</f>
        <v>NA</v>
      </c>
      <c r="AJ14" s="780" t="str">
        <f>IF(C14="","",IFERROR(IF(#REF!=0,$F14/#REF!,$F14/#REF!),"NA"))</f>
        <v>NA</v>
      </c>
      <c r="AK14" s="780" t="str">
        <f>IF(C14="","",IFERROR(IF(#REF!=0,$F14/#REF!,"NA"),"NA"))</f>
        <v>NA</v>
      </c>
      <c r="AL14" s="779" t="str">
        <f>IF(C14="","",IFERROR(IF(#REF!=0,$F14/K14,$F14/L14),"NA"))</f>
        <v>NA</v>
      </c>
      <c r="AM14" s="780" t="str">
        <f>IF(C14="","",IFERROR(IF(#REF!=0,$F14/L14,$F14/#REF!),"NA"))</f>
        <v>NA</v>
      </c>
      <c r="AN14" s="780" t="e">
        <f t="shared" si="0"/>
        <v>#DIV/0!</v>
      </c>
      <c r="AO14" s="780" t="str">
        <f>IF(C14="","",IFERROR(IF(#REF!=0,$F14/#REF!,$F14/#REF!),"NA"))</f>
        <v>NA</v>
      </c>
      <c r="AP14" s="780" t="str">
        <f>IF(C14="","",IFERROR(IF(#REF!=0,$F14/#REF!,$F14/#REF!),"NA"))</f>
        <v>NA</v>
      </c>
      <c r="AQ14" s="780" t="str">
        <f>IF(C14="","",IFERROR(IF(#REF!=0,$F14/#REF!,"NA"),"NA"))</f>
        <v>NA</v>
      </c>
      <c r="AR14" s="779" t="str">
        <f>IFERROR(IF(AV7="Local Currency",($F14/INDEX(#REF!,B14)),($F14/INDEX(#REF!,B14))),"")</f>
        <v/>
      </c>
      <c r="AV14" s="443" t="s">
        <v>1359</v>
      </c>
    </row>
    <row r="15" spans="1:49" ht="12" thickBot="1">
      <c r="B15" s="436">
        <f t="shared" si="5"/>
        <v>7</v>
      </c>
      <c r="C15" s="771" t="str">
        <f>'GPC Data'!E300</f>
        <v>Comp 7</v>
      </c>
      <c r="D15" s="251">
        <f>'GPC Data'!H28</f>
        <v>0</v>
      </c>
      <c r="E15" s="772">
        <f t="shared" si="1"/>
        <v>0</v>
      </c>
      <c r="F15" s="773">
        <f>'GPC Data'!I28</f>
        <v>0</v>
      </c>
      <c r="G15" s="773"/>
      <c r="H15" s="775">
        <f>'GPC Data'!F300</f>
        <v>0</v>
      </c>
      <c r="I15" s="774">
        <f>'GPC Data'!I130</f>
        <v>0</v>
      </c>
      <c r="J15" s="774">
        <f>'GPC Data'!Q130</f>
        <v>0</v>
      </c>
      <c r="K15" s="776">
        <f t="shared" si="2"/>
        <v>0</v>
      </c>
      <c r="L15" s="774">
        <f t="shared" si="3"/>
        <v>0</v>
      </c>
      <c r="M15" s="774">
        <f t="shared" si="4"/>
        <v>0</v>
      </c>
      <c r="N15" s="777">
        <f>'GPC Data'!F198</f>
        <v>0</v>
      </c>
      <c r="O15" s="778">
        <f>'GPC Data'!G198</f>
        <v>0</v>
      </c>
      <c r="P15" s="778">
        <f>'GPC Data'!H198</f>
        <v>0</v>
      </c>
      <c r="Q15" s="777">
        <f>'GPC Data'!O198</f>
        <v>0</v>
      </c>
      <c r="R15" s="778">
        <f>'GPC Data'!P198</f>
        <v>0</v>
      </c>
      <c r="S15" s="778">
        <f>'GPC Data'!Q198</f>
        <v>0</v>
      </c>
      <c r="T15" s="777">
        <f>'GPC Data'!X198</f>
        <v>0</v>
      </c>
      <c r="U15" s="778">
        <f>'GPC Data'!Y198</f>
        <v>0</v>
      </c>
      <c r="V15" s="778">
        <f>'GPC Data'!Z198</f>
        <v>0</v>
      </c>
      <c r="W15" s="779">
        <f>'GPC Data'!F266</f>
        <v>0</v>
      </c>
      <c r="X15" s="780">
        <f>'GPC Data'!G266</f>
        <v>4</v>
      </c>
      <c r="Y15" s="780">
        <f>'GPC Data'!H266</f>
        <v>0</v>
      </c>
      <c r="Z15" s="779">
        <f>'GPC Data'!L266</f>
        <v>0</v>
      </c>
      <c r="AA15" s="780">
        <f>'GPC Data'!M266</f>
        <v>4</v>
      </c>
      <c r="AB15" s="780">
        <f>'GPC Data'!N266</f>
        <v>0</v>
      </c>
      <c r="AC15" s="779">
        <f>'GPC Data'!R266</f>
        <v>0</v>
      </c>
      <c r="AD15" s="780">
        <f>'GPC Data'!S266</f>
        <v>0</v>
      </c>
      <c r="AE15" s="780">
        <f>'GPC Data'!T266</f>
        <v>0</v>
      </c>
      <c r="AF15" s="779" t="str">
        <f>IF(C15="","",IFERROR(IF(#REF!=0,$F15/#REF!,$F15/I15),"NA"))</f>
        <v>NA</v>
      </c>
      <c r="AG15" s="780" t="str">
        <f>IF(C15="","",IFERROR(IF(#REF!=0,$F15/I15,$F15/#REF!),"NA"))</f>
        <v>NA</v>
      </c>
      <c r="AH15" s="780" t="e">
        <f>IF(C15="","",$F15/#REF!)</f>
        <v>#REF!</v>
      </c>
      <c r="AI15" s="780" t="str">
        <f>IF(C15="","",IFERROR(IF(#REF!=0,$F15/#REF!,$F15/#REF!),"NA"))</f>
        <v>NA</v>
      </c>
      <c r="AJ15" s="780" t="str">
        <f>IF(C15="","",IFERROR(IF(#REF!=0,$F15/#REF!,$F15/#REF!),"NA"))</f>
        <v>NA</v>
      </c>
      <c r="AK15" s="780" t="str">
        <f>IF(C15="","",IFERROR(IF(#REF!=0,$F15/#REF!,"NA"),"NA"))</f>
        <v>NA</v>
      </c>
      <c r="AL15" s="779" t="str">
        <f>IF(C15="","",IFERROR(IF(#REF!=0,$F15/K15,$F15/L15),"NA"))</f>
        <v>NA</v>
      </c>
      <c r="AM15" s="780" t="str">
        <f>IF(C15="","",IFERROR(IF(#REF!=0,$F15/L15,$F15/#REF!),"NA"))</f>
        <v>NA</v>
      </c>
      <c r="AN15" s="780" t="e">
        <f t="shared" si="0"/>
        <v>#DIV/0!</v>
      </c>
      <c r="AO15" s="780" t="str">
        <f>IF(C15="","",IFERROR(IF(#REF!=0,$F15/#REF!,$F15/#REF!),"NA"))</f>
        <v>NA</v>
      </c>
      <c r="AP15" s="780" t="str">
        <f>IF(C15="","",IFERROR(IF(#REF!=0,$F15/#REF!,$F15/#REF!),"NA"))</f>
        <v>NA</v>
      </c>
      <c r="AQ15" s="780" t="str">
        <f>IF(C15="","",IFERROR(IF(#REF!=0,$F15/#REF!,"NA"),"NA"))</f>
        <v>NA</v>
      </c>
      <c r="AR15" s="779" t="str">
        <f>IFERROR(IF(#REF!="Local Currency",($F15/INDEX(#REF!,B15)),($F15/INDEX(#REF!,B15))),"")</f>
        <v/>
      </c>
      <c r="AV15" s="443" t="s">
        <v>1359</v>
      </c>
    </row>
    <row r="16" spans="1:49" ht="12" thickBot="1">
      <c r="B16" s="436">
        <f t="shared" si="5"/>
        <v>8</v>
      </c>
      <c r="C16" s="771" t="str">
        <f>'GPC Data'!E301</f>
        <v>Comp 8</v>
      </c>
      <c r="D16" s="251">
        <f>'GPC Data'!H29</f>
        <v>0</v>
      </c>
      <c r="E16" s="772">
        <f t="shared" si="1"/>
        <v>0</v>
      </c>
      <c r="F16" s="773">
        <f>'GPC Data'!I29</f>
        <v>0</v>
      </c>
      <c r="G16" s="773"/>
      <c r="H16" s="775">
        <f>'GPC Data'!F301</f>
        <v>0</v>
      </c>
      <c r="I16" s="774">
        <f>'GPC Data'!I131</f>
        <v>0</v>
      </c>
      <c r="J16" s="774">
        <f>'GPC Data'!Q131</f>
        <v>0</v>
      </c>
      <c r="K16" s="776">
        <f t="shared" si="2"/>
        <v>0</v>
      </c>
      <c r="L16" s="774">
        <f t="shared" si="3"/>
        <v>0</v>
      </c>
      <c r="M16" s="774">
        <f t="shared" si="4"/>
        <v>0</v>
      </c>
      <c r="N16" s="777">
        <f>'GPC Data'!F199</f>
        <v>0</v>
      </c>
      <c r="O16" s="778">
        <f>'GPC Data'!G199</f>
        <v>0</v>
      </c>
      <c r="P16" s="778">
        <f>'GPC Data'!H199</f>
        <v>0</v>
      </c>
      <c r="Q16" s="777">
        <f>'GPC Data'!O199</f>
        <v>0</v>
      </c>
      <c r="R16" s="778">
        <f>'GPC Data'!P199</f>
        <v>0</v>
      </c>
      <c r="S16" s="778">
        <f>'GPC Data'!Q199</f>
        <v>0</v>
      </c>
      <c r="T16" s="777">
        <f>'GPC Data'!X199</f>
        <v>0</v>
      </c>
      <c r="U16" s="778">
        <f>'GPC Data'!Y199</f>
        <v>0</v>
      </c>
      <c r="V16" s="778">
        <f>'GPC Data'!Z199</f>
        <v>0</v>
      </c>
      <c r="W16" s="779">
        <f>'GPC Data'!F267</f>
        <v>0</v>
      </c>
      <c r="X16" s="780">
        <f>'GPC Data'!G267</f>
        <v>5</v>
      </c>
      <c r="Y16" s="780">
        <f>'GPC Data'!H267</f>
        <v>0</v>
      </c>
      <c r="Z16" s="779">
        <f>'GPC Data'!L267</f>
        <v>0</v>
      </c>
      <c r="AA16" s="780">
        <f>'GPC Data'!M267</f>
        <v>0</v>
      </c>
      <c r="AB16" s="780">
        <f>'GPC Data'!N267</f>
        <v>0</v>
      </c>
      <c r="AC16" s="779">
        <f>'GPC Data'!R267</f>
        <v>0</v>
      </c>
      <c r="AD16" s="780">
        <f>'GPC Data'!S267</f>
        <v>0</v>
      </c>
      <c r="AE16" s="780">
        <f>'GPC Data'!T267</f>
        <v>0</v>
      </c>
      <c r="AF16" s="779" t="str">
        <f>IF(C16="","",IFERROR(IF(#REF!=0,$F16/#REF!,$F16/I16),"NA"))</f>
        <v>NA</v>
      </c>
      <c r="AG16" s="780" t="str">
        <f>IF(C16="","",IFERROR(IF(#REF!=0,$F16/I16,$F16/#REF!),"NA"))</f>
        <v>NA</v>
      </c>
      <c r="AH16" s="780" t="e">
        <f>IF(C16="","",$F16/#REF!)</f>
        <v>#REF!</v>
      </c>
      <c r="AI16" s="780" t="str">
        <f>IF(C16="","",IFERROR(IF(#REF!=0,$F16/#REF!,$F16/#REF!),"NA"))</f>
        <v>NA</v>
      </c>
      <c r="AJ16" s="780" t="str">
        <f>IF(C16="","",IFERROR(IF(#REF!=0,$F16/#REF!,$F16/#REF!),"NA"))</f>
        <v>NA</v>
      </c>
      <c r="AK16" s="780" t="str">
        <f>IF(C16="","",IFERROR(IF(#REF!=0,$F16/#REF!,"NA"),"NA"))</f>
        <v>NA</v>
      </c>
      <c r="AL16" s="779" t="str">
        <f>IF(C16="","",IFERROR(IF(#REF!=0,$F16/K16,$F16/L16),"NA"))</f>
        <v>NA</v>
      </c>
      <c r="AM16" s="780" t="str">
        <f>IF(C16="","",IFERROR(IF(#REF!=0,$F16/L16,$F16/#REF!),"NA"))</f>
        <v>NA</v>
      </c>
      <c r="AN16" s="780" t="e">
        <f t="shared" si="0"/>
        <v>#DIV/0!</v>
      </c>
      <c r="AO16" s="780" t="str">
        <f>IF(C16="","",IFERROR(IF(#REF!=0,$F16/#REF!,$F16/#REF!),"NA"))</f>
        <v>NA</v>
      </c>
      <c r="AP16" s="780" t="str">
        <f>IF(C16="","",IFERROR(IF(#REF!=0,$F16/#REF!,$F16/#REF!),"NA"))</f>
        <v>NA</v>
      </c>
      <c r="AQ16" s="780" t="str">
        <f>IF(C16="","",IFERROR(IF(#REF!=0,$F16/#REF!,"NA"),"NA"))</f>
        <v>NA</v>
      </c>
      <c r="AR16" s="779" t="str">
        <f>IFERROR(IF(#REF!="Local Currency",($F16/INDEX(#REF!,B16)),($F16/INDEX(#REF!,B16))),"")</f>
        <v/>
      </c>
      <c r="AV16" s="443" t="s">
        <v>1359</v>
      </c>
    </row>
    <row r="17" spans="2:48" ht="12" thickBot="1">
      <c r="B17" s="436">
        <f t="shared" si="5"/>
        <v>9</v>
      </c>
      <c r="C17" s="771" t="str">
        <f>'GPC Data'!E302</f>
        <v>Comp 9</v>
      </c>
      <c r="D17" s="251">
        <f>'GPC Data'!H30</f>
        <v>0</v>
      </c>
      <c r="E17" s="772">
        <f t="shared" si="1"/>
        <v>0</v>
      </c>
      <c r="F17" s="773">
        <f>'GPC Data'!I30</f>
        <v>0</v>
      </c>
      <c r="G17" s="773"/>
      <c r="H17" s="775">
        <f>'GPC Data'!F302</f>
        <v>0</v>
      </c>
      <c r="I17" s="774">
        <f>'GPC Data'!I132</f>
        <v>0</v>
      </c>
      <c r="J17" s="774">
        <f>'GPC Data'!Q132</f>
        <v>0</v>
      </c>
      <c r="K17" s="776">
        <f t="shared" si="2"/>
        <v>0</v>
      </c>
      <c r="L17" s="774">
        <f t="shared" si="3"/>
        <v>0</v>
      </c>
      <c r="M17" s="774">
        <f t="shared" si="4"/>
        <v>0</v>
      </c>
      <c r="N17" s="777">
        <f>'GPC Data'!F200</f>
        <v>0</v>
      </c>
      <c r="O17" s="778">
        <f>'GPC Data'!G200</f>
        <v>0</v>
      </c>
      <c r="P17" s="778">
        <f>'GPC Data'!H200</f>
        <v>0</v>
      </c>
      <c r="Q17" s="777">
        <f>'GPC Data'!O200</f>
        <v>0</v>
      </c>
      <c r="R17" s="778">
        <f>'GPC Data'!P200</f>
        <v>0</v>
      </c>
      <c r="S17" s="778">
        <f>'GPC Data'!Q200</f>
        <v>0</v>
      </c>
      <c r="T17" s="777">
        <f>'GPC Data'!X200</f>
        <v>0</v>
      </c>
      <c r="U17" s="778">
        <f>'GPC Data'!Y200</f>
        <v>0</v>
      </c>
      <c r="V17" s="778">
        <f>'GPC Data'!Z200</f>
        <v>0</v>
      </c>
      <c r="W17" s="779">
        <f>'GPC Data'!F268</f>
        <v>0</v>
      </c>
      <c r="X17" s="780">
        <f>'GPC Data'!G268</f>
        <v>3</v>
      </c>
      <c r="Y17" s="780">
        <f>'GPC Data'!H268</f>
        <v>0</v>
      </c>
      <c r="Z17" s="779">
        <f>'GPC Data'!L268</f>
        <v>0</v>
      </c>
      <c r="AA17" s="780">
        <f>'GPC Data'!M268</f>
        <v>2</v>
      </c>
      <c r="AB17" s="780">
        <f>'GPC Data'!N268</f>
        <v>0</v>
      </c>
      <c r="AC17" s="779">
        <f>'GPC Data'!R268</f>
        <v>0</v>
      </c>
      <c r="AD17" s="780">
        <f>'GPC Data'!S268</f>
        <v>0</v>
      </c>
      <c r="AE17" s="780">
        <f>'GPC Data'!T268</f>
        <v>0</v>
      </c>
      <c r="AF17" s="779" t="str">
        <f>IF(C17="","",IFERROR(IF(#REF!=0,$F17/#REF!,$F17/I17),"NA"))</f>
        <v>NA</v>
      </c>
      <c r="AG17" s="780" t="str">
        <f>IF(C17="","",IFERROR(IF(#REF!=0,$F17/I17,$F17/#REF!),"NA"))</f>
        <v>NA</v>
      </c>
      <c r="AH17" s="780" t="e">
        <f>IF(C17="","",$F17/#REF!)</f>
        <v>#REF!</v>
      </c>
      <c r="AI17" s="780" t="str">
        <f>IF(C17="","",IFERROR(IF(#REF!=0,$F17/#REF!,$F17/#REF!),"NA"))</f>
        <v>NA</v>
      </c>
      <c r="AJ17" s="780" t="str">
        <f>IF(C17="","",IFERROR(IF(#REF!=0,$F17/#REF!,$F17/#REF!),"NA"))</f>
        <v>NA</v>
      </c>
      <c r="AK17" s="780" t="str">
        <f>IF(C17="","",IFERROR(IF(#REF!=0,$F17/#REF!,"NA"),"NA"))</f>
        <v>NA</v>
      </c>
      <c r="AL17" s="779" t="str">
        <f>IF(C17="","",IFERROR(IF(#REF!=0,$F17/K17,$F17/L17),"NA"))</f>
        <v>NA</v>
      </c>
      <c r="AM17" s="780" t="str">
        <f>IF(C17="","",IFERROR(IF(#REF!=0,$F17/L17,$F17/#REF!),"NA"))</f>
        <v>NA</v>
      </c>
      <c r="AN17" s="780" t="e">
        <f t="shared" si="0"/>
        <v>#DIV/0!</v>
      </c>
      <c r="AO17" s="780" t="str">
        <f>IF(C17="","",IFERROR(IF(#REF!=0,$F17/#REF!,$F17/#REF!),"NA"))</f>
        <v>NA</v>
      </c>
      <c r="AP17" s="780" t="str">
        <f>IF(C17="","",IFERROR(IF(#REF!=0,$F17/#REF!,$F17/#REF!),"NA"))</f>
        <v>NA</v>
      </c>
      <c r="AQ17" s="780" t="str">
        <f>IF(C17="","",IFERROR(IF(#REF!=0,$F17/#REF!,"NA"),"NA"))</f>
        <v>NA</v>
      </c>
      <c r="AR17" s="779" t="str">
        <f>IFERROR(IF(#REF!="Local Currency",($F17/INDEX(#REF!,B17)),($F17/INDEX(#REF!,B17))),"")</f>
        <v/>
      </c>
      <c r="AV17" s="443" t="s">
        <v>1359</v>
      </c>
    </row>
    <row r="18" spans="2:48" ht="12" thickBot="1">
      <c r="B18" s="436">
        <f t="shared" si="5"/>
        <v>10</v>
      </c>
      <c r="C18" s="771" t="str">
        <f>'GPC Data'!E303</f>
        <v>Comp 10</v>
      </c>
      <c r="D18" s="251">
        <f>'GPC Data'!H31</f>
        <v>0</v>
      </c>
      <c r="E18" s="772">
        <f t="shared" si="1"/>
        <v>0</v>
      </c>
      <c r="F18" s="773">
        <f>'GPC Data'!I31</f>
        <v>0</v>
      </c>
      <c r="G18" s="773"/>
      <c r="H18" s="775">
        <f>'GPC Data'!F303</f>
        <v>0</v>
      </c>
      <c r="I18" s="774">
        <f>'GPC Data'!I133</f>
        <v>0</v>
      </c>
      <c r="J18" s="774">
        <f>'GPC Data'!Q133</f>
        <v>0</v>
      </c>
      <c r="K18" s="776">
        <f t="shared" si="2"/>
        <v>0</v>
      </c>
      <c r="L18" s="774">
        <f t="shared" si="3"/>
        <v>0</v>
      </c>
      <c r="M18" s="774">
        <f t="shared" si="4"/>
        <v>0</v>
      </c>
      <c r="N18" s="777">
        <f>'GPC Data'!F201</f>
        <v>0</v>
      </c>
      <c r="O18" s="778">
        <f>'GPC Data'!G201</f>
        <v>0</v>
      </c>
      <c r="P18" s="778">
        <f>'GPC Data'!H201</f>
        <v>0</v>
      </c>
      <c r="Q18" s="777">
        <f>'GPC Data'!O201</f>
        <v>0</v>
      </c>
      <c r="R18" s="778">
        <f>'GPC Data'!P201</f>
        <v>0</v>
      </c>
      <c r="S18" s="778">
        <f>'GPC Data'!Q201</f>
        <v>0</v>
      </c>
      <c r="T18" s="777">
        <f>'GPC Data'!X201</f>
        <v>0</v>
      </c>
      <c r="U18" s="778">
        <f>'GPC Data'!Y201</f>
        <v>0</v>
      </c>
      <c r="V18" s="778">
        <f>'GPC Data'!Z201</f>
        <v>0</v>
      </c>
      <c r="W18" s="779">
        <f>'GPC Data'!F269</f>
        <v>0</v>
      </c>
      <c r="X18" s="780">
        <f>'GPC Data'!G269</f>
        <v>2</v>
      </c>
      <c r="Y18" s="780">
        <f>'GPC Data'!H269</f>
        <v>0</v>
      </c>
      <c r="Z18" s="779">
        <f>'GPC Data'!L269</f>
        <v>0</v>
      </c>
      <c r="AA18" s="780">
        <f>'GPC Data'!M269</f>
        <v>2</v>
      </c>
      <c r="AB18" s="780">
        <f>'GPC Data'!N269</f>
        <v>0</v>
      </c>
      <c r="AC18" s="779">
        <f>'GPC Data'!R269</f>
        <v>0</v>
      </c>
      <c r="AD18" s="780">
        <f>'GPC Data'!S269</f>
        <v>0</v>
      </c>
      <c r="AE18" s="780">
        <f>'GPC Data'!T269</f>
        <v>0</v>
      </c>
      <c r="AF18" s="779" t="str">
        <f>IF(C18="","",IFERROR(IF(#REF!=0,$F18/#REF!,$F18/I18),"NA"))</f>
        <v>NA</v>
      </c>
      <c r="AG18" s="780" t="str">
        <f>IF(C18="","",IFERROR(IF(#REF!=0,$F18/I18,$F18/#REF!),"NA"))</f>
        <v>NA</v>
      </c>
      <c r="AH18" s="780" t="e">
        <f>IF(C18="","",$F18/#REF!)</f>
        <v>#REF!</v>
      </c>
      <c r="AI18" s="780" t="str">
        <f>IF(C18="","",IFERROR(IF(#REF!=0,$F18/#REF!,$F18/#REF!),"NA"))</f>
        <v>NA</v>
      </c>
      <c r="AJ18" s="780" t="str">
        <f>IF(C18="","",IFERROR(IF(#REF!=0,$F18/#REF!,$F18/#REF!),"NA"))</f>
        <v>NA</v>
      </c>
      <c r="AK18" s="780" t="str">
        <f>IF(C18="","",IFERROR(IF(#REF!=0,$F18/#REF!,"NA"),"NA"))</f>
        <v>NA</v>
      </c>
      <c r="AL18" s="779" t="str">
        <f>IF(C18="","",IFERROR(IF(#REF!=0,$F18/K18,$F18/L18),"NA"))</f>
        <v>NA</v>
      </c>
      <c r="AM18" s="780" t="str">
        <f>IF(C18="","",IFERROR(IF(#REF!=0,$F18/L18,$F18/#REF!),"NA"))</f>
        <v>NA</v>
      </c>
      <c r="AN18" s="780" t="e">
        <f t="shared" si="0"/>
        <v>#DIV/0!</v>
      </c>
      <c r="AO18" s="780" t="str">
        <f>IF(C18="","",IFERROR(IF(#REF!=0,$F18/#REF!,$F18/#REF!),"NA"))</f>
        <v>NA</v>
      </c>
      <c r="AP18" s="780" t="str">
        <f>IF(C18="","",IFERROR(IF(#REF!=0,$F18/#REF!,$F18/#REF!),"NA"))</f>
        <v>NA</v>
      </c>
      <c r="AQ18" s="780" t="str">
        <f>IF(C18="","",IFERROR(IF(#REF!=0,$F18/#REF!,"NA"),"NA"))</f>
        <v>NA</v>
      </c>
      <c r="AR18" s="779" t="str">
        <f>IFERROR(IF(#REF!="Local Currency",($F18/INDEX(#REF!,B18)),($F18/INDEX(#REF!,B18))),"")</f>
        <v/>
      </c>
      <c r="AV18" s="443" t="s">
        <v>1359</v>
      </c>
    </row>
    <row r="19" spans="2:48">
      <c r="C19" s="462"/>
      <c r="E19" s="781"/>
      <c r="F19" s="782"/>
      <c r="G19" s="782"/>
      <c r="H19" s="782"/>
      <c r="I19" s="782"/>
      <c r="J19" s="782"/>
      <c r="K19" s="782"/>
      <c r="L19" s="782"/>
      <c r="M19" s="782"/>
      <c r="T19" s="782"/>
      <c r="U19" s="782"/>
      <c r="V19" s="782"/>
      <c r="Z19" s="783"/>
      <c r="AA19" s="783"/>
      <c r="AC19" s="784"/>
      <c r="AD19" s="785"/>
      <c r="AL19" s="784"/>
      <c r="AM19" s="784"/>
      <c r="AO19" s="784"/>
      <c r="AP19" s="784"/>
      <c r="AQ19" s="784"/>
      <c r="AR19" s="784"/>
    </row>
    <row r="20" spans="2:48">
      <c r="F20" s="786" t="s">
        <v>209</v>
      </c>
      <c r="G20" s="787">
        <f t="shared" ref="G20:AR20" si="6">IFERROR(MAX(G9:G18),"")</f>
        <v>0</v>
      </c>
      <c r="H20" s="787">
        <f t="shared" si="6"/>
        <v>0</v>
      </c>
      <c r="I20" s="787">
        <f t="shared" si="6"/>
        <v>0</v>
      </c>
      <c r="J20" s="787">
        <f t="shared" si="6"/>
        <v>0</v>
      </c>
      <c r="K20" s="787">
        <f t="shared" si="6"/>
        <v>0</v>
      </c>
      <c r="L20" s="787">
        <f t="shared" si="6"/>
        <v>0</v>
      </c>
      <c r="M20" s="787">
        <f t="shared" si="6"/>
        <v>0</v>
      </c>
      <c r="N20" s="787">
        <f t="shared" si="6"/>
        <v>0</v>
      </c>
      <c r="O20" s="788">
        <f t="shared" si="6"/>
        <v>0</v>
      </c>
      <c r="P20" s="788">
        <f t="shared" si="6"/>
        <v>0</v>
      </c>
      <c r="Q20" s="787">
        <f t="shared" si="6"/>
        <v>0</v>
      </c>
      <c r="R20" s="788">
        <f t="shared" si="6"/>
        <v>0</v>
      </c>
      <c r="S20" s="788">
        <f t="shared" si="6"/>
        <v>0</v>
      </c>
      <c r="T20" s="789">
        <f t="shared" si="6"/>
        <v>0</v>
      </c>
      <c r="U20" s="788">
        <f t="shared" si="6"/>
        <v>0</v>
      </c>
      <c r="V20" s="788">
        <f t="shared" si="6"/>
        <v>0</v>
      </c>
      <c r="W20" s="790">
        <f t="shared" si="6"/>
        <v>0</v>
      </c>
      <c r="X20" s="791">
        <f t="shared" si="6"/>
        <v>6</v>
      </c>
      <c r="Y20" s="791">
        <f t="shared" si="6"/>
        <v>0</v>
      </c>
      <c r="Z20" s="790">
        <f t="shared" si="6"/>
        <v>0</v>
      </c>
      <c r="AA20" s="791">
        <f t="shared" si="6"/>
        <v>9</v>
      </c>
      <c r="AB20" s="791">
        <f t="shared" si="6"/>
        <v>0</v>
      </c>
      <c r="AC20" s="790">
        <f t="shared" si="6"/>
        <v>0</v>
      </c>
      <c r="AD20" s="791">
        <f t="shared" si="6"/>
        <v>0</v>
      </c>
      <c r="AE20" s="791">
        <f t="shared" si="6"/>
        <v>0</v>
      </c>
      <c r="AF20" s="790">
        <f t="shared" si="6"/>
        <v>0</v>
      </c>
      <c r="AG20" s="791">
        <f t="shared" si="6"/>
        <v>0</v>
      </c>
      <c r="AH20" s="791" t="str">
        <f t="shared" si="6"/>
        <v/>
      </c>
      <c r="AI20" s="791">
        <f t="shared" si="6"/>
        <v>0</v>
      </c>
      <c r="AJ20" s="791">
        <f t="shared" si="6"/>
        <v>0</v>
      </c>
      <c r="AK20" s="791">
        <f t="shared" si="6"/>
        <v>0</v>
      </c>
      <c r="AL20" s="790">
        <f t="shared" si="6"/>
        <v>0</v>
      </c>
      <c r="AM20" s="791">
        <f t="shared" si="6"/>
        <v>0</v>
      </c>
      <c r="AN20" s="791" t="str">
        <f t="shared" si="6"/>
        <v/>
      </c>
      <c r="AO20" s="791">
        <f t="shared" si="6"/>
        <v>0</v>
      </c>
      <c r="AP20" s="791">
        <f t="shared" si="6"/>
        <v>0</v>
      </c>
      <c r="AQ20" s="791">
        <f t="shared" si="6"/>
        <v>0</v>
      </c>
      <c r="AR20" s="790">
        <f t="shared" si="6"/>
        <v>0</v>
      </c>
      <c r="AS20" s="251"/>
    </row>
    <row r="21" spans="2:48">
      <c r="F21" s="792" t="s">
        <v>1419</v>
      </c>
      <c r="G21" s="793" t="str">
        <f t="shared" ref="G21:AR21" si="7">IFERROR(QUARTILE(G9:G18,3),"")</f>
        <v/>
      </c>
      <c r="H21" s="793">
        <f t="shared" si="7"/>
        <v>0</v>
      </c>
      <c r="I21" s="793">
        <f t="shared" si="7"/>
        <v>0</v>
      </c>
      <c r="J21" s="793">
        <f t="shared" si="7"/>
        <v>0</v>
      </c>
      <c r="K21" s="793">
        <f t="shared" si="7"/>
        <v>0</v>
      </c>
      <c r="L21" s="793">
        <f t="shared" si="7"/>
        <v>0</v>
      </c>
      <c r="M21" s="793">
        <f t="shared" si="7"/>
        <v>0</v>
      </c>
      <c r="N21" s="793">
        <f t="shared" si="7"/>
        <v>0</v>
      </c>
      <c r="O21" s="794">
        <f t="shared" si="7"/>
        <v>0</v>
      </c>
      <c r="P21" s="794">
        <f t="shared" si="7"/>
        <v>0</v>
      </c>
      <c r="Q21" s="793">
        <f t="shared" si="7"/>
        <v>0</v>
      </c>
      <c r="R21" s="794">
        <f t="shared" si="7"/>
        <v>0</v>
      </c>
      <c r="S21" s="794">
        <f t="shared" si="7"/>
        <v>0</v>
      </c>
      <c r="T21" s="795">
        <f t="shared" si="7"/>
        <v>0</v>
      </c>
      <c r="U21" s="794">
        <f t="shared" si="7"/>
        <v>0</v>
      </c>
      <c r="V21" s="794">
        <f t="shared" si="7"/>
        <v>0</v>
      </c>
      <c r="W21" s="796">
        <f t="shared" si="7"/>
        <v>0</v>
      </c>
      <c r="X21" s="797">
        <f t="shared" si="7"/>
        <v>4.75</v>
      </c>
      <c r="Y21" s="797">
        <f t="shared" si="7"/>
        <v>0</v>
      </c>
      <c r="Z21" s="796">
        <f t="shared" si="7"/>
        <v>0</v>
      </c>
      <c r="AA21" s="797">
        <f t="shared" si="7"/>
        <v>6</v>
      </c>
      <c r="AB21" s="797">
        <f t="shared" si="7"/>
        <v>0</v>
      </c>
      <c r="AC21" s="796">
        <f t="shared" si="7"/>
        <v>0</v>
      </c>
      <c r="AD21" s="797">
        <f t="shared" si="7"/>
        <v>0</v>
      </c>
      <c r="AE21" s="797">
        <f t="shared" si="7"/>
        <v>0</v>
      </c>
      <c r="AF21" s="796" t="str">
        <f t="shared" si="7"/>
        <v/>
      </c>
      <c r="AG21" s="797" t="str">
        <f t="shared" si="7"/>
        <v/>
      </c>
      <c r="AH21" s="797" t="str">
        <f t="shared" si="7"/>
        <v/>
      </c>
      <c r="AI21" s="797" t="str">
        <f t="shared" si="7"/>
        <v/>
      </c>
      <c r="AJ21" s="797" t="str">
        <f t="shared" si="7"/>
        <v/>
      </c>
      <c r="AK21" s="797" t="str">
        <f t="shared" si="7"/>
        <v/>
      </c>
      <c r="AL21" s="796" t="str">
        <f t="shared" si="7"/>
        <v/>
      </c>
      <c r="AM21" s="797" t="str">
        <f t="shared" si="7"/>
        <v/>
      </c>
      <c r="AN21" s="797" t="str">
        <f t="shared" si="7"/>
        <v/>
      </c>
      <c r="AO21" s="797" t="str">
        <f t="shared" si="7"/>
        <v/>
      </c>
      <c r="AP21" s="797" t="str">
        <f t="shared" si="7"/>
        <v/>
      </c>
      <c r="AQ21" s="797" t="str">
        <f t="shared" si="7"/>
        <v/>
      </c>
      <c r="AR21" s="796" t="str">
        <f t="shared" si="7"/>
        <v/>
      </c>
      <c r="AS21" s="251"/>
    </row>
    <row r="22" spans="2:48">
      <c r="F22" s="792" t="s">
        <v>1369</v>
      </c>
      <c r="G22" s="793" t="str">
        <f t="shared" ref="G22:AR22" si="8">IFERROR(AVERAGE(G9:G18),"")</f>
        <v/>
      </c>
      <c r="H22" s="793">
        <f t="shared" si="8"/>
        <v>0</v>
      </c>
      <c r="I22" s="793">
        <f t="shared" si="8"/>
        <v>0</v>
      </c>
      <c r="J22" s="793">
        <f t="shared" si="8"/>
        <v>0</v>
      </c>
      <c r="K22" s="793">
        <f t="shared" si="8"/>
        <v>0</v>
      </c>
      <c r="L22" s="793">
        <f t="shared" si="8"/>
        <v>0</v>
      </c>
      <c r="M22" s="793">
        <f t="shared" si="8"/>
        <v>0</v>
      </c>
      <c r="N22" s="793">
        <f t="shared" si="8"/>
        <v>0</v>
      </c>
      <c r="O22" s="794">
        <f t="shared" si="8"/>
        <v>0</v>
      </c>
      <c r="P22" s="794">
        <f t="shared" si="8"/>
        <v>0</v>
      </c>
      <c r="Q22" s="793">
        <f t="shared" si="8"/>
        <v>0</v>
      </c>
      <c r="R22" s="794">
        <f t="shared" si="8"/>
        <v>0</v>
      </c>
      <c r="S22" s="794">
        <f t="shared" si="8"/>
        <v>0</v>
      </c>
      <c r="T22" s="795">
        <f t="shared" si="8"/>
        <v>0</v>
      </c>
      <c r="U22" s="794">
        <f t="shared" si="8"/>
        <v>0</v>
      </c>
      <c r="V22" s="794">
        <f t="shared" si="8"/>
        <v>0</v>
      </c>
      <c r="W22" s="796">
        <f t="shared" si="8"/>
        <v>0</v>
      </c>
      <c r="X22" s="797">
        <f t="shared" si="8"/>
        <v>3.7</v>
      </c>
      <c r="Y22" s="797">
        <f t="shared" si="8"/>
        <v>0</v>
      </c>
      <c r="Z22" s="796">
        <f t="shared" si="8"/>
        <v>0</v>
      </c>
      <c r="AA22" s="797">
        <f t="shared" si="8"/>
        <v>4.7</v>
      </c>
      <c r="AB22" s="797">
        <f t="shared" si="8"/>
        <v>0</v>
      </c>
      <c r="AC22" s="796">
        <f t="shared" si="8"/>
        <v>0</v>
      </c>
      <c r="AD22" s="797">
        <f t="shared" si="8"/>
        <v>0</v>
      </c>
      <c r="AE22" s="797">
        <f t="shared" si="8"/>
        <v>0</v>
      </c>
      <c r="AF22" s="796" t="str">
        <f t="shared" si="8"/>
        <v/>
      </c>
      <c r="AG22" s="797" t="str">
        <f t="shared" si="8"/>
        <v/>
      </c>
      <c r="AH22" s="797" t="str">
        <f t="shared" si="8"/>
        <v/>
      </c>
      <c r="AI22" s="797" t="str">
        <f t="shared" si="8"/>
        <v/>
      </c>
      <c r="AJ22" s="797" t="str">
        <f t="shared" si="8"/>
        <v/>
      </c>
      <c r="AK22" s="797" t="str">
        <f t="shared" si="8"/>
        <v/>
      </c>
      <c r="AL22" s="796" t="str">
        <f t="shared" si="8"/>
        <v/>
      </c>
      <c r="AM22" s="797" t="str">
        <f t="shared" si="8"/>
        <v/>
      </c>
      <c r="AN22" s="797" t="str">
        <f t="shared" si="8"/>
        <v/>
      </c>
      <c r="AO22" s="797" t="str">
        <f t="shared" si="8"/>
        <v/>
      </c>
      <c r="AP22" s="797" t="str">
        <f t="shared" si="8"/>
        <v/>
      </c>
      <c r="AQ22" s="797" t="str">
        <f t="shared" si="8"/>
        <v/>
      </c>
      <c r="AR22" s="796" t="str">
        <f t="shared" si="8"/>
        <v/>
      </c>
      <c r="AS22" s="251"/>
    </row>
    <row r="23" spans="2:48">
      <c r="F23" s="798" t="s">
        <v>1370</v>
      </c>
      <c r="G23" s="799" t="str">
        <f t="shared" ref="G23:AR23" si="9">IFERROR(MEDIAN(G9:G18),"")</f>
        <v/>
      </c>
      <c r="H23" s="799">
        <f t="shared" si="9"/>
        <v>0</v>
      </c>
      <c r="I23" s="799">
        <f t="shared" si="9"/>
        <v>0</v>
      </c>
      <c r="J23" s="799">
        <f t="shared" si="9"/>
        <v>0</v>
      </c>
      <c r="K23" s="799">
        <f t="shared" si="9"/>
        <v>0</v>
      </c>
      <c r="L23" s="799">
        <f t="shared" si="9"/>
        <v>0</v>
      </c>
      <c r="M23" s="799">
        <f t="shared" si="9"/>
        <v>0</v>
      </c>
      <c r="N23" s="799">
        <f t="shared" si="9"/>
        <v>0</v>
      </c>
      <c r="O23" s="799">
        <f t="shared" si="9"/>
        <v>0</v>
      </c>
      <c r="P23" s="799">
        <f t="shared" si="9"/>
        <v>0</v>
      </c>
      <c r="Q23" s="799">
        <f t="shared" si="9"/>
        <v>0</v>
      </c>
      <c r="R23" s="799">
        <f t="shared" si="9"/>
        <v>0</v>
      </c>
      <c r="S23" s="799">
        <f t="shared" si="9"/>
        <v>0</v>
      </c>
      <c r="T23" s="800">
        <f t="shared" si="9"/>
        <v>0</v>
      </c>
      <c r="U23" s="799">
        <f t="shared" si="9"/>
        <v>0</v>
      </c>
      <c r="V23" s="799">
        <f t="shared" si="9"/>
        <v>0</v>
      </c>
      <c r="W23" s="801">
        <f t="shared" si="9"/>
        <v>0</v>
      </c>
      <c r="X23" s="802">
        <f t="shared" si="9"/>
        <v>3.5</v>
      </c>
      <c r="Y23" s="802">
        <f t="shared" si="9"/>
        <v>0</v>
      </c>
      <c r="Z23" s="801">
        <f t="shared" si="9"/>
        <v>0</v>
      </c>
      <c r="AA23" s="802">
        <f t="shared" si="9"/>
        <v>5.5</v>
      </c>
      <c r="AB23" s="802">
        <f t="shared" si="9"/>
        <v>0</v>
      </c>
      <c r="AC23" s="801">
        <f t="shared" si="9"/>
        <v>0</v>
      </c>
      <c r="AD23" s="802">
        <f t="shared" si="9"/>
        <v>0</v>
      </c>
      <c r="AE23" s="802">
        <f t="shared" si="9"/>
        <v>0</v>
      </c>
      <c r="AF23" s="801" t="str">
        <f t="shared" si="9"/>
        <v/>
      </c>
      <c r="AG23" s="802" t="str">
        <f t="shared" si="9"/>
        <v/>
      </c>
      <c r="AH23" s="802" t="str">
        <f t="shared" si="9"/>
        <v/>
      </c>
      <c r="AI23" s="802" t="str">
        <f t="shared" si="9"/>
        <v/>
      </c>
      <c r="AJ23" s="802" t="str">
        <f t="shared" si="9"/>
        <v/>
      </c>
      <c r="AK23" s="802" t="str">
        <f t="shared" si="9"/>
        <v/>
      </c>
      <c r="AL23" s="801" t="str">
        <f t="shared" si="9"/>
        <v/>
      </c>
      <c r="AM23" s="802" t="str">
        <f t="shared" si="9"/>
        <v/>
      </c>
      <c r="AN23" s="802" t="str">
        <f t="shared" si="9"/>
        <v/>
      </c>
      <c r="AO23" s="802" t="str">
        <f t="shared" si="9"/>
        <v/>
      </c>
      <c r="AP23" s="802" t="str">
        <f t="shared" si="9"/>
        <v/>
      </c>
      <c r="AQ23" s="802" t="str">
        <f t="shared" si="9"/>
        <v/>
      </c>
      <c r="AR23" s="801" t="str">
        <f t="shared" si="9"/>
        <v/>
      </c>
      <c r="AS23" s="251"/>
    </row>
    <row r="24" spans="2:48">
      <c r="F24" s="792" t="s">
        <v>1420</v>
      </c>
      <c r="G24" s="793" t="str">
        <f t="shared" ref="G24:AR24" si="10">IFERROR(QUARTILE(G9:G18,1),"")</f>
        <v/>
      </c>
      <c r="H24" s="793">
        <f t="shared" si="10"/>
        <v>0</v>
      </c>
      <c r="I24" s="793">
        <f t="shared" si="10"/>
        <v>0</v>
      </c>
      <c r="J24" s="793">
        <f t="shared" si="10"/>
        <v>0</v>
      </c>
      <c r="K24" s="793">
        <f t="shared" si="10"/>
        <v>0</v>
      </c>
      <c r="L24" s="793">
        <f t="shared" si="10"/>
        <v>0</v>
      </c>
      <c r="M24" s="793">
        <f t="shared" si="10"/>
        <v>0</v>
      </c>
      <c r="N24" s="793">
        <f t="shared" si="10"/>
        <v>0</v>
      </c>
      <c r="O24" s="794">
        <f t="shared" si="10"/>
        <v>0</v>
      </c>
      <c r="P24" s="794">
        <f t="shared" si="10"/>
        <v>0</v>
      </c>
      <c r="Q24" s="793">
        <f t="shared" si="10"/>
        <v>0</v>
      </c>
      <c r="R24" s="794">
        <f t="shared" si="10"/>
        <v>0</v>
      </c>
      <c r="S24" s="794">
        <f t="shared" si="10"/>
        <v>0</v>
      </c>
      <c r="T24" s="795">
        <f t="shared" si="10"/>
        <v>0</v>
      </c>
      <c r="U24" s="794">
        <f t="shared" si="10"/>
        <v>0</v>
      </c>
      <c r="V24" s="794">
        <f t="shared" si="10"/>
        <v>0</v>
      </c>
      <c r="W24" s="796">
        <f t="shared" si="10"/>
        <v>0</v>
      </c>
      <c r="X24" s="797">
        <f t="shared" si="10"/>
        <v>3</v>
      </c>
      <c r="Y24" s="797">
        <f t="shared" si="10"/>
        <v>0</v>
      </c>
      <c r="Z24" s="796">
        <f t="shared" si="10"/>
        <v>0</v>
      </c>
      <c r="AA24" s="797">
        <f t="shared" si="10"/>
        <v>2.5</v>
      </c>
      <c r="AB24" s="797">
        <f t="shared" si="10"/>
        <v>0</v>
      </c>
      <c r="AC24" s="796">
        <f t="shared" si="10"/>
        <v>0</v>
      </c>
      <c r="AD24" s="797">
        <f t="shared" si="10"/>
        <v>0</v>
      </c>
      <c r="AE24" s="797">
        <f t="shared" si="10"/>
        <v>0</v>
      </c>
      <c r="AF24" s="796" t="str">
        <f t="shared" si="10"/>
        <v/>
      </c>
      <c r="AG24" s="797" t="str">
        <f t="shared" si="10"/>
        <v/>
      </c>
      <c r="AH24" s="797" t="str">
        <f t="shared" si="10"/>
        <v/>
      </c>
      <c r="AI24" s="797" t="str">
        <f t="shared" si="10"/>
        <v/>
      </c>
      <c r="AJ24" s="797" t="str">
        <f t="shared" si="10"/>
        <v/>
      </c>
      <c r="AK24" s="797" t="str">
        <f t="shared" si="10"/>
        <v/>
      </c>
      <c r="AL24" s="796" t="str">
        <f t="shared" si="10"/>
        <v/>
      </c>
      <c r="AM24" s="797" t="str">
        <f t="shared" si="10"/>
        <v/>
      </c>
      <c r="AN24" s="797" t="str">
        <f t="shared" si="10"/>
        <v/>
      </c>
      <c r="AO24" s="797" t="str">
        <f t="shared" si="10"/>
        <v/>
      </c>
      <c r="AP24" s="797" t="str">
        <f t="shared" si="10"/>
        <v/>
      </c>
      <c r="AQ24" s="797" t="str">
        <f t="shared" si="10"/>
        <v/>
      </c>
      <c r="AR24" s="796" t="str">
        <f t="shared" si="10"/>
        <v/>
      </c>
      <c r="AS24" s="251"/>
    </row>
    <row r="25" spans="2:48">
      <c r="F25" s="803" t="s">
        <v>208</v>
      </c>
      <c r="G25" s="804">
        <f t="shared" ref="G25:AR25" si="11">IFERROR(MIN(G9:G18),"")</f>
        <v>0</v>
      </c>
      <c r="H25" s="804">
        <f t="shared" si="11"/>
        <v>0</v>
      </c>
      <c r="I25" s="804">
        <f t="shared" si="11"/>
        <v>0</v>
      </c>
      <c r="J25" s="804">
        <f t="shared" si="11"/>
        <v>0</v>
      </c>
      <c r="K25" s="804">
        <f t="shared" si="11"/>
        <v>0</v>
      </c>
      <c r="L25" s="804">
        <f t="shared" si="11"/>
        <v>0</v>
      </c>
      <c r="M25" s="804">
        <f t="shared" si="11"/>
        <v>0</v>
      </c>
      <c r="N25" s="804">
        <f t="shared" si="11"/>
        <v>0</v>
      </c>
      <c r="O25" s="805">
        <f t="shared" si="11"/>
        <v>0</v>
      </c>
      <c r="P25" s="805">
        <f t="shared" si="11"/>
        <v>0</v>
      </c>
      <c r="Q25" s="804">
        <f t="shared" si="11"/>
        <v>0</v>
      </c>
      <c r="R25" s="805">
        <f t="shared" si="11"/>
        <v>0</v>
      </c>
      <c r="S25" s="805">
        <f t="shared" si="11"/>
        <v>0</v>
      </c>
      <c r="T25" s="806">
        <f t="shared" si="11"/>
        <v>0</v>
      </c>
      <c r="U25" s="805">
        <f t="shared" si="11"/>
        <v>0</v>
      </c>
      <c r="V25" s="805">
        <f t="shared" si="11"/>
        <v>0</v>
      </c>
      <c r="W25" s="807">
        <f t="shared" si="11"/>
        <v>0</v>
      </c>
      <c r="X25" s="808">
        <f t="shared" si="11"/>
        <v>2</v>
      </c>
      <c r="Y25" s="808">
        <f t="shared" si="11"/>
        <v>0</v>
      </c>
      <c r="Z25" s="807">
        <f t="shared" si="11"/>
        <v>0</v>
      </c>
      <c r="AA25" s="808">
        <f t="shared" si="11"/>
        <v>0</v>
      </c>
      <c r="AB25" s="808">
        <f t="shared" si="11"/>
        <v>0</v>
      </c>
      <c r="AC25" s="807">
        <f t="shared" si="11"/>
        <v>0</v>
      </c>
      <c r="AD25" s="808">
        <f t="shared" si="11"/>
        <v>0</v>
      </c>
      <c r="AE25" s="808">
        <f t="shared" si="11"/>
        <v>0</v>
      </c>
      <c r="AF25" s="807">
        <f t="shared" si="11"/>
        <v>0</v>
      </c>
      <c r="AG25" s="808">
        <f t="shared" si="11"/>
        <v>0</v>
      </c>
      <c r="AH25" s="808" t="str">
        <f t="shared" si="11"/>
        <v/>
      </c>
      <c r="AI25" s="808">
        <f t="shared" si="11"/>
        <v>0</v>
      </c>
      <c r="AJ25" s="808">
        <f t="shared" si="11"/>
        <v>0</v>
      </c>
      <c r="AK25" s="808">
        <f t="shared" si="11"/>
        <v>0</v>
      </c>
      <c r="AL25" s="807">
        <f t="shared" si="11"/>
        <v>0</v>
      </c>
      <c r="AM25" s="808">
        <f t="shared" si="11"/>
        <v>0</v>
      </c>
      <c r="AN25" s="808" t="str">
        <f t="shared" si="11"/>
        <v/>
      </c>
      <c r="AO25" s="808">
        <f t="shared" si="11"/>
        <v>0</v>
      </c>
      <c r="AP25" s="808">
        <f t="shared" si="11"/>
        <v>0</v>
      </c>
      <c r="AQ25" s="808">
        <f t="shared" si="11"/>
        <v>0</v>
      </c>
      <c r="AR25" s="807">
        <f t="shared" si="11"/>
        <v>0</v>
      </c>
      <c r="AS25" s="251"/>
    </row>
    <row r="27" spans="2:48">
      <c r="D27" s="784"/>
      <c r="F27" s="809"/>
      <c r="G27" s="784"/>
      <c r="H27" s="784"/>
      <c r="I27" s="784"/>
      <c r="J27" s="784"/>
      <c r="K27" s="784"/>
      <c r="L27" s="784"/>
      <c r="M27" s="784"/>
      <c r="N27" s="784"/>
      <c r="O27" s="784"/>
      <c r="P27" s="784"/>
      <c r="Q27" s="784"/>
      <c r="R27" s="784"/>
      <c r="S27" s="784"/>
      <c r="T27" s="784"/>
      <c r="U27" s="784"/>
      <c r="V27" s="784"/>
      <c r="W27" s="784"/>
      <c r="X27" s="784"/>
      <c r="Y27" s="784"/>
      <c r="Z27" s="784"/>
      <c r="AA27" s="784"/>
      <c r="AB27" s="784"/>
      <c r="AC27" s="784"/>
      <c r="AD27" s="784"/>
      <c r="AE27" s="784"/>
      <c r="AH27" s="784"/>
      <c r="AN27" s="784"/>
    </row>
    <row r="28" spans="2:48">
      <c r="D28" s="784"/>
      <c r="E28" s="784"/>
      <c r="F28" s="786" t="s">
        <v>209</v>
      </c>
      <c r="G28" s="787">
        <f t="array" ref="G28">IFERROR(MAX(IF($AV$9:$AV$18="No",G9:G18)),"")</f>
        <v>0</v>
      </c>
      <c r="H28" s="787">
        <f t="array" ref="H28">IFERROR(MAX(IF($AV$9:$AV$18="No",H9:H18)),"")</f>
        <v>0</v>
      </c>
      <c r="I28" s="787">
        <f t="array" ref="I28">IFERROR(MAX(IF($AV$9:$AV$18="No",I9:I18)),"")</f>
        <v>0</v>
      </c>
      <c r="J28" s="787">
        <f t="array" ref="J28">IFERROR(MAX(IF($AV$9:$AV$18="No",J9:J18)),"")</f>
        <v>0</v>
      </c>
      <c r="K28" s="787">
        <f t="array" ref="K28">IFERROR(MAX(IF($AV$9:$AV$18="No",K9:K18)),"")</f>
        <v>0</v>
      </c>
      <c r="L28" s="787">
        <f t="array" ref="L28">IFERROR(MAX(IF($AV$9:$AV$18="No",L9:L18)),"")</f>
        <v>0</v>
      </c>
      <c r="M28" s="787">
        <f t="array" ref="M28">IFERROR(MAX(IF($AV$9:$AV$18="No",M9:M18)),"")</f>
        <v>0</v>
      </c>
      <c r="N28" s="787">
        <f t="array" ref="N28">IFERROR(MAX(IF($AV$9:$AV$18="No",N9:N18)),"")</f>
        <v>0</v>
      </c>
      <c r="O28" s="788">
        <f t="array" ref="O28">IFERROR(MAX(IF($AV$9:$AV$18="No",O9:O18)),"")</f>
        <v>0</v>
      </c>
      <c r="P28" s="788">
        <f t="array" ref="P28">IFERROR(MAX(IF($AV$9:$AV$18="No",P9:P18)),"")</f>
        <v>0</v>
      </c>
      <c r="Q28" s="787">
        <f t="array" ref="Q28">IFERROR(MAX(IF($AV$9:$AV$18="No",Q9:Q18)),"")</f>
        <v>0</v>
      </c>
      <c r="R28" s="788">
        <f t="array" ref="R28">IFERROR(MAX(IF($AV$9:$AV$18="No",R9:R18)),"")</f>
        <v>0</v>
      </c>
      <c r="S28" s="788">
        <f t="array" ref="S28">IFERROR(MAX(IF($AV$9:$AV$18="No",S9:S18)),"")</f>
        <v>0</v>
      </c>
      <c r="T28" s="789">
        <f t="array" ref="T28">IFERROR(MAX(IF($AV$9:$AV$18="No",T9:T18)),"")</f>
        <v>0</v>
      </c>
      <c r="U28" s="788">
        <f t="array" ref="U28">IFERROR(MAX(IF($AV$9:$AV$18="No",U9:U18)),"")</f>
        <v>0</v>
      </c>
      <c r="V28" s="788">
        <f t="array" ref="V28">IFERROR(MAX(IF($AV$9:$AV$18="No",V9:V18)),"")</f>
        <v>0</v>
      </c>
      <c r="W28" s="790" cm="1">
        <f t="array" ref="W28">IFERROR(MAX(IF($AV$9:$AV$18="No",W9:W18)),"")</f>
        <v>0</v>
      </c>
      <c r="X28" s="791">
        <f t="array" ref="X28">IFERROR(MAX(IF($AV$9:$AV$18="No",X9:X18)),"")</f>
        <v>6</v>
      </c>
      <c r="Y28" s="791">
        <f t="array" ref="Y28">IFERROR(MAX(IF($AV$9:$AV$18="No",Y9:Y18)),"")</f>
        <v>0</v>
      </c>
      <c r="Z28" s="790" cm="1">
        <f t="array" ref="Z28">IFERROR(MAX(IF($AV$9:$AV$18="No",Z9:Z18)),"")</f>
        <v>0</v>
      </c>
      <c r="AA28" s="791">
        <f t="array" ref="AA28">IFERROR(MAX(IF($AV$9:$AV$18="No",AA9:AA18)),"")</f>
        <v>9</v>
      </c>
      <c r="AB28" s="791">
        <f t="array" ref="AB28">IFERROR(MAX(IF($AV$9:$AV$18="No",AB9:AB18)),"")</f>
        <v>0</v>
      </c>
      <c r="AC28" s="790">
        <f t="array" ref="AC28">IFERROR(MAX(IF($AV$9:$AV$18="No",AC9:AC18)),"")</f>
        <v>0</v>
      </c>
      <c r="AD28" s="791">
        <f t="array" ref="AD28">IFERROR(MAX(IF($AV$9:$AV$18="No",AD9:AD18)),"")</f>
        <v>0</v>
      </c>
      <c r="AE28" s="791">
        <f t="array" ref="AE28">IFERROR(MAX(IF($AV$9:$AV$18="No",AE9:AE18)),"")</f>
        <v>0</v>
      </c>
      <c r="AF28" s="790">
        <f t="array" ref="AF28">IFERROR(MAX(IF($AV$9:$AV$18="No",AF9:AF18)),"")</f>
        <v>0</v>
      </c>
      <c r="AG28" s="791">
        <f t="array" ref="AG28">IFERROR(MAX(IF($AV$9:$AV$18="No",AG9:AG18)),"")</f>
        <v>0</v>
      </c>
      <c r="AH28" s="791" t="str">
        <f t="array" ref="AH28">IFERROR(MAX(IF($AV$9:$AV$18="No",AH9:AH18)),"")</f>
        <v/>
      </c>
      <c r="AI28" s="791">
        <f t="array" ref="AI28">IFERROR(MAX(IF($AV$9:$AV$18="No",AI9:AI18)),"")</f>
        <v>0</v>
      </c>
      <c r="AJ28" s="791">
        <f t="array" ref="AJ28">IFERROR(MAX(IF($AV$9:$AV$18="No",AJ9:AJ18)),"")</f>
        <v>0</v>
      </c>
      <c r="AK28" s="791">
        <f t="array" ref="AK28">IFERROR(MAX(IF($AV$9:$AV$18="No",AK9:AK18)),"")</f>
        <v>0</v>
      </c>
      <c r="AL28" s="790">
        <f t="array" ref="AL28">IFERROR(MAX(IF($AV$9:$AV$18="No",AL9:AL18)),"")</f>
        <v>0</v>
      </c>
      <c r="AM28" s="791">
        <f t="array" ref="AM28">IFERROR(MAX(IF($AV$9:$AV$18="No",AM9:AM18)),"")</f>
        <v>0</v>
      </c>
      <c r="AN28" s="791" t="str">
        <f t="array" ref="AN28">IFERROR(MAX(IF($AV$9:$AV$18="No",AN9:AN18)),"")</f>
        <v/>
      </c>
      <c r="AO28" s="791">
        <f t="array" ref="AO28">IFERROR(MAX(IF($AV$9:$AV$18="No",AO9:AO18)),"")</f>
        <v>0</v>
      </c>
      <c r="AP28" s="791">
        <f t="array" ref="AP28">IFERROR(MAX(IF($AV$9:$AV$18="No",AP9:AP18)),"")</f>
        <v>0</v>
      </c>
      <c r="AQ28" s="791">
        <f t="array" ref="AQ28">IFERROR(MAX(IF($AV$9:$AV$18="No",AQ9:AQ18)),"")</f>
        <v>0</v>
      </c>
      <c r="AR28" s="790">
        <f t="array" ref="AR28">IFERROR(MAX(IF($AV$9:$AV$18="No",AR9:AR18)),"")</f>
        <v>0</v>
      </c>
      <c r="AS28" s="251"/>
    </row>
    <row r="29" spans="2:48">
      <c r="D29" s="784"/>
      <c r="E29" s="784"/>
      <c r="F29" s="792" t="s">
        <v>1419</v>
      </c>
      <c r="G29" s="793">
        <f t="array" ref="G29">IFERROR(PERCENTILE(IF($AV$9:$AV$18="No",G9:G18),0.75),"")</f>
        <v>0</v>
      </c>
      <c r="H29" s="793">
        <f t="array" ref="H29">IFERROR(PERCENTILE(IF($AV$9:$AV$18="No",H9:H18),0.75),"")</f>
        <v>0</v>
      </c>
      <c r="I29" s="793">
        <f t="array" ref="I29">IFERROR(PERCENTILE(IF($AV$9:$AV$18="No",I9:I18),0.75),"")</f>
        <v>0</v>
      </c>
      <c r="J29" s="793">
        <f t="array" ref="J29">IFERROR(PERCENTILE(IF($AV$9:$AV$18="No",J9:J18),0.75),"")</f>
        <v>0</v>
      </c>
      <c r="K29" s="793">
        <f t="array" ref="K29">IFERROR(PERCENTILE(IF($AV$9:$AV$18="No",K9:K18),0.75),"")</f>
        <v>0</v>
      </c>
      <c r="L29" s="793">
        <f t="array" ref="L29">IFERROR(PERCENTILE(IF($AV$9:$AV$18="No",L9:L18),0.75),"")</f>
        <v>0</v>
      </c>
      <c r="M29" s="793">
        <f t="array" ref="M29">IFERROR(PERCENTILE(IF($AV$9:$AV$18="No",M9:M18),0.75),"")</f>
        <v>0</v>
      </c>
      <c r="N29" s="793">
        <f t="array" ref="N29">IFERROR(PERCENTILE(IF($AV$9:$AV$18="No",N9:N18),0.75),"")</f>
        <v>0</v>
      </c>
      <c r="O29" s="794">
        <f t="array" ref="O29">IFERROR(PERCENTILE(IF($AV$9:$AV$18="No",O9:O18),0.75),"")</f>
        <v>0</v>
      </c>
      <c r="P29" s="794">
        <f t="array" ref="P29">IFERROR(PERCENTILE(IF($AV$9:$AV$18="No",P9:P18),0.75),"")</f>
        <v>0</v>
      </c>
      <c r="Q29" s="793">
        <f t="array" ref="Q29">IFERROR(PERCENTILE(IF($AV$9:$AV$18="No",Q9:Q18),0.75),"")</f>
        <v>0</v>
      </c>
      <c r="R29" s="794">
        <f t="array" ref="R29">IFERROR(PERCENTILE(IF($AV$9:$AV$18="No",R9:R18),0.75),"")</f>
        <v>0</v>
      </c>
      <c r="S29" s="794">
        <f t="array" ref="S29">IFERROR(PERCENTILE(IF($AV$9:$AV$18="No",S9:S18),0.75),"")</f>
        <v>0</v>
      </c>
      <c r="T29" s="795">
        <f t="array" ref="T29">IFERROR(PERCENTILE(IF($AV$9:$AV$18="No",T9:T18),0.75),"")</f>
        <v>0</v>
      </c>
      <c r="U29" s="794">
        <f t="array" ref="U29">IFERROR(PERCENTILE(IF($AV$9:$AV$18="No",U9:U18),0.75),"")</f>
        <v>0</v>
      </c>
      <c r="V29" s="794">
        <f t="array" ref="V29">IFERROR(PERCENTILE(IF($AV$9:$AV$18="No",V9:V18),0.75),"")</f>
        <v>0</v>
      </c>
      <c r="W29" s="796">
        <f t="array" ref="W29">IFERROR(PERCENTILE(IF($AV$9:$AV$18="No",W9:W18),0.75),"")</f>
        <v>0</v>
      </c>
      <c r="X29" s="797">
        <f t="array" ref="X29">IFERROR(PERCENTILE(IF($AV$9:$AV$18="No",X9:X18),0.75),"")</f>
        <v>4.75</v>
      </c>
      <c r="Y29" s="797">
        <f t="array" ref="Y29">IFERROR(PERCENTILE(IF($AV$9:$AV$18="No",Y9:Y18),0.75),"")</f>
        <v>0</v>
      </c>
      <c r="Z29" s="796">
        <f t="array" ref="Z29">IFERROR(PERCENTILE(IF($AV$9:$AV$18="No",Z9:Z18),0.75),"")</f>
        <v>0</v>
      </c>
      <c r="AA29" s="797">
        <f t="array" ref="AA29">IFERROR(PERCENTILE(IF($AV$9:$AV$18="No",AA9:AA18),0.75),"")</f>
        <v>6</v>
      </c>
      <c r="AB29" s="797">
        <f t="array" ref="AB29">IFERROR(PERCENTILE(IF($AV$9:$AV$18="No",AB9:AB18),0.75),"")</f>
        <v>0</v>
      </c>
      <c r="AC29" s="796">
        <f t="array" ref="AC29">IFERROR(PERCENTILE(IF($AV$9:$AV$18="No",AC9:AC18),0.75),"")</f>
        <v>0</v>
      </c>
      <c r="AD29" s="797">
        <f t="array" ref="AD29">IFERROR(PERCENTILE(IF($AV$9:$AV$18="No",AD9:AD18),0.75),"")</f>
        <v>0</v>
      </c>
      <c r="AE29" s="797">
        <f t="array" ref="AE29">IFERROR(PERCENTILE(IF($AV$9:$AV$18="No",AE9:AE18),0.75),"")</f>
        <v>0</v>
      </c>
      <c r="AF29" s="796" t="str">
        <f t="array" ref="AF29">IFERROR(PERCENTILE(IF($AV$9:$AV$18="No",AF9:AF18),0.75),"")</f>
        <v/>
      </c>
      <c r="AG29" s="797" t="str">
        <f t="array" ref="AG29">IFERROR(PERCENTILE(IF($AV$9:$AV$18="No",AG9:AG18),0.75),"")</f>
        <v/>
      </c>
      <c r="AH29" s="797" t="str">
        <f t="array" ref="AH29">IFERROR(PERCENTILE(IF($AV$9:$AV$18="No",AH9:AH18),0.75),"")</f>
        <v/>
      </c>
      <c r="AI29" s="797" t="str">
        <f t="array" ref="AI29">IFERROR(PERCENTILE(IF($AV$9:$AV$18="No",AI9:AI18),0.75),"")</f>
        <v/>
      </c>
      <c r="AJ29" s="797" t="str">
        <f t="array" ref="AJ29">IFERROR(PERCENTILE(IF($AV$9:$AV$18="No",AJ9:AJ18),0.75),"")</f>
        <v/>
      </c>
      <c r="AK29" s="797" t="str">
        <f t="array" ref="AK29">IFERROR(PERCENTILE(IF($AV$9:$AV$18="No",AK9:AK18),0.75),"")</f>
        <v/>
      </c>
      <c r="AL29" s="796" t="str">
        <f t="array" ref="AL29">IFERROR(PERCENTILE(IF($AV$9:$AV$18="No",AL9:AL18),0.75),"")</f>
        <v/>
      </c>
      <c r="AM29" s="797" t="str">
        <f t="array" ref="AM29">IFERROR(PERCENTILE(IF($AV$9:$AV$18="No",AM9:AM18),0.75),"")</f>
        <v/>
      </c>
      <c r="AN29" s="797" t="str">
        <f t="array" ref="AN29">IFERROR(PERCENTILE(IF($AV$9:$AV$18="No",AN9:AN18),0.75),"")</f>
        <v/>
      </c>
      <c r="AO29" s="797" t="str">
        <f t="array" ref="AO29">IFERROR(PERCENTILE(IF($AV$9:$AV$18="No",AO9:AO18),0.75),"")</f>
        <v/>
      </c>
      <c r="AP29" s="797" t="str">
        <f t="array" ref="AP29">IFERROR(PERCENTILE(IF($AV$9:$AV$18="No",AP9:AP18),0.75),"")</f>
        <v/>
      </c>
      <c r="AQ29" s="797" t="str">
        <f t="array" ref="AQ29">IFERROR(PERCENTILE(IF($AV$9:$AV$18="No",AQ9:AQ18),0.75),"")</f>
        <v/>
      </c>
      <c r="AR29" s="796" t="str">
        <f t="array" ref="AR29">IFERROR(PERCENTILE(IF($AV$9:$AV$18="No",AR9:AR18),0.75),"")</f>
        <v/>
      </c>
      <c r="AS29" s="251"/>
    </row>
    <row r="30" spans="2:48">
      <c r="D30" s="784"/>
      <c r="E30" s="784"/>
      <c r="F30" s="792" t="s">
        <v>1369</v>
      </c>
      <c r="G30" s="793" t="str">
        <f t="array" ref="G30">IFERROR(AVERAGEIF($AV$9:$AV$18,"No",G9:G18),"")</f>
        <v/>
      </c>
      <c r="H30" s="793">
        <f t="array" ref="H30">IFERROR(AVERAGEIF($AV$9:$AV$18,"No",H9:H18),"")</f>
        <v>0</v>
      </c>
      <c r="I30" s="793">
        <f t="array" ref="I30">IFERROR(AVERAGEIF($AV$9:$AV$18,"No",I9:I18),"")</f>
        <v>0</v>
      </c>
      <c r="J30" s="793">
        <f t="array" ref="J30">IFERROR(AVERAGEIF($AV$9:$AV$18,"No",J9:J18),"")</f>
        <v>0</v>
      </c>
      <c r="K30" s="793">
        <f t="array" ref="K30">IFERROR(AVERAGEIF($AV$9:$AV$18,"No",K9:K18),"")</f>
        <v>0</v>
      </c>
      <c r="L30" s="793">
        <f t="array" ref="L30">IFERROR(AVERAGEIF($AV$9:$AV$18,"No",L9:L18),"")</f>
        <v>0</v>
      </c>
      <c r="M30" s="793">
        <f t="array" ref="M30">IFERROR(AVERAGEIF($AV$9:$AV$18,"No",M9:M18),"")</f>
        <v>0</v>
      </c>
      <c r="N30" s="793">
        <f t="array" ref="N30">IFERROR(AVERAGEIF($AV$9:$AV$18,"No",N9:N18),"")</f>
        <v>0</v>
      </c>
      <c r="O30" s="794">
        <f t="array" ref="O30">IFERROR(AVERAGEIF($AV$9:$AV$18,"No",O9:O18),"")</f>
        <v>0</v>
      </c>
      <c r="P30" s="794">
        <f t="array" ref="P30">IFERROR(AVERAGEIF($AV$9:$AV$18,"No",P9:P18),"")</f>
        <v>0</v>
      </c>
      <c r="Q30" s="793">
        <f t="array" ref="Q30">IFERROR(AVERAGEIF($AV$9:$AV$18,"No",Q9:Q18),"")</f>
        <v>0</v>
      </c>
      <c r="R30" s="794">
        <f t="array" ref="R30">IFERROR(AVERAGEIF($AV$9:$AV$18,"No",R9:R18),"")</f>
        <v>0</v>
      </c>
      <c r="S30" s="794">
        <f t="array" ref="S30">IFERROR(AVERAGEIF($AV$9:$AV$18,"No",S9:S18),"")</f>
        <v>0</v>
      </c>
      <c r="T30" s="795">
        <f t="array" ref="T30">IFERROR(AVERAGEIF($AV$9:$AV$18,"No",T9:T18),"")</f>
        <v>0</v>
      </c>
      <c r="U30" s="794">
        <f t="array" ref="U30">IFERROR(AVERAGEIF($AV$9:$AV$18,"No",U9:U18),"")</f>
        <v>0</v>
      </c>
      <c r="V30" s="794">
        <f t="array" ref="V30">IFERROR(AVERAGEIF($AV$9:$AV$18,"No",V9:V18),"")</f>
        <v>0</v>
      </c>
      <c r="W30" s="796">
        <f t="array" ref="W30">IFERROR(AVERAGEIF($AV$9:$AV$18,"No",W9:W18),"")</f>
        <v>0</v>
      </c>
      <c r="X30" s="797">
        <f t="array" ref="X30">IFERROR(AVERAGEIF($AV$9:$AV$18,"No",X9:X18),"")</f>
        <v>3.7</v>
      </c>
      <c r="Y30" s="797">
        <f t="array" ref="Y30">IFERROR(AVERAGEIF($AV$9:$AV$18,"No",Y9:Y18),"")</f>
        <v>0</v>
      </c>
      <c r="Z30" s="796">
        <f t="array" ref="Z30">IFERROR(AVERAGEIF($AV$9:$AV$18,"No",Z9:Z18),"")</f>
        <v>0</v>
      </c>
      <c r="AA30" s="797">
        <f t="array" ref="AA30">IFERROR(AVERAGEIF($AV$9:$AV$18,"No",AA9:AA18),"")</f>
        <v>4.7</v>
      </c>
      <c r="AB30" s="797">
        <f t="array" ref="AB30">IFERROR(AVERAGEIF($AV$9:$AV$18,"No",AB9:AB18),"")</f>
        <v>0</v>
      </c>
      <c r="AC30" s="796">
        <f t="array" ref="AC30">IFERROR(AVERAGEIF($AV$9:$AV$18,"No",AC9:AC18),"")</f>
        <v>0</v>
      </c>
      <c r="AD30" s="797">
        <f t="array" ref="AD30">IFERROR(AVERAGEIF($AV$9:$AV$18,"No",AD9:AD18),"")</f>
        <v>0</v>
      </c>
      <c r="AE30" s="797">
        <f t="array" ref="AE30">IFERROR(AVERAGEIF($AV$9:$AV$18,"No",AE9:AE18),"")</f>
        <v>0</v>
      </c>
      <c r="AF30" s="796" t="str">
        <f t="array" ref="AF30">IFERROR(AVERAGEIF($AV$9:$AV$18,"No",AF9:AF18),"")</f>
        <v/>
      </c>
      <c r="AG30" s="797" t="str">
        <f t="array" ref="AG30">IFERROR(AVERAGEIF($AV$9:$AV$18,"No",AG9:AG18),"")</f>
        <v/>
      </c>
      <c r="AH30" s="797" t="str">
        <f t="array" ref="AH30">IFERROR(AVERAGEIF($AV$9:$AV$18,"No",AH9:AH18),"")</f>
        <v/>
      </c>
      <c r="AI30" s="797" t="str">
        <f t="array" ref="AI30">IFERROR(AVERAGEIF($AV$9:$AV$18,"No",AI9:AI18),"")</f>
        <v/>
      </c>
      <c r="AJ30" s="797" t="str">
        <f t="array" ref="AJ30">IFERROR(AVERAGEIF($AV$9:$AV$18,"No",AJ9:AJ18),"")</f>
        <v/>
      </c>
      <c r="AK30" s="797" t="str">
        <f t="array" ref="AK30">IFERROR(AVERAGEIF($AV$9:$AV$18,"No",AK9:AK18),"")</f>
        <v/>
      </c>
      <c r="AL30" s="796" t="str">
        <f t="array" ref="AL30">IFERROR(AVERAGEIF($AV$9:$AV$18,"No",AL9:AL18),"")</f>
        <v/>
      </c>
      <c r="AM30" s="797" t="str">
        <f t="array" ref="AM30">IFERROR(AVERAGEIF($AV$9:$AV$18,"No",AM9:AM18),"")</f>
        <v/>
      </c>
      <c r="AN30" s="797" t="str">
        <f t="array" ref="AN30">IFERROR(AVERAGEIF($AV$9:$AV$18,"No",AN9:AN18),"")</f>
        <v/>
      </c>
      <c r="AO30" s="797" t="str">
        <f t="array" ref="AO30">IFERROR(AVERAGEIF($AV$9:$AV$18,"No",AO9:AO18),"")</f>
        <v/>
      </c>
      <c r="AP30" s="797" t="str">
        <f t="array" ref="AP30">IFERROR(AVERAGEIF($AV$9:$AV$18,"No",AP9:AP18),"")</f>
        <v/>
      </c>
      <c r="AQ30" s="797" t="str">
        <f t="array" ref="AQ30">IFERROR(AVERAGEIF($AV$9:$AV$18,"No",AQ9:AQ18),"")</f>
        <v/>
      </c>
      <c r="AR30" s="796" t="str">
        <f t="array" ref="AR30">IFERROR(AVERAGEIF($AV$9:$AV$18,"No",AR9:AR18),"")</f>
        <v/>
      </c>
      <c r="AS30" s="251"/>
    </row>
    <row r="31" spans="2:48">
      <c r="D31" s="784"/>
      <c r="E31" s="784"/>
      <c r="F31" s="798" t="s">
        <v>1370</v>
      </c>
      <c r="G31" s="799">
        <f t="array" ref="G31">IFERROR(MEDIAN(IF($AV$9:$AV$18="No",G9:G18)),"")</f>
        <v>0</v>
      </c>
      <c r="H31" s="799">
        <f t="array" ref="H31">IFERROR(MEDIAN(IF($AV$9:$AV$18="No",H9:H18)),"")</f>
        <v>0</v>
      </c>
      <c r="I31" s="799">
        <f t="array" ref="I31">IFERROR(MEDIAN(IF($AV$9:$AV$18="No",I9:I18)),"")</f>
        <v>0</v>
      </c>
      <c r="J31" s="799">
        <f t="array" ref="J31">IFERROR(MEDIAN(IF($AV$9:$AV$18="No",J9:J18)),"")</f>
        <v>0</v>
      </c>
      <c r="K31" s="799">
        <f t="array" ref="K31">IFERROR(MEDIAN(IF($AV$9:$AV$18="No",K9:K18)),"")</f>
        <v>0</v>
      </c>
      <c r="L31" s="799">
        <f t="array" ref="L31">IFERROR(MEDIAN(IF($AV$9:$AV$18="No",L9:L18)),"")</f>
        <v>0</v>
      </c>
      <c r="M31" s="799">
        <f t="array" ref="M31">IFERROR(MEDIAN(IF($AV$9:$AV$18="No",M9:M18)),"")</f>
        <v>0</v>
      </c>
      <c r="N31" s="799">
        <f t="array" ref="N31">IFERROR(MEDIAN(IF($AV$9:$AV$18="No",N9:N18)),"")</f>
        <v>0</v>
      </c>
      <c r="O31" s="799">
        <f t="array" ref="O31">IFERROR(MEDIAN(IF($AV$9:$AV$18="No",O9:O18)),"")</f>
        <v>0</v>
      </c>
      <c r="P31" s="799">
        <f t="array" ref="P31">IFERROR(MEDIAN(IF($AV$9:$AV$18="No",P9:P18)),"")</f>
        <v>0</v>
      </c>
      <c r="Q31" s="799">
        <f t="array" ref="Q31">IFERROR(MEDIAN(IF($AV$9:$AV$18="No",Q9:Q18)),"")</f>
        <v>0</v>
      </c>
      <c r="R31" s="799">
        <f t="array" ref="R31">IFERROR(MEDIAN(IF($AV$9:$AV$18="No",R9:R18)),"")</f>
        <v>0</v>
      </c>
      <c r="S31" s="799">
        <f t="array" ref="S31">IFERROR(MEDIAN(IF($AV$9:$AV$18="No",S9:S18)),"")</f>
        <v>0</v>
      </c>
      <c r="T31" s="800">
        <f t="array" ref="T31">IFERROR(MEDIAN(IF($AV$9:$AV$18="No",T9:T18)),"")</f>
        <v>0</v>
      </c>
      <c r="U31" s="799">
        <f t="array" ref="U31">IFERROR(MEDIAN(IF($AV$9:$AV$18="No",U9:U18)),"")</f>
        <v>0</v>
      </c>
      <c r="V31" s="799">
        <f t="array" ref="V31">IFERROR(MEDIAN(IF($AV$9:$AV$18="No",V9:V18)),"")</f>
        <v>0</v>
      </c>
      <c r="W31" s="801">
        <f t="array" ref="W31">IFERROR(MEDIAN(IF($AV$9:$AV$18="No",W9:W18)),"")</f>
        <v>0</v>
      </c>
      <c r="X31" s="802">
        <f t="array" ref="X31">IFERROR(MEDIAN(IF($AV$9:$AV$18="No",X9:X18)),"")</f>
        <v>3.5</v>
      </c>
      <c r="Y31" s="802">
        <f t="array" ref="Y31">IFERROR(MEDIAN(IF($AV$9:$AV$18="No",Y9:Y18)),"")</f>
        <v>0</v>
      </c>
      <c r="Z31" s="801">
        <f t="array" ref="Z31">IFERROR(MEDIAN(IF($AV$9:$AV$18="No",Z9:Z18)),"")</f>
        <v>0</v>
      </c>
      <c r="AA31" s="802">
        <f t="array" ref="AA31">IFERROR(MEDIAN(IF($AV$9:$AV$18="No",AA9:AA18)),"")</f>
        <v>5.5</v>
      </c>
      <c r="AB31" s="802">
        <f t="array" ref="AB31">IFERROR(MEDIAN(IF($AV$9:$AV$18="No",AB9:AB18)),"")</f>
        <v>0</v>
      </c>
      <c r="AC31" s="801">
        <f t="array" ref="AC31">IFERROR(MEDIAN(IF($AV$9:$AV$18="No",AC9:AC18)),"")</f>
        <v>0</v>
      </c>
      <c r="AD31" s="802">
        <f t="array" ref="AD31">IFERROR(MEDIAN(IF($AV$9:$AV$18="No",AD9:AD18)),"")</f>
        <v>0</v>
      </c>
      <c r="AE31" s="802">
        <f t="array" ref="AE31">IFERROR(MEDIAN(IF($AV$9:$AV$18="No",AE9:AE18)),"")</f>
        <v>0</v>
      </c>
      <c r="AF31" s="801" t="str">
        <f t="array" ref="AF31">IFERROR(MEDIAN(IF($AV$9:$AV$18="No",AF9:AF18)),"")</f>
        <v/>
      </c>
      <c r="AG31" s="802" t="str">
        <f t="array" ref="AG31">IFERROR(MEDIAN(IF($AV$9:$AV$18="No",AG9:AG18)),"")</f>
        <v/>
      </c>
      <c r="AH31" s="802" t="str">
        <f t="array" ref="AH31">IFERROR(MEDIAN(IF($AV$9:$AV$18="No",AH9:AH18)),"")</f>
        <v/>
      </c>
      <c r="AI31" s="802" t="str">
        <f t="array" ref="AI31">IFERROR(MEDIAN(IF($AV$9:$AV$18="No",AI9:AI18)),"")</f>
        <v/>
      </c>
      <c r="AJ31" s="802" t="str">
        <f t="array" ref="AJ31">IFERROR(MEDIAN(IF($AV$9:$AV$18="No",AJ9:AJ18)),"")</f>
        <v/>
      </c>
      <c r="AK31" s="802" t="str">
        <f t="array" ref="AK31">IFERROR(MEDIAN(IF($AV$9:$AV$18="No",AK9:AK18)),"")</f>
        <v/>
      </c>
      <c r="AL31" s="801" t="str">
        <f t="array" ref="AL31">IFERROR(MEDIAN(IF($AV$9:$AV$18="No",AL9:AL18)),"")</f>
        <v/>
      </c>
      <c r="AM31" s="802" t="str">
        <f t="array" ref="AM31">IFERROR(MEDIAN(IF($AV$9:$AV$18="No",AM9:AM18)),"")</f>
        <v/>
      </c>
      <c r="AN31" s="802" t="str">
        <f t="array" ref="AN31">IFERROR(MEDIAN(IF($AV$9:$AV$18="No",AN9:AN18)),"")</f>
        <v/>
      </c>
      <c r="AO31" s="802" t="str">
        <f t="array" ref="AO31">IFERROR(MEDIAN(IF($AV$9:$AV$18="No",AO9:AO18)),"")</f>
        <v/>
      </c>
      <c r="AP31" s="802" t="str">
        <f t="array" ref="AP31">IFERROR(MEDIAN(IF($AV$9:$AV$18="No",AP9:AP18)),"")</f>
        <v/>
      </c>
      <c r="AQ31" s="802" t="str">
        <f t="array" ref="AQ31">IFERROR(MEDIAN(IF($AV$9:$AV$18="No",AQ9:AQ18)),"")</f>
        <v/>
      </c>
      <c r="AR31" s="801" t="str">
        <f t="array" ref="AR31">IFERROR(MEDIAN(IF($AV$9:$AV$18="No",AR9:AR18)),"")</f>
        <v/>
      </c>
      <c r="AS31" s="251"/>
    </row>
    <row r="32" spans="2:48">
      <c r="D32" s="784"/>
      <c r="E32" s="784"/>
      <c r="F32" s="792" t="s">
        <v>1420</v>
      </c>
      <c r="G32" s="793">
        <f t="array" ref="G32">IFERROR(PERCENTILE(IF($AV$9:$AV$18="No",G9:G18),0.25),"")</f>
        <v>0</v>
      </c>
      <c r="H32" s="793">
        <f t="array" ref="H32">IFERROR(PERCENTILE(IF($AV$9:$AV$18="No",H9:H18),0.25),"")</f>
        <v>0</v>
      </c>
      <c r="I32" s="793">
        <f t="array" ref="I32">IFERROR(PERCENTILE(IF($AV$9:$AV$18="No",I9:I18),0.25),"")</f>
        <v>0</v>
      </c>
      <c r="J32" s="793">
        <f t="array" ref="J32">IFERROR(PERCENTILE(IF($AV$9:$AV$18="No",J9:J18),0.25),"")</f>
        <v>0</v>
      </c>
      <c r="K32" s="793">
        <f t="array" ref="K32">IFERROR(PERCENTILE(IF($AV$9:$AV$18="No",K9:K18),0.25),"")</f>
        <v>0</v>
      </c>
      <c r="L32" s="793">
        <f t="array" ref="L32">IFERROR(PERCENTILE(IF($AV$9:$AV$18="No",L9:L18),0.25),"")</f>
        <v>0</v>
      </c>
      <c r="M32" s="793">
        <f t="array" ref="M32">IFERROR(PERCENTILE(IF($AV$9:$AV$18="No",M9:M18),0.25),"")</f>
        <v>0</v>
      </c>
      <c r="N32" s="793">
        <f t="array" ref="N32">IFERROR(PERCENTILE(IF($AV$9:$AV$18="No",N9:N18),0.25),"")</f>
        <v>0</v>
      </c>
      <c r="O32" s="794">
        <f t="array" ref="O32">IFERROR(PERCENTILE(IF($AV$9:$AV$18="No",O9:O18),0.25),"")</f>
        <v>0</v>
      </c>
      <c r="P32" s="794">
        <f t="array" ref="P32">IFERROR(PERCENTILE(IF($AV$9:$AV$18="No",P9:P18),0.25),"")</f>
        <v>0</v>
      </c>
      <c r="Q32" s="793">
        <f t="array" ref="Q32">IFERROR(PERCENTILE(IF($AV$9:$AV$18="No",Q9:Q18),0.25),"")</f>
        <v>0</v>
      </c>
      <c r="R32" s="794">
        <f t="array" ref="R32">IFERROR(PERCENTILE(IF($AV$9:$AV$18="No",R9:R18),0.25),"")</f>
        <v>0</v>
      </c>
      <c r="S32" s="794">
        <f t="array" ref="S32">IFERROR(PERCENTILE(IF($AV$9:$AV$18="No",S9:S18),0.25),"")</f>
        <v>0</v>
      </c>
      <c r="T32" s="795">
        <f t="array" ref="T32">IFERROR(PERCENTILE(IF($AV$9:$AV$18="No",T9:T18),0.25),"")</f>
        <v>0</v>
      </c>
      <c r="U32" s="794">
        <f t="array" ref="U32">IFERROR(PERCENTILE(IF($AV$9:$AV$18="No",U9:U18),0.25),"")</f>
        <v>0</v>
      </c>
      <c r="V32" s="794">
        <f t="array" ref="V32">IFERROR(PERCENTILE(IF($AV$9:$AV$18="No",V9:V18),0.25),"")</f>
        <v>0</v>
      </c>
      <c r="W32" s="796">
        <f t="array" ref="W32">IFERROR(PERCENTILE(IF($AV$9:$AV$18="No",W9:W18),0.25),"")</f>
        <v>0</v>
      </c>
      <c r="X32" s="797">
        <f t="array" ref="X32">IFERROR(PERCENTILE(IF($AV$9:$AV$18="No",X9:X18),0.25),"")</f>
        <v>3</v>
      </c>
      <c r="Y32" s="797">
        <f t="array" ref="Y32">IFERROR(PERCENTILE(IF($AV$9:$AV$18="No",Y9:Y18),0.25),"")</f>
        <v>0</v>
      </c>
      <c r="Z32" s="796">
        <f t="array" ref="Z32">IFERROR(PERCENTILE(IF($AV$9:$AV$18="No",Z9:Z18),0.25),"")</f>
        <v>0</v>
      </c>
      <c r="AA32" s="797">
        <f t="array" ref="AA32">IFERROR(PERCENTILE(IF($AV$9:$AV$18="No",AA9:AA18),0.25),"")</f>
        <v>2.5</v>
      </c>
      <c r="AB32" s="797">
        <f t="array" ref="AB32">IFERROR(PERCENTILE(IF($AV$9:$AV$18="No",AB9:AB18),0.25),"")</f>
        <v>0</v>
      </c>
      <c r="AC32" s="796">
        <f t="array" ref="AC32">IFERROR(PERCENTILE(IF($AV$9:$AV$18="No",AC9:AC18),0.25),"")</f>
        <v>0</v>
      </c>
      <c r="AD32" s="797">
        <f t="array" ref="AD32">IFERROR(PERCENTILE(IF($AV$9:$AV$18="No",AD9:AD18),0.25),"")</f>
        <v>0</v>
      </c>
      <c r="AE32" s="797">
        <f t="array" ref="AE32">IFERROR(PERCENTILE(IF($AV$9:$AV$18="No",AE9:AE18),0.25),"")</f>
        <v>0</v>
      </c>
      <c r="AF32" s="796" t="str">
        <f t="array" ref="AF32">IFERROR(PERCENTILE(IF($AV$9:$AV$18="No",AF9:AF18),0.25),"")</f>
        <v/>
      </c>
      <c r="AG32" s="797" t="str">
        <f t="array" ref="AG32">IFERROR(PERCENTILE(IF($AV$9:$AV$18="No",AG9:AG18),0.25),"")</f>
        <v/>
      </c>
      <c r="AH32" s="797" t="str">
        <f t="array" ref="AH32">IFERROR(PERCENTILE(IF($AV$9:$AV$18="No",AH9:AH18),0.25),"")</f>
        <v/>
      </c>
      <c r="AI32" s="797" t="str">
        <f t="array" ref="AI32">IFERROR(PERCENTILE(IF($AV$9:$AV$18="No",AI9:AI18),0.25),"")</f>
        <v/>
      </c>
      <c r="AJ32" s="797" t="str">
        <f t="array" ref="AJ32">IFERROR(PERCENTILE(IF($AV$9:$AV$18="No",AJ9:AJ18),0.25),"")</f>
        <v/>
      </c>
      <c r="AK32" s="797" t="str">
        <f t="array" ref="AK32">IFERROR(PERCENTILE(IF($AV$9:$AV$18="No",AK9:AK18),0.25),"")</f>
        <v/>
      </c>
      <c r="AL32" s="796" t="str">
        <f t="array" ref="AL32">IFERROR(PERCENTILE(IF($AV$9:$AV$18="No",AL9:AL18),0.25),"")</f>
        <v/>
      </c>
      <c r="AM32" s="797" t="str">
        <f t="array" ref="AM32">IFERROR(PERCENTILE(IF($AV$9:$AV$18="No",AM9:AM18),0.25),"")</f>
        <v/>
      </c>
      <c r="AN32" s="797" t="str">
        <f t="array" ref="AN32">IFERROR(PERCENTILE(IF($AV$9:$AV$18="No",AN9:AN18),0.25),"")</f>
        <v/>
      </c>
      <c r="AO32" s="797" t="str">
        <f t="array" ref="AO32">IFERROR(PERCENTILE(IF($AV$9:$AV$18="No",AO9:AO18),0.25),"")</f>
        <v/>
      </c>
      <c r="AP32" s="797" t="str">
        <f t="array" ref="AP32">IFERROR(PERCENTILE(IF($AV$9:$AV$18="No",AP9:AP18),0.25),"")</f>
        <v/>
      </c>
      <c r="AQ32" s="797" t="str">
        <f t="array" ref="AQ32">IFERROR(PERCENTILE(IF($AV$9:$AV$18="No",AQ9:AQ18),0.25),"")</f>
        <v/>
      </c>
      <c r="AR32" s="796" t="str">
        <f t="array" ref="AR32">IFERROR(PERCENTILE(IF($AV$9:$AV$18="No",AR9:AR18),0.25),"")</f>
        <v/>
      </c>
      <c r="AS32" s="251"/>
    </row>
    <row r="33" spans="2:45">
      <c r="D33" s="784"/>
      <c r="E33" s="784"/>
      <c r="F33" s="803" t="s">
        <v>208</v>
      </c>
      <c r="G33" s="804">
        <f t="array" ref="G33">IFERROR(MIN(IF($AV$9:$AV$18="No",G9:G18)),"")</f>
        <v>0</v>
      </c>
      <c r="H33" s="804">
        <f t="array" ref="H33">IFERROR(MIN(IF($AV$9:$AV$18="No",H9:H18)),"")</f>
        <v>0</v>
      </c>
      <c r="I33" s="804">
        <f t="array" ref="I33">IFERROR(MIN(IF($AV$9:$AV$18="No",I9:I18)),"")</f>
        <v>0</v>
      </c>
      <c r="J33" s="804">
        <f t="array" ref="J33">IFERROR(MIN(IF($AV$9:$AV$18="No",J9:J18)),"")</f>
        <v>0</v>
      </c>
      <c r="K33" s="804">
        <f t="array" ref="K33">IFERROR(MIN(IF($AV$9:$AV$18="No",K9:K18)),"")</f>
        <v>0</v>
      </c>
      <c r="L33" s="804">
        <f t="array" ref="L33">IFERROR(MIN(IF($AV$9:$AV$18="No",L9:L18)),"")</f>
        <v>0</v>
      </c>
      <c r="M33" s="804">
        <f t="array" ref="M33">IFERROR(MIN(IF($AV$9:$AV$18="No",M9:M18)),"")</f>
        <v>0</v>
      </c>
      <c r="N33" s="804">
        <f t="array" ref="N33">IFERROR(MIN(IF($AV$9:$AV$18="No",N9:N18)),"")</f>
        <v>0</v>
      </c>
      <c r="O33" s="805">
        <f t="array" ref="O33">IFERROR(MIN(IF($AV$9:$AV$18="No",O9:O18)),"")</f>
        <v>0</v>
      </c>
      <c r="P33" s="805">
        <f t="array" ref="P33">IFERROR(MIN(IF($AV$9:$AV$18="No",P9:P18)),"")</f>
        <v>0</v>
      </c>
      <c r="Q33" s="804">
        <f t="array" ref="Q33">IFERROR(MIN(IF($AV$9:$AV$18="No",Q9:Q18)),"")</f>
        <v>0</v>
      </c>
      <c r="R33" s="805">
        <f t="array" ref="R33">IFERROR(MIN(IF($AV$9:$AV$18="No",R9:R18)),"")</f>
        <v>0</v>
      </c>
      <c r="S33" s="805">
        <f t="array" ref="S33">IFERROR(MIN(IF($AV$9:$AV$18="No",S9:S18)),"")</f>
        <v>0</v>
      </c>
      <c r="T33" s="806">
        <f t="array" ref="T33">IFERROR(MIN(IF($AV$9:$AV$18="No",T9:T18)),"")</f>
        <v>0</v>
      </c>
      <c r="U33" s="805">
        <f t="array" ref="U33">IFERROR(MIN(IF($AV$9:$AV$18="No",U9:U18)),"")</f>
        <v>0</v>
      </c>
      <c r="V33" s="805">
        <f t="array" ref="V33">IFERROR(MIN(IF($AV$9:$AV$18="No",V9:V18)),"")</f>
        <v>0</v>
      </c>
      <c r="W33" s="807">
        <f t="array" ref="W33">IFERROR(MIN(IF($AV$9:$AV$18="No",W9:W18)),"")</f>
        <v>0</v>
      </c>
      <c r="X33" s="808">
        <f t="array" ref="X33">IFERROR(MIN(IF($AV$9:$AV$18="No",X9:X18)),"")</f>
        <v>2</v>
      </c>
      <c r="Y33" s="808">
        <f t="array" ref="Y33">IFERROR(MIN(IF($AV$9:$AV$18="No",Y9:Y18)),"")</f>
        <v>0</v>
      </c>
      <c r="Z33" s="807">
        <f t="array" ref="Z33">IFERROR(MIN(IF($AV$9:$AV$18="No",Z9:Z18)),"")</f>
        <v>0</v>
      </c>
      <c r="AA33" s="808">
        <f t="array" ref="AA33">IFERROR(MIN(IF($AV$9:$AV$18="No",AA9:AA18)),"")</f>
        <v>0</v>
      </c>
      <c r="AB33" s="808">
        <f t="array" ref="AB33">IFERROR(MIN(IF($AV$9:$AV$18="No",AB9:AB18)),"")</f>
        <v>0</v>
      </c>
      <c r="AC33" s="807">
        <f t="array" ref="AC33">IFERROR(MIN(IF($AV$9:$AV$18="No",AC9:AC18)),"")</f>
        <v>0</v>
      </c>
      <c r="AD33" s="808">
        <f t="array" ref="AD33">IFERROR(MIN(IF($AV$9:$AV$18="No",AD9:AD18)),"")</f>
        <v>0</v>
      </c>
      <c r="AE33" s="808">
        <f t="array" ref="AE33">IFERROR(MIN(IF($AV$9:$AV$18="No",AE9:AE18)),"")</f>
        <v>0</v>
      </c>
      <c r="AF33" s="807">
        <f t="array" ref="AF33">IFERROR(MIN(IF($AV$9:$AV$18="No",AF9:AF18)),"")</f>
        <v>0</v>
      </c>
      <c r="AG33" s="808">
        <f t="array" ref="AG33">IFERROR(MIN(IF($AV$9:$AV$18="No",AG9:AG18)),"")</f>
        <v>0</v>
      </c>
      <c r="AH33" s="808" t="str">
        <f t="array" ref="AH33">IFERROR(MIN(IF($AV$9:$AV$18="No",AH9:AH18)),"")</f>
        <v/>
      </c>
      <c r="AI33" s="808">
        <f t="array" ref="AI33">IFERROR(MIN(IF($AV$9:$AV$18="No",AI9:AI18)),"")</f>
        <v>0</v>
      </c>
      <c r="AJ33" s="808">
        <f t="array" ref="AJ33">IFERROR(MIN(IF($AV$9:$AV$18="No",AJ9:AJ18)),"")</f>
        <v>0</v>
      </c>
      <c r="AK33" s="808">
        <f t="array" ref="AK33">IFERROR(MIN(IF($AV$9:$AV$18="No",AK9:AK18)),"")</f>
        <v>0</v>
      </c>
      <c r="AL33" s="807">
        <f t="array" ref="AL33">IFERROR(MIN(IF($AV$9:$AV$18="No",AL9:AL18)),"")</f>
        <v>0</v>
      </c>
      <c r="AM33" s="808">
        <f t="array" ref="AM33">IFERROR(MIN(IF($AV$9:$AV$18="No",AM9:AM18)),"")</f>
        <v>0</v>
      </c>
      <c r="AN33" s="808" t="str">
        <f t="array" ref="AN33">IFERROR(MIN(IF($AV$9:$AV$18="No",AN9:AN18)),"")</f>
        <v/>
      </c>
      <c r="AO33" s="808">
        <f t="array" ref="AO33">IFERROR(MIN(IF($AV$9:$AV$18="No",AO9:AO18)),"")</f>
        <v>0</v>
      </c>
      <c r="AP33" s="808">
        <f t="array" ref="AP33">IFERROR(MIN(IF($AV$9:$AV$18="No",AP9:AP18)),"")</f>
        <v>0</v>
      </c>
      <c r="AQ33" s="808">
        <f t="array" ref="AQ33">IFERROR(MIN(IF($AV$9:$AV$18="No",AQ9:AQ18)),"")</f>
        <v>0</v>
      </c>
      <c r="AR33" s="807">
        <f t="array" ref="AR33">IFERROR(MIN(IF($AV$9:$AV$18="No",AR9:AR18)),"")</f>
        <v>0</v>
      </c>
      <c r="AS33" s="251"/>
    </row>
    <row r="35" spans="2:45">
      <c r="C35" s="480"/>
      <c r="D35" s="810"/>
      <c r="E35" s="810"/>
      <c r="F35" s="810"/>
      <c r="G35" s="810"/>
      <c r="H35" s="810"/>
      <c r="I35" s="810"/>
      <c r="J35" s="810"/>
      <c r="K35" s="475"/>
      <c r="L35" s="475"/>
      <c r="M35" s="475"/>
      <c r="N35" s="475"/>
      <c r="O35" s="475"/>
      <c r="P35" s="475"/>
      <c r="Q35" s="811"/>
      <c r="R35" s="812"/>
      <c r="S35" s="812"/>
      <c r="T35" s="813"/>
      <c r="U35" s="813"/>
      <c r="V35" s="813"/>
      <c r="W35" s="812"/>
      <c r="X35" s="812"/>
      <c r="Y35" s="812"/>
      <c r="Z35" s="810"/>
      <c r="AA35" s="810"/>
      <c r="AB35" s="810"/>
      <c r="AC35" s="810"/>
      <c r="AD35" s="810"/>
      <c r="AE35" s="810"/>
      <c r="AF35" s="810"/>
      <c r="AG35" s="810"/>
      <c r="AH35" s="810"/>
      <c r="AI35" s="810"/>
      <c r="AJ35" s="810"/>
      <c r="AK35" s="810"/>
      <c r="AL35" s="774"/>
      <c r="AM35" s="774"/>
      <c r="AN35" s="774"/>
      <c r="AO35" s="774"/>
      <c r="AP35" s="774"/>
      <c r="AQ35" s="774"/>
      <c r="AR35" s="810"/>
      <c r="AS35" s="810"/>
    </row>
    <row r="36" spans="2:45" hidden="1" outlineLevel="1"/>
    <row r="37" spans="2:45" hidden="1" outlineLevel="1">
      <c r="Z37" s="814"/>
      <c r="AA37" s="814"/>
      <c r="AB37" s="814"/>
      <c r="AC37" s="1836"/>
      <c r="AD37" s="1836"/>
      <c r="AE37" s="815" t="s">
        <v>1401</v>
      </c>
    </row>
    <row r="38" spans="2:45" ht="45" hidden="1" outlineLevel="1">
      <c r="Z38" s="816" t="s">
        <v>1421</v>
      </c>
      <c r="AA38" s="816" t="s">
        <v>1422</v>
      </c>
      <c r="AB38" s="816" t="s">
        <v>1423</v>
      </c>
      <c r="AC38" s="817" t="s">
        <v>1425</v>
      </c>
      <c r="AD38" s="817" t="s">
        <v>1418</v>
      </c>
      <c r="AE38" s="817" t="s">
        <v>131</v>
      </c>
    </row>
    <row r="39" spans="2:45" hidden="1" outlineLevel="1">
      <c r="B39" s="436"/>
      <c r="Z39" s="818" t="str">
        <f>IFERROR(INDEX(Growth!$V$10:$V$39,MATCH(Multiples!#REF!,Growth!$D$10:$D$39,0)),"")</f>
        <v/>
      </c>
      <c r="AA39" s="818" t="str">
        <f>IFERROR(INDEX(Growth!$V$60:$V$69,MATCH(#REF!,Growth!$D$60:$D$69,0)),"")</f>
        <v/>
      </c>
      <c r="AB39" s="818">
        <f>Margins!I59</f>
        <v>0</v>
      </c>
      <c r="AC39" s="819" t="e">
        <f>#REF!</f>
        <v>#REF!</v>
      </c>
      <c r="AD39" s="819" t="e">
        <f>#REF!</f>
        <v>#REF!</v>
      </c>
      <c r="AE39" s="819">
        <f t="shared" ref="AE39:AE47" si="12">AA9</f>
        <v>6</v>
      </c>
    </row>
    <row r="40" spans="2:45" hidden="1" outlineLevel="1">
      <c r="B40" s="820"/>
      <c r="Z40" s="821" t="str">
        <f>IFERROR(INDEX(Growth!$V$10:$V$39,MATCH(Multiples!#REF!,Growth!$D$10:$D$39,0)),"")</f>
        <v/>
      </c>
      <c r="AA40" s="821" t="str">
        <f>IFERROR(INDEX(Growth!$V$60:$V$69,MATCH(#REF!,Growth!$D$60:$D$69,0)),"")</f>
        <v/>
      </c>
      <c r="AB40" s="818">
        <f>Margins!I60</f>
        <v>0</v>
      </c>
      <c r="AC40" s="822" t="e">
        <f>#REF!</f>
        <v>#REF!</v>
      </c>
      <c r="AD40" s="822" t="e">
        <f>#REF!</f>
        <v>#REF!</v>
      </c>
      <c r="AE40" s="822">
        <f t="shared" si="12"/>
        <v>5</v>
      </c>
    </row>
    <row r="41" spans="2:45" hidden="1" outlineLevel="1">
      <c r="B41" s="820"/>
      <c r="Z41" s="821" t="str">
        <f>IFERROR(INDEX(Growth!$V$10:$V$39,MATCH(Multiples!#REF!,Growth!$D$10:$D$39,0)),"")</f>
        <v/>
      </c>
      <c r="AA41" s="821" t="str">
        <f>IFERROR(INDEX(Growth!$V$60:$V$69,MATCH(#REF!,Growth!$D$60:$D$69,0)),"")</f>
        <v/>
      </c>
      <c r="AB41" s="818">
        <f>Margins!I61</f>
        <v>0</v>
      </c>
      <c r="AC41" s="822" t="e">
        <f>#REF!</f>
        <v>#REF!</v>
      </c>
      <c r="AD41" s="822" t="e">
        <f>#REF!</f>
        <v>#REF!</v>
      </c>
      <c r="AE41" s="822">
        <f t="shared" si="12"/>
        <v>6</v>
      </c>
    </row>
    <row r="42" spans="2:45" hidden="1" outlineLevel="1">
      <c r="B42" s="820"/>
      <c r="Z42" s="821" t="str">
        <f>IFERROR(INDEX(Growth!$V$10:$V$39,MATCH(Multiples!#REF!,Growth!$D$10:$D$39,0)),"")</f>
        <v/>
      </c>
      <c r="AA42" s="821" t="str">
        <f>IFERROR(INDEX(Growth!$V$60:$V$69,MATCH(#REF!,Growth!$D$60:$D$69,0)),"")</f>
        <v/>
      </c>
      <c r="AB42" s="818">
        <f>Margins!I62</f>
        <v>0</v>
      </c>
      <c r="AC42" s="822" t="e">
        <f>#REF!</f>
        <v>#REF!</v>
      </c>
      <c r="AD42" s="822" t="e">
        <f>#REF!</f>
        <v>#REF!</v>
      </c>
      <c r="AE42" s="822">
        <f t="shared" si="12"/>
        <v>7</v>
      </c>
    </row>
    <row r="43" spans="2:45" hidden="1" outlineLevel="1">
      <c r="B43" s="820"/>
      <c r="Z43" s="821" t="str">
        <f>IFERROR(INDEX(Growth!$V$10:$V$39,MATCH(Multiples!#REF!,Growth!$D$10:$D$39,0)),"")</f>
        <v/>
      </c>
      <c r="AA43" s="821" t="str">
        <f>IFERROR(INDEX(Growth!$V$60:$V$69,MATCH(#REF!,Growth!$D$60:$D$69,0)),"")</f>
        <v/>
      </c>
      <c r="AB43" s="818">
        <f>Margins!I63</f>
        <v>0</v>
      </c>
      <c r="AC43" s="822" t="e">
        <f>#REF!</f>
        <v>#REF!</v>
      </c>
      <c r="AD43" s="822" t="e">
        <f>#REF!</f>
        <v>#REF!</v>
      </c>
      <c r="AE43" s="822">
        <f t="shared" si="12"/>
        <v>9</v>
      </c>
    </row>
    <row r="44" spans="2:45" hidden="1" outlineLevel="1">
      <c r="B44" s="820"/>
      <c r="Z44" s="821" t="str">
        <f>IFERROR(INDEX(Growth!$V$10:$V$39,MATCH(Multiples!#REF!,Growth!$D$10:$D$39,0)),"")</f>
        <v/>
      </c>
      <c r="AA44" s="821" t="str">
        <f>IFERROR(INDEX(Growth!$V$60:$V$69,MATCH(#REF!,Growth!$D$60:$D$69,0)),"")</f>
        <v/>
      </c>
      <c r="AB44" s="818">
        <f>Margins!I64</f>
        <v>0</v>
      </c>
      <c r="AC44" s="822" t="e">
        <f>#REF!</f>
        <v>#REF!</v>
      </c>
      <c r="AD44" s="822" t="e">
        <f>#REF!</f>
        <v>#REF!</v>
      </c>
      <c r="AE44" s="822">
        <f t="shared" si="12"/>
        <v>6</v>
      </c>
    </row>
    <row r="45" spans="2:45" hidden="1" outlineLevel="1">
      <c r="B45" s="820"/>
      <c r="Z45" s="821" t="str">
        <f>IFERROR(INDEX(Growth!$V$10:$V$39,MATCH(Multiples!#REF!,Growth!$D$10:$D$39,0)),"")</f>
        <v/>
      </c>
      <c r="AA45" s="821" t="str">
        <f>IFERROR(INDEX(Growth!$V$60:$V$69,MATCH(#REF!,Growth!$D$60:$D$69,0)),"")</f>
        <v/>
      </c>
      <c r="AB45" s="818">
        <f>Margins!I65</f>
        <v>0</v>
      </c>
      <c r="AC45" s="822" t="e">
        <f>#REF!</f>
        <v>#REF!</v>
      </c>
      <c r="AD45" s="822" t="e">
        <f>#REF!</f>
        <v>#REF!</v>
      </c>
      <c r="AE45" s="822">
        <f t="shared" si="12"/>
        <v>4</v>
      </c>
    </row>
    <row r="46" spans="2:45" hidden="1" outlineLevel="1">
      <c r="B46" s="820"/>
      <c r="Z46" s="821" t="str">
        <f>IFERROR(INDEX(Growth!$V$10:$V$39,MATCH(Multiples!#REF!,Growth!$D$10:$D$39,0)),"")</f>
        <v/>
      </c>
      <c r="AA46" s="821" t="str">
        <f>IFERROR(INDEX(Growth!$V$60:$V$69,MATCH(#REF!,Growth!$D$60:$D$69,0)),"")</f>
        <v/>
      </c>
      <c r="AB46" s="818">
        <f>Margins!I66</f>
        <v>0</v>
      </c>
      <c r="AC46" s="822" t="e">
        <f>#REF!</f>
        <v>#REF!</v>
      </c>
      <c r="AD46" s="822" t="e">
        <f>#REF!</f>
        <v>#REF!</v>
      </c>
      <c r="AE46" s="822">
        <f t="shared" si="12"/>
        <v>0</v>
      </c>
    </row>
    <row r="47" spans="2:45" hidden="1" outlineLevel="1">
      <c r="B47" s="820"/>
      <c r="Z47" s="821" t="str">
        <f>IFERROR(INDEX(Growth!$V$10:$V$39,MATCH(Multiples!#REF!,Growth!$D$10:$D$39,0)),"")</f>
        <v/>
      </c>
      <c r="AA47" s="821" t="str">
        <f>IFERROR(INDEX(Growth!$V$60:$V$69,MATCH(#REF!,Growth!$D$60:$D$69,0)),"")</f>
        <v/>
      </c>
      <c r="AB47" s="818">
        <f>Margins!I67</f>
        <v>0</v>
      </c>
      <c r="AC47" s="822" t="e">
        <f>#REF!</f>
        <v>#REF!</v>
      </c>
      <c r="AD47" s="822" t="e">
        <f>#REF!</f>
        <v>#REF!</v>
      </c>
      <c r="AE47" s="822">
        <f t="shared" si="12"/>
        <v>2</v>
      </c>
    </row>
    <row r="48" spans="2:45" hidden="1" outlineLevel="1">
      <c r="B48" s="820"/>
      <c r="Z48" s="821" t="str">
        <f>IFERROR(INDEX(Growth!$V$10:$V$39,MATCH(Multiples!#REF!,Growth!$D$10:$D$39,0)),"")</f>
        <v/>
      </c>
      <c r="AA48" s="821" t="str">
        <f>IFERROR(INDEX(Growth!$V$60:$V$69,MATCH(#REF!,Growth!$D$60:$D$69,0)),"")</f>
        <v/>
      </c>
      <c r="AB48" s="818">
        <f>Margins!I88</f>
        <v>0</v>
      </c>
      <c r="AC48" s="822" t="e">
        <f>#REF!</f>
        <v>#REF!</v>
      </c>
      <c r="AD48" s="822" t="e">
        <f>#REF!</f>
        <v>#REF!</v>
      </c>
      <c r="AE48" s="822" t="e">
        <f>#REF!</f>
        <v>#REF!</v>
      </c>
    </row>
    <row r="49" spans="2:31" hidden="1" outlineLevel="1">
      <c r="B49" s="820"/>
      <c r="Z49" s="821" t="str">
        <f>IFERROR(INDEX(Growth!$V$10:$V$39,MATCH(Multiples!#REF!,Growth!$D$10:$D$39,0)),"")</f>
        <v/>
      </c>
      <c r="AA49" s="821" t="str">
        <f>IFERROR(INDEX(Growth!$V$60:$V$69,MATCH(#REF!,Growth!$D$60:$D$69,0)),"")</f>
        <v/>
      </c>
      <c r="AB49" s="818" t="e">
        <f>Margins!#REF!</f>
        <v>#REF!</v>
      </c>
      <c r="AC49" s="822" t="e">
        <f>#REF!</f>
        <v>#REF!</v>
      </c>
      <c r="AD49" s="822" t="e">
        <f>#REF!</f>
        <v>#REF!</v>
      </c>
      <c r="AE49" s="822" t="e">
        <f>#REF!</f>
        <v>#REF!</v>
      </c>
    </row>
    <row r="50" spans="2:31" hidden="1" outlineLevel="1">
      <c r="B50" s="820"/>
      <c r="Z50" s="821" t="str">
        <f>IFERROR(INDEX(Growth!$V$10:$V$39,MATCH(Multiples!#REF!,Growth!$D$10:$D$39,0)),"")</f>
        <v/>
      </c>
      <c r="AA50" s="821" t="str">
        <f>IFERROR(INDEX(Growth!$V$60:$V$69,MATCH(#REF!,Growth!$D$60:$D$69,0)),"")</f>
        <v/>
      </c>
      <c r="AB50" s="818" t="e">
        <f>Margins!#REF!</f>
        <v>#REF!</v>
      </c>
      <c r="AC50" s="822" t="e">
        <f>#REF!</f>
        <v>#REF!</v>
      </c>
      <c r="AD50" s="822" t="e">
        <f>#REF!</f>
        <v>#REF!</v>
      </c>
      <c r="AE50" s="822" t="e">
        <f>#REF!</f>
        <v>#REF!</v>
      </c>
    </row>
    <row r="51" spans="2:31" hidden="1" outlineLevel="1">
      <c r="B51" s="820"/>
      <c r="Z51" s="821" t="str">
        <f>IFERROR(INDEX(Growth!$V$10:$V$39,MATCH(Multiples!#REF!,Growth!$D$10:$D$39,0)),"")</f>
        <v/>
      </c>
      <c r="AA51" s="821" t="str">
        <f>IFERROR(INDEX(Growth!$V$60:$V$69,MATCH(#REF!,Growth!$D$60:$D$69,0)),"")</f>
        <v/>
      </c>
      <c r="AB51" s="818" t="e">
        <f>Margins!#REF!</f>
        <v>#REF!</v>
      </c>
      <c r="AC51" s="822" t="e">
        <f>#REF!</f>
        <v>#REF!</v>
      </c>
      <c r="AD51" s="822" t="e">
        <f>#REF!</f>
        <v>#REF!</v>
      </c>
      <c r="AE51" s="822" t="e">
        <f>#REF!</f>
        <v>#REF!</v>
      </c>
    </row>
    <row r="52" spans="2:31" hidden="1" outlineLevel="1">
      <c r="B52" s="820"/>
      <c r="Z52" s="821" t="str">
        <f>IFERROR(INDEX(Growth!$V$10:$V$39,MATCH(Multiples!#REF!,Growth!$D$10:$D$39,0)),"")</f>
        <v/>
      </c>
      <c r="AA52" s="821" t="str">
        <f>IFERROR(INDEX(Growth!$V$60:$V$69,MATCH(#REF!,Growth!$D$60:$D$69,0)),"")</f>
        <v/>
      </c>
      <c r="AB52" s="818" t="e">
        <f>Margins!#REF!</f>
        <v>#REF!</v>
      </c>
      <c r="AC52" s="822" t="e">
        <f>#REF!</f>
        <v>#REF!</v>
      </c>
      <c r="AD52" s="822" t="e">
        <f>#REF!</f>
        <v>#REF!</v>
      </c>
      <c r="AE52" s="822" t="e">
        <f>#REF!</f>
        <v>#REF!</v>
      </c>
    </row>
    <row r="53" spans="2:31" hidden="1" outlineLevel="1">
      <c r="B53" s="820"/>
      <c r="Z53" s="821" t="str">
        <f>IFERROR(INDEX(Growth!$V$10:$V$39,MATCH(Multiples!#REF!,Growth!$D$10:$D$39,0)),"")</f>
        <v/>
      </c>
      <c r="AA53" s="821" t="str">
        <f>IFERROR(INDEX(Growth!$V$60:$V$69,MATCH(#REF!,Growth!$D$60:$D$69,0)),"")</f>
        <v/>
      </c>
      <c r="AB53" s="818" t="e">
        <f>Margins!#REF!</f>
        <v>#REF!</v>
      </c>
      <c r="AC53" s="822" t="e">
        <f>#REF!</f>
        <v>#REF!</v>
      </c>
      <c r="AD53" s="822" t="e">
        <f>#REF!</f>
        <v>#REF!</v>
      </c>
      <c r="AE53" s="822" t="e">
        <f>#REF!</f>
        <v>#REF!</v>
      </c>
    </row>
    <row r="54" spans="2:31" hidden="1" outlineLevel="1">
      <c r="B54" s="820"/>
      <c r="Z54" s="821" t="str">
        <f>IFERROR(INDEX(Growth!$V$10:$V$39,MATCH(Multiples!#REF!,Growth!$D$10:$D$39,0)),"")</f>
        <v/>
      </c>
      <c r="AA54" s="821" t="str">
        <f>IFERROR(INDEX(Growth!$V$60:$V$69,MATCH(#REF!,Growth!$D$60:$D$69,0)),"")</f>
        <v/>
      </c>
      <c r="AB54" s="818" t="e">
        <f>Margins!#REF!</f>
        <v>#REF!</v>
      </c>
      <c r="AC54" s="822" t="e">
        <f>#REF!</f>
        <v>#REF!</v>
      </c>
      <c r="AD54" s="822" t="e">
        <f>#REF!</f>
        <v>#REF!</v>
      </c>
      <c r="AE54" s="822" t="e">
        <f>#REF!</f>
        <v>#REF!</v>
      </c>
    </row>
    <row r="55" spans="2:31" hidden="1" outlineLevel="1">
      <c r="B55" s="820"/>
      <c r="Z55" s="821" t="str">
        <f>IFERROR(INDEX(Growth!$V$10:$V$39,MATCH(Multiples!#REF!,Growth!$D$10:$D$39,0)),"")</f>
        <v/>
      </c>
      <c r="AA55" s="821" t="str">
        <f>IFERROR(INDEX(Growth!$V$60:$V$69,MATCH(#REF!,Growth!$D$60:$D$69,0)),"")</f>
        <v/>
      </c>
      <c r="AB55" s="818" t="e">
        <f>Margins!#REF!</f>
        <v>#REF!</v>
      </c>
      <c r="AC55" s="822" t="e">
        <f>#REF!</f>
        <v>#REF!</v>
      </c>
      <c r="AD55" s="822" t="e">
        <f>#REF!</f>
        <v>#REF!</v>
      </c>
      <c r="AE55" s="822" t="e">
        <f>#REF!</f>
        <v>#REF!</v>
      </c>
    </row>
    <row r="56" spans="2:31" hidden="1" outlineLevel="1">
      <c r="B56" s="820"/>
      <c r="Z56" s="821" t="str">
        <f>IFERROR(INDEX(Growth!$V$10:$V$39,MATCH(Multiples!#REF!,Growth!$D$10:$D$39,0)),"")</f>
        <v/>
      </c>
      <c r="AA56" s="821" t="str">
        <f>IFERROR(INDEX(Growth!$V$60:$V$69,MATCH(#REF!,Growth!$D$60:$D$69,0)),"")</f>
        <v/>
      </c>
      <c r="AB56" s="818" t="e">
        <f>Margins!#REF!</f>
        <v>#REF!</v>
      </c>
      <c r="AC56" s="822" t="e">
        <f>#REF!</f>
        <v>#REF!</v>
      </c>
      <c r="AD56" s="822" t="e">
        <f>#REF!</f>
        <v>#REF!</v>
      </c>
      <c r="AE56" s="822" t="e">
        <f>#REF!</f>
        <v>#REF!</v>
      </c>
    </row>
    <row r="57" spans="2:31" hidden="1" outlineLevel="1">
      <c r="B57" s="820"/>
      <c r="Z57" s="821" t="str">
        <f>IFERROR(INDEX(Growth!$V$10:$V$39,MATCH(Multiples!#REF!,Growth!$D$10:$D$39,0)),"")</f>
        <v/>
      </c>
      <c r="AA57" s="821" t="str">
        <f>IFERROR(INDEX(Growth!$V$60:$V$69,MATCH(#REF!,Growth!$D$60:$D$69,0)),"")</f>
        <v/>
      </c>
      <c r="AB57" s="818" t="e">
        <f>Margins!#REF!</f>
        <v>#REF!</v>
      </c>
      <c r="AC57" s="822" t="e">
        <f>#REF!</f>
        <v>#REF!</v>
      </c>
      <c r="AD57" s="822" t="e">
        <f>#REF!</f>
        <v>#REF!</v>
      </c>
      <c r="AE57" s="822" t="e">
        <f>#REF!</f>
        <v>#REF!</v>
      </c>
    </row>
    <row r="58" spans="2:31" hidden="1" outlineLevel="1">
      <c r="B58" s="820"/>
      <c r="Z58" s="821" t="str">
        <f>IFERROR(INDEX(Growth!$V$10:$V$39,MATCH(Multiples!#REF!,Growth!$D$10:$D$39,0)),"")</f>
        <v/>
      </c>
      <c r="AA58" s="821" t="str">
        <f>IFERROR(INDEX(Growth!$V$60:$V$69,MATCH(#REF!,Growth!$D$60:$D$69,0)),"")</f>
        <v/>
      </c>
      <c r="AB58" s="818" t="e">
        <f>Margins!#REF!</f>
        <v>#REF!</v>
      </c>
      <c r="AC58" s="822" t="e">
        <f>#REF!</f>
        <v>#REF!</v>
      </c>
      <c r="AD58" s="822" t="e">
        <f>#REF!</f>
        <v>#REF!</v>
      </c>
      <c r="AE58" s="822" t="e">
        <f>#REF!</f>
        <v>#REF!</v>
      </c>
    </row>
    <row r="59" spans="2:31" hidden="1" outlineLevel="1">
      <c r="B59" s="820"/>
      <c r="Z59" s="821" t="str">
        <f>IFERROR(INDEX(Growth!$V$10:$V$39,MATCH(Multiples!#REF!,Growth!$D$10:$D$39,0)),"")</f>
        <v/>
      </c>
      <c r="AA59" s="821" t="str">
        <f>IFERROR(INDEX(Growth!$V$60:$V$69,MATCH(#REF!,Growth!$D$60:$D$69,0)),"")</f>
        <v/>
      </c>
      <c r="AB59" s="818" t="e">
        <f>Margins!#REF!</f>
        <v>#REF!</v>
      </c>
      <c r="AC59" s="822" t="e">
        <f>#REF!</f>
        <v>#REF!</v>
      </c>
      <c r="AD59" s="822" t="e">
        <f>#REF!</f>
        <v>#REF!</v>
      </c>
      <c r="AE59" s="822" t="e">
        <f>#REF!</f>
        <v>#REF!</v>
      </c>
    </row>
    <row r="60" spans="2:31" hidden="1" outlineLevel="1">
      <c r="B60" s="820"/>
      <c r="Z60" s="821" t="str">
        <f>IFERROR(INDEX(Growth!$V$10:$V$39,MATCH(Multiples!#REF!,Growth!$D$10:$D$39,0)),"")</f>
        <v/>
      </c>
      <c r="AA60" s="821" t="str">
        <f>IFERROR(INDEX(Growth!$V$60:$V$69,MATCH(#REF!,Growth!$D$60:$D$69,0)),"")</f>
        <v/>
      </c>
      <c r="AB60" s="818" t="e">
        <f>Margins!#REF!</f>
        <v>#REF!</v>
      </c>
      <c r="AC60" s="822" t="e">
        <f>#REF!</f>
        <v>#REF!</v>
      </c>
      <c r="AD60" s="822" t="e">
        <f>#REF!</f>
        <v>#REF!</v>
      </c>
      <c r="AE60" s="822" t="e">
        <f>#REF!</f>
        <v>#REF!</v>
      </c>
    </row>
    <row r="61" spans="2:31" hidden="1" outlineLevel="1">
      <c r="B61" s="820"/>
      <c r="Z61" s="821" t="str">
        <f>IFERROR(INDEX(Growth!$V$10:$V$39,MATCH(Multiples!#REF!,Growth!$D$10:$D$39,0)),"")</f>
        <v/>
      </c>
      <c r="AA61" s="821" t="str">
        <f>IFERROR(INDEX(Growth!$V$60:$V$69,MATCH(#REF!,Growth!$D$60:$D$69,0)),"")</f>
        <v/>
      </c>
      <c r="AB61" s="818" t="e">
        <f>Margins!#REF!</f>
        <v>#REF!</v>
      </c>
      <c r="AC61" s="822" t="e">
        <f>#REF!</f>
        <v>#REF!</v>
      </c>
      <c r="AD61" s="822" t="e">
        <f>#REF!</f>
        <v>#REF!</v>
      </c>
      <c r="AE61" s="822" t="e">
        <f>#REF!</f>
        <v>#REF!</v>
      </c>
    </row>
    <row r="62" spans="2:31" hidden="1" outlineLevel="1">
      <c r="B62" s="820"/>
      <c r="Z62" s="821" t="str">
        <f>IFERROR(INDEX(Growth!$V$10:$V$39,MATCH(Multiples!#REF!,Growth!$D$10:$D$39,0)),"")</f>
        <v/>
      </c>
      <c r="AA62" s="821" t="str">
        <f>IFERROR(INDEX(Growth!$V$60:$V$69,MATCH(#REF!,Growth!$D$60:$D$69,0)),"")</f>
        <v/>
      </c>
      <c r="AB62" s="818" t="e">
        <f>Margins!#REF!</f>
        <v>#REF!</v>
      </c>
      <c r="AC62" s="822" t="e">
        <f>#REF!</f>
        <v>#REF!</v>
      </c>
      <c r="AD62" s="822" t="e">
        <f>#REF!</f>
        <v>#REF!</v>
      </c>
      <c r="AE62" s="822" t="e">
        <f>#REF!</f>
        <v>#REF!</v>
      </c>
    </row>
    <row r="63" spans="2:31" hidden="1" outlineLevel="1">
      <c r="B63" s="820"/>
      <c r="Z63" s="821" t="str">
        <f>IFERROR(INDEX(Growth!$V$10:$V$39,MATCH(Multiples!#REF!,Growth!$D$10:$D$39,0)),"")</f>
        <v/>
      </c>
      <c r="AA63" s="821" t="str">
        <f>IFERROR(INDEX(Growth!$V$60:$V$69,MATCH(#REF!,Growth!$D$60:$D$69,0)),"")</f>
        <v/>
      </c>
      <c r="AB63" s="818" t="e">
        <f>Margins!#REF!</f>
        <v>#REF!</v>
      </c>
      <c r="AC63" s="822" t="e">
        <f>#REF!</f>
        <v>#REF!</v>
      </c>
      <c r="AD63" s="822" t="e">
        <f>#REF!</f>
        <v>#REF!</v>
      </c>
      <c r="AE63" s="822" t="e">
        <f>#REF!</f>
        <v>#REF!</v>
      </c>
    </row>
    <row r="64" spans="2:31" hidden="1" outlineLevel="1">
      <c r="B64" s="820"/>
      <c r="Z64" s="821" t="str">
        <f>IFERROR(INDEX(Growth!$V$10:$V$39,MATCH(Multiples!#REF!,Growth!$D$10:$D$39,0)),"")</f>
        <v/>
      </c>
      <c r="AA64" s="821" t="str">
        <f>IFERROR(INDEX(Growth!$V$60:$V$69,MATCH(#REF!,Growth!$D$60:$D$69,0)),"")</f>
        <v/>
      </c>
      <c r="AB64" s="818" t="e">
        <f>Margins!#REF!</f>
        <v>#REF!</v>
      </c>
      <c r="AC64" s="822" t="e">
        <f>#REF!</f>
        <v>#REF!</v>
      </c>
      <c r="AD64" s="822" t="e">
        <f>#REF!</f>
        <v>#REF!</v>
      </c>
      <c r="AE64" s="822" t="e">
        <f>#REF!</f>
        <v>#REF!</v>
      </c>
    </row>
    <row r="65" spans="2:31" hidden="1" outlineLevel="1">
      <c r="B65" s="820"/>
      <c r="Z65" s="821" t="str">
        <f>IFERROR(INDEX(Growth!$V$10:$V$39,MATCH(Multiples!#REF!,Growth!$D$10:$D$39,0)),"")</f>
        <v/>
      </c>
      <c r="AA65" s="821" t="str">
        <f>IFERROR(INDEX(Growth!$V$60:$V$69,MATCH(#REF!,Growth!$D$60:$D$69,0)),"")</f>
        <v/>
      </c>
      <c r="AB65" s="818" t="e">
        <f>Margins!#REF!</f>
        <v>#REF!</v>
      </c>
      <c r="AC65" s="822" t="e">
        <f>#REF!</f>
        <v>#REF!</v>
      </c>
      <c r="AD65" s="822" t="e">
        <f>#REF!</f>
        <v>#REF!</v>
      </c>
      <c r="AE65" s="822" t="e">
        <f>#REF!</f>
        <v>#REF!</v>
      </c>
    </row>
    <row r="66" spans="2:31" hidden="1" outlineLevel="1">
      <c r="B66" s="820"/>
      <c r="Z66" s="821" t="str">
        <f>IFERROR(INDEX(Growth!$V$10:$V$39,MATCH(Multiples!#REF!,Growth!$D$10:$D$39,0)),"")</f>
        <v/>
      </c>
      <c r="AA66" s="821" t="str">
        <f>IFERROR(INDEX(Growth!$V$60:$V$69,MATCH(#REF!,Growth!$D$60:$D$69,0)),"")</f>
        <v/>
      </c>
      <c r="AB66" s="818" t="e">
        <f>Margins!#REF!</f>
        <v>#REF!</v>
      </c>
      <c r="AC66" s="822" t="e">
        <f>#REF!</f>
        <v>#REF!</v>
      </c>
      <c r="AD66" s="822" t="e">
        <f>#REF!</f>
        <v>#REF!</v>
      </c>
      <c r="AE66" s="822" t="e">
        <f>#REF!</f>
        <v>#REF!</v>
      </c>
    </row>
    <row r="67" spans="2:31" hidden="1" outlineLevel="1">
      <c r="B67" s="820"/>
      <c r="Z67" s="821" t="str">
        <f>IFERROR(INDEX(Growth!$V$10:$V$39,MATCH(Multiples!#REF!,Growth!$D$10:$D$39,0)),"")</f>
        <v/>
      </c>
      <c r="AA67" s="821" t="str">
        <f>IFERROR(INDEX(Growth!$V$60:$V$69,MATCH(#REF!,Growth!$D$60:$D$69,0)),"")</f>
        <v/>
      </c>
      <c r="AB67" s="818" t="e">
        <f>Margins!#REF!</f>
        <v>#REF!</v>
      </c>
      <c r="AC67" s="822" t="e">
        <f>#REF!</f>
        <v>#REF!</v>
      </c>
      <c r="AD67" s="822" t="e">
        <f>#REF!</f>
        <v>#REF!</v>
      </c>
      <c r="AE67" s="822" t="e">
        <f>#REF!</f>
        <v>#REF!</v>
      </c>
    </row>
    <row r="68" spans="2:31" hidden="1" outlineLevel="1">
      <c r="B68" s="820"/>
      <c r="Z68" s="823" t="str">
        <f>IFERROR(INDEX(Growth!$V$10:$V$39,MATCH(Multiples!#REF!,Growth!$D$10:$D$39,0)),"")</f>
        <v/>
      </c>
      <c r="AA68" s="823" t="str">
        <f>IFERROR(INDEX(Growth!$V$60:$V$69,MATCH(#REF!,Growth!$D$60:$D$69,0)),"")</f>
        <v/>
      </c>
      <c r="AB68" s="823" t="e">
        <f>Margins!#REF!</f>
        <v>#REF!</v>
      </c>
      <c r="AC68" s="824" t="e">
        <f>#REF!</f>
        <v>#REF!</v>
      </c>
      <c r="AD68" s="824" t="e">
        <f>#REF!</f>
        <v>#REF!</v>
      </c>
      <c r="AE68" s="824" t="e">
        <f>#REF!</f>
        <v>#REF!</v>
      </c>
    </row>
    <row r="69" spans="2:31" hidden="1" outlineLevel="1">
      <c r="B69" s="820"/>
    </row>
    <row r="70" spans="2:31" hidden="1" outlineLevel="1">
      <c r="Z70" s="374" t="s">
        <v>1426</v>
      </c>
    </row>
    <row r="71" spans="2:31" hidden="1" outlineLevel="1"/>
    <row r="72" spans="2:31" hidden="1" outlineLevel="1"/>
    <row r="73" spans="2:31" hidden="1" outlineLevel="1"/>
    <row r="74" spans="2:31" hidden="1" outlineLevel="1"/>
    <row r="75" spans="2:31" hidden="1" outlineLevel="1"/>
    <row r="76" spans="2:31" hidden="1" outlineLevel="1"/>
    <row r="77" spans="2:31" hidden="1" outlineLevel="1"/>
    <row r="78" spans="2:31" hidden="1" outlineLevel="1"/>
    <row r="79" spans="2:31" hidden="1" outlineLevel="1"/>
    <row r="80" spans="2:31" hidden="1" outlineLevel="1"/>
    <row r="81" hidden="1" outlineLevel="1"/>
    <row r="82" hidden="1" outlineLevel="1"/>
    <row r="83" hidden="1" outlineLevel="1"/>
    <row r="84" hidden="1" outlineLevel="1"/>
    <row r="85" hidden="1" outlineLevel="1"/>
    <row r="86" hidden="1" outlineLevel="1"/>
    <row r="87" collapsed="1"/>
  </sheetData>
  <mergeCells count="13">
    <mergeCell ref="AF7:AK7"/>
    <mergeCell ref="AL7:AQ7"/>
    <mergeCell ref="N7:P7"/>
    <mergeCell ref="C7:E7"/>
    <mergeCell ref="AC37:AD37"/>
    <mergeCell ref="F7:H7"/>
    <mergeCell ref="I7"/>
    <mergeCell ref="K7:M7"/>
    <mergeCell ref="Q7:S7"/>
    <mergeCell ref="T7:V7"/>
    <mergeCell ref="W7:Y7"/>
    <mergeCell ref="Z7:AB7"/>
    <mergeCell ref="AC7:AE7"/>
  </mergeCells>
  <phoneticPr fontId="19" type="noConversion"/>
  <conditionalFormatting sqref="C9:AR18">
    <cfRule type="expression" dxfId="5" priority="44">
      <formula>$AV9="Yes"</formula>
    </cfRule>
  </conditionalFormatting>
  <conditionalFormatting sqref="E9:E18">
    <cfRule type="expression" dxfId="4" priority="7">
      <formula>IF(valuation.date-E9&gt;365,1,0)</formula>
    </cfRule>
  </conditionalFormatting>
  <conditionalFormatting sqref="Y9:Y33 AB9:AB33 AE9:AE33 AH9:AH33 AN9:AN33">
    <cfRule type="expression" dxfId="3" priority="105">
      <formula>COUNTIF(#REF!,-1)&gt;0</formula>
    </cfRule>
  </conditionalFormatting>
  <dataValidations count="1">
    <dataValidation type="list" allowBlank="1" showInputMessage="1" showErrorMessage="1" sqref="AV9:AV18" xr:uid="{00000000-0002-0000-0900-000000000000}">
      <formula1>"Yes, No"</formula1>
    </dataValidation>
  </dataValidations>
  <printOptions horizontalCentered="1"/>
  <pageMargins left="0.25" right="0.25" top="0.75" bottom="0.25" header="0.25" footer="0.25"/>
  <pageSetup scale="44" orientation="landscape" horizontalDpi="360" verticalDpi="300" r:id="rId1"/>
  <headerFooter alignWithMargins="0">
    <oddHeader>&amp;R&amp;"Arial"&amp;8&amp;K000000Confidential&amp;1#</oddHead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tabColor theme="9" tint="-9.9978637043366805E-2"/>
    <pageSetUpPr fitToPage="1"/>
  </sheetPr>
  <dimension ref="B1:T61"/>
  <sheetViews>
    <sheetView showGridLines="0" view="pageBreakPreview" zoomScaleSheetLayoutView="100" workbookViewId="0">
      <selection activeCell="L4" sqref="L4"/>
    </sheetView>
  </sheetViews>
  <sheetFormatPr defaultColWidth="8.88671875" defaultRowHeight="11.25"/>
  <cols>
    <col min="1" max="1" width="4.44140625" style="229" customWidth="1"/>
    <col min="2" max="2" width="2.88671875" style="229" customWidth="1"/>
    <col min="3" max="3" width="7.88671875" style="229" customWidth="1"/>
    <col min="4" max="5" width="29.88671875" style="229" customWidth="1"/>
    <col min="6" max="11" width="7.88671875" style="229" customWidth="1"/>
    <col min="12" max="12" width="2.88671875" style="229" customWidth="1"/>
    <col min="13" max="13" width="1.5546875" style="229" customWidth="1"/>
    <col min="14" max="14" width="12.109375" style="229" bestFit="1" customWidth="1"/>
    <col min="15" max="16384" width="8.88671875" style="229"/>
  </cols>
  <sheetData>
    <row r="1" spans="2:20" s="392" customFormat="1" ht="12" thickBot="1">
      <c r="O1" s="504" t="s">
        <v>106</v>
      </c>
    </row>
    <row r="2" spans="2:20" s="407" customFormat="1">
      <c r="B2" s="505" t="str">
        <f>BS!B2</f>
        <v>Valify - UAE Valuation Services</v>
      </c>
      <c r="C2" s="393"/>
      <c r="D2" s="258"/>
      <c r="E2" s="258"/>
      <c r="F2" s="258"/>
      <c r="G2" s="258"/>
      <c r="H2" s="258"/>
      <c r="I2" s="258"/>
      <c r="J2" s="258"/>
      <c r="K2" s="258"/>
      <c r="L2" s="302"/>
      <c r="O2" s="504" t="s">
        <v>1359</v>
      </c>
      <c r="P2" s="1837" t="s">
        <v>1392</v>
      </c>
      <c r="Q2" s="1838"/>
      <c r="R2" s="1838"/>
      <c r="S2" s="1839"/>
    </row>
    <row r="3" spans="2:20" s="406" customFormat="1" ht="15.75" customHeight="1">
      <c r="B3" s="505" t="str">
        <f>Inputs!$B$3</f>
        <v>Lazure Worldwide FZCO - Self Valuation using DCF Method, Transaction Multiples Method, &amp; Market Multiples Method as at September 30, 2024</v>
      </c>
      <c r="C3" s="506"/>
      <c r="D3" s="506"/>
      <c r="E3" s="506"/>
      <c r="F3" s="506"/>
      <c r="G3" s="506"/>
      <c r="H3" s="506"/>
      <c r="I3" s="506"/>
      <c r="J3" s="506"/>
      <c r="K3" s="506"/>
      <c r="L3" s="309"/>
      <c r="P3" s="1840"/>
      <c r="Q3" s="1841"/>
      <c r="R3" s="1841"/>
      <c r="S3" s="1842"/>
    </row>
    <row r="4" spans="2:20" s="406" customFormat="1">
      <c r="B4" s="507" t="s">
        <v>1393</v>
      </c>
      <c r="C4" s="508"/>
      <c r="D4" s="508"/>
      <c r="E4" s="508"/>
      <c r="F4" s="508"/>
      <c r="G4" s="508"/>
      <c r="H4" s="508"/>
      <c r="I4" s="508"/>
      <c r="J4" s="508"/>
      <c r="K4" s="508"/>
      <c r="L4" s="561" t="str">
        <f>valuation.date.header</f>
        <v>Valuation Date:  September 30, 2024</v>
      </c>
      <c r="P4" s="1840"/>
      <c r="Q4" s="1841"/>
      <c r="R4" s="1841"/>
      <c r="S4" s="1842"/>
    </row>
    <row r="5" spans="2:20" s="406" customFormat="1">
      <c r="B5" s="510"/>
      <c r="C5" s="510"/>
      <c r="D5" s="510"/>
      <c r="E5" s="510"/>
      <c r="F5" s="510"/>
      <c r="G5" s="510"/>
      <c r="H5" s="510"/>
      <c r="I5" s="510"/>
      <c r="J5" s="510"/>
      <c r="K5" s="510"/>
      <c r="P5" s="1840"/>
      <c r="Q5" s="1841"/>
      <c r="R5" s="1841"/>
      <c r="S5" s="1842"/>
    </row>
    <row r="6" spans="2:20">
      <c r="P6" s="1840"/>
      <c r="Q6" s="1841"/>
      <c r="R6" s="1841"/>
      <c r="S6" s="1842"/>
    </row>
    <row r="7" spans="2:20" s="232" customFormat="1" ht="18" customHeight="1" thickBot="1">
      <c r="C7" s="511" t="s">
        <v>1394</v>
      </c>
      <c r="D7" s="512"/>
      <c r="E7" s="512"/>
      <c r="F7" s="512"/>
      <c r="G7" s="512"/>
      <c r="H7" s="512"/>
      <c r="I7" s="513"/>
      <c r="J7" s="513"/>
      <c r="K7" s="514"/>
      <c r="P7" s="1843"/>
      <c r="Q7" s="1844"/>
      <c r="R7" s="1844"/>
      <c r="S7" s="1845"/>
    </row>
    <row r="8" spans="2:20" s="232" customFormat="1" ht="12" customHeight="1">
      <c r="B8" s="432"/>
      <c r="C8" s="515" t="str">
        <f>currency.heading1</f>
        <v>INR 'Units</v>
      </c>
      <c r="D8" s="515"/>
      <c r="E8" s="515"/>
      <c r="F8" s="70"/>
      <c r="G8" s="70"/>
      <c r="H8" s="70"/>
      <c r="I8" s="70"/>
      <c r="J8" s="70"/>
      <c r="K8" s="70"/>
      <c r="N8" s="516" t="s">
        <v>1395</v>
      </c>
    </row>
    <row r="9" spans="2:20" s="232" customFormat="1" ht="25.35" customHeight="1" thickBot="1">
      <c r="B9" s="432"/>
      <c r="C9" s="517" t="s">
        <v>1396</v>
      </c>
      <c r="D9" s="517" t="s">
        <v>1397</v>
      </c>
      <c r="E9" s="517" t="s">
        <v>1398</v>
      </c>
      <c r="F9" s="518" t="s">
        <v>1399</v>
      </c>
      <c r="G9" s="518" t="s">
        <v>1400</v>
      </c>
      <c r="H9" s="518" t="s">
        <v>1401</v>
      </c>
      <c r="I9" s="518" t="s">
        <v>1402</v>
      </c>
      <c r="J9" s="518" t="s">
        <v>1403</v>
      </c>
      <c r="K9" s="518" t="s">
        <v>1404</v>
      </c>
      <c r="N9" s="516"/>
    </row>
    <row r="10" spans="2:20" ht="12" customHeight="1" thickBot="1">
      <c r="B10" s="251"/>
      <c r="C10" s="519">
        <f>'GPC Data'!D328</f>
        <v>0</v>
      </c>
      <c r="D10" s="520">
        <f>'GPC Data'!E328</f>
        <v>0</v>
      </c>
      <c r="E10" s="520">
        <f>'GPC Data'!F328</f>
        <v>0</v>
      </c>
      <c r="F10" s="521">
        <f>'GPC Data'!G328</f>
        <v>0</v>
      </c>
      <c r="G10" s="521">
        <f>'GPC Data'!H328</f>
        <v>0</v>
      </c>
      <c r="H10" s="521">
        <f>'GPC Data'!I328</f>
        <v>0</v>
      </c>
      <c r="I10" s="522">
        <f>'GPC Data'!J328</f>
        <v>0</v>
      </c>
      <c r="J10" s="523">
        <f>'GPC Data'!K328</f>
        <v>0</v>
      </c>
      <c r="K10" s="523">
        <f>'GPC Data'!L328</f>
        <v>0</v>
      </c>
      <c r="N10" s="443" t="s">
        <v>1359</v>
      </c>
      <c r="P10" s="392"/>
      <c r="Q10" s="392"/>
      <c r="R10" s="392"/>
      <c r="S10" s="392"/>
      <c r="T10" s="392"/>
    </row>
    <row r="11" spans="2:20" ht="12" customHeight="1" thickBot="1">
      <c r="B11" s="432"/>
      <c r="C11" s="524">
        <f>'GPC Data'!D329</f>
        <v>0</v>
      </c>
      <c r="D11" s="525">
        <f>'GPC Data'!E329</f>
        <v>0</v>
      </c>
      <c r="E11" s="525">
        <f>'GPC Data'!F329</f>
        <v>0</v>
      </c>
      <c r="F11" s="526">
        <f>'GPC Data'!G329</f>
        <v>0</v>
      </c>
      <c r="G11" s="526">
        <f>'GPC Data'!H329</f>
        <v>0</v>
      </c>
      <c r="H11" s="526">
        <f>'GPC Data'!I329</f>
        <v>0</v>
      </c>
      <c r="I11" s="527">
        <f>'GPC Data'!J329</f>
        <v>0</v>
      </c>
      <c r="J11" s="528">
        <f>'GPC Data'!K329</f>
        <v>0</v>
      </c>
      <c r="K11" s="528">
        <f>'GPC Data'!L329</f>
        <v>0</v>
      </c>
      <c r="N11" s="443" t="s">
        <v>1359</v>
      </c>
      <c r="P11" s="392"/>
      <c r="Q11" s="392"/>
      <c r="R11" s="392"/>
      <c r="S11" s="392"/>
      <c r="T11" s="392"/>
    </row>
    <row r="12" spans="2:20" ht="12" customHeight="1" thickBot="1">
      <c r="B12" s="251"/>
      <c r="C12" s="524">
        <f>'GPC Data'!D330</f>
        <v>0</v>
      </c>
      <c r="D12" s="525">
        <f>'GPC Data'!E330</f>
        <v>0</v>
      </c>
      <c r="E12" s="525">
        <f>'GPC Data'!F330</f>
        <v>0</v>
      </c>
      <c r="F12" s="526">
        <f>'GPC Data'!G330</f>
        <v>0</v>
      </c>
      <c r="G12" s="526">
        <f>'GPC Data'!H330</f>
        <v>0</v>
      </c>
      <c r="H12" s="526">
        <f>'GPC Data'!I330</f>
        <v>0</v>
      </c>
      <c r="I12" s="527">
        <f>'GPC Data'!J330</f>
        <v>0</v>
      </c>
      <c r="J12" s="528">
        <f>'GPC Data'!K330</f>
        <v>0</v>
      </c>
      <c r="K12" s="528">
        <f>'GPC Data'!L330</f>
        <v>0</v>
      </c>
      <c r="N12" s="443" t="s">
        <v>1359</v>
      </c>
      <c r="P12" s="392"/>
      <c r="Q12" s="392"/>
      <c r="R12" s="392"/>
      <c r="S12" s="392"/>
      <c r="T12" s="392"/>
    </row>
    <row r="13" spans="2:20" ht="12" customHeight="1" thickBot="1">
      <c r="B13" s="251"/>
      <c r="C13" s="524">
        <f>'GPC Data'!D331</f>
        <v>0</v>
      </c>
      <c r="D13" s="525">
        <f>'GPC Data'!E331</f>
        <v>0</v>
      </c>
      <c r="E13" s="525">
        <f>'GPC Data'!F331</f>
        <v>0</v>
      </c>
      <c r="F13" s="526">
        <f>'GPC Data'!G331</f>
        <v>0</v>
      </c>
      <c r="G13" s="526">
        <f>'GPC Data'!H331</f>
        <v>0</v>
      </c>
      <c r="H13" s="526">
        <f>'GPC Data'!I331</f>
        <v>0</v>
      </c>
      <c r="I13" s="527">
        <f>'GPC Data'!J331</f>
        <v>0</v>
      </c>
      <c r="J13" s="528">
        <f>'GPC Data'!K331</f>
        <v>0</v>
      </c>
      <c r="K13" s="528">
        <f>'GPC Data'!L331</f>
        <v>0</v>
      </c>
      <c r="N13" s="443" t="s">
        <v>1359</v>
      </c>
      <c r="P13" s="392"/>
      <c r="Q13" s="392"/>
      <c r="R13" s="392"/>
      <c r="S13" s="392"/>
      <c r="T13" s="392"/>
    </row>
    <row r="14" spans="2:20" ht="12" customHeight="1" thickBot="1">
      <c r="B14" s="251"/>
      <c r="C14" s="524">
        <f>'GPC Data'!D332</f>
        <v>0</v>
      </c>
      <c r="D14" s="525">
        <f>'GPC Data'!E332</f>
        <v>0</v>
      </c>
      <c r="E14" s="525">
        <f>'GPC Data'!F332</f>
        <v>0</v>
      </c>
      <c r="F14" s="526">
        <f>'GPC Data'!G332</f>
        <v>0</v>
      </c>
      <c r="G14" s="526">
        <f>'GPC Data'!H332</f>
        <v>0</v>
      </c>
      <c r="H14" s="526">
        <f>'GPC Data'!I332</f>
        <v>0</v>
      </c>
      <c r="I14" s="527">
        <f>'GPC Data'!J332</f>
        <v>0</v>
      </c>
      <c r="J14" s="528">
        <f>'GPC Data'!K332</f>
        <v>0</v>
      </c>
      <c r="K14" s="528">
        <f>'GPC Data'!L332</f>
        <v>0</v>
      </c>
      <c r="N14" s="443" t="s">
        <v>1359</v>
      </c>
      <c r="P14" s="392"/>
      <c r="Q14" s="392"/>
      <c r="R14" s="392"/>
      <c r="S14" s="392"/>
      <c r="T14" s="392"/>
    </row>
    <row r="15" spans="2:20" ht="12" customHeight="1" thickBot="1">
      <c r="B15" s="251"/>
      <c r="C15" s="524">
        <f>'GPC Data'!D333</f>
        <v>0</v>
      </c>
      <c r="D15" s="525">
        <f>'GPC Data'!E333</f>
        <v>0</v>
      </c>
      <c r="E15" s="525">
        <f>'GPC Data'!F333</f>
        <v>0</v>
      </c>
      <c r="F15" s="526">
        <f>'GPC Data'!G333</f>
        <v>0</v>
      </c>
      <c r="G15" s="526">
        <f>'GPC Data'!H333</f>
        <v>0</v>
      </c>
      <c r="H15" s="526">
        <f>'GPC Data'!I333</f>
        <v>0</v>
      </c>
      <c r="I15" s="527">
        <f>'GPC Data'!J333</f>
        <v>0</v>
      </c>
      <c r="J15" s="528">
        <f>'GPC Data'!K333</f>
        <v>0</v>
      </c>
      <c r="K15" s="528">
        <f>'GPC Data'!L333</f>
        <v>0</v>
      </c>
      <c r="N15" s="443" t="s">
        <v>1359</v>
      </c>
      <c r="P15" s="392"/>
      <c r="Q15" s="392"/>
      <c r="R15" s="392"/>
      <c r="S15" s="392"/>
      <c r="T15" s="392"/>
    </row>
    <row r="16" spans="2:20" ht="12" customHeight="1" thickBot="1">
      <c r="B16" s="251"/>
      <c r="C16" s="524">
        <f>'GPC Data'!D334</f>
        <v>0</v>
      </c>
      <c r="D16" s="525">
        <f>'GPC Data'!E334</f>
        <v>0</v>
      </c>
      <c r="E16" s="525">
        <f>'GPC Data'!F334</f>
        <v>0</v>
      </c>
      <c r="F16" s="526">
        <f>'GPC Data'!G334</f>
        <v>0</v>
      </c>
      <c r="G16" s="526">
        <f>'GPC Data'!H334</f>
        <v>0</v>
      </c>
      <c r="H16" s="526">
        <f>'GPC Data'!I334</f>
        <v>0</v>
      </c>
      <c r="I16" s="527">
        <f>'GPC Data'!J334</f>
        <v>0</v>
      </c>
      <c r="J16" s="528">
        <f>'GPC Data'!K334</f>
        <v>0</v>
      </c>
      <c r="K16" s="528">
        <f>'GPC Data'!L334</f>
        <v>0</v>
      </c>
      <c r="N16" s="443" t="s">
        <v>1359</v>
      </c>
      <c r="P16" s="392"/>
      <c r="Q16" s="392"/>
      <c r="R16" s="392"/>
      <c r="S16" s="392"/>
      <c r="T16" s="392"/>
    </row>
    <row r="17" spans="2:20" ht="12" customHeight="1" thickBot="1">
      <c r="B17" s="251"/>
      <c r="C17" s="524">
        <f>'GPC Data'!D335</f>
        <v>0</v>
      </c>
      <c r="D17" s="525">
        <f>'GPC Data'!E335</f>
        <v>0</v>
      </c>
      <c r="E17" s="525">
        <f>'GPC Data'!F335</f>
        <v>0</v>
      </c>
      <c r="F17" s="526">
        <f>'GPC Data'!G335</f>
        <v>0</v>
      </c>
      <c r="G17" s="526">
        <f>'GPC Data'!H335</f>
        <v>0</v>
      </c>
      <c r="H17" s="526">
        <f>'GPC Data'!I335</f>
        <v>0</v>
      </c>
      <c r="I17" s="527">
        <f>'GPC Data'!J335</f>
        <v>0</v>
      </c>
      <c r="J17" s="528">
        <f>'GPC Data'!K335</f>
        <v>0</v>
      </c>
      <c r="K17" s="528">
        <f>'GPC Data'!L335</f>
        <v>0</v>
      </c>
      <c r="N17" s="443" t="s">
        <v>1359</v>
      </c>
      <c r="P17" s="392"/>
      <c r="Q17" s="392"/>
      <c r="R17" s="392"/>
      <c r="S17" s="392"/>
      <c r="T17" s="392"/>
    </row>
    <row r="18" spans="2:20" ht="12" customHeight="1" thickBot="1">
      <c r="B18" s="251"/>
      <c r="C18" s="524">
        <f>'GPC Data'!D336</f>
        <v>0</v>
      </c>
      <c r="D18" s="525">
        <f>'GPC Data'!E336</f>
        <v>0</v>
      </c>
      <c r="E18" s="525">
        <f>'GPC Data'!F336</f>
        <v>0</v>
      </c>
      <c r="F18" s="526">
        <f>'GPC Data'!G336</f>
        <v>0</v>
      </c>
      <c r="G18" s="526">
        <f>'GPC Data'!H336</f>
        <v>0</v>
      </c>
      <c r="H18" s="526">
        <f>'GPC Data'!I336</f>
        <v>0</v>
      </c>
      <c r="I18" s="527">
        <f>'GPC Data'!J336</f>
        <v>0</v>
      </c>
      <c r="J18" s="528">
        <f>'GPC Data'!K336</f>
        <v>0</v>
      </c>
      <c r="K18" s="528">
        <f>'GPC Data'!L336</f>
        <v>0</v>
      </c>
      <c r="N18" s="443" t="s">
        <v>1359</v>
      </c>
      <c r="P18" s="392"/>
      <c r="Q18" s="392"/>
      <c r="R18" s="392"/>
      <c r="S18" s="392"/>
      <c r="T18" s="392"/>
    </row>
    <row r="19" spans="2:20" ht="12" customHeight="1" thickBot="1">
      <c r="B19" s="251"/>
      <c r="C19" s="524">
        <f>'GPC Data'!D337</f>
        <v>0</v>
      </c>
      <c r="D19" s="525">
        <f>'GPC Data'!E337</f>
        <v>0</v>
      </c>
      <c r="E19" s="525">
        <f>'GPC Data'!F337</f>
        <v>0</v>
      </c>
      <c r="F19" s="526">
        <f>'GPC Data'!G337</f>
        <v>0</v>
      </c>
      <c r="G19" s="526">
        <f>'GPC Data'!H337</f>
        <v>0</v>
      </c>
      <c r="H19" s="526">
        <f>'GPC Data'!I337</f>
        <v>0</v>
      </c>
      <c r="I19" s="527">
        <f>'GPC Data'!J337</f>
        <v>0</v>
      </c>
      <c r="J19" s="528">
        <f>'GPC Data'!K337</f>
        <v>0</v>
      </c>
      <c r="K19" s="528">
        <f>'GPC Data'!L337</f>
        <v>0</v>
      </c>
      <c r="N19" s="443"/>
      <c r="P19" s="392"/>
      <c r="Q19" s="392"/>
      <c r="R19" s="392"/>
      <c r="S19" s="392"/>
      <c r="T19" s="392"/>
    </row>
    <row r="20" spans="2:20" ht="12" customHeight="1" thickBot="1">
      <c r="B20" s="251"/>
      <c r="C20" s="524">
        <f>'GPC Data'!D338</f>
        <v>0</v>
      </c>
      <c r="D20" s="525">
        <f>'GPC Data'!E338</f>
        <v>0</v>
      </c>
      <c r="E20" s="525">
        <f>'GPC Data'!F338</f>
        <v>0</v>
      </c>
      <c r="F20" s="526">
        <f>'GPC Data'!G338</f>
        <v>0</v>
      </c>
      <c r="G20" s="526">
        <f>'GPC Data'!H338</f>
        <v>0</v>
      </c>
      <c r="H20" s="526">
        <f>'GPC Data'!I338</f>
        <v>0</v>
      </c>
      <c r="I20" s="527">
        <f>'GPC Data'!J338</f>
        <v>0</v>
      </c>
      <c r="J20" s="528">
        <f>'GPC Data'!K338</f>
        <v>0</v>
      </c>
      <c r="K20" s="528">
        <f>'GPC Data'!L338</f>
        <v>0</v>
      </c>
      <c r="N20" s="443"/>
      <c r="P20" s="392"/>
      <c r="Q20" s="392"/>
      <c r="R20" s="392"/>
      <c r="S20" s="392"/>
      <c r="T20" s="392"/>
    </row>
    <row r="21" spans="2:20" ht="12" customHeight="1" thickBot="1">
      <c r="B21" s="251"/>
      <c r="C21" s="524">
        <f>'GPC Data'!D339</f>
        <v>0</v>
      </c>
      <c r="D21" s="525">
        <f>'GPC Data'!E339</f>
        <v>0</v>
      </c>
      <c r="E21" s="525">
        <f>'GPC Data'!F339</f>
        <v>0</v>
      </c>
      <c r="F21" s="526">
        <f>'GPC Data'!G339</f>
        <v>0</v>
      </c>
      <c r="G21" s="526">
        <f>'GPC Data'!H339</f>
        <v>0</v>
      </c>
      <c r="H21" s="526">
        <f>'GPC Data'!I339</f>
        <v>0</v>
      </c>
      <c r="I21" s="527">
        <f>'GPC Data'!J339</f>
        <v>0</v>
      </c>
      <c r="J21" s="528">
        <f>'GPC Data'!K339</f>
        <v>0</v>
      </c>
      <c r="K21" s="528">
        <f>'GPC Data'!L339</f>
        <v>0</v>
      </c>
      <c r="N21" s="443"/>
      <c r="P21" s="392"/>
      <c r="Q21" s="392"/>
      <c r="R21" s="392"/>
      <c r="S21" s="392"/>
      <c r="T21" s="392"/>
    </row>
    <row r="22" spans="2:20" ht="12" customHeight="1" thickBot="1">
      <c r="B22" s="251"/>
      <c r="C22" s="524">
        <f>'GPC Data'!D340</f>
        <v>0</v>
      </c>
      <c r="D22" s="525">
        <f>'GPC Data'!E340</f>
        <v>0</v>
      </c>
      <c r="E22" s="525">
        <f>'GPC Data'!F340</f>
        <v>0</v>
      </c>
      <c r="F22" s="526">
        <f>'GPC Data'!G340</f>
        <v>0</v>
      </c>
      <c r="G22" s="526">
        <f>'GPC Data'!H340</f>
        <v>0</v>
      </c>
      <c r="H22" s="526">
        <f>'GPC Data'!I340</f>
        <v>0</v>
      </c>
      <c r="I22" s="527">
        <f>'GPC Data'!J340</f>
        <v>0</v>
      </c>
      <c r="J22" s="528">
        <f>'GPC Data'!K340</f>
        <v>0</v>
      </c>
      <c r="K22" s="528">
        <f>'GPC Data'!L340</f>
        <v>0</v>
      </c>
      <c r="N22" s="443"/>
      <c r="P22" s="392"/>
      <c r="Q22" s="392"/>
      <c r="R22" s="392"/>
      <c r="S22" s="392"/>
      <c r="T22" s="392"/>
    </row>
    <row r="23" spans="2:20" ht="12" customHeight="1" thickBot="1">
      <c r="B23" s="251"/>
      <c r="C23" s="524">
        <f>'GPC Data'!D341</f>
        <v>0</v>
      </c>
      <c r="D23" s="525">
        <f>'GPC Data'!E341</f>
        <v>0</v>
      </c>
      <c r="E23" s="525">
        <f>'GPC Data'!F341</f>
        <v>0</v>
      </c>
      <c r="F23" s="526">
        <f>'GPC Data'!G341</f>
        <v>0</v>
      </c>
      <c r="G23" s="526">
        <f>'GPC Data'!H341</f>
        <v>0</v>
      </c>
      <c r="H23" s="526">
        <f>'GPC Data'!I341</f>
        <v>0</v>
      </c>
      <c r="I23" s="527">
        <f>'GPC Data'!J341</f>
        <v>0</v>
      </c>
      <c r="J23" s="528">
        <f>'GPC Data'!K341</f>
        <v>0</v>
      </c>
      <c r="K23" s="528">
        <f>'GPC Data'!L341</f>
        <v>0</v>
      </c>
      <c r="N23" s="443"/>
      <c r="P23" s="392"/>
      <c r="Q23" s="392"/>
      <c r="R23" s="392"/>
      <c r="S23" s="392"/>
      <c r="T23" s="392"/>
    </row>
    <row r="24" spans="2:20" ht="12" customHeight="1" thickBot="1">
      <c r="B24" s="251"/>
      <c r="C24" s="524">
        <f>'GPC Data'!D342</f>
        <v>0</v>
      </c>
      <c r="D24" s="525">
        <f>'GPC Data'!E342</f>
        <v>0</v>
      </c>
      <c r="E24" s="525">
        <f>'GPC Data'!F342</f>
        <v>0</v>
      </c>
      <c r="F24" s="526">
        <f>'GPC Data'!G342</f>
        <v>0</v>
      </c>
      <c r="G24" s="526">
        <f>'GPC Data'!H342</f>
        <v>0</v>
      </c>
      <c r="H24" s="526">
        <f>'GPC Data'!I342</f>
        <v>0</v>
      </c>
      <c r="I24" s="527">
        <f>'GPC Data'!J342</f>
        <v>0</v>
      </c>
      <c r="J24" s="528">
        <f>'GPC Data'!K342</f>
        <v>0</v>
      </c>
      <c r="K24" s="528">
        <f>'GPC Data'!L342</f>
        <v>0</v>
      </c>
      <c r="N24" s="443"/>
      <c r="P24" s="392"/>
      <c r="Q24" s="392"/>
      <c r="R24" s="392"/>
      <c r="S24" s="392"/>
      <c r="T24" s="392"/>
    </row>
    <row r="25" spans="2:20" ht="12" customHeight="1" thickBot="1">
      <c r="B25" s="251"/>
      <c r="C25" s="524">
        <f>'GPC Data'!D343</f>
        <v>0</v>
      </c>
      <c r="D25" s="525">
        <f>'GPC Data'!E343</f>
        <v>0</v>
      </c>
      <c r="E25" s="525">
        <f>'GPC Data'!F343</f>
        <v>0</v>
      </c>
      <c r="F25" s="526">
        <f>'GPC Data'!G343</f>
        <v>0</v>
      </c>
      <c r="G25" s="526">
        <f>'GPC Data'!H343</f>
        <v>0</v>
      </c>
      <c r="H25" s="526">
        <f>'GPC Data'!I343</f>
        <v>0</v>
      </c>
      <c r="I25" s="527">
        <f>'GPC Data'!J343</f>
        <v>0</v>
      </c>
      <c r="J25" s="528">
        <f>'GPC Data'!K343</f>
        <v>0</v>
      </c>
      <c r="K25" s="528">
        <f>'GPC Data'!L343</f>
        <v>0</v>
      </c>
      <c r="N25" s="443"/>
      <c r="P25" s="392"/>
      <c r="Q25" s="392"/>
      <c r="R25" s="392"/>
      <c r="S25" s="392"/>
      <c r="T25" s="392"/>
    </row>
    <row r="26" spans="2:20" ht="12" customHeight="1" thickBot="1">
      <c r="B26" s="251"/>
      <c r="C26" s="524">
        <f>'GPC Data'!D344</f>
        <v>0</v>
      </c>
      <c r="D26" s="525">
        <f>'GPC Data'!E344</f>
        <v>0</v>
      </c>
      <c r="E26" s="525">
        <f>'GPC Data'!F344</f>
        <v>0</v>
      </c>
      <c r="F26" s="526">
        <f>'GPC Data'!G344</f>
        <v>0</v>
      </c>
      <c r="G26" s="526">
        <f>'GPC Data'!H344</f>
        <v>0</v>
      </c>
      <c r="H26" s="526">
        <f>'GPC Data'!I344</f>
        <v>0</v>
      </c>
      <c r="I26" s="527">
        <f>'GPC Data'!J344</f>
        <v>0</v>
      </c>
      <c r="J26" s="528">
        <f>'GPC Data'!K344</f>
        <v>0</v>
      </c>
      <c r="K26" s="528">
        <f>'GPC Data'!L344</f>
        <v>0</v>
      </c>
      <c r="N26" s="443"/>
      <c r="P26" s="392"/>
      <c r="Q26" s="392"/>
      <c r="R26" s="392"/>
      <c r="S26" s="392"/>
      <c r="T26" s="392"/>
    </row>
    <row r="27" spans="2:20" ht="12" customHeight="1" thickBot="1">
      <c r="B27" s="251"/>
      <c r="C27" s="524">
        <f>'GPC Data'!D345</f>
        <v>0</v>
      </c>
      <c r="D27" s="525">
        <f>'GPC Data'!E345</f>
        <v>0</v>
      </c>
      <c r="E27" s="525">
        <f>'GPC Data'!F345</f>
        <v>0</v>
      </c>
      <c r="F27" s="526">
        <f>'GPC Data'!G345</f>
        <v>0</v>
      </c>
      <c r="G27" s="526">
        <f>'GPC Data'!H345</f>
        <v>0</v>
      </c>
      <c r="H27" s="526">
        <f>'GPC Data'!I345</f>
        <v>0</v>
      </c>
      <c r="I27" s="527">
        <f>'GPC Data'!J345</f>
        <v>0</v>
      </c>
      <c r="J27" s="528">
        <f>'GPC Data'!K345</f>
        <v>0</v>
      </c>
      <c r="K27" s="528">
        <f>'GPC Data'!L345</f>
        <v>0</v>
      </c>
      <c r="N27" s="443"/>
      <c r="P27" s="392"/>
      <c r="Q27" s="392"/>
      <c r="R27" s="392"/>
      <c r="S27" s="392"/>
      <c r="T27" s="392"/>
    </row>
    <row r="28" spans="2:20" ht="12" customHeight="1" thickBot="1">
      <c r="B28" s="251"/>
      <c r="C28" s="524">
        <f>'GPC Data'!D346</f>
        <v>0</v>
      </c>
      <c r="D28" s="525">
        <f>'GPC Data'!E346</f>
        <v>0</v>
      </c>
      <c r="E28" s="525">
        <f>'GPC Data'!F346</f>
        <v>0</v>
      </c>
      <c r="F28" s="526">
        <f>'GPC Data'!G346</f>
        <v>0</v>
      </c>
      <c r="G28" s="526">
        <f>'GPC Data'!H346</f>
        <v>0</v>
      </c>
      <c r="H28" s="526">
        <f>'GPC Data'!I346</f>
        <v>0</v>
      </c>
      <c r="I28" s="527">
        <f>'GPC Data'!J346</f>
        <v>0</v>
      </c>
      <c r="J28" s="528">
        <f>'GPC Data'!K346</f>
        <v>0</v>
      </c>
      <c r="K28" s="528">
        <f>'GPC Data'!L346</f>
        <v>0</v>
      </c>
      <c r="N28" s="443"/>
      <c r="P28" s="392"/>
      <c r="Q28" s="392"/>
      <c r="R28" s="392"/>
      <c r="S28" s="392"/>
      <c r="T28" s="392"/>
    </row>
    <row r="29" spans="2:20" ht="12" customHeight="1" thickBot="1">
      <c r="B29" s="251"/>
      <c r="C29" s="524">
        <f>'GPC Data'!D347</f>
        <v>0</v>
      </c>
      <c r="D29" s="525">
        <f>'GPC Data'!E347</f>
        <v>0</v>
      </c>
      <c r="E29" s="525">
        <f>'GPC Data'!F347</f>
        <v>0</v>
      </c>
      <c r="F29" s="526">
        <f>'GPC Data'!G347</f>
        <v>0</v>
      </c>
      <c r="G29" s="526">
        <f>'GPC Data'!H347</f>
        <v>0</v>
      </c>
      <c r="H29" s="526">
        <f>'GPC Data'!I347</f>
        <v>0</v>
      </c>
      <c r="I29" s="527">
        <f>'GPC Data'!J347</f>
        <v>0</v>
      </c>
      <c r="J29" s="528">
        <f>'GPC Data'!K347</f>
        <v>0</v>
      </c>
      <c r="K29" s="528">
        <f>'GPC Data'!L347</f>
        <v>0</v>
      </c>
      <c r="N29" s="443"/>
      <c r="P29" s="392"/>
      <c r="Q29" s="392"/>
      <c r="R29" s="392"/>
      <c r="S29" s="392"/>
      <c r="T29" s="392"/>
    </row>
    <row r="30" spans="2:20" ht="12" customHeight="1" thickBot="1">
      <c r="B30" s="251"/>
      <c r="C30" s="524">
        <f>'GPC Data'!D348</f>
        <v>0</v>
      </c>
      <c r="D30" s="525">
        <f>'GPC Data'!E348</f>
        <v>0</v>
      </c>
      <c r="E30" s="525">
        <f>'GPC Data'!F348</f>
        <v>0</v>
      </c>
      <c r="F30" s="526">
        <f>'GPC Data'!G348</f>
        <v>0</v>
      </c>
      <c r="G30" s="526">
        <f>'GPC Data'!H348</f>
        <v>0</v>
      </c>
      <c r="H30" s="526">
        <f>'GPC Data'!I348</f>
        <v>0</v>
      </c>
      <c r="I30" s="527">
        <f>'GPC Data'!J348</f>
        <v>0</v>
      </c>
      <c r="J30" s="528">
        <f>'GPC Data'!K348</f>
        <v>0</v>
      </c>
      <c r="K30" s="528">
        <f>'GPC Data'!L348</f>
        <v>0</v>
      </c>
      <c r="N30" s="443"/>
      <c r="P30" s="392"/>
      <c r="Q30" s="392"/>
      <c r="R30" s="392"/>
      <c r="S30" s="392"/>
      <c r="T30" s="392"/>
    </row>
    <row r="31" spans="2:20" ht="12" customHeight="1" thickBot="1">
      <c r="B31" s="251"/>
      <c r="C31" s="524">
        <f>'GPC Data'!D349</f>
        <v>0</v>
      </c>
      <c r="D31" s="525">
        <f>'GPC Data'!E349</f>
        <v>0</v>
      </c>
      <c r="E31" s="525">
        <f>'GPC Data'!F349</f>
        <v>0</v>
      </c>
      <c r="F31" s="526">
        <f>'GPC Data'!G349</f>
        <v>0</v>
      </c>
      <c r="G31" s="526">
        <f>'GPC Data'!H349</f>
        <v>0</v>
      </c>
      <c r="H31" s="526">
        <f>'GPC Data'!I349</f>
        <v>0</v>
      </c>
      <c r="I31" s="527">
        <f>'GPC Data'!J349</f>
        <v>0</v>
      </c>
      <c r="J31" s="528">
        <f>'GPC Data'!K349</f>
        <v>0</v>
      </c>
      <c r="K31" s="528">
        <f>'GPC Data'!L349</f>
        <v>0</v>
      </c>
      <c r="N31" s="443"/>
      <c r="P31" s="392"/>
      <c r="Q31" s="392"/>
      <c r="R31" s="392"/>
      <c r="S31" s="392"/>
      <c r="T31" s="392"/>
    </row>
    <row r="32" spans="2:20" ht="12" customHeight="1" thickBot="1">
      <c r="B32" s="251"/>
      <c r="C32" s="524">
        <f>'GPC Data'!D350</f>
        <v>0</v>
      </c>
      <c r="D32" s="525">
        <f>'GPC Data'!E350</f>
        <v>0</v>
      </c>
      <c r="E32" s="525">
        <f>'GPC Data'!F350</f>
        <v>0</v>
      </c>
      <c r="F32" s="526">
        <f>'GPC Data'!G350</f>
        <v>0</v>
      </c>
      <c r="G32" s="526">
        <f>'GPC Data'!H350</f>
        <v>0</v>
      </c>
      <c r="H32" s="526">
        <f>'GPC Data'!I350</f>
        <v>0</v>
      </c>
      <c r="I32" s="527">
        <f>'GPC Data'!J350</f>
        <v>0</v>
      </c>
      <c r="J32" s="528">
        <f>'GPC Data'!K350</f>
        <v>0</v>
      </c>
      <c r="K32" s="528">
        <f>'GPC Data'!L350</f>
        <v>0</v>
      </c>
      <c r="N32" s="443"/>
      <c r="P32" s="392"/>
      <c r="Q32" s="392"/>
      <c r="R32" s="392"/>
      <c r="S32" s="392"/>
      <c r="T32" s="392"/>
    </row>
    <row r="33" spans="2:20" ht="12" customHeight="1" thickBot="1">
      <c r="B33" s="251"/>
      <c r="C33" s="524">
        <f>'GPC Data'!D351</f>
        <v>0</v>
      </c>
      <c r="D33" s="525">
        <f>'GPC Data'!E351</f>
        <v>0</v>
      </c>
      <c r="E33" s="525">
        <f>'GPC Data'!F351</f>
        <v>0</v>
      </c>
      <c r="F33" s="526">
        <f>'GPC Data'!G351</f>
        <v>0</v>
      </c>
      <c r="G33" s="526">
        <f>'GPC Data'!H351</f>
        <v>0</v>
      </c>
      <c r="H33" s="526">
        <f>'GPC Data'!I351</f>
        <v>0</v>
      </c>
      <c r="I33" s="527">
        <f>'GPC Data'!J351</f>
        <v>0</v>
      </c>
      <c r="J33" s="528">
        <f>'GPC Data'!K351</f>
        <v>0</v>
      </c>
      <c r="K33" s="528">
        <f>'GPC Data'!L351</f>
        <v>0</v>
      </c>
      <c r="N33" s="443"/>
      <c r="P33" s="392"/>
      <c r="Q33" s="392"/>
      <c r="R33" s="392"/>
      <c r="S33" s="392"/>
      <c r="T33" s="392"/>
    </row>
    <row r="34" spans="2:20" ht="12" customHeight="1" thickBot="1">
      <c r="B34" s="251"/>
      <c r="C34" s="524">
        <f>'GPC Data'!D352</f>
        <v>0</v>
      </c>
      <c r="D34" s="525">
        <f>'GPC Data'!E352</f>
        <v>0</v>
      </c>
      <c r="E34" s="525">
        <f>'GPC Data'!F352</f>
        <v>0</v>
      </c>
      <c r="F34" s="526">
        <f>'GPC Data'!G352</f>
        <v>0</v>
      </c>
      <c r="G34" s="526">
        <f>'GPC Data'!H352</f>
        <v>0</v>
      </c>
      <c r="H34" s="526">
        <f>'GPC Data'!I352</f>
        <v>0</v>
      </c>
      <c r="I34" s="527">
        <f>'GPC Data'!J352</f>
        <v>0</v>
      </c>
      <c r="J34" s="528">
        <f>'GPC Data'!K352</f>
        <v>0</v>
      </c>
      <c r="K34" s="528">
        <f>'GPC Data'!L352</f>
        <v>0</v>
      </c>
      <c r="N34" s="443"/>
      <c r="P34" s="392"/>
      <c r="Q34" s="392"/>
      <c r="R34" s="392"/>
      <c r="S34" s="392"/>
      <c r="T34" s="392"/>
    </row>
    <row r="35" spans="2:20" ht="12" customHeight="1" thickBot="1">
      <c r="B35" s="251"/>
      <c r="C35" s="524">
        <f>'GPC Data'!D353</f>
        <v>0</v>
      </c>
      <c r="D35" s="525">
        <f>'GPC Data'!E353</f>
        <v>0</v>
      </c>
      <c r="E35" s="525">
        <f>'GPC Data'!F353</f>
        <v>0</v>
      </c>
      <c r="F35" s="526">
        <f>'GPC Data'!G353</f>
        <v>0</v>
      </c>
      <c r="G35" s="526">
        <f>'GPC Data'!H353</f>
        <v>0</v>
      </c>
      <c r="H35" s="526">
        <f>'GPC Data'!I353</f>
        <v>0</v>
      </c>
      <c r="I35" s="527">
        <f>'GPC Data'!J353</f>
        <v>0</v>
      </c>
      <c r="J35" s="528">
        <f>'GPC Data'!K353</f>
        <v>0</v>
      </c>
      <c r="K35" s="528">
        <f>'GPC Data'!L353</f>
        <v>0</v>
      </c>
      <c r="N35" s="443"/>
      <c r="P35" s="392"/>
      <c r="Q35" s="392"/>
      <c r="R35" s="392"/>
      <c r="S35" s="392"/>
      <c r="T35" s="392"/>
    </row>
    <row r="36" spans="2:20" ht="12" customHeight="1" thickBot="1">
      <c r="B36" s="251"/>
      <c r="C36" s="524">
        <f>'GPC Data'!D354</f>
        <v>0</v>
      </c>
      <c r="D36" s="525">
        <f>'GPC Data'!E354</f>
        <v>0</v>
      </c>
      <c r="E36" s="525">
        <f>'GPC Data'!F354</f>
        <v>0</v>
      </c>
      <c r="F36" s="526">
        <f>'GPC Data'!G354</f>
        <v>0</v>
      </c>
      <c r="G36" s="526">
        <f>'GPC Data'!H354</f>
        <v>0</v>
      </c>
      <c r="H36" s="526">
        <f>'GPC Data'!I354</f>
        <v>0</v>
      </c>
      <c r="I36" s="527">
        <f>'GPC Data'!J354</f>
        <v>0</v>
      </c>
      <c r="J36" s="528">
        <f>'GPC Data'!K354</f>
        <v>0</v>
      </c>
      <c r="K36" s="528">
        <f>'GPC Data'!L354</f>
        <v>0</v>
      </c>
      <c r="N36" s="443"/>
      <c r="P36" s="392"/>
      <c r="Q36" s="392"/>
      <c r="R36" s="392"/>
      <c r="S36" s="392"/>
      <c r="T36" s="392"/>
    </row>
    <row r="37" spans="2:20" ht="12" customHeight="1" thickBot="1">
      <c r="B37" s="251"/>
      <c r="C37" s="524">
        <f>'GPC Data'!D355</f>
        <v>0</v>
      </c>
      <c r="D37" s="525">
        <f>'GPC Data'!E355</f>
        <v>0</v>
      </c>
      <c r="E37" s="525">
        <f>'GPC Data'!F355</f>
        <v>0</v>
      </c>
      <c r="F37" s="526">
        <f>'GPC Data'!G355</f>
        <v>0</v>
      </c>
      <c r="G37" s="526">
        <f>'GPC Data'!H355</f>
        <v>0</v>
      </c>
      <c r="H37" s="526">
        <f>'GPC Data'!I355</f>
        <v>0</v>
      </c>
      <c r="I37" s="527">
        <f>'GPC Data'!J355</f>
        <v>0</v>
      </c>
      <c r="J37" s="528">
        <f>'GPC Data'!K355</f>
        <v>0</v>
      </c>
      <c r="K37" s="528">
        <f>'GPC Data'!L355</f>
        <v>0</v>
      </c>
      <c r="N37" s="443"/>
      <c r="P37" s="392"/>
      <c r="Q37" s="392"/>
      <c r="R37" s="392"/>
      <c r="S37" s="392"/>
      <c r="T37" s="392"/>
    </row>
    <row r="38" spans="2:20" ht="12" customHeight="1" thickBot="1">
      <c r="B38" s="251"/>
      <c r="C38" s="524">
        <f>'GPC Data'!D356</f>
        <v>0</v>
      </c>
      <c r="D38" s="525">
        <f>'GPC Data'!E356</f>
        <v>0</v>
      </c>
      <c r="E38" s="525">
        <f>'GPC Data'!F356</f>
        <v>0</v>
      </c>
      <c r="F38" s="526">
        <f>'GPC Data'!G356</f>
        <v>0</v>
      </c>
      <c r="G38" s="526">
        <f>'GPC Data'!H356</f>
        <v>0</v>
      </c>
      <c r="H38" s="526">
        <f>'GPC Data'!I356</f>
        <v>0</v>
      </c>
      <c r="I38" s="527">
        <f>'GPC Data'!J356</f>
        <v>0</v>
      </c>
      <c r="J38" s="528">
        <f>'GPC Data'!K356</f>
        <v>0</v>
      </c>
      <c r="K38" s="528">
        <f>'GPC Data'!L356</f>
        <v>0</v>
      </c>
      <c r="N38" s="443"/>
      <c r="P38" s="392"/>
      <c r="Q38" s="392"/>
      <c r="R38" s="392"/>
      <c r="S38" s="392"/>
      <c r="T38" s="392"/>
    </row>
    <row r="39" spans="2:20" ht="12" customHeight="1" thickBot="1">
      <c r="B39" s="251"/>
      <c r="C39" s="524">
        <f>'GPC Data'!D357</f>
        <v>0</v>
      </c>
      <c r="D39" s="525">
        <f>'GPC Data'!E357</f>
        <v>0</v>
      </c>
      <c r="E39" s="525">
        <f>'GPC Data'!F357</f>
        <v>0</v>
      </c>
      <c r="F39" s="526">
        <f>'GPC Data'!G357</f>
        <v>0</v>
      </c>
      <c r="G39" s="526">
        <f>'GPC Data'!H357</f>
        <v>0</v>
      </c>
      <c r="H39" s="526">
        <f>'GPC Data'!I357</f>
        <v>0</v>
      </c>
      <c r="I39" s="527">
        <f>'GPC Data'!J357</f>
        <v>0</v>
      </c>
      <c r="J39" s="528">
        <f>'GPC Data'!K357</f>
        <v>0</v>
      </c>
      <c r="K39" s="528">
        <f>'GPC Data'!L357</f>
        <v>0</v>
      </c>
      <c r="N39" s="443" t="s">
        <v>1359</v>
      </c>
      <c r="P39" s="392"/>
      <c r="Q39" s="392"/>
      <c r="R39" s="392"/>
      <c r="S39" s="392"/>
      <c r="T39" s="392"/>
    </row>
    <row r="40" spans="2:20" ht="12" customHeight="1" thickBot="1">
      <c r="B40" s="432"/>
      <c r="C40" s="529"/>
      <c r="D40" s="530"/>
      <c r="E40" s="530"/>
      <c r="F40" s="531"/>
      <c r="G40" s="531"/>
      <c r="H40" s="531"/>
      <c r="I40" s="532"/>
      <c r="J40" s="533"/>
      <c r="K40" s="533"/>
      <c r="N40" s="443" t="s">
        <v>1359</v>
      </c>
      <c r="P40" s="392"/>
      <c r="Q40" s="392"/>
      <c r="R40" s="392"/>
      <c r="S40" s="392"/>
      <c r="T40" s="392"/>
    </row>
    <row r="41" spans="2:20" ht="1.35" customHeight="1">
      <c r="B41" s="432"/>
      <c r="C41" s="534"/>
      <c r="D41" s="535"/>
      <c r="E41" s="535"/>
      <c r="F41" s="536"/>
      <c r="G41" s="536"/>
      <c r="H41" s="536"/>
      <c r="I41" s="537"/>
      <c r="J41" s="538"/>
      <c r="K41" s="538"/>
      <c r="N41" s="234"/>
      <c r="P41" s="392"/>
      <c r="Q41" s="392"/>
      <c r="R41" s="392"/>
      <c r="S41" s="392" t="str">
        <f t="array" ref="S41:S59">""</f>
        <v/>
      </c>
      <c r="T41" s="392"/>
    </row>
    <row r="42" spans="2:20">
      <c r="B42" s="251"/>
      <c r="C42" s="251"/>
      <c r="D42" s="251"/>
      <c r="E42" s="251" t="s">
        <v>1367</v>
      </c>
      <c r="F42" s="526">
        <f t="shared" ref="F42:K42" si="0">IFERROR(MAX(F10:F41),"")</f>
        <v>0</v>
      </c>
      <c r="G42" s="526">
        <f t="shared" si="0"/>
        <v>0</v>
      </c>
      <c r="H42" s="526">
        <f t="shared" si="0"/>
        <v>0</v>
      </c>
      <c r="I42" s="527">
        <f>IFERROR(MAX(I10:I41),"")</f>
        <v>0</v>
      </c>
      <c r="J42" s="528">
        <f t="shared" si="0"/>
        <v>0</v>
      </c>
      <c r="K42" s="528">
        <f t="shared" si="0"/>
        <v>0</v>
      </c>
      <c r="P42" s="392"/>
      <c r="Q42" s="392"/>
      <c r="R42" s="392"/>
      <c r="S42" s="392" t="str">
        <v/>
      </c>
      <c r="T42" s="392"/>
    </row>
    <row r="43" spans="2:20">
      <c r="B43" s="251"/>
      <c r="C43" s="251"/>
      <c r="D43" s="251"/>
      <c r="E43" s="251" t="s">
        <v>1369</v>
      </c>
      <c r="F43" s="526">
        <f t="shared" ref="F43:K43" si="1">IFERROR(AVERAGE(F10:F41),"")</f>
        <v>0</v>
      </c>
      <c r="G43" s="526">
        <f t="shared" si="1"/>
        <v>0</v>
      </c>
      <c r="H43" s="526">
        <f t="shared" si="1"/>
        <v>0</v>
      </c>
      <c r="I43" s="527">
        <f t="shared" si="1"/>
        <v>0</v>
      </c>
      <c r="J43" s="528">
        <f t="shared" si="1"/>
        <v>0</v>
      </c>
      <c r="K43" s="528">
        <f t="shared" si="1"/>
        <v>0</v>
      </c>
      <c r="S43" s="229" t="str">
        <v/>
      </c>
    </row>
    <row r="44" spans="2:20">
      <c r="B44" s="432"/>
      <c r="C44" s="432"/>
      <c r="D44" s="251"/>
      <c r="E44" s="258" t="s">
        <v>1370</v>
      </c>
      <c r="F44" s="163">
        <f t="shared" ref="F44:K44" si="2">IFERROR(MEDIAN(F10:F41),"")</f>
        <v>0</v>
      </c>
      <c r="G44" s="163">
        <f t="shared" si="2"/>
        <v>0</v>
      </c>
      <c r="H44" s="163">
        <f t="shared" si="2"/>
        <v>0</v>
      </c>
      <c r="I44" s="539">
        <f t="shared" si="2"/>
        <v>0</v>
      </c>
      <c r="J44" s="540">
        <f t="shared" si="2"/>
        <v>0</v>
      </c>
      <c r="K44" s="540">
        <f t="shared" si="2"/>
        <v>0</v>
      </c>
      <c r="S44" s="229" t="str">
        <v/>
      </c>
    </row>
    <row r="45" spans="2:20">
      <c r="B45" s="251"/>
      <c r="C45" s="251"/>
      <c r="D45" s="251"/>
      <c r="E45" s="258" t="s">
        <v>208</v>
      </c>
      <c r="F45" s="163">
        <f t="shared" ref="F45:K45" si="3">IFERROR(MIN(F10:F41),"")</f>
        <v>0</v>
      </c>
      <c r="G45" s="163">
        <f t="shared" si="3"/>
        <v>0</v>
      </c>
      <c r="H45" s="163">
        <f t="shared" si="3"/>
        <v>0</v>
      </c>
      <c r="I45" s="539">
        <f t="shared" si="3"/>
        <v>0</v>
      </c>
      <c r="J45" s="540">
        <f t="shared" si="3"/>
        <v>0</v>
      </c>
      <c r="K45" s="540">
        <f t="shared" si="3"/>
        <v>0</v>
      </c>
      <c r="M45" s="392"/>
      <c r="N45" s="392"/>
      <c r="O45" s="392"/>
      <c r="P45" s="392"/>
      <c r="S45" s="229" t="str">
        <v/>
      </c>
    </row>
    <row r="46" spans="2:20">
      <c r="B46" s="251"/>
      <c r="C46" s="466" t="s">
        <v>1371</v>
      </c>
      <c r="D46" s="251"/>
      <c r="E46" s="541" t="s">
        <v>1367</v>
      </c>
      <c r="F46" s="542" cm="1">
        <f t="array" ref="F46">IFERROR(MAX(IF($N$10:$N$41="No",F10:F41)),"")</f>
        <v>0</v>
      </c>
      <c r="G46" s="542">
        <f t="array" ref="G46">IFERROR(MAX(IF($N$10:$N$41="No",G10:G41)),"")</f>
        <v>0</v>
      </c>
      <c r="H46" s="542">
        <f t="array" ref="H46">IFERROR(MAX(IF($N$10:$N$41="No",H10:H41)),"")</f>
        <v>0</v>
      </c>
      <c r="I46" s="543">
        <f t="array" ref="I46">IFERROR(MAX(IF($N$10:$N$41="No",I10:I41)),"")</f>
        <v>0</v>
      </c>
      <c r="J46" s="544">
        <f t="array" ref="J46">IFERROR(MAX(IF($N$10:$N$41="No",J10:J41)),"")</f>
        <v>0</v>
      </c>
      <c r="K46" s="544" cm="1">
        <f t="array" ref="K46">IFERROR(MAX(IF($N$10:$N$41="No",K10:K41)),"")</f>
        <v>0</v>
      </c>
      <c r="M46" s="392"/>
      <c r="N46" s="392"/>
      <c r="O46" s="392"/>
      <c r="P46" s="392"/>
      <c r="S46" s="229" t="str">
        <v/>
      </c>
    </row>
    <row r="47" spans="2:20">
      <c r="B47" s="251"/>
      <c r="C47" s="251"/>
      <c r="D47" s="251"/>
      <c r="E47" s="258" t="s">
        <v>1369</v>
      </c>
      <c r="F47" s="163">
        <f t="shared" ref="F47:K47" si="4">IFERROR(AVERAGEIF($N$10:$N$41,"No",F10:F41),"")</f>
        <v>0</v>
      </c>
      <c r="G47" s="163">
        <f t="shared" si="4"/>
        <v>0</v>
      </c>
      <c r="H47" s="163">
        <f t="shared" si="4"/>
        <v>0</v>
      </c>
      <c r="I47" s="539">
        <f t="shared" si="4"/>
        <v>0</v>
      </c>
      <c r="J47" s="540">
        <f t="shared" si="4"/>
        <v>0</v>
      </c>
      <c r="K47" s="540">
        <f t="shared" si="4"/>
        <v>0</v>
      </c>
      <c r="M47" s="392"/>
      <c r="N47" s="392"/>
      <c r="O47" s="392"/>
      <c r="P47" s="392"/>
      <c r="S47" s="229" t="str">
        <v/>
      </c>
    </row>
    <row r="48" spans="2:20">
      <c r="B48" s="251"/>
      <c r="C48" s="432"/>
      <c r="D48" s="251"/>
      <c r="E48" s="258" t="s">
        <v>1370</v>
      </c>
      <c r="F48" s="163">
        <f t="array" ref="F48">IFERROR(MEDIAN(IF($N$10:$N$41="No",F10:F41)),"")</f>
        <v>0</v>
      </c>
      <c r="G48" s="163">
        <f t="array" ref="G48">IFERROR(MEDIAN(IF($N$10:$N$41="No",G10:G41)),"")</f>
        <v>0</v>
      </c>
      <c r="H48" s="163">
        <f t="array" ref="H48">IFERROR(MEDIAN(IF($N$10:$N$41="No",H10:H41)),"")</f>
        <v>0</v>
      </c>
      <c r="I48" s="539">
        <f t="array" ref="I48">IFERROR(MEDIAN(IF($N$10:$N$41="No",I10:I41)),"")</f>
        <v>0</v>
      </c>
      <c r="J48" s="540">
        <f t="array" ref="J48">IFERROR(MEDIAN(IF($N$10:$N$41="No",J10:J41)),"")</f>
        <v>0</v>
      </c>
      <c r="K48" s="540">
        <f t="array" ref="K48">IFERROR(MEDIAN(IF($N$10:$N$41="No",K10:K41)),"")</f>
        <v>0</v>
      </c>
      <c r="M48" s="392"/>
      <c r="N48" s="392"/>
      <c r="O48" s="392"/>
      <c r="P48" s="392"/>
      <c r="S48" s="229" t="str">
        <v/>
      </c>
    </row>
    <row r="49" spans="2:19">
      <c r="B49" s="251"/>
      <c r="C49" s="251"/>
      <c r="D49" s="251"/>
      <c r="E49" s="545" t="s">
        <v>208</v>
      </c>
      <c r="F49" s="546">
        <f t="array" ref="F49">IFERROR(MIN(IF($N$10:$N$41="No",F10:F41)),"")</f>
        <v>0</v>
      </c>
      <c r="G49" s="546">
        <f t="array" ref="G49">IFERROR(MIN(IF($N$10:$N$41="No",G10:G41)),"")</f>
        <v>0</v>
      </c>
      <c r="H49" s="546">
        <f t="array" ref="H49">IFERROR(MIN(IF($N$10:$N$41="No",H10:H41)),"")</f>
        <v>0</v>
      </c>
      <c r="I49" s="547">
        <f t="array" ref="I49">IFERROR(MIN(IF($N$10:$N$41="No",I10:I41)),"")</f>
        <v>0</v>
      </c>
      <c r="J49" s="548">
        <f t="array" ref="J49">IFERROR(MIN(IF($N$10:$N$41="No",J10:J41)),"")</f>
        <v>0</v>
      </c>
      <c r="K49" s="548">
        <f t="array" ref="K49">IFERROR(MIN(IF($N$10:$N$41="No",K10:K41)),"")</f>
        <v>0</v>
      </c>
      <c r="M49" s="392"/>
      <c r="N49" s="392"/>
      <c r="O49" s="392"/>
      <c r="P49" s="392"/>
      <c r="S49" s="229" t="str">
        <v/>
      </c>
    </row>
    <row r="50" spans="2:19" ht="13.5">
      <c r="B50" s="251"/>
      <c r="C50" s="549" t="s">
        <v>1911</v>
      </c>
      <c r="D50" s="251"/>
      <c r="E50" s="251"/>
      <c r="F50" s="251"/>
      <c r="G50" s="251"/>
      <c r="H50" s="251"/>
      <c r="I50" s="251"/>
      <c r="J50" s="251"/>
      <c r="K50" s="251"/>
      <c r="L50" s="251"/>
      <c r="M50" s="392"/>
      <c r="N50" s="550"/>
      <c r="O50" s="550"/>
      <c r="P50" s="550"/>
      <c r="S50" s="229" t="str">
        <v/>
      </c>
    </row>
    <row r="51" spans="2:19" s="496" customFormat="1">
      <c r="B51" s="551"/>
      <c r="C51" s="551"/>
      <c r="D51" s="551"/>
      <c r="E51" s="551"/>
      <c r="F51" s="551"/>
      <c r="G51" s="551"/>
      <c r="H51" s="551"/>
      <c r="I51" s="551"/>
      <c r="J51" s="551"/>
      <c r="K51" s="551"/>
      <c r="L51" s="551"/>
      <c r="M51" s="552"/>
      <c r="N51" s="553"/>
      <c r="O51" s="554"/>
      <c r="P51" s="555"/>
      <c r="Q51" s="229"/>
      <c r="S51" s="496" t="str">
        <v/>
      </c>
    </row>
    <row r="52" spans="2:19" s="496" customFormat="1">
      <c r="M52" s="552"/>
      <c r="N52" s="553"/>
      <c r="O52" s="554"/>
      <c r="P52" s="555"/>
      <c r="Q52" s="229"/>
      <c r="S52" s="496" t="str">
        <v/>
      </c>
    </row>
    <row r="53" spans="2:19" s="499" customFormat="1">
      <c r="B53" s="556"/>
      <c r="C53" s="556"/>
      <c r="M53" s="557"/>
      <c r="N53" s="553"/>
      <c r="O53" s="554"/>
      <c r="P53" s="555"/>
      <c r="Q53" s="229"/>
      <c r="S53" s="499" t="str">
        <v/>
      </c>
    </row>
    <row r="54" spans="2:19" s="499" customFormat="1">
      <c r="B54" s="556"/>
      <c r="C54" s="556"/>
      <c r="M54" s="557"/>
      <c r="N54" s="553"/>
      <c r="O54" s="554"/>
      <c r="P54" s="555"/>
      <c r="Q54" s="229"/>
      <c r="S54" s="499" t="str">
        <v/>
      </c>
    </row>
    <row r="55" spans="2:19" s="499" customFormat="1">
      <c r="E55" s="557"/>
      <c r="F55" s="557"/>
      <c r="G55" s="557"/>
      <c r="H55" s="557"/>
      <c r="I55" s="557"/>
      <c r="J55" s="557"/>
      <c r="K55" s="557"/>
      <c r="M55" s="557"/>
      <c r="N55" s="485"/>
      <c r="O55" s="485"/>
      <c r="P55" s="555"/>
      <c r="Q55" s="229"/>
      <c r="S55" s="499" t="str">
        <v/>
      </c>
    </row>
    <row r="56" spans="2:19" ht="13.5">
      <c r="E56" s="550"/>
      <c r="F56" s="558"/>
      <c r="G56" s="392"/>
      <c r="H56" s="392"/>
      <c r="I56" s="392"/>
      <c r="J56" s="392"/>
      <c r="K56" s="550"/>
      <c r="M56" s="392"/>
      <c r="N56" s="392"/>
      <c r="O56" s="555" t="str">
        <f>IF(O55="Other","INPUT %","")</f>
        <v/>
      </c>
      <c r="P56" s="392"/>
      <c r="S56" s="229" t="str">
        <v/>
      </c>
    </row>
    <row r="57" spans="2:19">
      <c r="E57" s="559"/>
      <c r="F57" s="485"/>
      <c r="G57" s="392"/>
      <c r="H57" s="392"/>
      <c r="I57" s="392"/>
      <c r="J57" s="392"/>
      <c r="K57" s="560"/>
      <c r="M57" s="392"/>
      <c r="N57" s="392"/>
      <c r="O57" s="392"/>
      <c r="P57" s="392"/>
      <c r="S57" s="229" t="str">
        <v/>
      </c>
    </row>
    <row r="58" spans="2:19">
      <c r="E58" s="392"/>
      <c r="F58" s="392"/>
      <c r="G58" s="392"/>
      <c r="H58" s="392"/>
      <c r="I58" s="392"/>
      <c r="J58" s="392"/>
      <c r="K58" s="392"/>
      <c r="S58" s="229" t="str">
        <v/>
      </c>
    </row>
    <row r="59" spans="2:19">
      <c r="E59" s="392"/>
      <c r="F59" s="392"/>
      <c r="G59" s="392"/>
      <c r="H59" s="392"/>
      <c r="I59" s="392"/>
      <c r="J59" s="392"/>
      <c r="K59" s="392"/>
      <c r="S59" s="229" t="str">
        <v/>
      </c>
    </row>
    <row r="60" spans="2:19">
      <c r="E60" s="392"/>
      <c r="F60" s="392"/>
      <c r="G60" s="392"/>
      <c r="H60" s="392"/>
      <c r="I60" s="392"/>
      <c r="J60" s="392"/>
      <c r="K60" s="392"/>
    </row>
    <row r="61" spans="2:19">
      <c r="E61" s="392"/>
      <c r="F61" s="392"/>
      <c r="G61" s="392"/>
      <c r="H61" s="392"/>
      <c r="I61" s="392"/>
      <c r="J61" s="392"/>
      <c r="K61" s="392"/>
    </row>
  </sheetData>
  <sheetProtection deleteRows="0"/>
  <dataConsolidate/>
  <mergeCells count="1">
    <mergeCell ref="P2:S7"/>
  </mergeCells>
  <phoneticPr fontId="19" type="noConversion"/>
  <dataValidations count="2">
    <dataValidation type="list" allowBlank="1" showInputMessage="1" showErrorMessage="1" sqref="O55" xr:uid="{00000000-0002-0000-0A00-000000000000}">
      <formula1>"High, Low, Mean, Median, Other"</formula1>
    </dataValidation>
    <dataValidation type="list" allowBlank="1" showInputMessage="1" showErrorMessage="1" sqref="N10:N41" xr:uid="{00000000-0002-0000-0A00-000001000000}">
      <formula1>$O$1:$O$2</formula1>
    </dataValidation>
  </dataValidations>
  <printOptions horizontalCentered="1"/>
  <pageMargins left="0.25" right="0.25" top="0.75" bottom="0.25" header="0.5" footer="0.5"/>
  <pageSetup scale="92" orientation="landscape" horizontalDpi="300" verticalDpi="300" r:id="rId1"/>
  <headerFooter alignWithMargins="0">
    <oddHeader>&amp;R&amp;"Arial"&amp;8&amp;K000000Confidential&amp;1#</oddHeader>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tabColor theme="9" tint="-9.9978637043366805E-2"/>
    <pageSetUpPr fitToPage="1"/>
  </sheetPr>
  <dimension ref="B1:AK96"/>
  <sheetViews>
    <sheetView showGridLines="0" view="pageBreakPreview" zoomScale="60" zoomScaleNormal="100" zoomScaleSheetLayoutView="85" workbookViewId="0">
      <selection activeCell="X4" sqref="X4"/>
    </sheetView>
  </sheetViews>
  <sheetFormatPr defaultColWidth="8.88671875" defaultRowHeight="11.25" outlineLevelRow="1" outlineLevelCol="1"/>
  <cols>
    <col min="1" max="1" width="5.88671875" style="229" customWidth="1"/>
    <col min="2" max="2" width="3" style="229" customWidth="1"/>
    <col min="3" max="3" width="2" style="229" customWidth="1"/>
    <col min="4" max="4" width="24.33203125" style="229" customWidth="1"/>
    <col min="5" max="5" width="9.6640625" style="229" customWidth="1"/>
    <col min="6" max="13" width="9.6640625" style="229" customWidth="1" outlineLevel="1"/>
    <col min="14" max="23" width="9.6640625" style="229" customWidth="1"/>
    <col min="24" max="24" width="2.88671875" style="229" customWidth="1"/>
    <col min="25" max="25" width="2.109375" style="229" customWidth="1"/>
    <col min="26" max="26" width="11.109375" style="229" customWidth="1"/>
    <col min="27" max="16384" width="8.88671875" style="229"/>
  </cols>
  <sheetData>
    <row r="1" spans="2:34" s="392" customFormat="1"/>
    <row r="2" spans="2:34" s="407" customFormat="1" ht="15">
      <c r="B2" s="505" t="str">
        <f>Inputs!B2</f>
        <v>Valify - UAE Valuation Services</v>
      </c>
      <c r="C2" s="393"/>
      <c r="D2" s="393"/>
      <c r="E2" s="393"/>
      <c r="F2" s="393"/>
      <c r="G2" s="393"/>
      <c r="H2" s="393"/>
      <c r="I2" s="393"/>
      <c r="J2" s="393"/>
      <c r="K2" s="393"/>
      <c r="L2" s="393"/>
      <c r="M2" s="393"/>
      <c r="N2" s="393"/>
      <c r="O2" s="393"/>
      <c r="P2" s="393"/>
      <c r="Q2" s="393"/>
      <c r="R2" s="393"/>
      <c r="S2" s="393"/>
      <c r="T2" s="393"/>
      <c r="U2" s="393"/>
      <c r="V2" s="393"/>
      <c r="W2" s="393"/>
      <c r="X2" s="825"/>
      <c r="AA2"/>
      <c r="AB2"/>
    </row>
    <row r="3" spans="2:34" s="406" customFormat="1" ht="15">
      <c r="B3" s="742"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506"/>
      <c r="O3" s="743"/>
      <c r="P3" s="744"/>
      <c r="Q3" s="744"/>
      <c r="R3" s="744"/>
      <c r="S3" s="744"/>
      <c r="T3" s="744"/>
      <c r="U3" s="744"/>
      <c r="V3" s="744"/>
      <c r="W3" s="744"/>
      <c r="X3" s="826"/>
      <c r="AA3"/>
      <c r="AB3"/>
    </row>
    <row r="4" spans="2:34" s="510" customFormat="1">
      <c r="B4" s="742" t="s">
        <v>1439</v>
      </c>
      <c r="C4" s="506"/>
      <c r="D4" s="506"/>
      <c r="E4" s="506"/>
      <c r="F4" s="506"/>
      <c r="G4" s="506"/>
      <c r="H4" s="506"/>
      <c r="I4" s="506"/>
      <c r="J4" s="506"/>
      <c r="K4" s="506"/>
      <c r="L4" s="506"/>
      <c r="M4" s="506"/>
      <c r="N4" s="506"/>
      <c r="O4" s="506"/>
      <c r="P4" s="506"/>
      <c r="Q4" s="506"/>
      <c r="R4" s="506"/>
      <c r="S4" s="506"/>
      <c r="T4" s="506"/>
      <c r="U4" s="506"/>
      <c r="V4" s="506"/>
      <c r="W4" s="506"/>
      <c r="X4" s="503" t="str">
        <f>valuation.date.header</f>
        <v>Valuation Date:  September 30, 2024</v>
      </c>
    </row>
    <row r="5" spans="2:34" s="406" customFormat="1" ht="5.0999999999999996" customHeight="1" thickBot="1">
      <c r="B5" s="827"/>
      <c r="C5" s="828"/>
      <c r="D5" s="828"/>
      <c r="E5" s="828"/>
      <c r="F5" s="828"/>
      <c r="G5" s="828"/>
      <c r="H5" s="828"/>
      <c r="I5" s="828"/>
      <c r="J5" s="828"/>
      <c r="K5" s="828"/>
      <c r="L5" s="828"/>
      <c r="M5" s="828"/>
      <c r="N5" s="828"/>
      <c r="O5" s="828"/>
      <c r="P5" s="828"/>
      <c r="Q5" s="828"/>
      <c r="R5" s="828"/>
      <c r="S5" s="828"/>
      <c r="T5" s="828"/>
      <c r="U5" s="828"/>
      <c r="V5" s="828"/>
      <c r="W5" s="828"/>
      <c r="X5" s="828"/>
    </row>
    <row r="6" spans="2:34" s="232" customFormat="1" ht="12" thickTop="1">
      <c r="O6" s="829"/>
      <c r="P6" s="829"/>
      <c r="Q6" s="829"/>
      <c r="R6" s="829"/>
      <c r="S6" s="829"/>
      <c r="T6" s="829"/>
      <c r="U6" s="829"/>
      <c r="V6" s="829"/>
      <c r="W6" s="829"/>
    </row>
    <row r="7" spans="2:34" s="232" customFormat="1">
      <c r="D7" s="830" t="s">
        <v>1400</v>
      </c>
      <c r="O7" s="829"/>
      <c r="P7" s="829"/>
      <c r="Q7" s="829"/>
      <c r="R7" s="829"/>
      <c r="S7" s="829"/>
      <c r="T7" s="829"/>
      <c r="U7" s="829"/>
      <c r="V7" s="829"/>
      <c r="W7" s="829"/>
    </row>
    <row r="8" spans="2:34" s="232" customFormat="1" ht="25.5" customHeight="1">
      <c r="B8" s="831"/>
      <c r="D8" s="832"/>
      <c r="E8" s="833"/>
      <c r="F8" s="1846"/>
      <c r="G8" s="1846"/>
      <c r="H8" s="1846"/>
      <c r="I8" s="1846"/>
      <c r="J8" s="1846"/>
      <c r="K8" s="1847" t="s">
        <v>1440</v>
      </c>
      <c r="L8" s="1847"/>
      <c r="M8" s="835"/>
      <c r="N8" s="1847" t="s">
        <v>1441</v>
      </c>
      <c r="O8" s="1847"/>
      <c r="P8" s="1847"/>
      <c r="Q8" s="1847"/>
      <c r="R8" s="1847"/>
      <c r="S8" s="1848" t="s">
        <v>1442</v>
      </c>
      <c r="T8" s="1848"/>
      <c r="U8" s="1848"/>
      <c r="V8" s="1848"/>
      <c r="W8" s="836"/>
      <c r="X8" s="429" t="s">
        <v>1443</v>
      </c>
      <c r="Y8" s="429"/>
      <c r="Z8" s="429"/>
      <c r="AA8" s="429"/>
      <c r="AB8" s="429" t="s">
        <v>1443</v>
      </c>
      <c r="AC8" s="837"/>
      <c r="AD8" s="838" t="s">
        <v>1444</v>
      </c>
      <c r="AE8" s="838" t="s">
        <v>1370</v>
      </c>
      <c r="AF8" s="839"/>
      <c r="AG8" s="429" t="s">
        <v>1443</v>
      </c>
      <c r="AH8" s="429" t="s">
        <v>1443</v>
      </c>
    </row>
    <row r="9" spans="2:34" s="232" customFormat="1" ht="12" thickBot="1">
      <c r="D9" s="840" t="s">
        <v>94</v>
      </c>
      <c r="E9" s="841" t="s">
        <v>1445</v>
      </c>
      <c r="F9" s="842" t="s">
        <v>139</v>
      </c>
      <c r="G9" s="842" t="s">
        <v>137</v>
      </c>
      <c r="H9" s="842" t="s">
        <v>134</v>
      </c>
      <c r="I9" s="842" t="s">
        <v>131</v>
      </c>
      <c r="J9" s="835" t="s">
        <v>129</v>
      </c>
      <c r="K9" s="835" t="s">
        <v>1446</v>
      </c>
      <c r="L9" s="835" t="s">
        <v>1447</v>
      </c>
      <c r="M9" s="835" t="s">
        <v>1448</v>
      </c>
      <c r="N9" s="835" t="s">
        <v>1449</v>
      </c>
      <c r="O9" s="835" t="s">
        <v>1450</v>
      </c>
      <c r="P9" s="835" t="s">
        <v>1417</v>
      </c>
      <c r="Q9" s="835" t="s">
        <v>131</v>
      </c>
      <c r="R9" s="835" t="s">
        <v>1451</v>
      </c>
      <c r="S9" s="835" t="s">
        <v>1446</v>
      </c>
      <c r="T9" s="835" t="s">
        <v>1447</v>
      </c>
      <c r="U9" s="835" t="s">
        <v>1448</v>
      </c>
      <c r="V9" s="835" t="s">
        <v>1444</v>
      </c>
      <c r="W9" s="835" t="s">
        <v>1451</v>
      </c>
      <c r="X9" s="427"/>
      <c r="Y9" s="427"/>
      <c r="Z9" s="516" t="s">
        <v>1395</v>
      </c>
      <c r="AA9" s="427"/>
      <c r="AB9" s="427"/>
      <c r="AC9" s="837" t="str">
        <f>client.name.long</f>
        <v>Hazel Lighting India</v>
      </c>
      <c r="AD9" s="843" t="e">
        <f>(#REF!/#REF!)^(1/2)-1</f>
        <v>#REF!</v>
      </c>
      <c r="AE9" s="843" t="e">
        <f>$V$45</f>
        <v>#DIV/0!</v>
      </c>
      <c r="AF9" s="839"/>
      <c r="AG9" s="427"/>
      <c r="AH9" s="427"/>
    </row>
    <row r="10" spans="2:34" s="232" customFormat="1" ht="12" thickBot="1">
      <c r="C10" s="844">
        <v>1</v>
      </c>
      <c r="D10" s="845" t="str">
        <f>'GPC Data'!E294</f>
        <v>Comp 1</v>
      </c>
      <c r="E10" s="846">
        <f>'GPC Data'!P22</f>
        <v>0</v>
      </c>
      <c r="F10" s="847">
        <f>'GPC Data'!F124</f>
        <v>0</v>
      </c>
      <c r="G10" s="847">
        <f>'GPC Data'!G124</f>
        <v>0</v>
      </c>
      <c r="H10" s="847">
        <f>'GPC Data'!H124</f>
        <v>0</v>
      </c>
      <c r="I10" s="847">
        <f>'GPC Data'!I124</f>
        <v>0</v>
      </c>
      <c r="J10" s="847">
        <f>'GPC Data'!J124</f>
        <v>0</v>
      </c>
      <c r="K10" s="848">
        <f>'GPC Data'!K124</f>
        <v>0</v>
      </c>
      <c r="L10" s="848">
        <f>'GPC Data'!L124</f>
        <v>0</v>
      </c>
      <c r="M10" s="848">
        <f>'GPC Data'!M124</f>
        <v>0</v>
      </c>
      <c r="N10" s="849"/>
      <c r="O10" s="850" t="e">
        <f t="shared" ref="O10:O18" si="0">G10/F10-1</f>
        <v>#DIV/0!</v>
      </c>
      <c r="P10" s="850" t="e">
        <f t="shared" ref="P10:P18" si="1">H10/G10-1</f>
        <v>#DIV/0!</v>
      </c>
      <c r="Q10" s="850" t="e">
        <f t="shared" ref="Q10:Q18" si="2">I10/H10-1</f>
        <v>#DIV/0!</v>
      </c>
      <c r="R10" s="851" t="e">
        <f>(I10/F10)^(1/3)-1</f>
        <v>#DIV/0!</v>
      </c>
      <c r="S10" s="852" t="e">
        <f t="shared" ref="S10:S18" si="3">K10/I10-1</f>
        <v>#DIV/0!</v>
      </c>
      <c r="T10" s="852" t="e">
        <f t="shared" ref="T10:T18" si="4">L10/J10-1</f>
        <v>#DIV/0!</v>
      </c>
      <c r="U10" s="852" t="e">
        <f t="shared" ref="U10:U18" si="5">M10/K10-1</f>
        <v>#DIV/0!</v>
      </c>
      <c r="V10" s="853" t="e">
        <f>(U10/S10)^(1/2)-1</f>
        <v>#DIV/0!</v>
      </c>
      <c r="W10" s="854" t="e">
        <f t="shared" ref="W10:W18" si="6">(U10/I10)^(1/3)-1</f>
        <v>#DIV/0!</v>
      </c>
      <c r="X10" s="427"/>
      <c r="Y10" s="427"/>
      <c r="Z10" s="443" t="s">
        <v>1359</v>
      </c>
      <c r="AA10" s="427"/>
      <c r="AB10" s="427"/>
      <c r="AC10" s="837" t="str">
        <f t="shared" ref="AC10:AC18" si="7">D10</f>
        <v>Comp 1</v>
      </c>
      <c r="AD10" s="855" t="e">
        <f t="shared" ref="AD10:AD18" si="8">V10</f>
        <v>#DIV/0!</v>
      </c>
      <c r="AE10" s="855" t="e">
        <f>$V$45</f>
        <v>#DIV/0!</v>
      </c>
      <c r="AF10" s="856">
        <v>0</v>
      </c>
      <c r="AG10" s="427"/>
      <c r="AH10" s="427"/>
    </row>
    <row r="11" spans="2:34" s="232" customFormat="1" ht="12" thickBot="1">
      <c r="C11" s="844">
        <f>C10+1</f>
        <v>2</v>
      </c>
      <c r="D11" s="857" t="str">
        <f>'GPC Data'!E295</f>
        <v>Comp 2</v>
      </c>
      <c r="E11" s="858">
        <f>'GPC Data'!P23</f>
        <v>0</v>
      </c>
      <c r="F11" s="859">
        <f>'GPC Data'!F125</f>
        <v>0</v>
      </c>
      <c r="G11" s="859">
        <f>'GPC Data'!G125</f>
        <v>0</v>
      </c>
      <c r="H11" s="859">
        <f>'GPC Data'!H125</f>
        <v>0</v>
      </c>
      <c r="I11" s="859">
        <f>'GPC Data'!I125</f>
        <v>0</v>
      </c>
      <c r="J11" s="859">
        <f>'GPC Data'!J125</f>
        <v>0</v>
      </c>
      <c r="K11" s="860">
        <f>'GPC Data'!K125</f>
        <v>0</v>
      </c>
      <c r="L11" s="860">
        <f>'GPC Data'!L125</f>
        <v>0</v>
      </c>
      <c r="M11" s="860">
        <f>'GPC Data'!M125</f>
        <v>0</v>
      </c>
      <c r="N11" s="861"/>
      <c r="O11" s="862" t="e">
        <f t="shared" si="0"/>
        <v>#DIV/0!</v>
      </c>
      <c r="P11" s="862" t="e">
        <f t="shared" si="1"/>
        <v>#DIV/0!</v>
      </c>
      <c r="Q11" s="862" t="e">
        <f t="shared" si="2"/>
        <v>#DIV/0!</v>
      </c>
      <c r="R11" s="863" t="e">
        <f t="shared" ref="R11:R18" si="9">(I11/F11)^(1/3)-1</f>
        <v>#DIV/0!</v>
      </c>
      <c r="S11" s="864" t="e">
        <f t="shared" si="3"/>
        <v>#DIV/0!</v>
      </c>
      <c r="T11" s="864" t="e">
        <f t="shared" si="4"/>
        <v>#DIV/0!</v>
      </c>
      <c r="U11" s="864" t="e">
        <f t="shared" si="5"/>
        <v>#DIV/0!</v>
      </c>
      <c r="V11" s="865" t="e">
        <f t="shared" ref="V11:V18" si="10">(U11/S11)^(1/2)-1</f>
        <v>#DIV/0!</v>
      </c>
      <c r="W11" s="865" t="e">
        <f t="shared" si="6"/>
        <v>#DIV/0!</v>
      </c>
      <c r="X11" s="427"/>
      <c r="Y11" s="427"/>
      <c r="Z11" s="443" t="s">
        <v>1359</v>
      </c>
      <c r="AA11" s="427"/>
      <c r="AB11" s="427"/>
      <c r="AC11" s="837" t="str">
        <f t="shared" si="7"/>
        <v>Comp 2</v>
      </c>
      <c r="AD11" s="855" t="e">
        <f t="shared" si="8"/>
        <v>#DIV/0!</v>
      </c>
      <c r="AE11" s="855" t="e">
        <f>$V$45</f>
        <v>#DIV/0!</v>
      </c>
      <c r="AF11" s="856">
        <v>1.5</v>
      </c>
      <c r="AG11" s="427"/>
      <c r="AH11" s="427"/>
    </row>
    <row r="12" spans="2:34" s="232" customFormat="1" ht="12" thickBot="1">
      <c r="C12" s="844">
        <f t="shared" ref="C12:C38" si="11">C11+1</f>
        <v>3</v>
      </c>
      <c r="D12" s="857" t="str">
        <f>'GPC Data'!E296</f>
        <v>Comp 3</v>
      </c>
      <c r="E12" s="858">
        <f>'GPC Data'!P24</f>
        <v>0</v>
      </c>
      <c r="F12" s="859">
        <f>'GPC Data'!F126</f>
        <v>0</v>
      </c>
      <c r="G12" s="859">
        <f>'GPC Data'!G126</f>
        <v>0</v>
      </c>
      <c r="H12" s="859">
        <f>'GPC Data'!H126</f>
        <v>0</v>
      </c>
      <c r="I12" s="859">
        <f>'GPC Data'!I126</f>
        <v>0</v>
      </c>
      <c r="J12" s="859">
        <f>'GPC Data'!J126</f>
        <v>0</v>
      </c>
      <c r="K12" s="860">
        <f>'GPC Data'!K126</f>
        <v>0</v>
      </c>
      <c r="L12" s="860">
        <f>'GPC Data'!L126</f>
        <v>0</v>
      </c>
      <c r="M12" s="860">
        <f>'GPC Data'!M126</f>
        <v>0</v>
      </c>
      <c r="N12" s="861"/>
      <c r="O12" s="862" t="e">
        <f t="shared" si="0"/>
        <v>#DIV/0!</v>
      </c>
      <c r="P12" s="862" t="e">
        <f t="shared" si="1"/>
        <v>#DIV/0!</v>
      </c>
      <c r="Q12" s="862" t="e">
        <f t="shared" si="2"/>
        <v>#DIV/0!</v>
      </c>
      <c r="R12" s="863" t="e">
        <f t="shared" si="9"/>
        <v>#DIV/0!</v>
      </c>
      <c r="S12" s="864" t="e">
        <f t="shared" si="3"/>
        <v>#DIV/0!</v>
      </c>
      <c r="T12" s="864" t="e">
        <f t="shared" si="4"/>
        <v>#DIV/0!</v>
      </c>
      <c r="U12" s="864" t="e">
        <f t="shared" si="5"/>
        <v>#DIV/0!</v>
      </c>
      <c r="V12" s="865" t="e">
        <f t="shared" si="10"/>
        <v>#DIV/0!</v>
      </c>
      <c r="W12" s="865" t="e">
        <f t="shared" si="6"/>
        <v>#DIV/0!</v>
      </c>
      <c r="X12" s="427" t="s">
        <v>1443</v>
      </c>
      <c r="Y12" s="427"/>
      <c r="Z12" s="443" t="s">
        <v>1359</v>
      </c>
      <c r="AA12" s="427"/>
      <c r="AB12" s="427" t="s">
        <v>1443</v>
      </c>
      <c r="AC12" s="837" t="str">
        <f t="shared" si="7"/>
        <v>Comp 3</v>
      </c>
      <c r="AD12" s="855" t="e">
        <f t="shared" si="8"/>
        <v>#DIV/0!</v>
      </c>
      <c r="AE12" s="839"/>
      <c r="AF12" s="839"/>
      <c r="AG12" s="427" t="s">
        <v>1443</v>
      </c>
      <c r="AH12" s="427" t="s">
        <v>1443</v>
      </c>
    </row>
    <row r="13" spans="2:34" s="232" customFormat="1" ht="12" thickBot="1">
      <c r="C13" s="844">
        <f t="shared" si="11"/>
        <v>4</v>
      </c>
      <c r="D13" s="857" t="str">
        <f>'GPC Data'!E297</f>
        <v>Comp 4</v>
      </c>
      <c r="E13" s="858">
        <f>'GPC Data'!P25</f>
        <v>0</v>
      </c>
      <c r="F13" s="859">
        <f>'GPC Data'!F127</f>
        <v>0</v>
      </c>
      <c r="G13" s="859">
        <f>'GPC Data'!G127</f>
        <v>0</v>
      </c>
      <c r="H13" s="859">
        <f>'GPC Data'!H127</f>
        <v>0</v>
      </c>
      <c r="I13" s="859">
        <f>'GPC Data'!I127</f>
        <v>0</v>
      </c>
      <c r="J13" s="859">
        <f>'GPC Data'!J127</f>
        <v>0</v>
      </c>
      <c r="K13" s="860">
        <f>'GPC Data'!K127</f>
        <v>0</v>
      </c>
      <c r="L13" s="860">
        <f>'GPC Data'!L127</f>
        <v>0</v>
      </c>
      <c r="M13" s="860">
        <f>'GPC Data'!M127</f>
        <v>0</v>
      </c>
      <c r="N13" s="861"/>
      <c r="O13" s="862" t="e">
        <f t="shared" si="0"/>
        <v>#DIV/0!</v>
      </c>
      <c r="P13" s="862" t="e">
        <f t="shared" si="1"/>
        <v>#DIV/0!</v>
      </c>
      <c r="Q13" s="862" t="e">
        <f t="shared" si="2"/>
        <v>#DIV/0!</v>
      </c>
      <c r="R13" s="863" t="e">
        <f t="shared" si="9"/>
        <v>#DIV/0!</v>
      </c>
      <c r="S13" s="864" t="e">
        <f t="shared" si="3"/>
        <v>#DIV/0!</v>
      </c>
      <c r="T13" s="864" t="e">
        <f t="shared" si="4"/>
        <v>#DIV/0!</v>
      </c>
      <c r="U13" s="864" t="e">
        <f t="shared" si="5"/>
        <v>#DIV/0!</v>
      </c>
      <c r="V13" s="865" t="e">
        <f t="shared" si="10"/>
        <v>#DIV/0!</v>
      </c>
      <c r="W13" s="865" t="e">
        <f t="shared" si="6"/>
        <v>#DIV/0!</v>
      </c>
      <c r="X13" s="427" t="s">
        <v>1443</v>
      </c>
      <c r="Y13" s="427"/>
      <c r="Z13" s="443" t="s">
        <v>1359</v>
      </c>
      <c r="AA13" s="427"/>
      <c r="AB13" s="427" t="s">
        <v>1443</v>
      </c>
      <c r="AC13" s="837" t="str">
        <f t="shared" si="7"/>
        <v>Comp 4</v>
      </c>
      <c r="AD13" s="855" t="e">
        <f t="shared" si="8"/>
        <v>#DIV/0!</v>
      </c>
      <c r="AE13" s="839"/>
      <c r="AF13" s="839"/>
      <c r="AG13" s="427" t="s">
        <v>1443</v>
      </c>
      <c r="AH13" s="427" t="s">
        <v>1443</v>
      </c>
    </row>
    <row r="14" spans="2:34" s="232" customFormat="1" ht="12" thickBot="1">
      <c r="C14" s="844">
        <f t="shared" si="11"/>
        <v>5</v>
      </c>
      <c r="D14" s="857" t="str">
        <f>'GPC Data'!E298</f>
        <v>Comp 5</v>
      </c>
      <c r="E14" s="858">
        <f>'GPC Data'!P26</f>
        <v>0</v>
      </c>
      <c r="F14" s="859">
        <f>'GPC Data'!F128</f>
        <v>0</v>
      </c>
      <c r="G14" s="859">
        <f>'GPC Data'!G128</f>
        <v>0</v>
      </c>
      <c r="H14" s="859">
        <f>'GPC Data'!H128</f>
        <v>0</v>
      </c>
      <c r="I14" s="859">
        <f>'GPC Data'!I128</f>
        <v>0</v>
      </c>
      <c r="J14" s="859">
        <f>'GPC Data'!J128</f>
        <v>0</v>
      </c>
      <c r="K14" s="860">
        <f>'GPC Data'!K128</f>
        <v>0</v>
      </c>
      <c r="L14" s="860">
        <f>'GPC Data'!L128</f>
        <v>0</v>
      </c>
      <c r="M14" s="860">
        <f>'GPC Data'!M128</f>
        <v>0</v>
      </c>
      <c r="N14" s="861"/>
      <c r="O14" s="862" t="e">
        <f t="shared" si="0"/>
        <v>#DIV/0!</v>
      </c>
      <c r="P14" s="862" t="e">
        <f t="shared" si="1"/>
        <v>#DIV/0!</v>
      </c>
      <c r="Q14" s="862" t="e">
        <f t="shared" si="2"/>
        <v>#DIV/0!</v>
      </c>
      <c r="R14" s="863" t="e">
        <f t="shared" si="9"/>
        <v>#DIV/0!</v>
      </c>
      <c r="S14" s="864" t="e">
        <f t="shared" si="3"/>
        <v>#DIV/0!</v>
      </c>
      <c r="T14" s="864" t="e">
        <f t="shared" si="4"/>
        <v>#DIV/0!</v>
      </c>
      <c r="U14" s="864" t="e">
        <f t="shared" si="5"/>
        <v>#DIV/0!</v>
      </c>
      <c r="V14" s="865" t="e">
        <f t="shared" si="10"/>
        <v>#DIV/0!</v>
      </c>
      <c r="W14" s="865" t="e">
        <f t="shared" si="6"/>
        <v>#DIV/0!</v>
      </c>
      <c r="X14" s="427"/>
      <c r="Y14" s="427"/>
      <c r="Z14" s="443" t="s">
        <v>1359</v>
      </c>
      <c r="AA14" s="427"/>
      <c r="AB14" s="427"/>
      <c r="AC14" s="837" t="str">
        <f t="shared" si="7"/>
        <v>Comp 5</v>
      </c>
      <c r="AD14" s="855" t="e">
        <f t="shared" si="8"/>
        <v>#DIV/0!</v>
      </c>
      <c r="AE14" s="839"/>
      <c r="AF14" s="839"/>
      <c r="AG14" s="427"/>
      <c r="AH14" s="427"/>
    </row>
    <row r="15" spans="2:34" s="232" customFormat="1" ht="12" thickBot="1">
      <c r="C15" s="844">
        <f t="shared" si="11"/>
        <v>6</v>
      </c>
      <c r="D15" s="857" t="str">
        <f>'GPC Data'!E299</f>
        <v>Comp 6</v>
      </c>
      <c r="E15" s="858">
        <f>'GPC Data'!P27</f>
        <v>0</v>
      </c>
      <c r="F15" s="859">
        <f>'GPC Data'!F129</f>
        <v>0</v>
      </c>
      <c r="G15" s="859">
        <f>'GPC Data'!G129</f>
        <v>0</v>
      </c>
      <c r="H15" s="859">
        <f>'GPC Data'!H129</f>
        <v>0</v>
      </c>
      <c r="I15" s="859">
        <f>'GPC Data'!I129</f>
        <v>0</v>
      </c>
      <c r="J15" s="859">
        <f>'GPC Data'!J129</f>
        <v>0</v>
      </c>
      <c r="K15" s="860">
        <f>'GPC Data'!K129</f>
        <v>0</v>
      </c>
      <c r="L15" s="860">
        <f>'GPC Data'!L129</f>
        <v>0</v>
      </c>
      <c r="M15" s="860">
        <f>'GPC Data'!M129</f>
        <v>0</v>
      </c>
      <c r="N15" s="861"/>
      <c r="O15" s="862" t="e">
        <f t="shared" si="0"/>
        <v>#DIV/0!</v>
      </c>
      <c r="P15" s="862" t="e">
        <f t="shared" si="1"/>
        <v>#DIV/0!</v>
      </c>
      <c r="Q15" s="862" t="e">
        <f t="shared" si="2"/>
        <v>#DIV/0!</v>
      </c>
      <c r="R15" s="863" t="e">
        <f t="shared" si="9"/>
        <v>#DIV/0!</v>
      </c>
      <c r="S15" s="864" t="e">
        <f t="shared" si="3"/>
        <v>#DIV/0!</v>
      </c>
      <c r="T15" s="864" t="e">
        <f t="shared" si="4"/>
        <v>#DIV/0!</v>
      </c>
      <c r="U15" s="864" t="e">
        <f t="shared" si="5"/>
        <v>#DIV/0!</v>
      </c>
      <c r="V15" s="865" t="e">
        <f t="shared" si="10"/>
        <v>#DIV/0!</v>
      </c>
      <c r="W15" s="865" t="e">
        <f t="shared" si="6"/>
        <v>#DIV/0!</v>
      </c>
      <c r="X15" s="427" t="s">
        <v>1443</v>
      </c>
      <c r="Y15" s="427"/>
      <c r="Z15" s="443" t="s">
        <v>1359</v>
      </c>
      <c r="AA15" s="427"/>
      <c r="AB15" s="427" t="s">
        <v>1443</v>
      </c>
      <c r="AC15" s="837" t="str">
        <f t="shared" si="7"/>
        <v>Comp 6</v>
      </c>
      <c r="AD15" s="855" t="e">
        <f t="shared" si="8"/>
        <v>#DIV/0!</v>
      </c>
      <c r="AE15" s="839"/>
      <c r="AF15" s="839"/>
      <c r="AG15" s="427" t="s">
        <v>1443</v>
      </c>
      <c r="AH15" s="427" t="s">
        <v>1443</v>
      </c>
    </row>
    <row r="16" spans="2:34" s="232" customFormat="1" ht="12" thickBot="1">
      <c r="C16" s="844">
        <f t="shared" si="11"/>
        <v>7</v>
      </c>
      <c r="D16" s="857" t="str">
        <f>'GPC Data'!E300</f>
        <v>Comp 7</v>
      </c>
      <c r="E16" s="858">
        <f>'GPC Data'!P28</f>
        <v>0</v>
      </c>
      <c r="F16" s="859">
        <f>'GPC Data'!F130</f>
        <v>0</v>
      </c>
      <c r="G16" s="859">
        <f>'GPC Data'!G130</f>
        <v>0</v>
      </c>
      <c r="H16" s="859">
        <f>'GPC Data'!H130</f>
        <v>0</v>
      </c>
      <c r="I16" s="859">
        <f>'GPC Data'!I130</f>
        <v>0</v>
      </c>
      <c r="J16" s="859">
        <f>'GPC Data'!J130</f>
        <v>0</v>
      </c>
      <c r="K16" s="860">
        <f>'GPC Data'!K130</f>
        <v>0</v>
      </c>
      <c r="L16" s="860">
        <f>'GPC Data'!L130</f>
        <v>0</v>
      </c>
      <c r="M16" s="860">
        <f>'GPC Data'!M130</f>
        <v>0</v>
      </c>
      <c r="N16" s="861"/>
      <c r="O16" s="862" t="e">
        <f t="shared" si="0"/>
        <v>#DIV/0!</v>
      </c>
      <c r="P16" s="862" t="e">
        <f t="shared" si="1"/>
        <v>#DIV/0!</v>
      </c>
      <c r="Q16" s="862" t="e">
        <f t="shared" si="2"/>
        <v>#DIV/0!</v>
      </c>
      <c r="R16" s="863" t="e">
        <f t="shared" si="9"/>
        <v>#DIV/0!</v>
      </c>
      <c r="S16" s="864" t="e">
        <f t="shared" si="3"/>
        <v>#DIV/0!</v>
      </c>
      <c r="T16" s="864" t="e">
        <f t="shared" si="4"/>
        <v>#DIV/0!</v>
      </c>
      <c r="U16" s="864" t="e">
        <f t="shared" si="5"/>
        <v>#DIV/0!</v>
      </c>
      <c r="V16" s="865" t="e">
        <f t="shared" si="10"/>
        <v>#DIV/0!</v>
      </c>
      <c r="W16" s="865" t="e">
        <f t="shared" si="6"/>
        <v>#DIV/0!</v>
      </c>
      <c r="X16" s="427" t="s">
        <v>1443</v>
      </c>
      <c r="Y16" s="427"/>
      <c r="Z16" s="443" t="s">
        <v>1359</v>
      </c>
      <c r="AA16" s="427"/>
      <c r="AB16" s="427" t="s">
        <v>1443</v>
      </c>
      <c r="AC16" s="837" t="str">
        <f t="shared" si="7"/>
        <v>Comp 7</v>
      </c>
      <c r="AD16" s="855" t="e">
        <f t="shared" si="8"/>
        <v>#DIV/0!</v>
      </c>
      <c r="AE16" s="839"/>
      <c r="AF16" s="839"/>
      <c r="AG16" s="427" t="s">
        <v>1443</v>
      </c>
      <c r="AH16" s="427" t="s">
        <v>1443</v>
      </c>
    </row>
    <row r="17" spans="3:34" s="232" customFormat="1" ht="12" thickBot="1">
      <c r="C17" s="844">
        <f t="shared" si="11"/>
        <v>8</v>
      </c>
      <c r="D17" s="857" t="str">
        <f>'GPC Data'!E301</f>
        <v>Comp 8</v>
      </c>
      <c r="E17" s="858">
        <f>'GPC Data'!P29</f>
        <v>0</v>
      </c>
      <c r="F17" s="859">
        <f>'GPC Data'!F131</f>
        <v>0</v>
      </c>
      <c r="G17" s="859">
        <f>'GPC Data'!G131</f>
        <v>0</v>
      </c>
      <c r="H17" s="859">
        <f>'GPC Data'!H131</f>
        <v>0</v>
      </c>
      <c r="I17" s="859">
        <f>'GPC Data'!I131</f>
        <v>0</v>
      </c>
      <c r="J17" s="859">
        <f>'GPC Data'!J131</f>
        <v>0</v>
      </c>
      <c r="K17" s="860">
        <f>'GPC Data'!K131</f>
        <v>0</v>
      </c>
      <c r="L17" s="860">
        <f>'GPC Data'!L131</f>
        <v>0</v>
      </c>
      <c r="M17" s="860">
        <f>'GPC Data'!M131</f>
        <v>0</v>
      </c>
      <c r="N17" s="861"/>
      <c r="O17" s="862" t="e">
        <f t="shared" si="0"/>
        <v>#DIV/0!</v>
      </c>
      <c r="P17" s="862" t="e">
        <f t="shared" si="1"/>
        <v>#DIV/0!</v>
      </c>
      <c r="Q17" s="862" t="e">
        <f t="shared" si="2"/>
        <v>#DIV/0!</v>
      </c>
      <c r="R17" s="863" t="e">
        <f t="shared" si="9"/>
        <v>#DIV/0!</v>
      </c>
      <c r="S17" s="864" t="e">
        <f t="shared" si="3"/>
        <v>#DIV/0!</v>
      </c>
      <c r="T17" s="864" t="e">
        <f t="shared" si="4"/>
        <v>#DIV/0!</v>
      </c>
      <c r="U17" s="864" t="e">
        <f t="shared" si="5"/>
        <v>#DIV/0!</v>
      </c>
      <c r="V17" s="865" t="e">
        <f t="shared" si="10"/>
        <v>#DIV/0!</v>
      </c>
      <c r="W17" s="865" t="e">
        <f t="shared" si="6"/>
        <v>#DIV/0!</v>
      </c>
      <c r="X17" s="427"/>
      <c r="Y17" s="427"/>
      <c r="Z17" s="443" t="s">
        <v>1359</v>
      </c>
      <c r="AA17" s="427"/>
      <c r="AB17" s="427"/>
      <c r="AC17" s="837" t="str">
        <f t="shared" si="7"/>
        <v>Comp 8</v>
      </c>
      <c r="AD17" s="855" t="e">
        <f t="shared" si="8"/>
        <v>#DIV/0!</v>
      </c>
      <c r="AE17" s="839"/>
      <c r="AF17" s="839"/>
      <c r="AG17" s="427"/>
      <c r="AH17" s="427"/>
    </row>
    <row r="18" spans="3:34" s="232" customFormat="1" ht="12" thickBot="1">
      <c r="C18" s="844">
        <f t="shared" si="11"/>
        <v>9</v>
      </c>
      <c r="D18" s="857" t="str">
        <f>'GPC Data'!E302</f>
        <v>Comp 9</v>
      </c>
      <c r="E18" s="858">
        <f>'GPC Data'!P30</f>
        <v>0</v>
      </c>
      <c r="F18" s="859">
        <f>'GPC Data'!F132</f>
        <v>0</v>
      </c>
      <c r="G18" s="859">
        <f>'GPC Data'!G132</f>
        <v>0</v>
      </c>
      <c r="H18" s="859">
        <f>'GPC Data'!H132</f>
        <v>0</v>
      </c>
      <c r="I18" s="859">
        <f>'GPC Data'!I132</f>
        <v>0</v>
      </c>
      <c r="J18" s="859">
        <f>'GPC Data'!J132</f>
        <v>0</v>
      </c>
      <c r="K18" s="860">
        <f>'GPC Data'!K132</f>
        <v>0</v>
      </c>
      <c r="L18" s="860">
        <f>'GPC Data'!L132</f>
        <v>0</v>
      </c>
      <c r="M18" s="860">
        <f>'GPC Data'!M132</f>
        <v>0</v>
      </c>
      <c r="N18" s="861"/>
      <c r="O18" s="862" t="e">
        <f t="shared" si="0"/>
        <v>#DIV/0!</v>
      </c>
      <c r="P18" s="862" t="e">
        <f t="shared" si="1"/>
        <v>#DIV/0!</v>
      </c>
      <c r="Q18" s="862" t="e">
        <f t="shared" si="2"/>
        <v>#DIV/0!</v>
      </c>
      <c r="R18" s="863" t="e">
        <f t="shared" si="9"/>
        <v>#DIV/0!</v>
      </c>
      <c r="S18" s="864" t="e">
        <f t="shared" si="3"/>
        <v>#DIV/0!</v>
      </c>
      <c r="T18" s="864" t="e">
        <f t="shared" si="4"/>
        <v>#DIV/0!</v>
      </c>
      <c r="U18" s="864" t="e">
        <f t="shared" si="5"/>
        <v>#DIV/0!</v>
      </c>
      <c r="V18" s="865" t="e">
        <f t="shared" si="10"/>
        <v>#DIV/0!</v>
      </c>
      <c r="W18" s="865" t="e">
        <f t="shared" si="6"/>
        <v>#DIV/0!</v>
      </c>
      <c r="X18" s="427" t="s">
        <v>1443</v>
      </c>
      <c r="Y18" s="427"/>
      <c r="Z18" s="443" t="s">
        <v>1359</v>
      </c>
      <c r="AA18" s="427"/>
      <c r="AB18" s="427" t="s">
        <v>1443</v>
      </c>
      <c r="AC18" s="837" t="str">
        <f t="shared" si="7"/>
        <v>Comp 9</v>
      </c>
      <c r="AD18" s="855" t="e">
        <f t="shared" si="8"/>
        <v>#DIV/0!</v>
      </c>
      <c r="AE18" s="839"/>
      <c r="AF18" s="839"/>
      <c r="AG18" s="427" t="s">
        <v>1443</v>
      </c>
      <c r="AH18" s="427" t="s">
        <v>1443</v>
      </c>
    </row>
    <row r="19" spans="3:34" s="232" customFormat="1" ht="12" thickBot="1">
      <c r="C19" s="844">
        <f t="shared" si="11"/>
        <v>10</v>
      </c>
      <c r="D19" s="857" t="str">
        <f>'GPC Data'!E303</f>
        <v>Comp 10</v>
      </c>
      <c r="E19" s="858">
        <f>'GPC Data'!P31</f>
        <v>0</v>
      </c>
      <c r="F19" s="859">
        <f>'GPC Data'!F133</f>
        <v>0</v>
      </c>
      <c r="G19" s="859">
        <f>'GPC Data'!G133</f>
        <v>0</v>
      </c>
      <c r="H19" s="859">
        <f>'GPC Data'!H133</f>
        <v>0</v>
      </c>
      <c r="I19" s="859">
        <f>'GPC Data'!I133</f>
        <v>0</v>
      </c>
      <c r="J19" s="859">
        <f>'GPC Data'!J133</f>
        <v>0</v>
      </c>
      <c r="K19" s="860">
        <f>'GPC Data'!K133</f>
        <v>0</v>
      </c>
      <c r="L19" s="860">
        <f>'GPC Data'!L133</f>
        <v>0</v>
      </c>
      <c r="M19" s="860">
        <f>'GPC Data'!M133</f>
        <v>0</v>
      </c>
      <c r="N19" s="861"/>
      <c r="O19" s="862" t="e">
        <f t="shared" ref="O19:O38" si="12">G19/F19-1</f>
        <v>#DIV/0!</v>
      </c>
      <c r="P19" s="862" t="e">
        <f t="shared" ref="P19:P38" si="13">H19/G19-1</f>
        <v>#DIV/0!</v>
      </c>
      <c r="Q19" s="862" t="e">
        <f t="shared" ref="Q19:Q38" si="14">I19/H19-1</f>
        <v>#DIV/0!</v>
      </c>
      <c r="R19" s="863" t="e">
        <f t="shared" ref="R19:R38" si="15">(I19/F19)^(1/3)-1</f>
        <v>#DIV/0!</v>
      </c>
      <c r="S19" s="864" t="e">
        <f t="shared" ref="S19:S38" si="16">K19/I19-1</f>
        <v>#DIV/0!</v>
      </c>
      <c r="T19" s="864" t="e">
        <f t="shared" ref="T19:T38" si="17">L19/J19-1</f>
        <v>#DIV/0!</v>
      </c>
      <c r="U19" s="864" t="e">
        <f t="shared" ref="U19:U38" si="18">M19/K19-1</f>
        <v>#DIV/0!</v>
      </c>
      <c r="V19" s="865" t="e">
        <f t="shared" ref="V19:V38" si="19">(U19/S19)^(1/2)-1</f>
        <v>#DIV/0!</v>
      </c>
      <c r="W19" s="865" t="e">
        <f t="shared" ref="W19:W38" si="20">(U19/I19)^(1/3)-1</f>
        <v>#DIV/0!</v>
      </c>
      <c r="X19" s="427" t="s">
        <v>1443</v>
      </c>
      <c r="Y19" s="427"/>
      <c r="Z19" s="443" t="s">
        <v>1359</v>
      </c>
      <c r="AA19" s="427"/>
      <c r="AB19" s="427" t="s">
        <v>1443</v>
      </c>
      <c r="AC19" s="837" t="str">
        <f t="shared" ref="AC19:AC38" si="21">D19</f>
        <v>Comp 10</v>
      </c>
      <c r="AD19" s="855" t="e">
        <f t="shared" ref="AD19:AD38" si="22">V19</f>
        <v>#DIV/0!</v>
      </c>
      <c r="AE19" s="839"/>
      <c r="AF19" s="839"/>
      <c r="AG19" s="427" t="s">
        <v>1443</v>
      </c>
      <c r="AH19" s="427" t="s">
        <v>1443</v>
      </c>
    </row>
    <row r="20" spans="3:34" s="232" customFormat="1" ht="12" outlineLevel="1" thickBot="1">
      <c r="C20" s="844">
        <f t="shared" si="11"/>
        <v>11</v>
      </c>
      <c r="D20" s="857" t="str">
        <f>'GPC Data'!E304</f>
        <v>Comp 11</v>
      </c>
      <c r="E20" s="858">
        <f>'GPC Data'!P32</f>
        <v>0</v>
      </c>
      <c r="F20" s="859">
        <f>'GPC Data'!F134</f>
        <v>0</v>
      </c>
      <c r="G20" s="859">
        <f>'GPC Data'!G134</f>
        <v>0</v>
      </c>
      <c r="H20" s="859">
        <f>'GPC Data'!H134</f>
        <v>0</v>
      </c>
      <c r="I20" s="859">
        <f>'GPC Data'!I134</f>
        <v>0</v>
      </c>
      <c r="J20" s="859">
        <f>'GPC Data'!J134</f>
        <v>0</v>
      </c>
      <c r="K20" s="860">
        <f>'GPC Data'!K134</f>
        <v>0</v>
      </c>
      <c r="L20" s="860">
        <f>'GPC Data'!L134</f>
        <v>0</v>
      </c>
      <c r="M20" s="860">
        <f>'GPC Data'!M134</f>
        <v>0</v>
      </c>
      <c r="N20" s="861"/>
      <c r="O20" s="862" t="e">
        <f t="shared" si="12"/>
        <v>#DIV/0!</v>
      </c>
      <c r="P20" s="862" t="e">
        <f t="shared" si="13"/>
        <v>#DIV/0!</v>
      </c>
      <c r="Q20" s="862" t="e">
        <f t="shared" si="14"/>
        <v>#DIV/0!</v>
      </c>
      <c r="R20" s="863" t="e">
        <f t="shared" si="15"/>
        <v>#DIV/0!</v>
      </c>
      <c r="S20" s="864" t="e">
        <f t="shared" si="16"/>
        <v>#DIV/0!</v>
      </c>
      <c r="T20" s="864" t="e">
        <f t="shared" si="17"/>
        <v>#DIV/0!</v>
      </c>
      <c r="U20" s="864" t="e">
        <f t="shared" si="18"/>
        <v>#DIV/0!</v>
      </c>
      <c r="V20" s="865" t="e">
        <f t="shared" si="19"/>
        <v>#DIV/0!</v>
      </c>
      <c r="W20" s="865" t="e">
        <f t="shared" si="20"/>
        <v>#DIV/0!</v>
      </c>
      <c r="X20" s="427" t="s">
        <v>1443</v>
      </c>
      <c r="Y20" s="427"/>
      <c r="Z20" s="443" t="s">
        <v>106</v>
      </c>
      <c r="AA20" s="427"/>
      <c r="AB20" s="427" t="s">
        <v>1443</v>
      </c>
      <c r="AC20" s="837" t="str">
        <f t="shared" si="21"/>
        <v>Comp 11</v>
      </c>
      <c r="AD20" s="855" t="e">
        <f t="shared" si="22"/>
        <v>#DIV/0!</v>
      </c>
      <c r="AE20" s="839"/>
      <c r="AF20" s="839"/>
      <c r="AG20" s="427" t="s">
        <v>1443</v>
      </c>
      <c r="AH20" s="427" t="s">
        <v>1443</v>
      </c>
    </row>
    <row r="21" spans="3:34" s="232" customFormat="1" ht="12" outlineLevel="1" thickBot="1">
      <c r="C21" s="844">
        <f t="shared" si="11"/>
        <v>12</v>
      </c>
      <c r="D21" s="857" t="str">
        <f>'GPC Data'!E305</f>
        <v>Comp 12</v>
      </c>
      <c r="E21" s="858">
        <f>'GPC Data'!P33</f>
        <v>0</v>
      </c>
      <c r="F21" s="859">
        <f>'GPC Data'!F135</f>
        <v>0</v>
      </c>
      <c r="G21" s="859">
        <f>'GPC Data'!G135</f>
        <v>0</v>
      </c>
      <c r="H21" s="859">
        <f>'GPC Data'!H135</f>
        <v>0</v>
      </c>
      <c r="I21" s="859">
        <f>'GPC Data'!I135</f>
        <v>0</v>
      </c>
      <c r="J21" s="859">
        <f>'GPC Data'!J135</f>
        <v>0</v>
      </c>
      <c r="K21" s="860">
        <f>'GPC Data'!K135</f>
        <v>0</v>
      </c>
      <c r="L21" s="860">
        <f>'GPC Data'!L135</f>
        <v>0</v>
      </c>
      <c r="M21" s="860">
        <f>'GPC Data'!M135</f>
        <v>0</v>
      </c>
      <c r="N21" s="861"/>
      <c r="O21" s="862" t="e">
        <f t="shared" si="12"/>
        <v>#DIV/0!</v>
      </c>
      <c r="P21" s="862" t="e">
        <f t="shared" si="13"/>
        <v>#DIV/0!</v>
      </c>
      <c r="Q21" s="862" t="e">
        <f t="shared" si="14"/>
        <v>#DIV/0!</v>
      </c>
      <c r="R21" s="863" t="e">
        <f t="shared" si="15"/>
        <v>#DIV/0!</v>
      </c>
      <c r="S21" s="864" t="e">
        <f t="shared" si="16"/>
        <v>#DIV/0!</v>
      </c>
      <c r="T21" s="864" t="e">
        <f t="shared" si="17"/>
        <v>#DIV/0!</v>
      </c>
      <c r="U21" s="864" t="e">
        <f t="shared" si="18"/>
        <v>#DIV/0!</v>
      </c>
      <c r="V21" s="865" t="e">
        <f t="shared" si="19"/>
        <v>#DIV/0!</v>
      </c>
      <c r="W21" s="865" t="e">
        <f t="shared" si="20"/>
        <v>#DIV/0!</v>
      </c>
      <c r="X21" s="427" t="s">
        <v>1443</v>
      </c>
      <c r="Y21" s="427"/>
      <c r="Z21" s="443" t="s">
        <v>106</v>
      </c>
      <c r="AA21" s="427"/>
      <c r="AB21" s="427" t="s">
        <v>1443</v>
      </c>
      <c r="AC21" s="837" t="str">
        <f t="shared" si="21"/>
        <v>Comp 12</v>
      </c>
      <c r="AD21" s="855" t="e">
        <f t="shared" si="22"/>
        <v>#DIV/0!</v>
      </c>
      <c r="AE21" s="839"/>
      <c r="AF21" s="839"/>
      <c r="AG21" s="427" t="s">
        <v>1443</v>
      </c>
      <c r="AH21" s="427" t="s">
        <v>1443</v>
      </c>
    </row>
    <row r="22" spans="3:34" s="232" customFormat="1" ht="12" outlineLevel="1" thickBot="1">
      <c r="C22" s="844">
        <f t="shared" si="11"/>
        <v>13</v>
      </c>
      <c r="D22" s="857" t="str">
        <f>'GPC Data'!E306</f>
        <v>Comp 13</v>
      </c>
      <c r="E22" s="858">
        <f>'GPC Data'!P34</f>
        <v>0</v>
      </c>
      <c r="F22" s="859">
        <f>'GPC Data'!F136</f>
        <v>0</v>
      </c>
      <c r="G22" s="859">
        <f>'GPC Data'!G136</f>
        <v>0</v>
      </c>
      <c r="H22" s="859">
        <f>'GPC Data'!H136</f>
        <v>0</v>
      </c>
      <c r="I22" s="859">
        <f>'GPC Data'!I136</f>
        <v>0</v>
      </c>
      <c r="J22" s="859">
        <f>'GPC Data'!J136</f>
        <v>0</v>
      </c>
      <c r="K22" s="860">
        <f>'GPC Data'!K136</f>
        <v>0</v>
      </c>
      <c r="L22" s="860">
        <f>'GPC Data'!L136</f>
        <v>0</v>
      </c>
      <c r="M22" s="860">
        <f>'GPC Data'!M136</f>
        <v>0</v>
      </c>
      <c r="N22" s="861"/>
      <c r="O22" s="862" t="e">
        <f t="shared" si="12"/>
        <v>#DIV/0!</v>
      </c>
      <c r="P22" s="862" t="e">
        <f t="shared" si="13"/>
        <v>#DIV/0!</v>
      </c>
      <c r="Q22" s="862" t="e">
        <f t="shared" si="14"/>
        <v>#DIV/0!</v>
      </c>
      <c r="R22" s="863" t="e">
        <f t="shared" si="15"/>
        <v>#DIV/0!</v>
      </c>
      <c r="S22" s="864" t="e">
        <f t="shared" si="16"/>
        <v>#DIV/0!</v>
      </c>
      <c r="T22" s="864" t="e">
        <f t="shared" si="17"/>
        <v>#DIV/0!</v>
      </c>
      <c r="U22" s="864" t="e">
        <f t="shared" si="18"/>
        <v>#DIV/0!</v>
      </c>
      <c r="V22" s="865" t="e">
        <f t="shared" si="19"/>
        <v>#DIV/0!</v>
      </c>
      <c r="W22" s="865" t="e">
        <f t="shared" si="20"/>
        <v>#DIV/0!</v>
      </c>
      <c r="X22" s="427" t="s">
        <v>1443</v>
      </c>
      <c r="Y22" s="427"/>
      <c r="Z22" s="443" t="s">
        <v>106</v>
      </c>
      <c r="AA22" s="427"/>
      <c r="AB22" s="427" t="s">
        <v>1443</v>
      </c>
      <c r="AC22" s="837" t="str">
        <f t="shared" si="21"/>
        <v>Comp 13</v>
      </c>
      <c r="AD22" s="855" t="e">
        <f t="shared" si="22"/>
        <v>#DIV/0!</v>
      </c>
      <c r="AE22" s="839"/>
      <c r="AF22" s="839"/>
      <c r="AG22" s="427" t="s">
        <v>1443</v>
      </c>
      <c r="AH22" s="427" t="s">
        <v>1443</v>
      </c>
    </row>
    <row r="23" spans="3:34" s="232" customFormat="1" ht="12" outlineLevel="1" thickBot="1">
      <c r="C23" s="844">
        <f t="shared" si="11"/>
        <v>14</v>
      </c>
      <c r="D23" s="857" t="str">
        <f>'GPC Data'!E307</f>
        <v>Comp 14</v>
      </c>
      <c r="E23" s="858">
        <f>'GPC Data'!P35</f>
        <v>0</v>
      </c>
      <c r="F23" s="859">
        <f>'GPC Data'!F137</f>
        <v>0</v>
      </c>
      <c r="G23" s="859">
        <f>'GPC Data'!G137</f>
        <v>0</v>
      </c>
      <c r="H23" s="859">
        <f>'GPC Data'!H137</f>
        <v>0</v>
      </c>
      <c r="I23" s="859">
        <f>'GPC Data'!I137</f>
        <v>0</v>
      </c>
      <c r="J23" s="859">
        <f>'GPC Data'!J137</f>
        <v>0</v>
      </c>
      <c r="K23" s="860">
        <f>'GPC Data'!K137</f>
        <v>0</v>
      </c>
      <c r="L23" s="860">
        <f>'GPC Data'!L137</f>
        <v>0</v>
      </c>
      <c r="M23" s="860">
        <f>'GPC Data'!M137</f>
        <v>0</v>
      </c>
      <c r="N23" s="861"/>
      <c r="O23" s="862" t="e">
        <f t="shared" si="12"/>
        <v>#DIV/0!</v>
      </c>
      <c r="P23" s="862" t="e">
        <f t="shared" si="13"/>
        <v>#DIV/0!</v>
      </c>
      <c r="Q23" s="862" t="e">
        <f t="shared" si="14"/>
        <v>#DIV/0!</v>
      </c>
      <c r="R23" s="863" t="e">
        <f t="shared" si="15"/>
        <v>#DIV/0!</v>
      </c>
      <c r="S23" s="864" t="e">
        <f t="shared" si="16"/>
        <v>#DIV/0!</v>
      </c>
      <c r="T23" s="864" t="e">
        <f t="shared" si="17"/>
        <v>#DIV/0!</v>
      </c>
      <c r="U23" s="864" t="e">
        <f t="shared" si="18"/>
        <v>#DIV/0!</v>
      </c>
      <c r="V23" s="865" t="e">
        <f t="shared" si="19"/>
        <v>#DIV/0!</v>
      </c>
      <c r="W23" s="865" t="e">
        <f t="shared" si="20"/>
        <v>#DIV/0!</v>
      </c>
      <c r="X23" s="427" t="s">
        <v>1443</v>
      </c>
      <c r="Y23" s="427"/>
      <c r="Z23" s="443" t="s">
        <v>106</v>
      </c>
      <c r="AA23" s="427"/>
      <c r="AB23" s="427" t="s">
        <v>1443</v>
      </c>
      <c r="AC23" s="837" t="str">
        <f t="shared" si="21"/>
        <v>Comp 14</v>
      </c>
      <c r="AD23" s="855" t="e">
        <f t="shared" si="22"/>
        <v>#DIV/0!</v>
      </c>
      <c r="AE23" s="839"/>
      <c r="AF23" s="839"/>
      <c r="AG23" s="427" t="s">
        <v>1443</v>
      </c>
      <c r="AH23" s="427" t="s">
        <v>1443</v>
      </c>
    </row>
    <row r="24" spans="3:34" s="232" customFormat="1" ht="12" outlineLevel="1" thickBot="1">
      <c r="C24" s="844">
        <f t="shared" si="11"/>
        <v>15</v>
      </c>
      <c r="D24" s="857" t="str">
        <f>'GPC Data'!E308</f>
        <v>Comp 15</v>
      </c>
      <c r="E24" s="858">
        <f>'GPC Data'!P36</f>
        <v>0</v>
      </c>
      <c r="F24" s="859">
        <f>'GPC Data'!F138</f>
        <v>0</v>
      </c>
      <c r="G24" s="859">
        <f>'GPC Data'!G138</f>
        <v>0</v>
      </c>
      <c r="H24" s="859">
        <f>'GPC Data'!H138</f>
        <v>0</v>
      </c>
      <c r="I24" s="859">
        <f>'GPC Data'!I138</f>
        <v>0</v>
      </c>
      <c r="J24" s="859">
        <f>'GPC Data'!J138</f>
        <v>0</v>
      </c>
      <c r="K24" s="860">
        <f>'GPC Data'!K138</f>
        <v>0</v>
      </c>
      <c r="L24" s="860">
        <f>'GPC Data'!L138</f>
        <v>0</v>
      </c>
      <c r="M24" s="860">
        <f>'GPC Data'!M138</f>
        <v>0</v>
      </c>
      <c r="N24" s="861"/>
      <c r="O24" s="862" t="e">
        <f t="shared" si="12"/>
        <v>#DIV/0!</v>
      </c>
      <c r="P24" s="862" t="e">
        <f t="shared" si="13"/>
        <v>#DIV/0!</v>
      </c>
      <c r="Q24" s="862" t="e">
        <f t="shared" si="14"/>
        <v>#DIV/0!</v>
      </c>
      <c r="R24" s="863" t="e">
        <f t="shared" si="15"/>
        <v>#DIV/0!</v>
      </c>
      <c r="S24" s="864" t="e">
        <f t="shared" si="16"/>
        <v>#DIV/0!</v>
      </c>
      <c r="T24" s="864" t="e">
        <f t="shared" si="17"/>
        <v>#DIV/0!</v>
      </c>
      <c r="U24" s="864" t="e">
        <f t="shared" si="18"/>
        <v>#DIV/0!</v>
      </c>
      <c r="V24" s="865" t="e">
        <f t="shared" si="19"/>
        <v>#DIV/0!</v>
      </c>
      <c r="W24" s="865" t="e">
        <f t="shared" si="20"/>
        <v>#DIV/0!</v>
      </c>
      <c r="X24" s="427" t="s">
        <v>1443</v>
      </c>
      <c r="Y24" s="427"/>
      <c r="Z24" s="443" t="s">
        <v>106</v>
      </c>
      <c r="AA24" s="427"/>
      <c r="AB24" s="427" t="s">
        <v>1443</v>
      </c>
      <c r="AC24" s="837" t="str">
        <f t="shared" si="21"/>
        <v>Comp 15</v>
      </c>
      <c r="AD24" s="855" t="e">
        <f t="shared" si="22"/>
        <v>#DIV/0!</v>
      </c>
      <c r="AE24" s="839"/>
      <c r="AF24" s="839"/>
      <c r="AG24" s="427" t="s">
        <v>1443</v>
      </c>
      <c r="AH24" s="427" t="s">
        <v>1443</v>
      </c>
    </row>
    <row r="25" spans="3:34" s="232" customFormat="1" ht="12" outlineLevel="1" thickBot="1">
      <c r="C25" s="844">
        <f t="shared" si="11"/>
        <v>16</v>
      </c>
      <c r="D25" s="857" t="str">
        <f>'GPC Data'!E309</f>
        <v>Comp 16</v>
      </c>
      <c r="E25" s="858">
        <f>'GPC Data'!P37</f>
        <v>0</v>
      </c>
      <c r="F25" s="859">
        <f>'GPC Data'!F139</f>
        <v>0</v>
      </c>
      <c r="G25" s="859">
        <f>'GPC Data'!G139</f>
        <v>0</v>
      </c>
      <c r="H25" s="859">
        <f>'GPC Data'!H139</f>
        <v>0</v>
      </c>
      <c r="I25" s="859">
        <f>'GPC Data'!I139</f>
        <v>0</v>
      </c>
      <c r="J25" s="859">
        <f>'GPC Data'!J139</f>
        <v>0</v>
      </c>
      <c r="K25" s="860">
        <f>'GPC Data'!K139</f>
        <v>0</v>
      </c>
      <c r="L25" s="860">
        <f>'GPC Data'!L139</f>
        <v>0</v>
      </c>
      <c r="M25" s="860">
        <f>'GPC Data'!M139</f>
        <v>0</v>
      </c>
      <c r="N25" s="861"/>
      <c r="O25" s="862" t="e">
        <f t="shared" si="12"/>
        <v>#DIV/0!</v>
      </c>
      <c r="P25" s="862" t="e">
        <f t="shared" si="13"/>
        <v>#DIV/0!</v>
      </c>
      <c r="Q25" s="862" t="e">
        <f t="shared" si="14"/>
        <v>#DIV/0!</v>
      </c>
      <c r="R25" s="863" t="e">
        <f t="shared" si="15"/>
        <v>#DIV/0!</v>
      </c>
      <c r="S25" s="864" t="e">
        <f t="shared" si="16"/>
        <v>#DIV/0!</v>
      </c>
      <c r="T25" s="864" t="e">
        <f t="shared" si="17"/>
        <v>#DIV/0!</v>
      </c>
      <c r="U25" s="864" t="e">
        <f t="shared" si="18"/>
        <v>#DIV/0!</v>
      </c>
      <c r="V25" s="865" t="e">
        <f t="shared" si="19"/>
        <v>#DIV/0!</v>
      </c>
      <c r="W25" s="865" t="e">
        <f t="shared" si="20"/>
        <v>#DIV/0!</v>
      </c>
      <c r="X25" s="427" t="s">
        <v>1443</v>
      </c>
      <c r="Y25" s="427"/>
      <c r="Z25" s="443" t="s">
        <v>106</v>
      </c>
      <c r="AA25" s="427"/>
      <c r="AB25" s="427" t="s">
        <v>1443</v>
      </c>
      <c r="AC25" s="837" t="str">
        <f t="shared" si="21"/>
        <v>Comp 16</v>
      </c>
      <c r="AD25" s="855" t="e">
        <f t="shared" si="22"/>
        <v>#DIV/0!</v>
      </c>
      <c r="AE25" s="839"/>
      <c r="AF25" s="839"/>
      <c r="AG25" s="427" t="s">
        <v>1443</v>
      </c>
      <c r="AH25" s="427" t="s">
        <v>1443</v>
      </c>
    </row>
    <row r="26" spans="3:34" s="232" customFormat="1" ht="12" outlineLevel="1" thickBot="1">
      <c r="C26" s="844">
        <f t="shared" si="11"/>
        <v>17</v>
      </c>
      <c r="D26" s="857" t="str">
        <f>'GPC Data'!E310</f>
        <v>Comp 17</v>
      </c>
      <c r="E26" s="858">
        <f>'GPC Data'!P38</f>
        <v>0</v>
      </c>
      <c r="F26" s="859">
        <f>'GPC Data'!F140</f>
        <v>0</v>
      </c>
      <c r="G26" s="859">
        <f>'GPC Data'!G140</f>
        <v>0</v>
      </c>
      <c r="H26" s="859">
        <f>'GPC Data'!H140</f>
        <v>0</v>
      </c>
      <c r="I26" s="859">
        <f>'GPC Data'!I140</f>
        <v>0</v>
      </c>
      <c r="J26" s="859">
        <f>'GPC Data'!J140</f>
        <v>0</v>
      </c>
      <c r="K26" s="860">
        <f>'GPC Data'!K140</f>
        <v>0</v>
      </c>
      <c r="L26" s="860">
        <f>'GPC Data'!L140</f>
        <v>0</v>
      </c>
      <c r="M26" s="860">
        <f>'GPC Data'!M140</f>
        <v>0</v>
      </c>
      <c r="N26" s="861"/>
      <c r="O26" s="862" t="e">
        <f t="shared" si="12"/>
        <v>#DIV/0!</v>
      </c>
      <c r="P26" s="862" t="e">
        <f t="shared" si="13"/>
        <v>#DIV/0!</v>
      </c>
      <c r="Q26" s="862" t="e">
        <f t="shared" si="14"/>
        <v>#DIV/0!</v>
      </c>
      <c r="R26" s="863" t="e">
        <f t="shared" si="15"/>
        <v>#DIV/0!</v>
      </c>
      <c r="S26" s="864" t="e">
        <f t="shared" si="16"/>
        <v>#DIV/0!</v>
      </c>
      <c r="T26" s="864" t="e">
        <f t="shared" si="17"/>
        <v>#DIV/0!</v>
      </c>
      <c r="U26" s="864" t="e">
        <f t="shared" si="18"/>
        <v>#DIV/0!</v>
      </c>
      <c r="V26" s="865" t="e">
        <f t="shared" si="19"/>
        <v>#DIV/0!</v>
      </c>
      <c r="W26" s="865" t="e">
        <f t="shared" si="20"/>
        <v>#DIV/0!</v>
      </c>
      <c r="X26" s="427" t="s">
        <v>1443</v>
      </c>
      <c r="Y26" s="427"/>
      <c r="Z26" s="443" t="s">
        <v>106</v>
      </c>
      <c r="AA26" s="427"/>
      <c r="AB26" s="427" t="s">
        <v>1443</v>
      </c>
      <c r="AC26" s="837" t="str">
        <f t="shared" si="21"/>
        <v>Comp 17</v>
      </c>
      <c r="AD26" s="855" t="e">
        <f t="shared" si="22"/>
        <v>#DIV/0!</v>
      </c>
      <c r="AE26" s="839"/>
      <c r="AF26" s="839"/>
      <c r="AG26" s="427" t="s">
        <v>1443</v>
      </c>
      <c r="AH26" s="427" t="s">
        <v>1443</v>
      </c>
    </row>
    <row r="27" spans="3:34" s="232" customFormat="1" ht="12" outlineLevel="1" thickBot="1">
      <c r="C27" s="844">
        <f t="shared" si="11"/>
        <v>18</v>
      </c>
      <c r="D27" s="857" t="str">
        <f>'GPC Data'!E311</f>
        <v>Comp 18</v>
      </c>
      <c r="E27" s="858">
        <f>'GPC Data'!P39</f>
        <v>0</v>
      </c>
      <c r="F27" s="859">
        <f>'GPC Data'!F141</f>
        <v>0</v>
      </c>
      <c r="G27" s="859">
        <f>'GPC Data'!G141</f>
        <v>0</v>
      </c>
      <c r="H27" s="859">
        <f>'GPC Data'!H141</f>
        <v>0</v>
      </c>
      <c r="I27" s="859">
        <f>'GPC Data'!I141</f>
        <v>0</v>
      </c>
      <c r="J27" s="859">
        <f>'GPC Data'!J141</f>
        <v>0</v>
      </c>
      <c r="K27" s="860">
        <f>'GPC Data'!K141</f>
        <v>0</v>
      </c>
      <c r="L27" s="860">
        <f>'GPC Data'!L141</f>
        <v>0</v>
      </c>
      <c r="M27" s="860">
        <f>'GPC Data'!M141</f>
        <v>0</v>
      </c>
      <c r="N27" s="861"/>
      <c r="O27" s="862" t="e">
        <f t="shared" si="12"/>
        <v>#DIV/0!</v>
      </c>
      <c r="P27" s="862" t="e">
        <f t="shared" si="13"/>
        <v>#DIV/0!</v>
      </c>
      <c r="Q27" s="862" t="e">
        <f t="shared" si="14"/>
        <v>#DIV/0!</v>
      </c>
      <c r="R27" s="863" t="e">
        <f t="shared" si="15"/>
        <v>#DIV/0!</v>
      </c>
      <c r="S27" s="864" t="e">
        <f t="shared" si="16"/>
        <v>#DIV/0!</v>
      </c>
      <c r="T27" s="864" t="e">
        <f t="shared" si="17"/>
        <v>#DIV/0!</v>
      </c>
      <c r="U27" s="864" t="e">
        <f t="shared" si="18"/>
        <v>#DIV/0!</v>
      </c>
      <c r="V27" s="865" t="e">
        <f t="shared" si="19"/>
        <v>#DIV/0!</v>
      </c>
      <c r="W27" s="865" t="e">
        <f t="shared" si="20"/>
        <v>#DIV/0!</v>
      </c>
      <c r="X27" s="427" t="s">
        <v>1443</v>
      </c>
      <c r="Y27" s="427"/>
      <c r="Z27" s="443" t="s">
        <v>106</v>
      </c>
      <c r="AA27" s="427"/>
      <c r="AB27" s="427" t="s">
        <v>1443</v>
      </c>
      <c r="AC27" s="837" t="str">
        <f t="shared" si="21"/>
        <v>Comp 18</v>
      </c>
      <c r="AD27" s="855" t="e">
        <f t="shared" si="22"/>
        <v>#DIV/0!</v>
      </c>
      <c r="AE27" s="839"/>
      <c r="AF27" s="839"/>
      <c r="AG27" s="427" t="s">
        <v>1443</v>
      </c>
      <c r="AH27" s="427" t="s">
        <v>1443</v>
      </c>
    </row>
    <row r="28" spans="3:34" s="232" customFormat="1" ht="12" outlineLevel="1" thickBot="1">
      <c r="C28" s="844">
        <f t="shared" si="11"/>
        <v>19</v>
      </c>
      <c r="D28" s="857" t="str">
        <f>'GPC Data'!E312</f>
        <v>Comp 19</v>
      </c>
      <c r="E28" s="858">
        <f>'GPC Data'!P40</f>
        <v>0</v>
      </c>
      <c r="F28" s="859">
        <f>'GPC Data'!F142</f>
        <v>0</v>
      </c>
      <c r="G28" s="859">
        <f>'GPC Data'!G142</f>
        <v>0</v>
      </c>
      <c r="H28" s="859">
        <f>'GPC Data'!H142</f>
        <v>0</v>
      </c>
      <c r="I28" s="859">
        <f>'GPC Data'!I142</f>
        <v>0</v>
      </c>
      <c r="J28" s="859">
        <f>'GPC Data'!J142</f>
        <v>0</v>
      </c>
      <c r="K28" s="860">
        <f>'GPC Data'!K142</f>
        <v>0</v>
      </c>
      <c r="L28" s="860">
        <f>'GPC Data'!L142</f>
        <v>0</v>
      </c>
      <c r="M28" s="860">
        <f>'GPC Data'!M142</f>
        <v>0</v>
      </c>
      <c r="N28" s="861"/>
      <c r="O28" s="862" t="e">
        <f t="shared" si="12"/>
        <v>#DIV/0!</v>
      </c>
      <c r="P28" s="862" t="e">
        <f t="shared" si="13"/>
        <v>#DIV/0!</v>
      </c>
      <c r="Q28" s="862" t="e">
        <f t="shared" si="14"/>
        <v>#DIV/0!</v>
      </c>
      <c r="R28" s="863" t="e">
        <f t="shared" si="15"/>
        <v>#DIV/0!</v>
      </c>
      <c r="S28" s="864" t="e">
        <f t="shared" si="16"/>
        <v>#DIV/0!</v>
      </c>
      <c r="T28" s="864" t="e">
        <f t="shared" si="17"/>
        <v>#DIV/0!</v>
      </c>
      <c r="U28" s="864" t="e">
        <f t="shared" si="18"/>
        <v>#DIV/0!</v>
      </c>
      <c r="V28" s="865" t="e">
        <f t="shared" si="19"/>
        <v>#DIV/0!</v>
      </c>
      <c r="W28" s="865" t="e">
        <f t="shared" si="20"/>
        <v>#DIV/0!</v>
      </c>
      <c r="X28" s="427" t="s">
        <v>1443</v>
      </c>
      <c r="Y28" s="427"/>
      <c r="Z28" s="443" t="s">
        <v>106</v>
      </c>
      <c r="AA28" s="427"/>
      <c r="AB28" s="427" t="s">
        <v>1443</v>
      </c>
      <c r="AC28" s="837" t="str">
        <f t="shared" si="21"/>
        <v>Comp 19</v>
      </c>
      <c r="AD28" s="855" t="e">
        <f t="shared" si="22"/>
        <v>#DIV/0!</v>
      </c>
      <c r="AE28" s="839"/>
      <c r="AF28" s="839"/>
      <c r="AG28" s="427" t="s">
        <v>1443</v>
      </c>
      <c r="AH28" s="427" t="s">
        <v>1443</v>
      </c>
    </row>
    <row r="29" spans="3:34" s="232" customFormat="1" ht="12" outlineLevel="1" thickBot="1">
      <c r="C29" s="844">
        <f t="shared" si="11"/>
        <v>20</v>
      </c>
      <c r="D29" s="857" t="str">
        <f>'GPC Data'!E313</f>
        <v>Comp 20</v>
      </c>
      <c r="E29" s="858">
        <f>'GPC Data'!P41</f>
        <v>0</v>
      </c>
      <c r="F29" s="859">
        <f>'GPC Data'!F143</f>
        <v>0</v>
      </c>
      <c r="G29" s="859">
        <f>'GPC Data'!G143</f>
        <v>0</v>
      </c>
      <c r="H29" s="859">
        <f>'GPC Data'!H143</f>
        <v>0</v>
      </c>
      <c r="I29" s="859">
        <f>'GPC Data'!I143</f>
        <v>0</v>
      </c>
      <c r="J29" s="859">
        <f>'GPC Data'!J143</f>
        <v>0</v>
      </c>
      <c r="K29" s="860">
        <f>'GPC Data'!K143</f>
        <v>0</v>
      </c>
      <c r="L29" s="860">
        <f>'GPC Data'!L143</f>
        <v>0</v>
      </c>
      <c r="M29" s="860">
        <f>'GPC Data'!M143</f>
        <v>0</v>
      </c>
      <c r="N29" s="861"/>
      <c r="O29" s="862" t="e">
        <f t="shared" si="12"/>
        <v>#DIV/0!</v>
      </c>
      <c r="P29" s="862" t="e">
        <f t="shared" si="13"/>
        <v>#DIV/0!</v>
      </c>
      <c r="Q29" s="862" t="e">
        <f t="shared" si="14"/>
        <v>#DIV/0!</v>
      </c>
      <c r="R29" s="863" t="e">
        <f t="shared" si="15"/>
        <v>#DIV/0!</v>
      </c>
      <c r="S29" s="864" t="e">
        <f t="shared" si="16"/>
        <v>#DIV/0!</v>
      </c>
      <c r="T29" s="864" t="e">
        <f t="shared" si="17"/>
        <v>#DIV/0!</v>
      </c>
      <c r="U29" s="864" t="e">
        <f t="shared" si="18"/>
        <v>#DIV/0!</v>
      </c>
      <c r="V29" s="865" t="e">
        <f t="shared" si="19"/>
        <v>#DIV/0!</v>
      </c>
      <c r="W29" s="865" t="e">
        <f t="shared" si="20"/>
        <v>#DIV/0!</v>
      </c>
      <c r="X29" s="427" t="s">
        <v>1443</v>
      </c>
      <c r="Y29" s="427"/>
      <c r="Z29" s="443" t="s">
        <v>106</v>
      </c>
      <c r="AA29" s="427"/>
      <c r="AB29" s="427" t="s">
        <v>1443</v>
      </c>
      <c r="AC29" s="837" t="str">
        <f t="shared" si="21"/>
        <v>Comp 20</v>
      </c>
      <c r="AD29" s="855" t="e">
        <f t="shared" si="22"/>
        <v>#DIV/0!</v>
      </c>
      <c r="AE29" s="839"/>
      <c r="AF29" s="839"/>
      <c r="AG29" s="427" t="s">
        <v>1443</v>
      </c>
      <c r="AH29" s="427" t="s">
        <v>1443</v>
      </c>
    </row>
    <row r="30" spans="3:34" s="232" customFormat="1" ht="12" outlineLevel="1" thickBot="1">
      <c r="C30" s="844">
        <f t="shared" si="11"/>
        <v>21</v>
      </c>
      <c r="D30" s="857" t="str">
        <f>'GPC Data'!E314</f>
        <v>Comp 21</v>
      </c>
      <c r="E30" s="858">
        <f>'GPC Data'!P42</f>
        <v>0</v>
      </c>
      <c r="F30" s="859">
        <f>'GPC Data'!F144</f>
        <v>0</v>
      </c>
      <c r="G30" s="859">
        <f>'GPC Data'!G144</f>
        <v>0</v>
      </c>
      <c r="H30" s="859">
        <f>'GPC Data'!H144</f>
        <v>0</v>
      </c>
      <c r="I30" s="859">
        <f>'GPC Data'!I144</f>
        <v>0</v>
      </c>
      <c r="J30" s="859">
        <f>'GPC Data'!J144</f>
        <v>0</v>
      </c>
      <c r="K30" s="860">
        <f>'GPC Data'!K144</f>
        <v>0</v>
      </c>
      <c r="L30" s="860">
        <f>'GPC Data'!L144</f>
        <v>0</v>
      </c>
      <c r="M30" s="860">
        <f>'GPC Data'!M144</f>
        <v>0</v>
      </c>
      <c r="N30" s="861"/>
      <c r="O30" s="862" t="e">
        <f t="shared" si="12"/>
        <v>#DIV/0!</v>
      </c>
      <c r="P30" s="862" t="e">
        <f t="shared" si="13"/>
        <v>#DIV/0!</v>
      </c>
      <c r="Q30" s="862" t="e">
        <f t="shared" si="14"/>
        <v>#DIV/0!</v>
      </c>
      <c r="R30" s="863" t="e">
        <f t="shared" si="15"/>
        <v>#DIV/0!</v>
      </c>
      <c r="S30" s="864" t="e">
        <f t="shared" si="16"/>
        <v>#DIV/0!</v>
      </c>
      <c r="T30" s="864" t="e">
        <f t="shared" si="17"/>
        <v>#DIV/0!</v>
      </c>
      <c r="U30" s="864" t="e">
        <f t="shared" si="18"/>
        <v>#DIV/0!</v>
      </c>
      <c r="V30" s="865" t="e">
        <f t="shared" si="19"/>
        <v>#DIV/0!</v>
      </c>
      <c r="W30" s="865" t="e">
        <f t="shared" si="20"/>
        <v>#DIV/0!</v>
      </c>
      <c r="X30" s="427" t="s">
        <v>1443</v>
      </c>
      <c r="Y30" s="427"/>
      <c r="Z30" s="443" t="s">
        <v>106</v>
      </c>
      <c r="AA30" s="427"/>
      <c r="AB30" s="427" t="s">
        <v>1443</v>
      </c>
      <c r="AC30" s="837" t="str">
        <f t="shared" si="21"/>
        <v>Comp 21</v>
      </c>
      <c r="AD30" s="855" t="e">
        <f t="shared" si="22"/>
        <v>#DIV/0!</v>
      </c>
      <c r="AE30" s="839"/>
      <c r="AF30" s="839"/>
      <c r="AG30" s="427" t="s">
        <v>1443</v>
      </c>
      <c r="AH30" s="427" t="s">
        <v>1443</v>
      </c>
    </row>
    <row r="31" spans="3:34" s="232" customFormat="1" ht="12" outlineLevel="1" thickBot="1">
      <c r="C31" s="844">
        <f t="shared" si="11"/>
        <v>22</v>
      </c>
      <c r="D31" s="857" t="str">
        <f>'GPC Data'!E315</f>
        <v>Comp 22</v>
      </c>
      <c r="E31" s="858">
        <f>'GPC Data'!P43</f>
        <v>0</v>
      </c>
      <c r="F31" s="859">
        <f>'GPC Data'!F145</f>
        <v>0</v>
      </c>
      <c r="G31" s="859">
        <f>'GPC Data'!G145</f>
        <v>0</v>
      </c>
      <c r="H31" s="859">
        <f>'GPC Data'!H145</f>
        <v>0</v>
      </c>
      <c r="I31" s="859">
        <f>'GPC Data'!I145</f>
        <v>0</v>
      </c>
      <c r="J31" s="859">
        <f>'GPC Data'!J145</f>
        <v>0</v>
      </c>
      <c r="K31" s="860">
        <f>'GPC Data'!K145</f>
        <v>0</v>
      </c>
      <c r="L31" s="860">
        <f>'GPC Data'!L145</f>
        <v>0</v>
      </c>
      <c r="M31" s="860">
        <f>'GPC Data'!M145</f>
        <v>0</v>
      </c>
      <c r="N31" s="861"/>
      <c r="O31" s="862" t="e">
        <f t="shared" si="12"/>
        <v>#DIV/0!</v>
      </c>
      <c r="P31" s="862" t="e">
        <f t="shared" si="13"/>
        <v>#DIV/0!</v>
      </c>
      <c r="Q31" s="862" t="e">
        <f t="shared" si="14"/>
        <v>#DIV/0!</v>
      </c>
      <c r="R31" s="863" t="e">
        <f t="shared" si="15"/>
        <v>#DIV/0!</v>
      </c>
      <c r="S31" s="864" t="e">
        <f t="shared" si="16"/>
        <v>#DIV/0!</v>
      </c>
      <c r="T31" s="864" t="e">
        <f t="shared" si="17"/>
        <v>#DIV/0!</v>
      </c>
      <c r="U31" s="864" t="e">
        <f t="shared" si="18"/>
        <v>#DIV/0!</v>
      </c>
      <c r="V31" s="865" t="e">
        <f t="shared" si="19"/>
        <v>#DIV/0!</v>
      </c>
      <c r="W31" s="865" t="e">
        <f t="shared" si="20"/>
        <v>#DIV/0!</v>
      </c>
      <c r="X31" s="427" t="s">
        <v>1443</v>
      </c>
      <c r="Y31" s="427"/>
      <c r="Z31" s="443" t="s">
        <v>106</v>
      </c>
      <c r="AA31" s="427"/>
      <c r="AB31" s="427" t="s">
        <v>1443</v>
      </c>
      <c r="AC31" s="837" t="str">
        <f t="shared" si="21"/>
        <v>Comp 22</v>
      </c>
      <c r="AD31" s="855" t="e">
        <f t="shared" si="22"/>
        <v>#DIV/0!</v>
      </c>
      <c r="AE31" s="839"/>
      <c r="AF31" s="839"/>
      <c r="AG31" s="427" t="s">
        <v>1443</v>
      </c>
      <c r="AH31" s="427" t="s">
        <v>1443</v>
      </c>
    </row>
    <row r="32" spans="3:34" s="232" customFormat="1" ht="12" outlineLevel="1" thickBot="1">
      <c r="C32" s="844">
        <f t="shared" si="11"/>
        <v>23</v>
      </c>
      <c r="D32" s="857" t="str">
        <f>'GPC Data'!E316</f>
        <v>Comp 23</v>
      </c>
      <c r="E32" s="858">
        <f>'GPC Data'!P44</f>
        <v>0</v>
      </c>
      <c r="F32" s="859">
        <f>'GPC Data'!F146</f>
        <v>0</v>
      </c>
      <c r="G32" s="859">
        <f>'GPC Data'!G146</f>
        <v>0</v>
      </c>
      <c r="H32" s="859">
        <f>'GPC Data'!H146</f>
        <v>0</v>
      </c>
      <c r="I32" s="859">
        <f>'GPC Data'!I146</f>
        <v>0</v>
      </c>
      <c r="J32" s="859">
        <f>'GPC Data'!J146</f>
        <v>0</v>
      </c>
      <c r="K32" s="860">
        <f>'GPC Data'!K146</f>
        <v>0</v>
      </c>
      <c r="L32" s="860">
        <f>'GPC Data'!L146</f>
        <v>0</v>
      </c>
      <c r="M32" s="860">
        <f>'GPC Data'!M146</f>
        <v>0</v>
      </c>
      <c r="N32" s="861"/>
      <c r="O32" s="862" t="e">
        <f t="shared" si="12"/>
        <v>#DIV/0!</v>
      </c>
      <c r="P32" s="862" t="e">
        <f t="shared" si="13"/>
        <v>#DIV/0!</v>
      </c>
      <c r="Q32" s="862" t="e">
        <f t="shared" si="14"/>
        <v>#DIV/0!</v>
      </c>
      <c r="R32" s="863" t="e">
        <f t="shared" si="15"/>
        <v>#DIV/0!</v>
      </c>
      <c r="S32" s="864" t="e">
        <f t="shared" si="16"/>
        <v>#DIV/0!</v>
      </c>
      <c r="T32" s="864" t="e">
        <f t="shared" si="17"/>
        <v>#DIV/0!</v>
      </c>
      <c r="U32" s="864" t="e">
        <f t="shared" si="18"/>
        <v>#DIV/0!</v>
      </c>
      <c r="V32" s="865" t="e">
        <f t="shared" si="19"/>
        <v>#DIV/0!</v>
      </c>
      <c r="W32" s="865" t="e">
        <f t="shared" si="20"/>
        <v>#DIV/0!</v>
      </c>
      <c r="X32" s="427" t="s">
        <v>1443</v>
      </c>
      <c r="Y32" s="427"/>
      <c r="Z32" s="443" t="s">
        <v>106</v>
      </c>
      <c r="AA32" s="427"/>
      <c r="AB32" s="427" t="s">
        <v>1443</v>
      </c>
      <c r="AC32" s="837" t="str">
        <f t="shared" si="21"/>
        <v>Comp 23</v>
      </c>
      <c r="AD32" s="855" t="e">
        <f t="shared" si="22"/>
        <v>#DIV/0!</v>
      </c>
      <c r="AE32" s="839"/>
      <c r="AF32" s="839"/>
      <c r="AG32" s="427" t="s">
        <v>1443</v>
      </c>
      <c r="AH32" s="427" t="s">
        <v>1443</v>
      </c>
    </row>
    <row r="33" spans="2:34" s="232" customFormat="1" ht="12" outlineLevel="1" thickBot="1">
      <c r="C33" s="844">
        <f t="shared" si="11"/>
        <v>24</v>
      </c>
      <c r="D33" s="857" t="str">
        <f>'GPC Data'!E317</f>
        <v>Comp 24</v>
      </c>
      <c r="E33" s="858">
        <f>'GPC Data'!P45</f>
        <v>0</v>
      </c>
      <c r="F33" s="859">
        <f>'GPC Data'!F147</f>
        <v>0</v>
      </c>
      <c r="G33" s="859">
        <f>'GPC Data'!G147</f>
        <v>0</v>
      </c>
      <c r="H33" s="859">
        <f>'GPC Data'!H147</f>
        <v>0</v>
      </c>
      <c r="I33" s="859">
        <f>'GPC Data'!I147</f>
        <v>0</v>
      </c>
      <c r="J33" s="859">
        <f>'GPC Data'!J147</f>
        <v>0</v>
      </c>
      <c r="K33" s="860">
        <f>'GPC Data'!K147</f>
        <v>0</v>
      </c>
      <c r="L33" s="860">
        <f>'GPC Data'!L147</f>
        <v>0</v>
      </c>
      <c r="M33" s="860">
        <f>'GPC Data'!M147</f>
        <v>0</v>
      </c>
      <c r="N33" s="861"/>
      <c r="O33" s="862" t="e">
        <f t="shared" si="12"/>
        <v>#DIV/0!</v>
      </c>
      <c r="P33" s="862" t="e">
        <f t="shared" si="13"/>
        <v>#DIV/0!</v>
      </c>
      <c r="Q33" s="862" t="e">
        <f t="shared" si="14"/>
        <v>#DIV/0!</v>
      </c>
      <c r="R33" s="863" t="e">
        <f t="shared" si="15"/>
        <v>#DIV/0!</v>
      </c>
      <c r="S33" s="864" t="e">
        <f t="shared" si="16"/>
        <v>#DIV/0!</v>
      </c>
      <c r="T33" s="864" t="e">
        <f t="shared" si="17"/>
        <v>#DIV/0!</v>
      </c>
      <c r="U33" s="864" t="e">
        <f t="shared" si="18"/>
        <v>#DIV/0!</v>
      </c>
      <c r="V33" s="865" t="e">
        <f t="shared" si="19"/>
        <v>#DIV/0!</v>
      </c>
      <c r="W33" s="865" t="e">
        <f t="shared" si="20"/>
        <v>#DIV/0!</v>
      </c>
      <c r="X33" s="427" t="s">
        <v>1443</v>
      </c>
      <c r="Y33" s="427"/>
      <c r="Z33" s="443" t="s">
        <v>106</v>
      </c>
      <c r="AA33" s="427"/>
      <c r="AB33" s="427" t="s">
        <v>1443</v>
      </c>
      <c r="AC33" s="837" t="str">
        <f t="shared" si="21"/>
        <v>Comp 24</v>
      </c>
      <c r="AD33" s="855" t="e">
        <f t="shared" si="22"/>
        <v>#DIV/0!</v>
      </c>
      <c r="AE33" s="839"/>
      <c r="AF33" s="839"/>
      <c r="AG33" s="427" t="s">
        <v>1443</v>
      </c>
      <c r="AH33" s="427" t="s">
        <v>1443</v>
      </c>
    </row>
    <row r="34" spans="2:34" s="232" customFormat="1" ht="12" outlineLevel="1" thickBot="1">
      <c r="C34" s="844">
        <f t="shared" si="11"/>
        <v>25</v>
      </c>
      <c r="D34" s="857" t="str">
        <f>'GPC Data'!E318</f>
        <v>Comp 25</v>
      </c>
      <c r="E34" s="858">
        <f>'GPC Data'!P46</f>
        <v>0</v>
      </c>
      <c r="F34" s="859">
        <f>'GPC Data'!F148</f>
        <v>0</v>
      </c>
      <c r="G34" s="859">
        <f>'GPC Data'!G148</f>
        <v>0</v>
      </c>
      <c r="H34" s="859">
        <f>'GPC Data'!H148</f>
        <v>0</v>
      </c>
      <c r="I34" s="859">
        <f>'GPC Data'!I148</f>
        <v>0</v>
      </c>
      <c r="J34" s="859">
        <f>'GPC Data'!J148</f>
        <v>0</v>
      </c>
      <c r="K34" s="860">
        <f>'GPC Data'!K148</f>
        <v>0</v>
      </c>
      <c r="L34" s="860">
        <f>'GPC Data'!L148</f>
        <v>0</v>
      </c>
      <c r="M34" s="860">
        <f>'GPC Data'!M148</f>
        <v>0</v>
      </c>
      <c r="N34" s="861"/>
      <c r="O34" s="862" t="e">
        <f t="shared" si="12"/>
        <v>#DIV/0!</v>
      </c>
      <c r="P34" s="862" t="e">
        <f t="shared" si="13"/>
        <v>#DIV/0!</v>
      </c>
      <c r="Q34" s="862" t="e">
        <f t="shared" si="14"/>
        <v>#DIV/0!</v>
      </c>
      <c r="R34" s="863" t="e">
        <f t="shared" si="15"/>
        <v>#DIV/0!</v>
      </c>
      <c r="S34" s="864" t="e">
        <f t="shared" si="16"/>
        <v>#DIV/0!</v>
      </c>
      <c r="T34" s="864" t="e">
        <f t="shared" si="17"/>
        <v>#DIV/0!</v>
      </c>
      <c r="U34" s="864" t="e">
        <f t="shared" si="18"/>
        <v>#DIV/0!</v>
      </c>
      <c r="V34" s="865" t="e">
        <f t="shared" si="19"/>
        <v>#DIV/0!</v>
      </c>
      <c r="W34" s="865" t="e">
        <f t="shared" si="20"/>
        <v>#DIV/0!</v>
      </c>
      <c r="X34" s="427" t="s">
        <v>1443</v>
      </c>
      <c r="Y34" s="427"/>
      <c r="Z34" s="443" t="s">
        <v>106</v>
      </c>
      <c r="AA34" s="427"/>
      <c r="AB34" s="427" t="s">
        <v>1443</v>
      </c>
      <c r="AC34" s="837" t="str">
        <f t="shared" si="21"/>
        <v>Comp 25</v>
      </c>
      <c r="AD34" s="855" t="e">
        <f t="shared" si="22"/>
        <v>#DIV/0!</v>
      </c>
      <c r="AE34" s="839"/>
      <c r="AF34" s="839"/>
      <c r="AG34" s="427" t="s">
        <v>1443</v>
      </c>
      <c r="AH34" s="427" t="s">
        <v>1443</v>
      </c>
    </row>
    <row r="35" spans="2:34" s="232" customFormat="1" ht="12" outlineLevel="1" thickBot="1">
      <c r="C35" s="844">
        <f t="shared" si="11"/>
        <v>26</v>
      </c>
      <c r="D35" s="857" t="str">
        <f>'GPC Data'!E319</f>
        <v>Comp 26</v>
      </c>
      <c r="E35" s="858">
        <f>'GPC Data'!P47</f>
        <v>0</v>
      </c>
      <c r="F35" s="859">
        <f>'GPC Data'!F149</f>
        <v>0</v>
      </c>
      <c r="G35" s="859">
        <f>'GPC Data'!G149</f>
        <v>0</v>
      </c>
      <c r="H35" s="859">
        <f>'GPC Data'!H149</f>
        <v>0</v>
      </c>
      <c r="I35" s="859">
        <f>'GPC Data'!I149</f>
        <v>0</v>
      </c>
      <c r="J35" s="859">
        <f>'GPC Data'!J149</f>
        <v>0</v>
      </c>
      <c r="K35" s="860">
        <f>'GPC Data'!K149</f>
        <v>0</v>
      </c>
      <c r="L35" s="860">
        <f>'GPC Data'!L149</f>
        <v>0</v>
      </c>
      <c r="M35" s="860">
        <f>'GPC Data'!M149</f>
        <v>0</v>
      </c>
      <c r="N35" s="861"/>
      <c r="O35" s="862" t="e">
        <f t="shared" si="12"/>
        <v>#DIV/0!</v>
      </c>
      <c r="P35" s="862" t="e">
        <f t="shared" si="13"/>
        <v>#DIV/0!</v>
      </c>
      <c r="Q35" s="862" t="e">
        <f t="shared" si="14"/>
        <v>#DIV/0!</v>
      </c>
      <c r="R35" s="863" t="e">
        <f t="shared" si="15"/>
        <v>#DIV/0!</v>
      </c>
      <c r="S35" s="864" t="e">
        <f t="shared" si="16"/>
        <v>#DIV/0!</v>
      </c>
      <c r="T35" s="864" t="e">
        <f t="shared" si="17"/>
        <v>#DIV/0!</v>
      </c>
      <c r="U35" s="864" t="e">
        <f t="shared" si="18"/>
        <v>#DIV/0!</v>
      </c>
      <c r="V35" s="865" t="e">
        <f t="shared" si="19"/>
        <v>#DIV/0!</v>
      </c>
      <c r="W35" s="865" t="e">
        <f t="shared" si="20"/>
        <v>#DIV/0!</v>
      </c>
      <c r="X35" s="427" t="s">
        <v>1443</v>
      </c>
      <c r="Y35" s="427"/>
      <c r="Z35" s="443" t="s">
        <v>106</v>
      </c>
      <c r="AA35" s="427"/>
      <c r="AB35" s="427" t="s">
        <v>1443</v>
      </c>
      <c r="AC35" s="837" t="str">
        <f t="shared" si="21"/>
        <v>Comp 26</v>
      </c>
      <c r="AD35" s="855" t="e">
        <f t="shared" si="22"/>
        <v>#DIV/0!</v>
      </c>
      <c r="AE35" s="839"/>
      <c r="AF35" s="839"/>
      <c r="AG35" s="427" t="s">
        <v>1443</v>
      </c>
      <c r="AH35" s="427" t="s">
        <v>1443</v>
      </c>
    </row>
    <row r="36" spans="2:34" s="232" customFormat="1" ht="12" outlineLevel="1" thickBot="1">
      <c r="C36" s="844">
        <f t="shared" si="11"/>
        <v>27</v>
      </c>
      <c r="D36" s="857" t="str">
        <f>'GPC Data'!E320</f>
        <v>Comp 27</v>
      </c>
      <c r="E36" s="858">
        <f>'GPC Data'!P48</f>
        <v>0</v>
      </c>
      <c r="F36" s="859">
        <f>'GPC Data'!F150</f>
        <v>0</v>
      </c>
      <c r="G36" s="859">
        <f>'GPC Data'!G150</f>
        <v>0</v>
      </c>
      <c r="H36" s="859">
        <f>'GPC Data'!H150</f>
        <v>0</v>
      </c>
      <c r="I36" s="859">
        <f>'GPC Data'!I150</f>
        <v>0</v>
      </c>
      <c r="J36" s="859">
        <f>'GPC Data'!J150</f>
        <v>0</v>
      </c>
      <c r="K36" s="860">
        <f>'GPC Data'!K150</f>
        <v>0</v>
      </c>
      <c r="L36" s="860">
        <f>'GPC Data'!L150</f>
        <v>0</v>
      </c>
      <c r="M36" s="860">
        <f>'GPC Data'!M150</f>
        <v>0</v>
      </c>
      <c r="N36" s="861"/>
      <c r="O36" s="862" t="e">
        <f t="shared" si="12"/>
        <v>#DIV/0!</v>
      </c>
      <c r="P36" s="862" t="e">
        <f t="shared" si="13"/>
        <v>#DIV/0!</v>
      </c>
      <c r="Q36" s="862" t="e">
        <f t="shared" si="14"/>
        <v>#DIV/0!</v>
      </c>
      <c r="R36" s="863" t="e">
        <f t="shared" si="15"/>
        <v>#DIV/0!</v>
      </c>
      <c r="S36" s="864" t="e">
        <f t="shared" si="16"/>
        <v>#DIV/0!</v>
      </c>
      <c r="T36" s="864" t="e">
        <f t="shared" si="17"/>
        <v>#DIV/0!</v>
      </c>
      <c r="U36" s="864" t="e">
        <f t="shared" si="18"/>
        <v>#DIV/0!</v>
      </c>
      <c r="V36" s="865" t="e">
        <f t="shared" si="19"/>
        <v>#DIV/0!</v>
      </c>
      <c r="W36" s="865" t="e">
        <f t="shared" si="20"/>
        <v>#DIV/0!</v>
      </c>
      <c r="X36" s="427" t="s">
        <v>1443</v>
      </c>
      <c r="Y36" s="427"/>
      <c r="Z36" s="443" t="s">
        <v>106</v>
      </c>
      <c r="AA36" s="427"/>
      <c r="AB36" s="427" t="s">
        <v>1443</v>
      </c>
      <c r="AC36" s="837" t="str">
        <f t="shared" si="21"/>
        <v>Comp 27</v>
      </c>
      <c r="AD36" s="855" t="e">
        <f t="shared" si="22"/>
        <v>#DIV/0!</v>
      </c>
      <c r="AE36" s="839"/>
      <c r="AF36" s="839"/>
      <c r="AG36" s="427" t="s">
        <v>1443</v>
      </c>
      <c r="AH36" s="427" t="s">
        <v>1443</v>
      </c>
    </row>
    <row r="37" spans="2:34" s="232" customFormat="1" ht="12" outlineLevel="1" thickBot="1">
      <c r="C37" s="844">
        <f t="shared" si="11"/>
        <v>28</v>
      </c>
      <c r="D37" s="857" t="str">
        <f>'GPC Data'!E321</f>
        <v>Comp 28</v>
      </c>
      <c r="E37" s="858">
        <f>'GPC Data'!P49</f>
        <v>0</v>
      </c>
      <c r="F37" s="859">
        <f>'GPC Data'!F151</f>
        <v>0</v>
      </c>
      <c r="G37" s="859">
        <f>'GPC Data'!G151</f>
        <v>0</v>
      </c>
      <c r="H37" s="859">
        <f>'GPC Data'!H151</f>
        <v>0</v>
      </c>
      <c r="I37" s="859">
        <f>'GPC Data'!I151</f>
        <v>0</v>
      </c>
      <c r="J37" s="859">
        <f>'GPC Data'!J151</f>
        <v>0</v>
      </c>
      <c r="K37" s="860">
        <f>'GPC Data'!K151</f>
        <v>0</v>
      </c>
      <c r="L37" s="860">
        <f>'GPC Data'!L151</f>
        <v>0</v>
      </c>
      <c r="M37" s="860">
        <f>'GPC Data'!M151</f>
        <v>0</v>
      </c>
      <c r="N37" s="861"/>
      <c r="O37" s="862" t="e">
        <f t="shared" si="12"/>
        <v>#DIV/0!</v>
      </c>
      <c r="P37" s="862" t="e">
        <f t="shared" si="13"/>
        <v>#DIV/0!</v>
      </c>
      <c r="Q37" s="862" t="e">
        <f t="shared" si="14"/>
        <v>#DIV/0!</v>
      </c>
      <c r="R37" s="863" t="e">
        <f t="shared" si="15"/>
        <v>#DIV/0!</v>
      </c>
      <c r="S37" s="864" t="e">
        <f t="shared" si="16"/>
        <v>#DIV/0!</v>
      </c>
      <c r="T37" s="864" t="e">
        <f t="shared" si="17"/>
        <v>#DIV/0!</v>
      </c>
      <c r="U37" s="864" t="e">
        <f t="shared" si="18"/>
        <v>#DIV/0!</v>
      </c>
      <c r="V37" s="865" t="e">
        <f t="shared" si="19"/>
        <v>#DIV/0!</v>
      </c>
      <c r="W37" s="865" t="e">
        <f t="shared" si="20"/>
        <v>#DIV/0!</v>
      </c>
      <c r="X37" s="427" t="s">
        <v>1443</v>
      </c>
      <c r="Y37" s="427"/>
      <c r="Z37" s="443" t="s">
        <v>106</v>
      </c>
      <c r="AA37" s="427"/>
      <c r="AB37" s="427" t="s">
        <v>1443</v>
      </c>
      <c r="AC37" s="837" t="str">
        <f t="shared" si="21"/>
        <v>Comp 28</v>
      </c>
      <c r="AD37" s="855" t="e">
        <f t="shared" si="22"/>
        <v>#DIV/0!</v>
      </c>
      <c r="AE37" s="839"/>
      <c r="AF37" s="839"/>
      <c r="AG37" s="427" t="s">
        <v>1443</v>
      </c>
      <c r="AH37" s="427" t="s">
        <v>1443</v>
      </c>
    </row>
    <row r="38" spans="2:34" s="232" customFormat="1" ht="12" outlineLevel="1" thickBot="1">
      <c r="C38" s="844">
        <f t="shared" si="11"/>
        <v>29</v>
      </c>
      <c r="D38" s="857" t="str">
        <f>'GPC Data'!E322</f>
        <v>Comp 29</v>
      </c>
      <c r="E38" s="858">
        <f>'GPC Data'!P50</f>
        <v>0</v>
      </c>
      <c r="F38" s="859">
        <f>'GPC Data'!F152</f>
        <v>0</v>
      </c>
      <c r="G38" s="859">
        <f>'GPC Data'!G152</f>
        <v>0</v>
      </c>
      <c r="H38" s="859">
        <f>'GPC Data'!H152</f>
        <v>0</v>
      </c>
      <c r="I38" s="859">
        <f>'GPC Data'!I152</f>
        <v>0</v>
      </c>
      <c r="J38" s="859">
        <f>'GPC Data'!J152</f>
        <v>0</v>
      </c>
      <c r="K38" s="860">
        <f>'GPC Data'!K152</f>
        <v>0</v>
      </c>
      <c r="L38" s="860">
        <f>'GPC Data'!L152</f>
        <v>0</v>
      </c>
      <c r="M38" s="860">
        <f>'GPC Data'!M152</f>
        <v>0</v>
      </c>
      <c r="N38" s="861"/>
      <c r="O38" s="862" t="e">
        <f t="shared" si="12"/>
        <v>#DIV/0!</v>
      </c>
      <c r="P38" s="862" t="e">
        <f t="shared" si="13"/>
        <v>#DIV/0!</v>
      </c>
      <c r="Q38" s="862" t="e">
        <f t="shared" si="14"/>
        <v>#DIV/0!</v>
      </c>
      <c r="R38" s="863" t="e">
        <f t="shared" si="15"/>
        <v>#DIV/0!</v>
      </c>
      <c r="S38" s="864" t="e">
        <f t="shared" si="16"/>
        <v>#DIV/0!</v>
      </c>
      <c r="T38" s="864" t="e">
        <f t="shared" si="17"/>
        <v>#DIV/0!</v>
      </c>
      <c r="U38" s="864" t="e">
        <f t="shared" si="18"/>
        <v>#DIV/0!</v>
      </c>
      <c r="V38" s="865" t="e">
        <f t="shared" si="19"/>
        <v>#DIV/0!</v>
      </c>
      <c r="W38" s="865" t="e">
        <f t="shared" si="20"/>
        <v>#DIV/0!</v>
      </c>
      <c r="X38" s="427" t="s">
        <v>1443</v>
      </c>
      <c r="Y38" s="427"/>
      <c r="Z38" s="443" t="s">
        <v>106</v>
      </c>
      <c r="AA38" s="427"/>
      <c r="AB38" s="427" t="s">
        <v>1443</v>
      </c>
      <c r="AC38" s="837" t="str">
        <f t="shared" si="21"/>
        <v>Comp 29</v>
      </c>
      <c r="AD38" s="855" t="e">
        <f t="shared" si="22"/>
        <v>#DIV/0!</v>
      </c>
      <c r="AE38" s="839"/>
      <c r="AF38" s="839"/>
      <c r="AG38" s="427" t="s">
        <v>1443</v>
      </c>
      <c r="AH38" s="427" t="s">
        <v>1443</v>
      </c>
    </row>
    <row r="39" spans="2:34" s="232" customFormat="1" ht="12" outlineLevel="1" thickBot="1">
      <c r="C39" s="844">
        <f>C18+1</f>
        <v>10</v>
      </c>
      <c r="D39" s="857" t="str">
        <f>'GPC Data'!E323</f>
        <v>Comp 30</v>
      </c>
      <c r="E39" s="858">
        <f>'GPC Data'!P51</f>
        <v>0</v>
      </c>
      <c r="F39" s="859">
        <f>'GPC Data'!F153</f>
        <v>0</v>
      </c>
      <c r="G39" s="859">
        <f>'GPC Data'!G153</f>
        <v>0</v>
      </c>
      <c r="H39" s="859">
        <f>'GPC Data'!H153</f>
        <v>0</v>
      </c>
      <c r="I39" s="859">
        <f>'GPC Data'!I153</f>
        <v>0</v>
      </c>
      <c r="J39" s="859">
        <f>'GPC Data'!J153</f>
        <v>0</v>
      </c>
      <c r="K39" s="860">
        <f>'GPC Data'!K153</f>
        <v>0</v>
      </c>
      <c r="L39" s="860">
        <f>'GPC Data'!L153</f>
        <v>0</v>
      </c>
      <c r="M39" s="860">
        <f>'GPC Data'!M153</f>
        <v>0</v>
      </c>
      <c r="N39" s="861"/>
      <c r="O39" s="862" t="e">
        <f>G39/F39-1</f>
        <v>#DIV/0!</v>
      </c>
      <c r="P39" s="862" t="e">
        <f>H39/G39-1</f>
        <v>#DIV/0!</v>
      </c>
      <c r="Q39" s="862" t="e">
        <f>I39/H39-1</f>
        <v>#DIV/0!</v>
      </c>
      <c r="R39" s="863" t="e">
        <f>(I39/F39)^(1/3)-1</f>
        <v>#DIV/0!</v>
      </c>
      <c r="S39" s="864" t="e">
        <f>K39/I39-1</f>
        <v>#DIV/0!</v>
      </c>
      <c r="T39" s="864" t="e">
        <f>L39/J39-1</f>
        <v>#DIV/0!</v>
      </c>
      <c r="U39" s="864" t="e">
        <f>M39/K39-1</f>
        <v>#DIV/0!</v>
      </c>
      <c r="V39" s="865" t="e">
        <f>(U39/S39)^(1/2)-1</f>
        <v>#DIV/0!</v>
      </c>
      <c r="W39" s="865" t="e">
        <f>(U39/I39)^(1/3)-1</f>
        <v>#DIV/0!</v>
      </c>
      <c r="X39" s="427" t="s">
        <v>1443</v>
      </c>
      <c r="Y39" s="427"/>
      <c r="Z39" s="443" t="s">
        <v>106</v>
      </c>
      <c r="AA39" s="427"/>
      <c r="AB39" s="427" t="s">
        <v>1443</v>
      </c>
      <c r="AC39" s="837" t="str">
        <f>D39</f>
        <v>Comp 30</v>
      </c>
      <c r="AD39" s="855" t="e">
        <f>V39</f>
        <v>#DIV/0!</v>
      </c>
      <c r="AE39" s="839"/>
      <c r="AF39" s="839"/>
      <c r="AG39" s="427" t="s">
        <v>1443</v>
      </c>
      <c r="AH39" s="427" t="s">
        <v>1443</v>
      </c>
    </row>
    <row r="40" spans="2:34">
      <c r="B40" s="232"/>
      <c r="D40" s="866" t="str">
        <f>"As of "&amp;TEXT(valuation.date,"d mmmm yyy")&amp;"."&amp;" Historical and forecast consensus financial statements for the selected guideline public companies provided by EIKON."</f>
        <v>As of 30 September 2024. Historical and forecast consensus financial statements for the selected guideline public companies provided by EIKON.</v>
      </c>
      <c r="E40" s="867"/>
      <c r="F40" s="867"/>
      <c r="G40" s="867"/>
      <c r="H40" s="867"/>
      <c r="I40" s="867"/>
      <c r="J40" s="867"/>
      <c r="K40" s="867"/>
      <c r="L40" s="867"/>
      <c r="M40" s="867"/>
      <c r="N40" s="867"/>
      <c r="O40" s="867"/>
      <c r="P40" s="867"/>
      <c r="Q40" s="867"/>
      <c r="R40" s="867"/>
      <c r="S40" s="867"/>
      <c r="T40" s="867"/>
      <c r="U40" s="867"/>
      <c r="V40" s="867"/>
      <c r="W40" s="867"/>
      <c r="X40" s="867"/>
      <c r="Y40" s="868"/>
      <c r="Z40" s="868"/>
      <c r="AA40" s="867"/>
      <c r="AB40" s="867"/>
      <c r="AG40" s="867"/>
      <c r="AH40" s="867"/>
    </row>
    <row r="41" spans="2:34">
      <c r="B41" s="232"/>
      <c r="D41" s="869"/>
      <c r="E41" s="867"/>
      <c r="F41" s="867"/>
      <c r="G41" s="867"/>
      <c r="H41" s="867"/>
      <c r="I41" s="867"/>
      <c r="J41" s="867"/>
      <c r="K41" s="867"/>
      <c r="L41" s="867"/>
      <c r="M41" s="867"/>
      <c r="N41" s="867"/>
      <c r="O41" s="867"/>
      <c r="P41" s="867"/>
      <c r="Q41" s="867"/>
      <c r="R41" s="867"/>
      <c r="S41" s="867"/>
      <c r="T41" s="867"/>
      <c r="U41" s="867"/>
      <c r="V41" s="867"/>
      <c r="W41" s="867"/>
      <c r="X41" s="867"/>
      <c r="Y41" s="868"/>
      <c r="Z41" s="868"/>
      <c r="AA41" s="867"/>
      <c r="AB41" s="867"/>
      <c r="AG41" s="867"/>
      <c r="AH41" s="867"/>
    </row>
    <row r="42" spans="2:34">
      <c r="D42" s="868"/>
      <c r="E42" s="870" t="s">
        <v>209</v>
      </c>
      <c r="F42" s="870"/>
      <c r="G42" s="870"/>
      <c r="H42" s="870"/>
      <c r="I42" s="870"/>
      <c r="J42" s="870"/>
      <c r="K42" s="870"/>
      <c r="L42" s="762"/>
      <c r="M42" s="762"/>
      <c r="N42" s="871">
        <f t="shared" ref="N42:W42" si="23">MAX(N10:N39)</f>
        <v>0</v>
      </c>
      <c r="O42" s="872" t="e">
        <f t="shared" si="23"/>
        <v>#DIV/0!</v>
      </c>
      <c r="P42" s="872" t="e">
        <f t="shared" si="23"/>
        <v>#DIV/0!</v>
      </c>
      <c r="Q42" s="872" t="e">
        <f>MAX(Q10:Q39)</f>
        <v>#DIV/0!</v>
      </c>
      <c r="R42" s="872" t="e">
        <f t="shared" si="23"/>
        <v>#DIV/0!</v>
      </c>
      <c r="S42" s="873" t="e">
        <f t="shared" si="23"/>
        <v>#DIV/0!</v>
      </c>
      <c r="T42" s="873" t="e">
        <f t="shared" si="23"/>
        <v>#DIV/0!</v>
      </c>
      <c r="U42" s="873" t="e">
        <f t="shared" si="23"/>
        <v>#DIV/0!</v>
      </c>
      <c r="V42" s="873" t="e">
        <f t="shared" si="23"/>
        <v>#DIV/0!</v>
      </c>
      <c r="W42" s="873" t="e">
        <f t="shared" si="23"/>
        <v>#DIV/0!</v>
      </c>
      <c r="X42" s="867"/>
      <c r="Y42" s="868"/>
      <c r="Z42" s="868"/>
      <c r="AA42" s="867"/>
      <c r="AB42" s="867" t="s">
        <v>1443</v>
      </c>
      <c r="AC42" s="867" t="s">
        <v>1443</v>
      </c>
      <c r="AD42" s="867" t="s">
        <v>1443</v>
      </c>
      <c r="AE42" s="867" t="s">
        <v>1443</v>
      </c>
      <c r="AF42" s="867" t="s">
        <v>1443</v>
      </c>
      <c r="AG42" s="867" t="s">
        <v>1443</v>
      </c>
      <c r="AH42" s="867" t="s">
        <v>1443</v>
      </c>
    </row>
    <row r="43" spans="2:34">
      <c r="D43" s="868"/>
      <c r="E43" s="874" t="s">
        <v>1419</v>
      </c>
      <c r="F43" s="874"/>
      <c r="G43" s="874"/>
      <c r="H43" s="874"/>
      <c r="I43" s="874"/>
      <c r="J43" s="874"/>
      <c r="K43" s="874"/>
      <c r="L43" s="251"/>
      <c r="M43" s="251"/>
      <c r="N43" s="875" t="e">
        <f t="shared" ref="N43:W43" si="24">PERCENTILE(N10:N39,0.75)</f>
        <v>#NUM!</v>
      </c>
      <c r="O43" s="876" t="e">
        <f t="shared" si="24"/>
        <v>#DIV/0!</v>
      </c>
      <c r="P43" s="876" t="e">
        <f t="shared" si="24"/>
        <v>#DIV/0!</v>
      </c>
      <c r="Q43" s="876" t="e">
        <f t="shared" si="24"/>
        <v>#DIV/0!</v>
      </c>
      <c r="R43" s="876" t="e">
        <f t="shared" si="24"/>
        <v>#DIV/0!</v>
      </c>
      <c r="S43" s="877" t="e">
        <f t="shared" si="24"/>
        <v>#DIV/0!</v>
      </c>
      <c r="T43" s="877" t="e">
        <f t="shared" si="24"/>
        <v>#DIV/0!</v>
      </c>
      <c r="U43" s="877" t="e">
        <f t="shared" si="24"/>
        <v>#DIV/0!</v>
      </c>
      <c r="V43" s="877" t="e">
        <f>PERCENTILE(V10:V39,0.75)</f>
        <v>#DIV/0!</v>
      </c>
      <c r="W43" s="877" t="e">
        <f t="shared" si="24"/>
        <v>#DIV/0!</v>
      </c>
      <c r="X43" s="867"/>
      <c r="Y43" s="868"/>
      <c r="Z43" s="868"/>
      <c r="AA43" s="867"/>
      <c r="AB43" s="867"/>
      <c r="AC43" s="867"/>
      <c r="AD43" s="867"/>
      <c r="AE43" s="867"/>
      <c r="AF43" s="867"/>
      <c r="AG43" s="867"/>
      <c r="AH43" s="867"/>
    </row>
    <row r="44" spans="2:34">
      <c r="D44" s="868"/>
      <c r="E44" s="874" t="s">
        <v>1369</v>
      </c>
      <c r="F44" s="874"/>
      <c r="G44" s="874"/>
      <c r="H44" s="874"/>
      <c r="I44" s="874"/>
      <c r="J44" s="874"/>
      <c r="K44" s="874"/>
      <c r="L44" s="251"/>
      <c r="M44" s="251"/>
      <c r="N44" s="875" t="e">
        <f t="shared" ref="N44:W44" si="25">AVERAGE(N10:N39)</f>
        <v>#DIV/0!</v>
      </c>
      <c r="O44" s="876" t="e">
        <f t="shared" si="25"/>
        <v>#DIV/0!</v>
      </c>
      <c r="P44" s="876" t="e">
        <f t="shared" si="25"/>
        <v>#DIV/0!</v>
      </c>
      <c r="Q44" s="876" t="e">
        <f t="shared" si="25"/>
        <v>#DIV/0!</v>
      </c>
      <c r="R44" s="876" t="e">
        <f t="shared" si="25"/>
        <v>#DIV/0!</v>
      </c>
      <c r="S44" s="877" t="e">
        <f t="shared" si="25"/>
        <v>#DIV/0!</v>
      </c>
      <c r="T44" s="877" t="e">
        <f t="shared" si="25"/>
        <v>#DIV/0!</v>
      </c>
      <c r="U44" s="877" t="e">
        <f t="shared" si="25"/>
        <v>#DIV/0!</v>
      </c>
      <c r="V44" s="877" t="e">
        <f t="shared" si="25"/>
        <v>#DIV/0!</v>
      </c>
      <c r="W44" s="877" t="e">
        <f t="shared" si="25"/>
        <v>#DIV/0!</v>
      </c>
      <c r="X44" s="868" t="s">
        <v>1443</v>
      </c>
      <c r="Y44" s="868"/>
      <c r="Z44" s="868"/>
      <c r="AA44" s="868"/>
      <c r="AB44" s="868" t="s">
        <v>1443</v>
      </c>
      <c r="AC44" s="868" t="s">
        <v>1443</v>
      </c>
      <c r="AD44" s="868" t="s">
        <v>1443</v>
      </c>
      <c r="AE44" s="868" t="s">
        <v>1443</v>
      </c>
      <c r="AF44" s="868" t="s">
        <v>1443</v>
      </c>
      <c r="AG44" s="868" t="s">
        <v>1443</v>
      </c>
      <c r="AH44" s="868" t="s">
        <v>1443</v>
      </c>
    </row>
    <row r="45" spans="2:34" ht="13.5">
      <c r="D45" s="878"/>
      <c r="E45" s="879" t="s">
        <v>1370</v>
      </c>
      <c r="F45" s="880"/>
      <c r="G45" s="880"/>
      <c r="H45" s="880"/>
      <c r="I45" s="880"/>
      <c r="J45" s="880"/>
      <c r="K45" s="880"/>
      <c r="L45" s="239"/>
      <c r="M45" s="239"/>
      <c r="N45" s="881" t="e">
        <f t="shared" ref="N45:W45" si="26">MEDIAN(N10:N39)</f>
        <v>#NUM!</v>
      </c>
      <c r="O45" s="877" t="e">
        <f t="shared" si="26"/>
        <v>#DIV/0!</v>
      </c>
      <c r="P45" s="877" t="e">
        <f t="shared" si="26"/>
        <v>#DIV/0!</v>
      </c>
      <c r="Q45" s="877" t="e">
        <f t="shared" si="26"/>
        <v>#DIV/0!</v>
      </c>
      <c r="R45" s="877" t="e">
        <f t="shared" si="26"/>
        <v>#DIV/0!</v>
      </c>
      <c r="S45" s="877" t="e">
        <f t="shared" si="26"/>
        <v>#DIV/0!</v>
      </c>
      <c r="T45" s="877" t="e">
        <f t="shared" si="26"/>
        <v>#DIV/0!</v>
      </c>
      <c r="U45" s="877" t="e">
        <f t="shared" si="26"/>
        <v>#DIV/0!</v>
      </c>
      <c r="V45" s="877" t="e">
        <f t="shared" si="26"/>
        <v>#DIV/0!</v>
      </c>
      <c r="W45" s="877" t="e">
        <f t="shared" si="26"/>
        <v>#DIV/0!</v>
      </c>
      <c r="X45" s="882" t="s">
        <v>1443</v>
      </c>
      <c r="Y45" s="868"/>
      <c r="Z45" s="868"/>
      <c r="AA45" s="882"/>
      <c r="AB45" s="882" t="s">
        <v>1443</v>
      </c>
      <c r="AC45" s="882" t="s">
        <v>1443</v>
      </c>
      <c r="AD45" s="882"/>
      <c r="AE45" s="882" t="s">
        <v>1443</v>
      </c>
      <c r="AF45" s="882" t="s">
        <v>1443</v>
      </c>
      <c r="AG45" s="882" t="s">
        <v>1443</v>
      </c>
      <c r="AH45" s="882" t="s">
        <v>1443</v>
      </c>
    </row>
    <row r="46" spans="2:34" ht="13.5">
      <c r="D46" s="878"/>
      <c r="E46" s="874" t="s">
        <v>1420</v>
      </c>
      <c r="F46" s="883"/>
      <c r="G46" s="883"/>
      <c r="H46" s="883"/>
      <c r="I46" s="883"/>
      <c r="J46" s="883"/>
      <c r="K46" s="883"/>
      <c r="L46" s="251"/>
      <c r="M46" s="251"/>
      <c r="N46" s="875" t="e">
        <f t="shared" ref="N46:W46" si="27">PERCENTILE(N10:N39,0.25)</f>
        <v>#NUM!</v>
      </c>
      <c r="O46" s="876" t="e">
        <f t="shared" si="27"/>
        <v>#DIV/0!</v>
      </c>
      <c r="P46" s="876" t="e">
        <f t="shared" si="27"/>
        <v>#DIV/0!</v>
      </c>
      <c r="Q46" s="876" t="e">
        <f t="shared" si="27"/>
        <v>#DIV/0!</v>
      </c>
      <c r="R46" s="876" t="e">
        <f t="shared" si="27"/>
        <v>#DIV/0!</v>
      </c>
      <c r="S46" s="877" t="e">
        <f t="shared" si="27"/>
        <v>#DIV/0!</v>
      </c>
      <c r="T46" s="877" t="e">
        <f t="shared" si="27"/>
        <v>#DIV/0!</v>
      </c>
      <c r="U46" s="877" t="e">
        <f t="shared" si="27"/>
        <v>#DIV/0!</v>
      </c>
      <c r="V46" s="877" t="e">
        <f t="shared" si="27"/>
        <v>#DIV/0!</v>
      </c>
      <c r="W46" s="877" t="e">
        <f t="shared" si="27"/>
        <v>#DIV/0!</v>
      </c>
      <c r="X46" s="882"/>
      <c r="Y46" s="868"/>
      <c r="Z46" s="868"/>
      <c r="AA46" s="882"/>
      <c r="AB46" s="882"/>
      <c r="AC46" s="882"/>
      <c r="AD46" s="882"/>
      <c r="AE46" s="882"/>
      <c r="AF46" s="882"/>
      <c r="AG46" s="882"/>
      <c r="AH46" s="882"/>
    </row>
    <row r="47" spans="2:34">
      <c r="D47" s="868"/>
      <c r="E47" s="884" t="s">
        <v>208</v>
      </c>
      <c r="F47" s="884"/>
      <c r="G47" s="884"/>
      <c r="H47" s="884"/>
      <c r="I47" s="884"/>
      <c r="J47" s="884"/>
      <c r="K47" s="884"/>
      <c r="L47" s="487"/>
      <c r="M47" s="487"/>
      <c r="N47" s="885">
        <f t="shared" ref="N47:W47" si="28">MIN(N10:N39)</f>
        <v>0</v>
      </c>
      <c r="O47" s="886" t="e">
        <f t="shared" si="28"/>
        <v>#DIV/0!</v>
      </c>
      <c r="P47" s="886" t="e">
        <f t="shared" si="28"/>
        <v>#DIV/0!</v>
      </c>
      <c r="Q47" s="886" t="e">
        <f t="shared" si="28"/>
        <v>#DIV/0!</v>
      </c>
      <c r="R47" s="886" t="e">
        <f t="shared" si="28"/>
        <v>#DIV/0!</v>
      </c>
      <c r="S47" s="887" t="e">
        <f t="shared" si="28"/>
        <v>#DIV/0!</v>
      </c>
      <c r="T47" s="887" t="e">
        <f t="shared" si="28"/>
        <v>#DIV/0!</v>
      </c>
      <c r="U47" s="887" t="e">
        <f t="shared" si="28"/>
        <v>#DIV/0!</v>
      </c>
      <c r="V47" s="887" t="e">
        <f t="shared" si="28"/>
        <v>#DIV/0!</v>
      </c>
      <c r="W47" s="887" t="e">
        <f t="shared" si="28"/>
        <v>#DIV/0!</v>
      </c>
      <c r="X47" s="868" t="s">
        <v>1443</v>
      </c>
      <c r="Y47" s="868"/>
      <c r="Z47" s="868"/>
      <c r="AA47" s="868"/>
      <c r="AB47" s="868"/>
      <c r="AC47" s="868" t="s">
        <v>1443</v>
      </c>
      <c r="AD47" s="868" t="s">
        <v>1443</v>
      </c>
      <c r="AE47" s="868" t="s">
        <v>1443</v>
      </c>
      <c r="AF47" s="868" t="s">
        <v>1443</v>
      </c>
      <c r="AG47" s="868" t="s">
        <v>1443</v>
      </c>
      <c r="AH47" s="868" t="s">
        <v>1443</v>
      </c>
    </row>
    <row r="48" spans="2:34">
      <c r="D48" s="868"/>
      <c r="E48" s="466" t="s">
        <v>1371</v>
      </c>
      <c r="F48" s="868"/>
      <c r="G48" s="868"/>
      <c r="H48" s="868"/>
      <c r="I48" s="868"/>
      <c r="J48" s="868"/>
      <c r="K48" s="868"/>
      <c r="N48" s="811"/>
      <c r="O48" s="811"/>
      <c r="P48" s="811"/>
      <c r="Q48" s="811"/>
      <c r="R48" s="811"/>
      <c r="S48" s="811"/>
      <c r="T48" s="811"/>
      <c r="U48" s="811"/>
      <c r="V48" s="811"/>
      <c r="W48" s="811"/>
      <c r="X48" s="868"/>
      <c r="Y48" s="868"/>
      <c r="Z48" s="868"/>
      <c r="AA48" s="868"/>
      <c r="AB48" s="868"/>
      <c r="AC48" s="868"/>
      <c r="AD48" s="868"/>
      <c r="AE48" s="868"/>
      <c r="AF48" s="868"/>
      <c r="AG48" s="868"/>
      <c r="AH48" s="868"/>
    </row>
    <row r="49" spans="2:37">
      <c r="D49" s="868"/>
      <c r="E49" s="870" t="s">
        <v>209</v>
      </c>
      <c r="F49" s="870"/>
      <c r="G49" s="870"/>
      <c r="H49" s="870"/>
      <c r="I49" s="870"/>
      <c r="J49" s="870"/>
      <c r="K49" s="870"/>
      <c r="L49" s="762"/>
      <c r="M49" s="762"/>
      <c r="N49" s="871">
        <f t="array" ref="N49">IFERROR(MAX(IF($Z$10:$Z$39="No",N10:N39)),"")</f>
        <v>0</v>
      </c>
      <c r="O49" s="872" t="str" cm="1">
        <f t="array" ref="O49">IFERROR(MAX(IF($Z$10:$Z$39="No",O10:O39)),"")</f>
        <v/>
      </c>
      <c r="P49" s="872" t="str">
        <f t="array" ref="P49">IFERROR(MAX(IF($Z$10:$Z$39="No",P10:P39)),"")</f>
        <v/>
      </c>
      <c r="Q49" s="872" t="str">
        <f t="array" ref="Q49">IFERROR(MAX(IF($Z$10:$Z$39="No",Q10:Q39)),"")</f>
        <v/>
      </c>
      <c r="R49" s="872" t="str">
        <f t="array" ref="R49">IFERROR(MAX(IF($Z$10:$Z$39="No",R10:R39)),"")</f>
        <v/>
      </c>
      <c r="S49" s="873" t="str">
        <f t="array" ref="S49">IFERROR(MAX(IF($Z$10:$Z$39="No",S10:S39)),"")</f>
        <v/>
      </c>
      <c r="T49" s="873" t="str">
        <f t="array" ref="T49">IFERROR(MAX(IF($Z$10:$Z$39="No",T10:T39)),"")</f>
        <v/>
      </c>
      <c r="U49" s="873" t="str">
        <f t="array" ref="U49">IFERROR(MAX(IF($Z$10:$Z$39="No",U10:U39)),"")</f>
        <v/>
      </c>
      <c r="V49" s="873" t="str">
        <f t="array" ref="V49">IFERROR(MAX(IF($Z$10:$Z$39="No",V10:V39)),"")</f>
        <v/>
      </c>
      <c r="W49" s="873" t="str">
        <f t="array" ref="W49">IFERROR(MAX(IF($Z$10:$Z$39="No",W10:W39)),"")</f>
        <v/>
      </c>
      <c r="X49" s="868"/>
      <c r="Y49" s="868"/>
      <c r="Z49" s="868"/>
      <c r="AA49" s="868"/>
      <c r="AB49" s="868"/>
      <c r="AC49" s="868"/>
      <c r="AD49" s="868"/>
      <c r="AE49" s="868"/>
      <c r="AF49" s="868"/>
      <c r="AG49" s="868"/>
      <c r="AH49" s="868"/>
    </row>
    <row r="50" spans="2:37">
      <c r="D50" s="868"/>
      <c r="E50" s="874" t="s">
        <v>1419</v>
      </c>
      <c r="F50" s="874"/>
      <c r="G50" s="874"/>
      <c r="H50" s="874"/>
      <c r="I50" s="874"/>
      <c r="J50" s="874"/>
      <c r="K50" s="874"/>
      <c r="L50" s="251"/>
      <c r="M50" s="251"/>
      <c r="N50" s="875" cm="1">
        <f t="array" ref="N50">PERCENTILE(IF($Z$10:$Z$39="No",N10:N39),0.75)</f>
        <v>0</v>
      </c>
      <c r="O50" s="876" t="e" cm="1">
        <f t="array" ref="O50">PERCENTILE(IF($Z$10:$Z$39="No",O10:O39),0.75)</f>
        <v>#DIV/0!</v>
      </c>
      <c r="P50" s="876" t="e">
        <f t="array" ref="P50">PERCENTILE(IF($Z$10:$Z$39="No",P10:P39),0.75)</f>
        <v>#DIV/0!</v>
      </c>
      <c r="Q50" s="876" t="e" cm="1">
        <f t="array" ref="Q50">PERCENTILE(IF($Z$10:$Z$39="No",Q10:Q39),0.75)</f>
        <v>#DIV/0!</v>
      </c>
      <c r="R50" s="876" t="e">
        <f t="array" ref="R50">PERCENTILE(IF($Z$10:$Z$39="No",R10:R39),0.75)</f>
        <v>#DIV/0!</v>
      </c>
      <c r="S50" s="877" t="e">
        <f t="array" ref="S50">PERCENTILE(IF($Z$10:$Z$39="No",S10:S39),0.75)</f>
        <v>#DIV/0!</v>
      </c>
      <c r="T50" s="877" t="e">
        <f t="array" ref="T50">PERCENTILE(IF($Z$10:$Z$39="No",T10:T39),0.75)</f>
        <v>#DIV/0!</v>
      </c>
      <c r="U50" s="877" t="e">
        <f t="array" ref="U50">PERCENTILE(IF($Z$10:$Z$39="No",U10:U39),0.75)</f>
        <v>#DIV/0!</v>
      </c>
      <c r="V50" s="877" t="e">
        <f t="array" ref="V50">PERCENTILE(IF($Z$10:$Z$39="No",V10:V39),0.75)</f>
        <v>#DIV/0!</v>
      </c>
      <c r="W50" s="877" t="e">
        <f t="array" ref="W50">PERCENTILE(IF($Z$10:$Z$39="No",W10:W39),0.75)</f>
        <v>#DIV/0!</v>
      </c>
      <c r="X50" s="868"/>
      <c r="Y50" s="868"/>
      <c r="Z50" s="868"/>
      <c r="AA50" s="868"/>
      <c r="AB50" s="868"/>
      <c r="AC50" s="868"/>
      <c r="AD50" s="868"/>
      <c r="AE50" s="868"/>
      <c r="AF50" s="868"/>
      <c r="AG50" s="868"/>
      <c r="AH50" s="868"/>
    </row>
    <row r="51" spans="2:37">
      <c r="D51" s="868"/>
      <c r="E51" s="874" t="s">
        <v>1369</v>
      </c>
      <c r="F51" s="874"/>
      <c r="G51" s="874"/>
      <c r="H51" s="874"/>
      <c r="I51" s="874"/>
      <c r="J51" s="874"/>
      <c r="K51" s="874"/>
      <c r="L51" s="251"/>
      <c r="M51" s="251"/>
      <c r="N51" s="875" t="str">
        <f t="array" ref="N51">IFERROR(AVERAGEIF($Z$10:$Z$39,"No",N10:N39),"")</f>
        <v/>
      </c>
      <c r="O51" s="876" t="str">
        <f>IFERROR(AVERAGEIF($Z$10:$Z$39,"No",O10:O39),"")</f>
        <v/>
      </c>
      <c r="P51" s="876" t="str">
        <f t="array" ref="P51">IFERROR(AVERAGEIF($Z$10:$Z$39,"No",P10:P39),"")</f>
        <v/>
      </c>
      <c r="Q51" s="876" t="str">
        <f t="array" ref="Q51">IFERROR(AVERAGEIF($Z$10:$Z$39,"No",Q10:Q39),"")</f>
        <v/>
      </c>
      <c r="R51" s="876" t="str">
        <f t="array" ref="R51">IFERROR(AVERAGEIF($Z$10:$Z$39,"No",R10:R39),"")</f>
        <v/>
      </c>
      <c r="S51" s="877" t="str">
        <f t="array" ref="S51">IFERROR(AVERAGEIF($Z$10:$Z$39,"No",S10:S39),"")</f>
        <v/>
      </c>
      <c r="T51" s="877" t="str">
        <f t="array" ref="T51">IFERROR(AVERAGEIF($Z$10:$Z$39,"No",T10:T39),"")</f>
        <v/>
      </c>
      <c r="U51" s="877" t="str">
        <f t="array" ref="U51">IFERROR(AVERAGEIF($Z$10:$Z$39,"No",U10:U39),"")</f>
        <v/>
      </c>
      <c r="V51" s="877" t="str">
        <f t="array" ref="V51">IFERROR(AVERAGEIF($Z$10:$Z$39,"No",V10:V39),"")</f>
        <v/>
      </c>
      <c r="W51" s="877" t="str">
        <f t="array" ref="W51">IFERROR(AVERAGEIF($Z$10:$Z$39,"No",W10:W39),"")</f>
        <v/>
      </c>
      <c r="X51" s="868"/>
      <c r="Y51" s="868"/>
      <c r="Z51" s="868"/>
      <c r="AA51" s="868"/>
      <c r="AB51" s="868"/>
      <c r="AC51" s="868"/>
      <c r="AD51" s="868"/>
      <c r="AE51" s="868"/>
      <c r="AF51" s="868"/>
      <c r="AG51" s="868"/>
      <c r="AH51" s="868"/>
    </row>
    <row r="52" spans="2:37" ht="13.5">
      <c r="D52" s="868"/>
      <c r="E52" s="879" t="s">
        <v>1370</v>
      </c>
      <c r="F52" s="880"/>
      <c r="G52" s="880"/>
      <c r="H52" s="880"/>
      <c r="I52" s="880"/>
      <c r="J52" s="880"/>
      <c r="K52" s="880"/>
      <c r="L52" s="239"/>
      <c r="M52" s="239"/>
      <c r="N52" s="881">
        <f t="array" ref="N52">IFERROR(MEDIAN(IF($Z$10:$Z$39="No",N10:N39)),"")</f>
        <v>0</v>
      </c>
      <c r="O52" s="877" t="str">
        <f t="array" ref="O52">IFERROR(MEDIAN(IF($Z$10:$Z$39="No",O10:O39)),"")</f>
        <v/>
      </c>
      <c r="P52" s="877" t="str">
        <f t="array" ref="P52">IFERROR(MEDIAN(IF($Z$10:$Z$39="No",P10:P39)),"")</f>
        <v/>
      </c>
      <c r="Q52" s="877" t="str">
        <f t="array" ref="Q52">IFERROR(MEDIAN(IF($Z$10:$Z$39="No",Q10:Q39)),"")</f>
        <v/>
      </c>
      <c r="R52" s="877" t="str">
        <f t="array" ref="R52">IFERROR(MEDIAN(IF($Z$10:$Z$39="No",R10:R39)),"")</f>
        <v/>
      </c>
      <c r="S52" s="877" t="str">
        <f t="array" ref="S52">IFERROR(MEDIAN(IF($Z$10:$Z$39="No",S10:S39)),"")</f>
        <v/>
      </c>
      <c r="T52" s="877" t="str">
        <f t="array" ref="T52">IFERROR(MEDIAN(IF($Z$10:$Z$39="No",T10:T39)),"")</f>
        <v/>
      </c>
      <c r="U52" s="877" t="str">
        <f t="array" ref="U52">IFERROR(MEDIAN(IF($Z$10:$Z$39="No",U10:U39)),"")</f>
        <v/>
      </c>
      <c r="V52" s="877" t="str">
        <f t="array" ref="V52">IFERROR(MEDIAN(IF($Z$10:$Z$39="No",V10:V39)),"")</f>
        <v/>
      </c>
      <c r="W52" s="877" t="str">
        <f t="array" ref="W52">IFERROR(MEDIAN(IF($Z$10:$Z$39="No",W10:W39)),"")</f>
        <v/>
      </c>
      <c r="X52" s="868"/>
      <c r="Y52" s="868"/>
      <c r="Z52" s="868"/>
      <c r="AA52" s="868"/>
      <c r="AB52" s="868"/>
      <c r="AC52" s="868"/>
      <c r="AD52" s="868"/>
      <c r="AE52" s="868"/>
      <c r="AF52" s="868"/>
      <c r="AG52" s="868"/>
      <c r="AH52" s="868"/>
    </row>
    <row r="53" spans="2:37" ht="13.5">
      <c r="D53" s="868"/>
      <c r="E53" s="874" t="s">
        <v>1420</v>
      </c>
      <c r="F53" s="883"/>
      <c r="G53" s="883"/>
      <c r="H53" s="883"/>
      <c r="I53" s="883"/>
      <c r="J53" s="883"/>
      <c r="K53" s="883"/>
      <c r="L53" s="251"/>
      <c r="M53" s="251"/>
      <c r="N53" s="875">
        <f t="array" ref="N53">PERCENTILE(IF($Z$10:$Z$39="No",N10:N39),0.25)</f>
        <v>0</v>
      </c>
      <c r="O53" s="876" t="e">
        <f t="array" ref="O53">PERCENTILE(IF($Z$10:$Z$39="No",O10:O39),0.25)</f>
        <v>#DIV/0!</v>
      </c>
      <c r="P53" s="876" t="e">
        <f t="array" ref="P53">PERCENTILE(IF($Z$10:$Z$39="No",P10:P39),0.25)</f>
        <v>#DIV/0!</v>
      </c>
      <c r="Q53" s="876" t="e">
        <f t="array" ref="Q53">PERCENTILE(IF($Z$10:$Z$39="No",Q10:Q39),0.25)</f>
        <v>#DIV/0!</v>
      </c>
      <c r="R53" s="876" t="e" cm="1">
        <f t="array" ref="R53">PERCENTILE(IF($Z$10:$Z$39="No",R10:R39),0.25)</f>
        <v>#DIV/0!</v>
      </c>
      <c r="S53" s="877" t="e">
        <f t="array" ref="S53">PERCENTILE(IF($Z$10:$Z$39="No",S10:S39),0.25)</f>
        <v>#DIV/0!</v>
      </c>
      <c r="T53" s="877" t="e">
        <f t="array" ref="T53">PERCENTILE(IF($Z$10:$Z$39="No",T10:T39),0.25)</f>
        <v>#DIV/0!</v>
      </c>
      <c r="U53" s="877" t="e">
        <f t="array" ref="U53">PERCENTILE(IF($Z$10:$Z$39="No",U10:U39),0.25)</f>
        <v>#DIV/0!</v>
      </c>
      <c r="V53" s="877" t="e">
        <f t="array" ref="V53">PERCENTILE(IF($Z$10:$Z$39="No",V10:V39),0.25)</f>
        <v>#DIV/0!</v>
      </c>
      <c r="W53" s="877" t="e">
        <f t="array" ref="W53">PERCENTILE(IF($Z$10:$Z$39="No",W10:W39),0.25)</f>
        <v>#DIV/0!</v>
      </c>
      <c r="X53" s="868"/>
      <c r="Y53" s="868"/>
      <c r="Z53" s="868"/>
      <c r="AA53" s="868"/>
      <c r="AB53" s="868"/>
      <c r="AC53" s="868"/>
      <c r="AD53" s="868"/>
      <c r="AE53" s="868"/>
      <c r="AF53" s="868"/>
      <c r="AG53" s="868"/>
      <c r="AH53" s="868"/>
    </row>
    <row r="54" spans="2:37" s="232" customFormat="1" ht="13.5">
      <c r="D54" s="888"/>
      <c r="E54" s="884" t="s">
        <v>208</v>
      </c>
      <c r="F54" s="884"/>
      <c r="G54" s="884"/>
      <c r="H54" s="884"/>
      <c r="I54" s="884"/>
      <c r="J54" s="884"/>
      <c r="K54" s="884"/>
      <c r="L54" s="487"/>
      <c r="M54" s="487"/>
      <c r="N54" s="885">
        <f t="array" ref="N54">IFERROR(MIN(IF($Z$10:$Z$39="No",N10:N39)),"")</f>
        <v>0</v>
      </c>
      <c r="O54" s="886" t="str">
        <f t="array" ref="O54">IFERROR(MIN(IF($Z$10:$Z$39="No",O10:O39)),"")</f>
        <v/>
      </c>
      <c r="P54" s="886" t="str">
        <f t="array" ref="P54">IFERROR(MIN(IF($Z$10:$Z$39="No",P10:P39)),"")</f>
        <v/>
      </c>
      <c r="Q54" s="886" t="str">
        <f t="array" ref="Q54">IFERROR(MIN(IF($Z$10:$Z$39="No",Q10:Q39)),"")</f>
        <v/>
      </c>
      <c r="R54" s="886" t="str">
        <f t="array" ref="R54">IFERROR(MIN(IF($Z$10:$Z$39="No",R10:R39)),"")</f>
        <v/>
      </c>
      <c r="S54" s="887" t="str">
        <f t="array" ref="S54">IFERROR(MIN(IF($Z$10:$Z$39="No",S10:S39)),"")</f>
        <v/>
      </c>
      <c r="T54" s="887" t="str">
        <f t="array" ref="T54">IFERROR(MIN(IF($Z$10:$Z$39="No",T10:T39)),"")</f>
        <v/>
      </c>
      <c r="U54" s="887" t="str">
        <f t="array" ref="U54">IFERROR(MIN(IF($Z$10:$Z$39="No",U10:U39)),"")</f>
        <v/>
      </c>
      <c r="V54" s="887" t="str">
        <f t="array" ref="V54">IFERROR(MIN(IF($Z$10:$Z$39="No",V10:V39)),"")</f>
        <v/>
      </c>
      <c r="W54" s="887" t="str">
        <f t="array" ref="W54">IFERROR(MIN(IF($Z$10:$Z$39="No",W10:W39)),"")</f>
        <v/>
      </c>
      <c r="X54" s="888"/>
      <c r="Y54" s="868"/>
      <c r="Z54" s="868"/>
      <c r="AA54" s="888"/>
      <c r="AB54" s="888"/>
      <c r="AC54" s="888"/>
      <c r="AD54" s="888"/>
      <c r="AE54" s="888"/>
      <c r="AF54" s="888"/>
      <c r="AG54" s="888"/>
      <c r="AH54" s="888"/>
    </row>
    <row r="55" spans="2:37" s="232" customFormat="1" ht="13.5">
      <c r="D55" s="888"/>
      <c r="E55" s="888"/>
      <c r="F55" s="888"/>
      <c r="G55" s="888"/>
      <c r="H55" s="888"/>
      <c r="I55" s="888"/>
      <c r="J55" s="888"/>
      <c r="K55" s="888"/>
      <c r="L55" s="888"/>
      <c r="M55" s="888"/>
      <c r="N55" s="888"/>
      <c r="O55" s="888"/>
      <c r="P55" s="888"/>
      <c r="Q55" s="888"/>
      <c r="R55" s="888"/>
      <c r="S55" s="888"/>
      <c r="T55" s="888"/>
      <c r="U55" s="888"/>
      <c r="V55" s="888"/>
      <c r="W55" s="888"/>
      <c r="X55" s="888"/>
      <c r="Y55" s="499"/>
      <c r="Z55" s="499"/>
      <c r="AA55" s="499"/>
      <c r="AB55" s="499"/>
      <c r="AC55" s="499"/>
      <c r="AD55" s="499"/>
      <c r="AE55" s="499"/>
      <c r="AF55" s="499"/>
      <c r="AG55" s="499"/>
      <c r="AH55" s="499"/>
      <c r="AI55" s="499"/>
      <c r="AJ55" s="499"/>
      <c r="AK55" s="499"/>
    </row>
    <row r="56" spans="2:37" s="232" customFormat="1" ht="13.5">
      <c r="D56" s="888"/>
      <c r="E56" s="888"/>
      <c r="F56" s="888"/>
      <c r="G56" s="888"/>
      <c r="H56" s="888"/>
      <c r="I56" s="888"/>
      <c r="J56" s="888"/>
      <c r="K56" s="888"/>
      <c r="L56" s="888"/>
      <c r="M56" s="888"/>
      <c r="N56" s="888"/>
      <c r="O56" s="888"/>
      <c r="P56" s="888"/>
      <c r="Q56" s="888"/>
      <c r="R56" s="888"/>
      <c r="S56" s="888"/>
      <c r="T56" s="888"/>
      <c r="U56" s="888"/>
      <c r="V56" s="888"/>
      <c r="W56" s="888"/>
      <c r="X56" s="888"/>
      <c r="Y56" s="499"/>
      <c r="Z56" s="499"/>
      <c r="AA56" s="499"/>
      <c r="AB56" s="499"/>
      <c r="AC56" s="499"/>
      <c r="AD56" s="499"/>
      <c r="AE56" s="499"/>
      <c r="AF56" s="499"/>
      <c r="AG56" s="499"/>
      <c r="AH56" s="499"/>
      <c r="AI56" s="499"/>
      <c r="AJ56" s="499"/>
      <c r="AK56" s="499"/>
    </row>
    <row r="57" spans="2:37">
      <c r="B57" s="251"/>
      <c r="C57" s="251"/>
      <c r="D57" s="830" t="s">
        <v>1401</v>
      </c>
      <c r="E57" s="232"/>
      <c r="F57" s="232"/>
      <c r="G57" s="232"/>
      <c r="H57" s="232"/>
      <c r="I57" s="232"/>
      <c r="J57" s="232"/>
      <c r="K57" s="232"/>
      <c r="L57" s="232"/>
      <c r="M57" s="232"/>
      <c r="N57" s="232"/>
      <c r="O57" s="829"/>
      <c r="P57" s="829"/>
      <c r="Q57" s="829"/>
      <c r="R57" s="829"/>
      <c r="S57" s="829"/>
      <c r="T57" s="829"/>
      <c r="U57" s="829"/>
      <c r="V57" s="829"/>
      <c r="W57" s="829"/>
      <c r="X57" s="251"/>
      <c r="Y57" s="499"/>
      <c r="Z57" s="499"/>
      <c r="AA57" s="499"/>
      <c r="AB57" s="499"/>
      <c r="AC57" s="499"/>
      <c r="AD57" s="499"/>
      <c r="AE57" s="499"/>
      <c r="AF57" s="499"/>
      <c r="AG57" s="499"/>
      <c r="AH57" s="499"/>
      <c r="AI57" s="499"/>
      <c r="AJ57" s="499"/>
      <c r="AK57" s="499"/>
    </row>
    <row r="58" spans="2:37" ht="13.35" customHeight="1">
      <c r="D58" s="832"/>
      <c r="E58" s="834"/>
      <c r="F58" s="1846"/>
      <c r="G58" s="1846"/>
      <c r="H58" s="1846"/>
      <c r="I58" s="1846"/>
      <c r="J58" s="1846"/>
      <c r="K58" s="1847" t="s">
        <v>1440</v>
      </c>
      <c r="L58" s="1847"/>
      <c r="M58" s="835"/>
      <c r="N58" s="1847" t="s">
        <v>1441</v>
      </c>
      <c r="O58" s="1847"/>
      <c r="P58" s="1847"/>
      <c r="Q58" s="1847"/>
      <c r="R58" s="1847"/>
      <c r="S58" s="1848" t="s">
        <v>1442</v>
      </c>
      <c r="T58" s="1848"/>
      <c r="U58" s="1848"/>
      <c r="V58" s="1848"/>
      <c r="W58" s="836"/>
    </row>
    <row r="59" spans="2:37" ht="20.45" customHeight="1" thickBot="1">
      <c r="D59" s="840" t="s">
        <v>94</v>
      </c>
      <c r="E59" s="842" t="s">
        <v>1445</v>
      </c>
      <c r="F59" s="842" t="s">
        <v>139</v>
      </c>
      <c r="G59" s="842" t="s">
        <v>137</v>
      </c>
      <c r="H59" s="842" t="s">
        <v>134</v>
      </c>
      <c r="I59" s="842" t="s">
        <v>131</v>
      </c>
      <c r="J59" s="835" t="s">
        <v>129</v>
      </c>
      <c r="K59" s="835" t="s">
        <v>1446</v>
      </c>
      <c r="L59" s="835" t="s">
        <v>1447</v>
      </c>
      <c r="M59" s="835" t="s">
        <v>1448</v>
      </c>
      <c r="N59" s="835" t="s">
        <v>1449</v>
      </c>
      <c r="O59" s="835" t="s">
        <v>1450</v>
      </c>
      <c r="P59" s="835" t="s">
        <v>1417</v>
      </c>
      <c r="Q59" s="835" t="s">
        <v>131</v>
      </c>
      <c r="R59" s="835" t="s">
        <v>1451</v>
      </c>
      <c r="S59" s="835" t="s">
        <v>1446</v>
      </c>
      <c r="T59" s="835" t="s">
        <v>1447</v>
      </c>
      <c r="U59" s="835" t="s">
        <v>1448</v>
      </c>
      <c r="V59" s="835" t="s">
        <v>1444</v>
      </c>
      <c r="W59" s="835" t="s">
        <v>1451</v>
      </c>
      <c r="Z59" s="516" t="s">
        <v>1395</v>
      </c>
    </row>
    <row r="60" spans="2:37" ht="12" thickBot="1">
      <c r="C60" s="436">
        <v>1</v>
      </c>
      <c r="D60" s="889" t="str">
        <f>'GPC Data'!E124</f>
        <v>Comp 1</v>
      </c>
      <c r="E60" s="890">
        <f>'GPC Data'!P22</f>
        <v>0</v>
      </c>
      <c r="F60" s="847">
        <f>'GPC Data'!N124</f>
        <v>0</v>
      </c>
      <c r="G60" s="847">
        <f>'GPC Data'!O124</f>
        <v>0</v>
      </c>
      <c r="H60" s="847">
        <f>'GPC Data'!P124</f>
        <v>0</v>
      </c>
      <c r="I60" s="847">
        <f>'GPC Data'!Q124</f>
        <v>0</v>
      </c>
      <c r="J60" s="847">
        <f>'GPC Data'!R124</f>
        <v>0</v>
      </c>
      <c r="K60" s="848">
        <f>'GPC Data'!S124</f>
        <v>0</v>
      </c>
      <c r="L60" s="848">
        <f>'GPC Data'!T124</f>
        <v>0</v>
      </c>
      <c r="M60" s="848">
        <f>'GPC Data'!U124</f>
        <v>0</v>
      </c>
      <c r="N60" s="849" t="str">
        <f>IFERROR(F60/#REF!-1,"")</f>
        <v/>
      </c>
      <c r="O60" s="850" t="e">
        <f>G60/F60-1</f>
        <v>#DIV/0!</v>
      </c>
      <c r="P60" s="850" t="e">
        <f>H60/G60-1</f>
        <v>#DIV/0!</v>
      </c>
      <c r="Q60" s="850" t="e">
        <f>I60/H60-1</f>
        <v>#DIV/0!</v>
      </c>
      <c r="R60" s="891" t="e">
        <f>(I60/F60)^(1/3)-1</f>
        <v>#DIV/0!</v>
      </c>
      <c r="S60" s="852" t="e">
        <f>K60/I60-1</f>
        <v>#DIV/0!</v>
      </c>
      <c r="T60" s="852" t="e">
        <f>L60/J60-1</f>
        <v>#DIV/0!</v>
      </c>
      <c r="U60" s="852" t="e">
        <f>M60/K60-1</f>
        <v>#DIV/0!</v>
      </c>
      <c r="V60" s="852" t="e">
        <f>(U60/S60)^(1/2)-1</f>
        <v>#DIV/0!</v>
      </c>
      <c r="W60" s="852" t="e">
        <f>(U60/I60)^(1/3)-1</f>
        <v>#DIV/0!</v>
      </c>
      <c r="Z60" s="443" t="s">
        <v>1359</v>
      </c>
    </row>
    <row r="61" spans="2:37" ht="12" thickBot="1">
      <c r="C61" s="436">
        <v>2</v>
      </c>
      <c r="D61" s="857" t="str">
        <f>'GPC Data'!E125</f>
        <v>Comp 2</v>
      </c>
      <c r="E61" s="892">
        <f>'GPC Data'!P23</f>
        <v>0</v>
      </c>
      <c r="F61" s="859">
        <f>'GPC Data'!N125</f>
        <v>0</v>
      </c>
      <c r="G61" s="859">
        <f>'GPC Data'!O125</f>
        <v>0</v>
      </c>
      <c r="H61" s="859">
        <f>'GPC Data'!P125</f>
        <v>0</v>
      </c>
      <c r="I61" s="859">
        <f>'GPC Data'!Q125</f>
        <v>0</v>
      </c>
      <c r="J61" s="859">
        <f>'GPC Data'!R125</f>
        <v>0</v>
      </c>
      <c r="K61" s="860">
        <f>'GPC Data'!S125</f>
        <v>0</v>
      </c>
      <c r="L61" s="860">
        <f>'GPC Data'!T125</f>
        <v>0</v>
      </c>
      <c r="M61" s="860">
        <f>'GPC Data'!U125</f>
        <v>0</v>
      </c>
      <c r="N61" s="861" t="str">
        <f>IFERROR(F61/#REF!-1,"")</f>
        <v/>
      </c>
      <c r="O61" s="862" t="e">
        <f t="shared" ref="O61:O81" si="29">G61/F61-1</f>
        <v>#DIV/0!</v>
      </c>
      <c r="P61" s="862" t="e">
        <f t="shared" ref="P61:P81" si="30">H61/G61-1</f>
        <v>#DIV/0!</v>
      </c>
      <c r="Q61" s="862" t="e">
        <f t="shared" ref="Q61:Q81" si="31">I61/H61-1</f>
        <v>#DIV/0!</v>
      </c>
      <c r="R61" s="893" t="e">
        <f t="shared" ref="R61:R81" si="32">(I61/F61)^(1/3)-1</f>
        <v>#DIV/0!</v>
      </c>
      <c r="S61" s="864" t="e">
        <f t="shared" ref="S61:S81" si="33">K61/I61-1</f>
        <v>#DIV/0!</v>
      </c>
      <c r="T61" s="864" t="e">
        <f t="shared" ref="T61:T81" si="34">L61/J61-1</f>
        <v>#DIV/0!</v>
      </c>
      <c r="U61" s="864" t="e">
        <f t="shared" ref="U61:U81" si="35">M61/K61-1</f>
        <v>#DIV/0!</v>
      </c>
      <c r="V61" s="864" t="e">
        <f t="shared" ref="V61:V81" si="36">(U61/S61)^(1/2)-1</f>
        <v>#DIV/0!</v>
      </c>
      <c r="W61" s="864" t="e">
        <f t="shared" ref="W61:W81" si="37">(U61/I61)^(1/3)-1</f>
        <v>#DIV/0!</v>
      </c>
      <c r="Z61" s="443" t="s">
        <v>1359</v>
      </c>
    </row>
    <row r="62" spans="2:37" ht="12" thickBot="1">
      <c r="C62" s="436">
        <v>3</v>
      </c>
      <c r="D62" s="857" t="str">
        <f>'GPC Data'!E126</f>
        <v>Comp 3</v>
      </c>
      <c r="E62" s="892">
        <f>'GPC Data'!P24</f>
        <v>0</v>
      </c>
      <c r="F62" s="859">
        <f>'GPC Data'!N126</f>
        <v>0</v>
      </c>
      <c r="G62" s="859">
        <f>'GPC Data'!O126</f>
        <v>0</v>
      </c>
      <c r="H62" s="859">
        <f>'GPC Data'!P126</f>
        <v>0</v>
      </c>
      <c r="I62" s="859">
        <f>'GPC Data'!Q126</f>
        <v>0</v>
      </c>
      <c r="J62" s="859">
        <f>'GPC Data'!R126</f>
        <v>0</v>
      </c>
      <c r="K62" s="860">
        <f>'GPC Data'!S126</f>
        <v>0</v>
      </c>
      <c r="L62" s="860">
        <f>'GPC Data'!T126</f>
        <v>0</v>
      </c>
      <c r="M62" s="860">
        <f>'GPC Data'!U126</f>
        <v>0</v>
      </c>
      <c r="N62" s="861" t="str">
        <f>IFERROR(F62/#REF!-1,"")</f>
        <v/>
      </c>
      <c r="O62" s="862" t="e">
        <f t="shared" si="29"/>
        <v>#DIV/0!</v>
      </c>
      <c r="P62" s="862" t="e">
        <f t="shared" si="30"/>
        <v>#DIV/0!</v>
      </c>
      <c r="Q62" s="862" t="e">
        <f t="shared" si="31"/>
        <v>#DIV/0!</v>
      </c>
      <c r="R62" s="893" t="e">
        <f t="shared" si="32"/>
        <v>#DIV/0!</v>
      </c>
      <c r="S62" s="864" t="e">
        <f t="shared" si="33"/>
        <v>#DIV/0!</v>
      </c>
      <c r="T62" s="864" t="e">
        <f t="shared" si="34"/>
        <v>#DIV/0!</v>
      </c>
      <c r="U62" s="864" t="e">
        <f t="shared" si="35"/>
        <v>#DIV/0!</v>
      </c>
      <c r="V62" s="864" t="e">
        <f t="shared" si="36"/>
        <v>#DIV/0!</v>
      </c>
      <c r="W62" s="864" t="e">
        <f t="shared" si="37"/>
        <v>#DIV/0!</v>
      </c>
      <c r="Z62" s="443" t="s">
        <v>1359</v>
      </c>
    </row>
    <row r="63" spans="2:37" ht="12" thickBot="1">
      <c r="C63" s="436">
        <v>4</v>
      </c>
      <c r="D63" s="857" t="str">
        <f>'GPC Data'!E127</f>
        <v>Comp 4</v>
      </c>
      <c r="E63" s="892">
        <f>'GPC Data'!P25</f>
        <v>0</v>
      </c>
      <c r="F63" s="859">
        <f>'GPC Data'!N127</f>
        <v>0</v>
      </c>
      <c r="G63" s="859">
        <f>'GPC Data'!O127</f>
        <v>0</v>
      </c>
      <c r="H63" s="859">
        <f>'GPC Data'!P127</f>
        <v>0</v>
      </c>
      <c r="I63" s="859">
        <f>'GPC Data'!Q127</f>
        <v>0</v>
      </c>
      <c r="J63" s="859">
        <f>'GPC Data'!R127</f>
        <v>0</v>
      </c>
      <c r="K63" s="860">
        <f>'GPC Data'!S127</f>
        <v>0</v>
      </c>
      <c r="L63" s="860">
        <f>'GPC Data'!T127</f>
        <v>0</v>
      </c>
      <c r="M63" s="860">
        <f>'GPC Data'!U127</f>
        <v>0</v>
      </c>
      <c r="N63" s="861" t="str">
        <f>IFERROR(F63/#REF!-1,"")</f>
        <v/>
      </c>
      <c r="O63" s="862" t="e">
        <f t="shared" si="29"/>
        <v>#DIV/0!</v>
      </c>
      <c r="P63" s="862" t="e">
        <f t="shared" si="30"/>
        <v>#DIV/0!</v>
      </c>
      <c r="Q63" s="862" t="e">
        <f t="shared" si="31"/>
        <v>#DIV/0!</v>
      </c>
      <c r="R63" s="893" t="e">
        <f t="shared" si="32"/>
        <v>#DIV/0!</v>
      </c>
      <c r="S63" s="864" t="e">
        <f t="shared" si="33"/>
        <v>#DIV/0!</v>
      </c>
      <c r="T63" s="864" t="e">
        <f t="shared" si="34"/>
        <v>#DIV/0!</v>
      </c>
      <c r="U63" s="864" t="e">
        <f t="shared" si="35"/>
        <v>#DIV/0!</v>
      </c>
      <c r="V63" s="864" t="e">
        <f t="shared" si="36"/>
        <v>#DIV/0!</v>
      </c>
      <c r="W63" s="864" t="e">
        <f t="shared" si="37"/>
        <v>#DIV/0!</v>
      </c>
      <c r="Z63" s="443" t="s">
        <v>1359</v>
      </c>
    </row>
    <row r="64" spans="2:37" ht="12" thickBot="1">
      <c r="C64" s="436">
        <v>5</v>
      </c>
      <c r="D64" s="857" t="str">
        <f>'GPC Data'!E128</f>
        <v>Comp 5</v>
      </c>
      <c r="E64" s="892">
        <f>'GPC Data'!P26</f>
        <v>0</v>
      </c>
      <c r="F64" s="859">
        <f>'GPC Data'!N128</f>
        <v>0</v>
      </c>
      <c r="G64" s="859">
        <f>'GPC Data'!O128</f>
        <v>0</v>
      </c>
      <c r="H64" s="859">
        <f>'GPC Data'!P128</f>
        <v>0</v>
      </c>
      <c r="I64" s="859">
        <f>'GPC Data'!Q128</f>
        <v>0</v>
      </c>
      <c r="J64" s="859">
        <f>'GPC Data'!R128</f>
        <v>0</v>
      </c>
      <c r="K64" s="860">
        <f>'GPC Data'!S128</f>
        <v>0</v>
      </c>
      <c r="L64" s="860">
        <f>'GPC Data'!T128</f>
        <v>0</v>
      </c>
      <c r="M64" s="860">
        <f>'GPC Data'!U128</f>
        <v>0</v>
      </c>
      <c r="N64" s="861" t="str">
        <f>IFERROR(F64/#REF!-1,"")</f>
        <v/>
      </c>
      <c r="O64" s="862" t="e">
        <f t="shared" si="29"/>
        <v>#DIV/0!</v>
      </c>
      <c r="P64" s="862" t="e">
        <f t="shared" si="30"/>
        <v>#DIV/0!</v>
      </c>
      <c r="Q64" s="862" t="e">
        <f t="shared" si="31"/>
        <v>#DIV/0!</v>
      </c>
      <c r="R64" s="893" t="e">
        <f t="shared" si="32"/>
        <v>#DIV/0!</v>
      </c>
      <c r="S64" s="864" t="e">
        <f t="shared" si="33"/>
        <v>#DIV/0!</v>
      </c>
      <c r="T64" s="864" t="e">
        <f t="shared" si="34"/>
        <v>#DIV/0!</v>
      </c>
      <c r="U64" s="864" t="e">
        <f t="shared" si="35"/>
        <v>#DIV/0!</v>
      </c>
      <c r="V64" s="864" t="e">
        <f t="shared" si="36"/>
        <v>#DIV/0!</v>
      </c>
      <c r="W64" s="864" t="e">
        <f t="shared" si="37"/>
        <v>#DIV/0!</v>
      </c>
      <c r="Z64" s="443" t="s">
        <v>1359</v>
      </c>
    </row>
    <row r="65" spans="3:26" ht="12" thickBot="1">
      <c r="C65" s="436">
        <v>6</v>
      </c>
      <c r="D65" s="857" t="str">
        <f>'GPC Data'!E129</f>
        <v>Comp 6</v>
      </c>
      <c r="E65" s="892">
        <f>'GPC Data'!P27</f>
        <v>0</v>
      </c>
      <c r="F65" s="859">
        <f>'GPC Data'!N129</f>
        <v>0</v>
      </c>
      <c r="G65" s="859">
        <f>'GPC Data'!O129</f>
        <v>0</v>
      </c>
      <c r="H65" s="859">
        <f>'GPC Data'!P129</f>
        <v>0</v>
      </c>
      <c r="I65" s="859">
        <f>'GPC Data'!Q129</f>
        <v>0</v>
      </c>
      <c r="J65" s="859">
        <f>'GPC Data'!R129</f>
        <v>0</v>
      </c>
      <c r="K65" s="860">
        <f>'GPC Data'!S129</f>
        <v>0</v>
      </c>
      <c r="L65" s="860">
        <f>'GPC Data'!T129</f>
        <v>0</v>
      </c>
      <c r="M65" s="860">
        <f>'GPC Data'!U129</f>
        <v>0</v>
      </c>
      <c r="N65" s="861" t="str">
        <f>IFERROR(F65/#REF!-1,"")</f>
        <v/>
      </c>
      <c r="O65" s="862" t="e">
        <f t="shared" si="29"/>
        <v>#DIV/0!</v>
      </c>
      <c r="P65" s="862" t="e">
        <f t="shared" si="30"/>
        <v>#DIV/0!</v>
      </c>
      <c r="Q65" s="862" t="e">
        <f t="shared" si="31"/>
        <v>#DIV/0!</v>
      </c>
      <c r="R65" s="893" t="e">
        <f t="shared" si="32"/>
        <v>#DIV/0!</v>
      </c>
      <c r="S65" s="864" t="e">
        <f t="shared" si="33"/>
        <v>#DIV/0!</v>
      </c>
      <c r="T65" s="864" t="e">
        <f t="shared" si="34"/>
        <v>#DIV/0!</v>
      </c>
      <c r="U65" s="864" t="e">
        <f t="shared" si="35"/>
        <v>#DIV/0!</v>
      </c>
      <c r="V65" s="864" t="e">
        <f t="shared" si="36"/>
        <v>#DIV/0!</v>
      </c>
      <c r="W65" s="864" t="e">
        <f t="shared" si="37"/>
        <v>#DIV/0!</v>
      </c>
      <c r="Z65" s="443" t="s">
        <v>1359</v>
      </c>
    </row>
    <row r="66" spans="3:26" ht="12" thickBot="1">
      <c r="C66" s="436">
        <v>7</v>
      </c>
      <c r="D66" s="857" t="str">
        <f>'GPC Data'!E130</f>
        <v>Comp 7</v>
      </c>
      <c r="E66" s="892">
        <f>'GPC Data'!P28</f>
        <v>0</v>
      </c>
      <c r="F66" s="859">
        <f>'GPC Data'!N130</f>
        <v>0</v>
      </c>
      <c r="G66" s="859">
        <f>'GPC Data'!O130</f>
        <v>0</v>
      </c>
      <c r="H66" s="859">
        <f>'GPC Data'!P130</f>
        <v>0</v>
      </c>
      <c r="I66" s="859">
        <f>'GPC Data'!Q130</f>
        <v>0</v>
      </c>
      <c r="J66" s="859">
        <f>'GPC Data'!R130</f>
        <v>0</v>
      </c>
      <c r="K66" s="860">
        <f>'GPC Data'!S130</f>
        <v>0</v>
      </c>
      <c r="L66" s="860">
        <f>'GPC Data'!T130</f>
        <v>0</v>
      </c>
      <c r="M66" s="860">
        <f>'GPC Data'!U130</f>
        <v>0</v>
      </c>
      <c r="N66" s="861" t="str">
        <f>IFERROR(F66/#REF!-1,"")</f>
        <v/>
      </c>
      <c r="O66" s="862" t="e">
        <f t="shared" si="29"/>
        <v>#DIV/0!</v>
      </c>
      <c r="P66" s="862" t="e">
        <f t="shared" si="30"/>
        <v>#DIV/0!</v>
      </c>
      <c r="Q66" s="862" t="e">
        <f t="shared" si="31"/>
        <v>#DIV/0!</v>
      </c>
      <c r="R66" s="893" t="e">
        <f t="shared" si="32"/>
        <v>#DIV/0!</v>
      </c>
      <c r="S66" s="864" t="e">
        <f t="shared" si="33"/>
        <v>#DIV/0!</v>
      </c>
      <c r="T66" s="864" t="e">
        <f t="shared" si="34"/>
        <v>#DIV/0!</v>
      </c>
      <c r="U66" s="864" t="e">
        <f t="shared" si="35"/>
        <v>#DIV/0!</v>
      </c>
      <c r="V66" s="864" t="e">
        <f t="shared" si="36"/>
        <v>#DIV/0!</v>
      </c>
      <c r="W66" s="864" t="e">
        <f t="shared" si="37"/>
        <v>#DIV/0!</v>
      </c>
      <c r="Z66" s="443" t="s">
        <v>1359</v>
      </c>
    </row>
    <row r="67" spans="3:26" ht="12" thickBot="1">
      <c r="C67" s="436">
        <v>8</v>
      </c>
      <c r="D67" s="857" t="str">
        <f>'GPC Data'!E131</f>
        <v>Comp 8</v>
      </c>
      <c r="E67" s="892">
        <f>'GPC Data'!P29</f>
        <v>0</v>
      </c>
      <c r="F67" s="859">
        <f>'GPC Data'!N131</f>
        <v>0</v>
      </c>
      <c r="G67" s="859">
        <f>'GPC Data'!O131</f>
        <v>0</v>
      </c>
      <c r="H67" s="859">
        <f>'GPC Data'!P131</f>
        <v>0</v>
      </c>
      <c r="I67" s="859">
        <f>'GPC Data'!Q131</f>
        <v>0</v>
      </c>
      <c r="J67" s="859">
        <f>'GPC Data'!R131</f>
        <v>0</v>
      </c>
      <c r="K67" s="860">
        <f>'GPC Data'!S131</f>
        <v>0</v>
      </c>
      <c r="L67" s="860">
        <f>'GPC Data'!T131</f>
        <v>0</v>
      </c>
      <c r="M67" s="860">
        <f>'GPC Data'!U131</f>
        <v>0</v>
      </c>
      <c r="N67" s="861" t="str">
        <f>IFERROR(F67/#REF!-1,"")</f>
        <v/>
      </c>
      <c r="O67" s="862" t="e">
        <f t="shared" si="29"/>
        <v>#DIV/0!</v>
      </c>
      <c r="P67" s="862" t="e">
        <f t="shared" si="30"/>
        <v>#DIV/0!</v>
      </c>
      <c r="Q67" s="862" t="e">
        <f t="shared" si="31"/>
        <v>#DIV/0!</v>
      </c>
      <c r="R67" s="893" t="e">
        <f t="shared" si="32"/>
        <v>#DIV/0!</v>
      </c>
      <c r="S67" s="864" t="e">
        <f t="shared" si="33"/>
        <v>#DIV/0!</v>
      </c>
      <c r="T67" s="864" t="e">
        <f t="shared" si="34"/>
        <v>#DIV/0!</v>
      </c>
      <c r="U67" s="864" t="e">
        <f t="shared" si="35"/>
        <v>#DIV/0!</v>
      </c>
      <c r="V67" s="864" t="e">
        <f t="shared" si="36"/>
        <v>#DIV/0!</v>
      </c>
      <c r="W67" s="864" t="e">
        <f t="shared" si="37"/>
        <v>#DIV/0!</v>
      </c>
      <c r="Z67" s="443" t="s">
        <v>1359</v>
      </c>
    </row>
    <row r="68" spans="3:26" ht="12" thickBot="1">
      <c r="C68" s="436">
        <v>9</v>
      </c>
      <c r="D68" s="857" t="str">
        <f>'GPC Data'!E132</f>
        <v>Comp 9</v>
      </c>
      <c r="E68" s="892">
        <f>'GPC Data'!P30</f>
        <v>0</v>
      </c>
      <c r="F68" s="859">
        <f>'GPC Data'!N132</f>
        <v>0</v>
      </c>
      <c r="G68" s="859">
        <f>'GPC Data'!O132</f>
        <v>0</v>
      </c>
      <c r="H68" s="859">
        <f>'GPC Data'!P132</f>
        <v>0</v>
      </c>
      <c r="I68" s="859">
        <f>'GPC Data'!Q132</f>
        <v>0</v>
      </c>
      <c r="J68" s="859">
        <f>'GPC Data'!R132</f>
        <v>0</v>
      </c>
      <c r="K68" s="860">
        <f>'GPC Data'!S132</f>
        <v>0</v>
      </c>
      <c r="L68" s="860">
        <f>'GPC Data'!T132</f>
        <v>0</v>
      </c>
      <c r="M68" s="860">
        <f>'GPC Data'!U132</f>
        <v>0</v>
      </c>
      <c r="N68" s="861" t="str">
        <f>IFERROR(F68/#REF!-1,"")</f>
        <v/>
      </c>
      <c r="O68" s="862" t="e">
        <f t="shared" si="29"/>
        <v>#DIV/0!</v>
      </c>
      <c r="P68" s="862" t="e">
        <f t="shared" si="30"/>
        <v>#DIV/0!</v>
      </c>
      <c r="Q68" s="862" t="e">
        <f t="shared" si="31"/>
        <v>#DIV/0!</v>
      </c>
      <c r="R68" s="893" t="e">
        <f t="shared" si="32"/>
        <v>#DIV/0!</v>
      </c>
      <c r="S68" s="864" t="e">
        <f t="shared" si="33"/>
        <v>#DIV/0!</v>
      </c>
      <c r="T68" s="864" t="e">
        <f t="shared" si="34"/>
        <v>#DIV/0!</v>
      </c>
      <c r="U68" s="864" t="e">
        <f t="shared" si="35"/>
        <v>#DIV/0!</v>
      </c>
      <c r="V68" s="864" t="e">
        <f t="shared" si="36"/>
        <v>#DIV/0!</v>
      </c>
      <c r="W68" s="864" t="e">
        <f t="shared" si="37"/>
        <v>#DIV/0!</v>
      </c>
      <c r="Z68" s="443" t="s">
        <v>1359</v>
      </c>
    </row>
    <row r="69" spans="3:26" ht="12" thickBot="1">
      <c r="C69" s="436">
        <v>10</v>
      </c>
      <c r="D69" s="857" t="str">
        <f>'GPC Data'!E133</f>
        <v>Comp 10</v>
      </c>
      <c r="E69" s="892">
        <f>'GPC Data'!P31</f>
        <v>0</v>
      </c>
      <c r="F69" s="859">
        <f>'GPC Data'!N133</f>
        <v>0</v>
      </c>
      <c r="G69" s="859">
        <f>'GPC Data'!O133</f>
        <v>0</v>
      </c>
      <c r="H69" s="859">
        <f>'GPC Data'!P133</f>
        <v>0</v>
      </c>
      <c r="I69" s="859">
        <f>'GPC Data'!Q133</f>
        <v>0</v>
      </c>
      <c r="J69" s="859">
        <f>'GPC Data'!R133</f>
        <v>0</v>
      </c>
      <c r="K69" s="860">
        <f>'GPC Data'!S133</f>
        <v>0</v>
      </c>
      <c r="L69" s="860">
        <f>'GPC Data'!T133</f>
        <v>0</v>
      </c>
      <c r="M69" s="860">
        <f>'GPC Data'!U133</f>
        <v>0</v>
      </c>
      <c r="N69" s="861" t="str">
        <f>IFERROR(F69/#REF!-1,"")</f>
        <v/>
      </c>
      <c r="O69" s="862" t="e">
        <f t="shared" si="29"/>
        <v>#DIV/0!</v>
      </c>
      <c r="P69" s="862" t="e">
        <f t="shared" si="30"/>
        <v>#DIV/0!</v>
      </c>
      <c r="Q69" s="862" t="e">
        <f t="shared" si="31"/>
        <v>#DIV/0!</v>
      </c>
      <c r="R69" s="893" t="e">
        <f t="shared" si="32"/>
        <v>#DIV/0!</v>
      </c>
      <c r="S69" s="864" t="e">
        <f t="shared" si="33"/>
        <v>#DIV/0!</v>
      </c>
      <c r="T69" s="864" t="e">
        <f t="shared" si="34"/>
        <v>#DIV/0!</v>
      </c>
      <c r="U69" s="864" t="e">
        <f t="shared" si="35"/>
        <v>#DIV/0!</v>
      </c>
      <c r="V69" s="864" t="e">
        <f t="shared" si="36"/>
        <v>#DIV/0!</v>
      </c>
      <c r="W69" s="864" t="e">
        <f t="shared" si="37"/>
        <v>#DIV/0!</v>
      </c>
      <c r="Z69" s="443" t="s">
        <v>1359</v>
      </c>
    </row>
    <row r="70" spans="3:26" ht="12" hidden="1" outlineLevel="1" thickBot="1">
      <c r="C70" s="436"/>
      <c r="D70" s="857" t="str">
        <f>'GPC Data'!E134</f>
        <v>Comp 11</v>
      </c>
      <c r="E70" s="892">
        <f>'GPC Data'!P32</f>
        <v>0</v>
      </c>
      <c r="F70" s="859">
        <f>'GPC Data'!N134</f>
        <v>0</v>
      </c>
      <c r="G70" s="859">
        <f>'GPC Data'!O134</f>
        <v>0</v>
      </c>
      <c r="H70" s="859">
        <f>'GPC Data'!P134</f>
        <v>0</v>
      </c>
      <c r="I70" s="859">
        <f>'GPC Data'!Q134</f>
        <v>0</v>
      </c>
      <c r="J70" s="859">
        <f>'GPC Data'!R134</f>
        <v>0</v>
      </c>
      <c r="K70" s="860">
        <f>'GPC Data'!S134</f>
        <v>0</v>
      </c>
      <c r="L70" s="860">
        <f>'GPC Data'!T134</f>
        <v>0</v>
      </c>
      <c r="M70" s="860">
        <f>'GPC Data'!U134</f>
        <v>0</v>
      </c>
      <c r="N70" s="861" t="str">
        <f>IFERROR(F70/#REF!-1,"")</f>
        <v/>
      </c>
      <c r="O70" s="862" t="e">
        <f t="shared" si="29"/>
        <v>#DIV/0!</v>
      </c>
      <c r="P70" s="862" t="e">
        <f t="shared" si="30"/>
        <v>#DIV/0!</v>
      </c>
      <c r="Q70" s="862" t="e">
        <f t="shared" si="31"/>
        <v>#DIV/0!</v>
      </c>
      <c r="R70" s="893" t="e">
        <f t="shared" si="32"/>
        <v>#DIV/0!</v>
      </c>
      <c r="S70" s="864" t="e">
        <f t="shared" si="33"/>
        <v>#DIV/0!</v>
      </c>
      <c r="T70" s="864" t="e">
        <f t="shared" si="34"/>
        <v>#DIV/0!</v>
      </c>
      <c r="U70" s="864" t="e">
        <f t="shared" si="35"/>
        <v>#DIV/0!</v>
      </c>
      <c r="V70" s="864" t="e">
        <f t="shared" si="36"/>
        <v>#DIV/0!</v>
      </c>
      <c r="W70" s="864" t="e">
        <f t="shared" si="37"/>
        <v>#DIV/0!</v>
      </c>
      <c r="Z70" s="443" t="s">
        <v>106</v>
      </c>
    </row>
    <row r="71" spans="3:26" ht="12" hidden="1" outlineLevel="1" thickBot="1">
      <c r="C71" s="436"/>
      <c r="D71" s="857" t="str">
        <f>'GPC Data'!E135</f>
        <v>Comp 12</v>
      </c>
      <c r="E71" s="892">
        <f>'GPC Data'!P33</f>
        <v>0</v>
      </c>
      <c r="F71" s="859">
        <f>'GPC Data'!N135</f>
        <v>0</v>
      </c>
      <c r="G71" s="859">
        <f>'GPC Data'!O135</f>
        <v>0</v>
      </c>
      <c r="H71" s="859">
        <f>'GPC Data'!P135</f>
        <v>0</v>
      </c>
      <c r="I71" s="859">
        <f>'GPC Data'!Q135</f>
        <v>0</v>
      </c>
      <c r="J71" s="859">
        <f>'GPC Data'!R135</f>
        <v>0</v>
      </c>
      <c r="K71" s="860">
        <f>'GPC Data'!S135</f>
        <v>0</v>
      </c>
      <c r="L71" s="860">
        <f>'GPC Data'!T135</f>
        <v>0</v>
      </c>
      <c r="M71" s="860">
        <f>'GPC Data'!U135</f>
        <v>0</v>
      </c>
      <c r="N71" s="861" t="str">
        <f>IFERROR(F71/#REF!-1,"")</f>
        <v/>
      </c>
      <c r="O71" s="862" t="e">
        <f t="shared" si="29"/>
        <v>#DIV/0!</v>
      </c>
      <c r="P71" s="862" t="e">
        <f t="shared" si="30"/>
        <v>#DIV/0!</v>
      </c>
      <c r="Q71" s="862" t="e">
        <f t="shared" si="31"/>
        <v>#DIV/0!</v>
      </c>
      <c r="R71" s="893" t="e">
        <f t="shared" si="32"/>
        <v>#DIV/0!</v>
      </c>
      <c r="S71" s="864" t="e">
        <f t="shared" si="33"/>
        <v>#DIV/0!</v>
      </c>
      <c r="T71" s="864" t="e">
        <f t="shared" si="34"/>
        <v>#DIV/0!</v>
      </c>
      <c r="U71" s="864" t="e">
        <f t="shared" si="35"/>
        <v>#DIV/0!</v>
      </c>
      <c r="V71" s="864" t="e">
        <f t="shared" si="36"/>
        <v>#DIV/0!</v>
      </c>
      <c r="W71" s="864" t="e">
        <f t="shared" si="37"/>
        <v>#DIV/0!</v>
      </c>
      <c r="Z71" s="443" t="s">
        <v>106</v>
      </c>
    </row>
    <row r="72" spans="3:26" ht="12" hidden="1" outlineLevel="1" thickBot="1">
      <c r="C72" s="436"/>
      <c r="D72" s="857" t="str">
        <f>'GPC Data'!E136</f>
        <v>Comp 13</v>
      </c>
      <c r="E72" s="892">
        <f>'GPC Data'!P34</f>
        <v>0</v>
      </c>
      <c r="F72" s="859">
        <f>'GPC Data'!N136</f>
        <v>0</v>
      </c>
      <c r="G72" s="859">
        <f>'GPC Data'!O136</f>
        <v>0</v>
      </c>
      <c r="H72" s="859">
        <f>'GPC Data'!P136</f>
        <v>0</v>
      </c>
      <c r="I72" s="859">
        <f>'GPC Data'!Q136</f>
        <v>0</v>
      </c>
      <c r="J72" s="859">
        <f>'GPC Data'!R136</f>
        <v>0</v>
      </c>
      <c r="K72" s="860">
        <f>'GPC Data'!S136</f>
        <v>0</v>
      </c>
      <c r="L72" s="860">
        <f>'GPC Data'!T136</f>
        <v>0</v>
      </c>
      <c r="M72" s="860">
        <f>'GPC Data'!U136</f>
        <v>0</v>
      </c>
      <c r="N72" s="861" t="str">
        <f>IFERROR(F72/#REF!-1,"")</f>
        <v/>
      </c>
      <c r="O72" s="862" t="e">
        <f t="shared" si="29"/>
        <v>#DIV/0!</v>
      </c>
      <c r="P72" s="862" t="e">
        <f t="shared" si="30"/>
        <v>#DIV/0!</v>
      </c>
      <c r="Q72" s="862" t="e">
        <f t="shared" si="31"/>
        <v>#DIV/0!</v>
      </c>
      <c r="R72" s="893" t="e">
        <f t="shared" si="32"/>
        <v>#DIV/0!</v>
      </c>
      <c r="S72" s="864" t="e">
        <f t="shared" si="33"/>
        <v>#DIV/0!</v>
      </c>
      <c r="T72" s="864" t="e">
        <f t="shared" si="34"/>
        <v>#DIV/0!</v>
      </c>
      <c r="U72" s="864" t="e">
        <f t="shared" si="35"/>
        <v>#DIV/0!</v>
      </c>
      <c r="V72" s="864" t="e">
        <f t="shared" si="36"/>
        <v>#DIV/0!</v>
      </c>
      <c r="W72" s="864" t="e">
        <f t="shared" si="37"/>
        <v>#DIV/0!</v>
      </c>
      <c r="Z72" s="443" t="s">
        <v>106</v>
      </c>
    </row>
    <row r="73" spans="3:26" ht="12" hidden="1" outlineLevel="1" thickBot="1">
      <c r="C73" s="436"/>
      <c r="D73" s="857" t="str">
        <f>'GPC Data'!E137</f>
        <v>Comp 14</v>
      </c>
      <c r="E73" s="892">
        <f>'GPC Data'!P35</f>
        <v>0</v>
      </c>
      <c r="F73" s="859">
        <f>'GPC Data'!N137</f>
        <v>0</v>
      </c>
      <c r="G73" s="859">
        <f>'GPC Data'!O137</f>
        <v>0</v>
      </c>
      <c r="H73" s="859">
        <f>'GPC Data'!P137</f>
        <v>0</v>
      </c>
      <c r="I73" s="859">
        <f>'GPC Data'!Q137</f>
        <v>0</v>
      </c>
      <c r="J73" s="859">
        <f>'GPC Data'!R137</f>
        <v>0</v>
      </c>
      <c r="K73" s="860">
        <f>'GPC Data'!S137</f>
        <v>0</v>
      </c>
      <c r="L73" s="860">
        <f>'GPC Data'!T137</f>
        <v>0</v>
      </c>
      <c r="M73" s="860">
        <f>'GPC Data'!U137</f>
        <v>0</v>
      </c>
      <c r="N73" s="861" t="str">
        <f>IFERROR(F73/#REF!-1,"")</f>
        <v/>
      </c>
      <c r="O73" s="862" t="e">
        <f t="shared" si="29"/>
        <v>#DIV/0!</v>
      </c>
      <c r="P73" s="862" t="e">
        <f t="shared" si="30"/>
        <v>#DIV/0!</v>
      </c>
      <c r="Q73" s="862" t="e">
        <f t="shared" si="31"/>
        <v>#DIV/0!</v>
      </c>
      <c r="R73" s="893" t="e">
        <f t="shared" si="32"/>
        <v>#DIV/0!</v>
      </c>
      <c r="S73" s="864" t="e">
        <f t="shared" si="33"/>
        <v>#DIV/0!</v>
      </c>
      <c r="T73" s="864" t="e">
        <f t="shared" si="34"/>
        <v>#DIV/0!</v>
      </c>
      <c r="U73" s="864" t="e">
        <f t="shared" si="35"/>
        <v>#DIV/0!</v>
      </c>
      <c r="V73" s="864" t="e">
        <f t="shared" si="36"/>
        <v>#DIV/0!</v>
      </c>
      <c r="W73" s="864" t="e">
        <f t="shared" si="37"/>
        <v>#DIV/0!</v>
      </c>
      <c r="Z73" s="443" t="s">
        <v>106</v>
      </c>
    </row>
    <row r="74" spans="3:26" ht="12" hidden="1" outlineLevel="1" thickBot="1">
      <c r="C74" s="436"/>
      <c r="D74" s="857" t="str">
        <f>'GPC Data'!E138</f>
        <v>Comp 15</v>
      </c>
      <c r="E74" s="892">
        <f>'GPC Data'!P36</f>
        <v>0</v>
      </c>
      <c r="F74" s="859">
        <f>'GPC Data'!N138</f>
        <v>0</v>
      </c>
      <c r="G74" s="859">
        <f>'GPC Data'!O138</f>
        <v>0</v>
      </c>
      <c r="H74" s="859">
        <f>'GPC Data'!P138</f>
        <v>0</v>
      </c>
      <c r="I74" s="859">
        <f>'GPC Data'!Q138</f>
        <v>0</v>
      </c>
      <c r="J74" s="859">
        <f>'GPC Data'!R138</f>
        <v>0</v>
      </c>
      <c r="K74" s="860">
        <f>'GPC Data'!S138</f>
        <v>0</v>
      </c>
      <c r="L74" s="860">
        <f>'GPC Data'!T138</f>
        <v>0</v>
      </c>
      <c r="M74" s="860">
        <f>'GPC Data'!U138</f>
        <v>0</v>
      </c>
      <c r="N74" s="861" t="str">
        <f>IFERROR(F74/#REF!-1,"")</f>
        <v/>
      </c>
      <c r="O74" s="862" t="e">
        <f t="shared" si="29"/>
        <v>#DIV/0!</v>
      </c>
      <c r="P74" s="862" t="e">
        <f t="shared" si="30"/>
        <v>#DIV/0!</v>
      </c>
      <c r="Q74" s="862" t="e">
        <f t="shared" si="31"/>
        <v>#DIV/0!</v>
      </c>
      <c r="R74" s="893" t="e">
        <f t="shared" si="32"/>
        <v>#DIV/0!</v>
      </c>
      <c r="S74" s="864" t="e">
        <f t="shared" si="33"/>
        <v>#DIV/0!</v>
      </c>
      <c r="T74" s="864" t="e">
        <f t="shared" si="34"/>
        <v>#DIV/0!</v>
      </c>
      <c r="U74" s="864" t="e">
        <f t="shared" si="35"/>
        <v>#DIV/0!</v>
      </c>
      <c r="V74" s="864" t="e">
        <f t="shared" si="36"/>
        <v>#DIV/0!</v>
      </c>
      <c r="W74" s="864" t="e">
        <f t="shared" si="37"/>
        <v>#DIV/0!</v>
      </c>
      <c r="Z74" s="443" t="s">
        <v>106</v>
      </c>
    </row>
    <row r="75" spans="3:26" ht="12" hidden="1" outlineLevel="1" thickBot="1">
      <c r="C75" s="436"/>
      <c r="D75" s="857" t="str">
        <f>'GPC Data'!E139</f>
        <v>Comp 16</v>
      </c>
      <c r="E75" s="892">
        <f>'GPC Data'!P37</f>
        <v>0</v>
      </c>
      <c r="F75" s="859">
        <f>'GPC Data'!N139</f>
        <v>0</v>
      </c>
      <c r="G75" s="859">
        <f>'GPC Data'!O139</f>
        <v>0</v>
      </c>
      <c r="H75" s="859">
        <f>'GPC Data'!P139</f>
        <v>0</v>
      </c>
      <c r="I75" s="859">
        <f>'GPC Data'!Q139</f>
        <v>0</v>
      </c>
      <c r="J75" s="859">
        <f>'GPC Data'!R139</f>
        <v>0</v>
      </c>
      <c r="K75" s="860">
        <f>'GPC Data'!S139</f>
        <v>0</v>
      </c>
      <c r="L75" s="860">
        <f>'GPC Data'!T139</f>
        <v>0</v>
      </c>
      <c r="M75" s="860">
        <f>'GPC Data'!U139</f>
        <v>0</v>
      </c>
      <c r="N75" s="861" t="str">
        <f>IFERROR(F75/#REF!-1,"")</f>
        <v/>
      </c>
      <c r="O75" s="862" t="e">
        <f t="shared" si="29"/>
        <v>#DIV/0!</v>
      </c>
      <c r="P75" s="862" t="e">
        <f t="shared" si="30"/>
        <v>#DIV/0!</v>
      </c>
      <c r="Q75" s="862" t="e">
        <f t="shared" si="31"/>
        <v>#DIV/0!</v>
      </c>
      <c r="R75" s="893" t="e">
        <f t="shared" si="32"/>
        <v>#DIV/0!</v>
      </c>
      <c r="S75" s="864" t="e">
        <f t="shared" si="33"/>
        <v>#DIV/0!</v>
      </c>
      <c r="T75" s="864" t="e">
        <f t="shared" si="34"/>
        <v>#DIV/0!</v>
      </c>
      <c r="U75" s="864" t="e">
        <f t="shared" si="35"/>
        <v>#DIV/0!</v>
      </c>
      <c r="V75" s="864" t="e">
        <f t="shared" si="36"/>
        <v>#DIV/0!</v>
      </c>
      <c r="W75" s="864" t="e">
        <f t="shared" si="37"/>
        <v>#DIV/0!</v>
      </c>
      <c r="Z75" s="443" t="s">
        <v>106</v>
      </c>
    </row>
    <row r="76" spans="3:26" ht="12" hidden="1" outlineLevel="1" thickBot="1">
      <c r="C76" s="436"/>
      <c r="D76" s="857" t="str">
        <f>'GPC Data'!E140</f>
        <v>Comp 17</v>
      </c>
      <c r="E76" s="892">
        <f>'GPC Data'!P38</f>
        <v>0</v>
      </c>
      <c r="F76" s="859">
        <f>'GPC Data'!N140</f>
        <v>0</v>
      </c>
      <c r="G76" s="859">
        <f>'GPC Data'!O140</f>
        <v>0</v>
      </c>
      <c r="H76" s="859">
        <f>'GPC Data'!P140</f>
        <v>0</v>
      </c>
      <c r="I76" s="859">
        <f>'GPC Data'!Q140</f>
        <v>0</v>
      </c>
      <c r="J76" s="859">
        <f>'GPC Data'!R140</f>
        <v>0</v>
      </c>
      <c r="K76" s="860">
        <f>'GPC Data'!S140</f>
        <v>0</v>
      </c>
      <c r="L76" s="860">
        <f>'GPC Data'!T140</f>
        <v>0</v>
      </c>
      <c r="M76" s="860">
        <f>'GPC Data'!U140</f>
        <v>0</v>
      </c>
      <c r="N76" s="861" t="str">
        <f>IFERROR(F76/#REF!-1,"")</f>
        <v/>
      </c>
      <c r="O76" s="862" t="e">
        <f t="shared" si="29"/>
        <v>#DIV/0!</v>
      </c>
      <c r="P76" s="862" t="e">
        <f t="shared" si="30"/>
        <v>#DIV/0!</v>
      </c>
      <c r="Q76" s="862" t="e">
        <f t="shared" si="31"/>
        <v>#DIV/0!</v>
      </c>
      <c r="R76" s="893" t="e">
        <f t="shared" si="32"/>
        <v>#DIV/0!</v>
      </c>
      <c r="S76" s="864" t="e">
        <f t="shared" si="33"/>
        <v>#DIV/0!</v>
      </c>
      <c r="T76" s="864" t="e">
        <f t="shared" si="34"/>
        <v>#DIV/0!</v>
      </c>
      <c r="U76" s="864" t="e">
        <f t="shared" si="35"/>
        <v>#DIV/0!</v>
      </c>
      <c r="V76" s="864" t="e">
        <f t="shared" si="36"/>
        <v>#DIV/0!</v>
      </c>
      <c r="W76" s="864" t="e">
        <f t="shared" si="37"/>
        <v>#DIV/0!</v>
      </c>
      <c r="Z76" s="443" t="s">
        <v>106</v>
      </c>
    </row>
    <row r="77" spans="3:26" ht="12" hidden="1" outlineLevel="1" thickBot="1">
      <c r="C77" s="436"/>
      <c r="D77" s="857" t="str">
        <f>'GPC Data'!E141</f>
        <v>Comp 18</v>
      </c>
      <c r="E77" s="892">
        <f>'GPC Data'!P39</f>
        <v>0</v>
      </c>
      <c r="F77" s="859">
        <f>'GPC Data'!N141</f>
        <v>0</v>
      </c>
      <c r="G77" s="859">
        <f>'GPC Data'!O141</f>
        <v>0</v>
      </c>
      <c r="H77" s="859">
        <f>'GPC Data'!P141</f>
        <v>0</v>
      </c>
      <c r="I77" s="859">
        <f>'GPC Data'!Q141</f>
        <v>0</v>
      </c>
      <c r="J77" s="859">
        <f>'GPC Data'!R141</f>
        <v>0</v>
      </c>
      <c r="K77" s="860">
        <f>'GPC Data'!S141</f>
        <v>0</v>
      </c>
      <c r="L77" s="860">
        <f>'GPC Data'!T141</f>
        <v>0</v>
      </c>
      <c r="M77" s="860">
        <f>'GPC Data'!U141</f>
        <v>0</v>
      </c>
      <c r="N77" s="861" t="str">
        <f>IFERROR(F77/#REF!-1,"")</f>
        <v/>
      </c>
      <c r="O77" s="862" t="e">
        <f t="shared" si="29"/>
        <v>#DIV/0!</v>
      </c>
      <c r="P77" s="862" t="e">
        <f t="shared" si="30"/>
        <v>#DIV/0!</v>
      </c>
      <c r="Q77" s="862" t="e">
        <f t="shared" si="31"/>
        <v>#DIV/0!</v>
      </c>
      <c r="R77" s="893" t="e">
        <f t="shared" si="32"/>
        <v>#DIV/0!</v>
      </c>
      <c r="S77" s="864" t="e">
        <f t="shared" si="33"/>
        <v>#DIV/0!</v>
      </c>
      <c r="T77" s="864" t="e">
        <f t="shared" si="34"/>
        <v>#DIV/0!</v>
      </c>
      <c r="U77" s="864" t="e">
        <f t="shared" si="35"/>
        <v>#DIV/0!</v>
      </c>
      <c r="V77" s="864" t="e">
        <f t="shared" si="36"/>
        <v>#DIV/0!</v>
      </c>
      <c r="W77" s="864" t="e">
        <f t="shared" si="37"/>
        <v>#DIV/0!</v>
      </c>
      <c r="Z77" s="443" t="s">
        <v>106</v>
      </c>
    </row>
    <row r="78" spans="3:26" ht="12" hidden="1" outlineLevel="1" thickBot="1">
      <c r="C78" s="436"/>
      <c r="D78" s="857" t="str">
        <f>'GPC Data'!E142</f>
        <v>Comp 19</v>
      </c>
      <c r="E78" s="892">
        <f>'GPC Data'!P40</f>
        <v>0</v>
      </c>
      <c r="F78" s="859">
        <f>'GPC Data'!N142</f>
        <v>0</v>
      </c>
      <c r="G78" s="859">
        <f>'GPC Data'!O142</f>
        <v>0</v>
      </c>
      <c r="H78" s="859">
        <f>'GPC Data'!P142</f>
        <v>0</v>
      </c>
      <c r="I78" s="859">
        <f>'GPC Data'!Q142</f>
        <v>0</v>
      </c>
      <c r="J78" s="859">
        <f>'GPC Data'!R142</f>
        <v>0</v>
      </c>
      <c r="K78" s="860">
        <f>'GPC Data'!S142</f>
        <v>0</v>
      </c>
      <c r="L78" s="860">
        <f>'GPC Data'!T142</f>
        <v>0</v>
      </c>
      <c r="M78" s="860">
        <f>'GPC Data'!U142</f>
        <v>0</v>
      </c>
      <c r="N78" s="861" t="str">
        <f>IFERROR(F78/#REF!-1,"")</f>
        <v/>
      </c>
      <c r="O78" s="862" t="e">
        <f t="shared" si="29"/>
        <v>#DIV/0!</v>
      </c>
      <c r="P78" s="862" t="e">
        <f t="shared" si="30"/>
        <v>#DIV/0!</v>
      </c>
      <c r="Q78" s="862" t="e">
        <f t="shared" si="31"/>
        <v>#DIV/0!</v>
      </c>
      <c r="R78" s="893" t="e">
        <f t="shared" si="32"/>
        <v>#DIV/0!</v>
      </c>
      <c r="S78" s="864" t="e">
        <f t="shared" si="33"/>
        <v>#DIV/0!</v>
      </c>
      <c r="T78" s="864" t="e">
        <f t="shared" si="34"/>
        <v>#DIV/0!</v>
      </c>
      <c r="U78" s="864" t="e">
        <f t="shared" si="35"/>
        <v>#DIV/0!</v>
      </c>
      <c r="V78" s="864" t="e">
        <f t="shared" si="36"/>
        <v>#DIV/0!</v>
      </c>
      <c r="W78" s="864" t="e">
        <f t="shared" si="37"/>
        <v>#DIV/0!</v>
      </c>
      <c r="Z78" s="443" t="s">
        <v>106</v>
      </c>
    </row>
    <row r="79" spans="3:26" ht="12" hidden="1" outlineLevel="1" thickBot="1">
      <c r="C79" s="436"/>
      <c r="D79" s="857" t="str">
        <f>'GPC Data'!E143</f>
        <v>Comp 20</v>
      </c>
      <c r="E79" s="892">
        <f>'GPC Data'!P41</f>
        <v>0</v>
      </c>
      <c r="F79" s="859">
        <f>'GPC Data'!N143</f>
        <v>0</v>
      </c>
      <c r="G79" s="859">
        <f>'GPC Data'!O143</f>
        <v>0</v>
      </c>
      <c r="H79" s="859">
        <f>'GPC Data'!P143</f>
        <v>0</v>
      </c>
      <c r="I79" s="859">
        <f>'GPC Data'!Q143</f>
        <v>0</v>
      </c>
      <c r="J79" s="859">
        <f>'GPC Data'!R143</f>
        <v>0</v>
      </c>
      <c r="K79" s="860">
        <f>'GPC Data'!S143</f>
        <v>0</v>
      </c>
      <c r="L79" s="860">
        <f>'GPC Data'!T143</f>
        <v>0</v>
      </c>
      <c r="M79" s="860">
        <f>'GPC Data'!U143</f>
        <v>0</v>
      </c>
      <c r="N79" s="861" t="str">
        <f>IFERROR(F79/#REF!-1,"")</f>
        <v/>
      </c>
      <c r="O79" s="862" t="e">
        <f t="shared" si="29"/>
        <v>#DIV/0!</v>
      </c>
      <c r="P79" s="862" t="e">
        <f t="shared" si="30"/>
        <v>#DIV/0!</v>
      </c>
      <c r="Q79" s="862" t="e">
        <f t="shared" si="31"/>
        <v>#DIV/0!</v>
      </c>
      <c r="R79" s="893" t="e">
        <f t="shared" si="32"/>
        <v>#DIV/0!</v>
      </c>
      <c r="S79" s="864" t="e">
        <f t="shared" si="33"/>
        <v>#DIV/0!</v>
      </c>
      <c r="T79" s="864" t="e">
        <f t="shared" si="34"/>
        <v>#DIV/0!</v>
      </c>
      <c r="U79" s="864" t="e">
        <f t="shared" si="35"/>
        <v>#DIV/0!</v>
      </c>
      <c r="V79" s="864" t="e">
        <f t="shared" si="36"/>
        <v>#DIV/0!</v>
      </c>
      <c r="W79" s="864" t="e">
        <f t="shared" si="37"/>
        <v>#DIV/0!</v>
      </c>
      <c r="Z79" s="443" t="s">
        <v>106</v>
      </c>
    </row>
    <row r="80" spans="3:26" ht="12" hidden="1" outlineLevel="1" thickBot="1">
      <c r="C80" s="436"/>
      <c r="D80" s="857" t="str">
        <f>'GPC Data'!E144</f>
        <v>Comp 21</v>
      </c>
      <c r="E80" s="892">
        <f>'GPC Data'!P42</f>
        <v>0</v>
      </c>
      <c r="F80" s="859">
        <f>'GPC Data'!N144</f>
        <v>0</v>
      </c>
      <c r="G80" s="859">
        <f>'GPC Data'!O144</f>
        <v>0</v>
      </c>
      <c r="H80" s="859">
        <f>'GPC Data'!P144</f>
        <v>0</v>
      </c>
      <c r="I80" s="859">
        <f>'GPC Data'!Q144</f>
        <v>0</v>
      </c>
      <c r="J80" s="859">
        <f>'GPC Data'!R144</f>
        <v>0</v>
      </c>
      <c r="K80" s="860">
        <f>'GPC Data'!S144</f>
        <v>0</v>
      </c>
      <c r="L80" s="860">
        <f>'GPC Data'!T144</f>
        <v>0</v>
      </c>
      <c r="M80" s="860">
        <f>'GPC Data'!U144</f>
        <v>0</v>
      </c>
      <c r="N80" s="861" t="str">
        <f>IFERROR(F80/#REF!-1,"")</f>
        <v/>
      </c>
      <c r="O80" s="862" t="e">
        <f t="shared" si="29"/>
        <v>#DIV/0!</v>
      </c>
      <c r="P80" s="862" t="e">
        <f t="shared" si="30"/>
        <v>#DIV/0!</v>
      </c>
      <c r="Q80" s="862" t="e">
        <f t="shared" si="31"/>
        <v>#DIV/0!</v>
      </c>
      <c r="R80" s="893" t="e">
        <f t="shared" si="32"/>
        <v>#DIV/0!</v>
      </c>
      <c r="S80" s="864" t="e">
        <f t="shared" si="33"/>
        <v>#DIV/0!</v>
      </c>
      <c r="T80" s="864" t="e">
        <f t="shared" si="34"/>
        <v>#DIV/0!</v>
      </c>
      <c r="U80" s="864" t="e">
        <f t="shared" si="35"/>
        <v>#DIV/0!</v>
      </c>
      <c r="V80" s="864" t="e">
        <f t="shared" si="36"/>
        <v>#DIV/0!</v>
      </c>
      <c r="W80" s="864" t="e">
        <f t="shared" si="37"/>
        <v>#DIV/0!</v>
      </c>
      <c r="Z80" s="443" t="s">
        <v>106</v>
      </c>
    </row>
    <row r="81" spans="3:26" ht="12" hidden="1" outlineLevel="1" thickBot="1">
      <c r="C81" s="436"/>
      <c r="D81" s="857" t="str">
        <f>'GPC Data'!E145</f>
        <v>Comp 22</v>
      </c>
      <c r="E81" s="892">
        <f>'GPC Data'!P43</f>
        <v>0</v>
      </c>
      <c r="F81" s="859">
        <f>'GPC Data'!N145</f>
        <v>0</v>
      </c>
      <c r="G81" s="859">
        <f>'GPC Data'!O145</f>
        <v>0</v>
      </c>
      <c r="H81" s="859">
        <f>'GPC Data'!P145</f>
        <v>0</v>
      </c>
      <c r="I81" s="859">
        <f>'GPC Data'!Q145</f>
        <v>0</v>
      </c>
      <c r="J81" s="859">
        <f>'GPC Data'!R145</f>
        <v>0</v>
      </c>
      <c r="K81" s="860">
        <f>'GPC Data'!S145</f>
        <v>0</v>
      </c>
      <c r="L81" s="860">
        <f>'GPC Data'!T145</f>
        <v>0</v>
      </c>
      <c r="M81" s="860">
        <f>'GPC Data'!U145</f>
        <v>0</v>
      </c>
      <c r="N81" s="861" t="str">
        <f>IFERROR(F81/#REF!-1,"")</f>
        <v/>
      </c>
      <c r="O81" s="862" t="e">
        <f t="shared" si="29"/>
        <v>#DIV/0!</v>
      </c>
      <c r="P81" s="862" t="e">
        <f t="shared" si="30"/>
        <v>#DIV/0!</v>
      </c>
      <c r="Q81" s="862" t="e">
        <f t="shared" si="31"/>
        <v>#DIV/0!</v>
      </c>
      <c r="R81" s="893" t="e">
        <f t="shared" si="32"/>
        <v>#DIV/0!</v>
      </c>
      <c r="S81" s="864" t="e">
        <f t="shared" si="33"/>
        <v>#DIV/0!</v>
      </c>
      <c r="T81" s="864" t="e">
        <f t="shared" si="34"/>
        <v>#DIV/0!</v>
      </c>
      <c r="U81" s="864" t="e">
        <f t="shared" si="35"/>
        <v>#DIV/0!</v>
      </c>
      <c r="V81" s="864" t="e">
        <f t="shared" si="36"/>
        <v>#DIV/0!</v>
      </c>
      <c r="W81" s="864" t="e">
        <f t="shared" si="37"/>
        <v>#DIV/0!</v>
      </c>
      <c r="Z81" s="443" t="s">
        <v>106</v>
      </c>
    </row>
    <row r="82" spans="3:26" collapsed="1">
      <c r="D82" s="869" t="str">
        <f>"As of "&amp;TEXT(valuation.date,"d mmmm yyy")&amp;"."&amp;" Historical and forecast consensus financial statements for the selected guideline public companies provided by EIKON."</f>
        <v>As of 30 September 2024. Historical and forecast consensus financial statements for the selected guideline public companies provided by EIKON.</v>
      </c>
      <c r="E82" s="867"/>
      <c r="F82" s="867"/>
      <c r="G82" s="867"/>
      <c r="H82" s="867"/>
      <c r="I82" s="867"/>
      <c r="J82" s="867"/>
      <c r="K82" s="867"/>
      <c r="L82" s="867"/>
      <c r="M82" s="867"/>
      <c r="N82" s="867"/>
      <c r="O82" s="867"/>
      <c r="P82" s="867"/>
      <c r="Q82" s="867"/>
      <c r="R82" s="867"/>
      <c r="S82" s="867"/>
      <c r="T82" s="867"/>
      <c r="U82" s="867"/>
      <c r="V82" s="867"/>
      <c r="W82" s="867"/>
    </row>
    <row r="83" spans="3:26">
      <c r="D83" s="869"/>
      <c r="E83" s="867"/>
      <c r="F83" s="867"/>
      <c r="G83" s="867"/>
      <c r="H83" s="867"/>
      <c r="I83" s="867"/>
      <c r="J83" s="867"/>
      <c r="K83" s="867"/>
      <c r="L83" s="867"/>
      <c r="M83" s="867"/>
      <c r="N83" s="867"/>
      <c r="O83" s="867"/>
      <c r="P83" s="867"/>
      <c r="Q83" s="867"/>
      <c r="R83" s="867"/>
      <c r="S83" s="867"/>
      <c r="T83" s="867"/>
      <c r="U83" s="867"/>
      <c r="V83" s="867"/>
      <c r="W83" s="867"/>
    </row>
    <row r="84" spans="3:26">
      <c r="D84" s="868"/>
      <c r="E84" s="870" t="s">
        <v>209</v>
      </c>
      <c r="F84" s="870"/>
      <c r="G84" s="870"/>
      <c r="H84" s="870"/>
      <c r="I84" s="870"/>
      <c r="J84" s="870"/>
      <c r="K84" s="870"/>
      <c r="L84" s="762"/>
      <c r="M84" s="762"/>
      <c r="N84" s="871">
        <f>MAX(N60:N81)</f>
        <v>0</v>
      </c>
      <c r="O84" s="872" t="e">
        <f t="shared" ref="O84:W84" si="38">MAX(O60:O81)</f>
        <v>#DIV/0!</v>
      </c>
      <c r="P84" s="872" t="e">
        <f t="shared" si="38"/>
        <v>#DIV/0!</v>
      </c>
      <c r="Q84" s="872" t="e">
        <f t="shared" si="38"/>
        <v>#DIV/0!</v>
      </c>
      <c r="R84" s="872" t="e">
        <f t="shared" si="38"/>
        <v>#DIV/0!</v>
      </c>
      <c r="S84" s="873" t="e">
        <f t="shared" si="38"/>
        <v>#DIV/0!</v>
      </c>
      <c r="T84" s="873" t="e">
        <f t="shared" si="38"/>
        <v>#DIV/0!</v>
      </c>
      <c r="U84" s="873" t="e">
        <f t="shared" si="38"/>
        <v>#DIV/0!</v>
      </c>
      <c r="V84" s="873" t="e">
        <f t="shared" si="38"/>
        <v>#DIV/0!</v>
      </c>
      <c r="W84" s="873" t="e">
        <f t="shared" si="38"/>
        <v>#DIV/0!</v>
      </c>
    </row>
    <row r="85" spans="3:26">
      <c r="D85" s="868"/>
      <c r="E85" s="874" t="s">
        <v>1419</v>
      </c>
      <c r="F85" s="874"/>
      <c r="G85" s="874"/>
      <c r="H85" s="874"/>
      <c r="I85" s="874"/>
      <c r="J85" s="874"/>
      <c r="K85" s="874"/>
      <c r="L85" s="251"/>
      <c r="M85" s="251"/>
      <c r="N85" s="875" t="e">
        <f>PERCENTILE(N60:N81,0.75)</f>
        <v>#NUM!</v>
      </c>
      <c r="O85" s="876" t="e">
        <f t="shared" ref="O85:W85" si="39">PERCENTILE(O60:O81,0.75)</f>
        <v>#DIV/0!</v>
      </c>
      <c r="P85" s="876" t="e">
        <f t="shared" si="39"/>
        <v>#DIV/0!</v>
      </c>
      <c r="Q85" s="876" t="e">
        <f t="shared" si="39"/>
        <v>#DIV/0!</v>
      </c>
      <c r="R85" s="876" t="e">
        <f t="shared" si="39"/>
        <v>#DIV/0!</v>
      </c>
      <c r="S85" s="877" t="e">
        <f t="shared" si="39"/>
        <v>#DIV/0!</v>
      </c>
      <c r="T85" s="877" t="e">
        <f t="shared" si="39"/>
        <v>#DIV/0!</v>
      </c>
      <c r="U85" s="877" t="e">
        <f t="shared" si="39"/>
        <v>#DIV/0!</v>
      </c>
      <c r="V85" s="877" t="e">
        <f t="shared" si="39"/>
        <v>#DIV/0!</v>
      </c>
      <c r="W85" s="877" t="e">
        <f t="shared" si="39"/>
        <v>#DIV/0!</v>
      </c>
    </row>
    <row r="86" spans="3:26">
      <c r="D86" s="868"/>
      <c r="E86" s="874" t="s">
        <v>1369</v>
      </c>
      <c r="F86" s="874"/>
      <c r="G86" s="874"/>
      <c r="H86" s="874"/>
      <c r="I86" s="874"/>
      <c r="J86" s="874"/>
      <c r="K86" s="874"/>
      <c r="L86" s="251"/>
      <c r="M86" s="251"/>
      <c r="N86" s="875" t="e">
        <f>AVERAGE(N60:N81)</f>
        <v>#DIV/0!</v>
      </c>
      <c r="O86" s="876" t="e">
        <f t="shared" ref="O86:W86" si="40">AVERAGE(O60:O81)</f>
        <v>#DIV/0!</v>
      </c>
      <c r="P86" s="876" t="e">
        <f t="shared" si="40"/>
        <v>#DIV/0!</v>
      </c>
      <c r="Q86" s="876" t="e">
        <f t="shared" si="40"/>
        <v>#DIV/0!</v>
      </c>
      <c r="R86" s="876" t="e">
        <f t="shared" si="40"/>
        <v>#DIV/0!</v>
      </c>
      <c r="S86" s="877" t="e">
        <f t="shared" si="40"/>
        <v>#DIV/0!</v>
      </c>
      <c r="T86" s="877" t="e">
        <f t="shared" si="40"/>
        <v>#DIV/0!</v>
      </c>
      <c r="U86" s="877" t="e">
        <f t="shared" si="40"/>
        <v>#DIV/0!</v>
      </c>
      <c r="V86" s="877" t="e">
        <f t="shared" si="40"/>
        <v>#DIV/0!</v>
      </c>
      <c r="W86" s="877" t="e">
        <f t="shared" si="40"/>
        <v>#DIV/0!</v>
      </c>
    </row>
    <row r="87" spans="3:26" ht="13.5">
      <c r="D87" s="878"/>
      <c r="E87" s="879" t="s">
        <v>1370</v>
      </c>
      <c r="F87" s="880"/>
      <c r="G87" s="880"/>
      <c r="H87" s="880"/>
      <c r="I87" s="880"/>
      <c r="J87" s="880"/>
      <c r="K87" s="880"/>
      <c r="L87" s="239"/>
      <c r="M87" s="239"/>
      <c r="N87" s="881" t="e">
        <f>MEDIAN(N60:N81)</f>
        <v>#NUM!</v>
      </c>
      <c r="O87" s="877" t="e">
        <f t="shared" ref="O87:W87" si="41">MEDIAN(O60:O81)</f>
        <v>#DIV/0!</v>
      </c>
      <c r="P87" s="877" t="e">
        <f t="shared" si="41"/>
        <v>#DIV/0!</v>
      </c>
      <c r="Q87" s="877" t="e">
        <f t="shared" si="41"/>
        <v>#DIV/0!</v>
      </c>
      <c r="R87" s="877" t="e">
        <f t="shared" si="41"/>
        <v>#DIV/0!</v>
      </c>
      <c r="S87" s="877" t="e">
        <f t="shared" si="41"/>
        <v>#DIV/0!</v>
      </c>
      <c r="T87" s="877" t="e">
        <f t="shared" si="41"/>
        <v>#DIV/0!</v>
      </c>
      <c r="U87" s="877" t="e">
        <f t="shared" si="41"/>
        <v>#DIV/0!</v>
      </c>
      <c r="V87" s="877" t="e">
        <f t="shared" si="41"/>
        <v>#DIV/0!</v>
      </c>
      <c r="W87" s="877" t="e">
        <f t="shared" si="41"/>
        <v>#DIV/0!</v>
      </c>
    </row>
    <row r="88" spans="3:26" ht="13.5">
      <c r="D88" s="878"/>
      <c r="E88" s="874" t="s">
        <v>1420</v>
      </c>
      <c r="F88" s="883"/>
      <c r="G88" s="883"/>
      <c r="H88" s="883"/>
      <c r="I88" s="883"/>
      <c r="J88" s="883"/>
      <c r="K88" s="883"/>
      <c r="L88" s="251"/>
      <c r="M88" s="251"/>
      <c r="N88" s="875" t="e">
        <f>PERCENTILE(N60:N81,0.25)</f>
        <v>#NUM!</v>
      </c>
      <c r="O88" s="876" t="e">
        <f t="shared" ref="O88:W88" si="42">PERCENTILE(O60:O81,0.25)</f>
        <v>#DIV/0!</v>
      </c>
      <c r="P88" s="876" t="e">
        <f t="shared" si="42"/>
        <v>#DIV/0!</v>
      </c>
      <c r="Q88" s="876" t="e">
        <f t="shared" si="42"/>
        <v>#DIV/0!</v>
      </c>
      <c r="R88" s="876" t="e">
        <f t="shared" si="42"/>
        <v>#DIV/0!</v>
      </c>
      <c r="S88" s="877" t="e">
        <f t="shared" si="42"/>
        <v>#DIV/0!</v>
      </c>
      <c r="T88" s="877" t="e">
        <f t="shared" si="42"/>
        <v>#DIV/0!</v>
      </c>
      <c r="U88" s="877" t="e">
        <f t="shared" si="42"/>
        <v>#DIV/0!</v>
      </c>
      <c r="V88" s="877" t="e">
        <f t="shared" si="42"/>
        <v>#DIV/0!</v>
      </c>
      <c r="W88" s="877" t="e">
        <f t="shared" si="42"/>
        <v>#DIV/0!</v>
      </c>
    </row>
    <row r="89" spans="3:26">
      <c r="D89" s="868"/>
      <c r="E89" s="884" t="s">
        <v>208</v>
      </c>
      <c r="F89" s="884"/>
      <c r="G89" s="884"/>
      <c r="H89" s="884"/>
      <c r="I89" s="884"/>
      <c r="J89" s="884"/>
      <c r="K89" s="884"/>
      <c r="L89" s="487"/>
      <c r="M89" s="487"/>
      <c r="N89" s="885">
        <f>MIN(N60:N81)</f>
        <v>0</v>
      </c>
      <c r="O89" s="886" t="e">
        <f t="shared" ref="O89:W89" si="43">MIN(O60:O81)</f>
        <v>#DIV/0!</v>
      </c>
      <c r="P89" s="886" t="e">
        <f t="shared" si="43"/>
        <v>#DIV/0!</v>
      </c>
      <c r="Q89" s="886" t="e">
        <f t="shared" si="43"/>
        <v>#DIV/0!</v>
      </c>
      <c r="R89" s="886" t="e">
        <f t="shared" si="43"/>
        <v>#DIV/0!</v>
      </c>
      <c r="S89" s="887" t="e">
        <f t="shared" si="43"/>
        <v>#DIV/0!</v>
      </c>
      <c r="T89" s="887" t="e">
        <f t="shared" si="43"/>
        <v>#DIV/0!</v>
      </c>
      <c r="U89" s="887" t="e">
        <f t="shared" si="43"/>
        <v>#DIV/0!</v>
      </c>
      <c r="V89" s="887" t="e">
        <f t="shared" si="43"/>
        <v>#DIV/0!</v>
      </c>
      <c r="W89" s="887" t="e">
        <f t="shared" si="43"/>
        <v>#DIV/0!</v>
      </c>
    </row>
    <row r="90" spans="3:26">
      <c r="D90" s="868"/>
      <c r="E90" s="466" t="s">
        <v>1371</v>
      </c>
      <c r="F90" s="868"/>
      <c r="G90" s="868"/>
      <c r="H90" s="868"/>
      <c r="I90" s="868"/>
      <c r="J90" s="868"/>
      <c r="K90" s="868"/>
      <c r="N90" s="811"/>
      <c r="O90" s="811"/>
      <c r="P90" s="811"/>
      <c r="Q90" s="811"/>
      <c r="R90" s="811"/>
      <c r="S90" s="811"/>
      <c r="T90" s="811"/>
      <c r="U90" s="811"/>
      <c r="V90" s="811"/>
      <c r="W90" s="811"/>
    </row>
    <row r="91" spans="3:26">
      <c r="D91" s="868"/>
      <c r="E91" s="870" t="s">
        <v>209</v>
      </c>
      <c r="F91" s="870"/>
      <c r="G91" s="870"/>
      <c r="H91" s="870"/>
      <c r="I91" s="870"/>
      <c r="J91" s="870"/>
      <c r="K91" s="870"/>
      <c r="L91" s="762"/>
      <c r="M91" s="762"/>
      <c r="N91" s="871" cm="1">
        <f t="array" ref="N91">IFERROR(MAX(IF($Z$60:$Z$81="No",N60:N81)),"")</f>
        <v>0</v>
      </c>
      <c r="O91" s="872" t="str" cm="1">
        <f t="array" ref="O91">IFERROR(MAX(IF($Z$60:$Z$81="No",O60:O81)),"")</f>
        <v/>
      </c>
      <c r="P91" s="872" t="str" cm="1">
        <f t="array" ref="P91">IFERROR(MAX(IF($Z$60:$Z$81="No",P60:P81)),"")</f>
        <v/>
      </c>
      <c r="Q91" s="872" t="str" cm="1">
        <f t="array" ref="Q91">IFERROR(MAX(IF($Z$60:$Z$81="No",Q60:Q81)),"")</f>
        <v/>
      </c>
      <c r="R91" s="872" t="str" cm="1">
        <f t="array" ref="R91">IFERROR(MAX(IF($Z$60:$Z$81="No",R60:R81)),"")</f>
        <v/>
      </c>
      <c r="S91" s="873" t="str" cm="1">
        <f t="array" ref="S91">IFERROR(MAX(IF($Z$60:$Z$81="No",S60:S81)),"")</f>
        <v/>
      </c>
      <c r="T91" s="873" t="str" cm="1">
        <f t="array" ref="T91">IFERROR(MAX(IF($Z$60:$Z$81="No",T60:T81)),"")</f>
        <v/>
      </c>
      <c r="U91" s="873" t="str" cm="1">
        <f t="array" ref="U91">IFERROR(MAX(IF($Z$60:$Z$81="No",U60:U81)),"")</f>
        <v/>
      </c>
      <c r="V91" s="873" t="str" cm="1">
        <f t="array" ref="V91">IFERROR(MAX(IF($Z$60:$Z$81="No",V60:V81)),"")</f>
        <v/>
      </c>
      <c r="W91" s="873" t="str" cm="1">
        <f t="array" ref="W91">IFERROR(MAX(IF($Z$60:$Z$81="No",W60:W81)),"")</f>
        <v/>
      </c>
    </row>
    <row r="92" spans="3:26">
      <c r="D92" s="868"/>
      <c r="E92" s="874" t="s">
        <v>1419</v>
      </c>
      <c r="F92" s="874"/>
      <c r="G92" s="874"/>
      <c r="H92" s="874"/>
      <c r="I92" s="874"/>
      <c r="J92" s="874"/>
      <c r="K92" s="874"/>
      <c r="L92" s="251"/>
      <c r="M92" s="251"/>
      <c r="N92" s="875" t="e" cm="1">
        <f t="array" ref="N92">PERCENTILE(IF($Z$60:$Z$81="No",N60:N81),0.75)</f>
        <v>#NUM!</v>
      </c>
      <c r="O92" s="876" t="e" cm="1">
        <f t="array" ref="O92">PERCENTILE(IF($Z$60:$Z$81="No",O60:O81),0.75)</f>
        <v>#DIV/0!</v>
      </c>
      <c r="P92" s="876" t="e" cm="1">
        <f t="array" ref="P92">PERCENTILE(IF($Z$60:$Z$81="No",P60:P81),0.75)</f>
        <v>#DIV/0!</v>
      </c>
      <c r="Q92" s="876" t="e" cm="1">
        <f t="array" ref="Q92">PERCENTILE(IF($Z$60:$Z$81="No",Q60:Q81),0.75)</f>
        <v>#DIV/0!</v>
      </c>
      <c r="R92" s="876" t="e" cm="1">
        <f t="array" ref="R92">PERCENTILE(IF($Z$60:$Z$81="No",R60:R81),0.75)</f>
        <v>#DIV/0!</v>
      </c>
      <c r="S92" s="877" t="e" cm="1">
        <f t="array" ref="S92">PERCENTILE(IF($Z$60:$Z$81="No",S60:S81),0.75)</f>
        <v>#DIV/0!</v>
      </c>
      <c r="T92" s="877" t="e" cm="1">
        <f t="array" ref="T92">PERCENTILE(IF($Z$60:$Z$81="No",T60:T81),0.75)</f>
        <v>#DIV/0!</v>
      </c>
      <c r="U92" s="877" t="e" cm="1">
        <f t="array" ref="U92">PERCENTILE(IF($Z$60:$Z$81="No",U60:U81),0.75)</f>
        <v>#DIV/0!</v>
      </c>
      <c r="V92" s="877" t="e" cm="1">
        <f t="array" ref="V92">PERCENTILE(IF($Z$60:$Z$81="No",V60:V81),0.75)</f>
        <v>#DIV/0!</v>
      </c>
      <c r="W92" s="877" t="e" cm="1">
        <f t="array" ref="W92">PERCENTILE(IF($Z$60:$Z$81="No",W60:W81),0.75)</f>
        <v>#DIV/0!</v>
      </c>
    </row>
    <row r="93" spans="3:26">
      <c r="D93" s="868"/>
      <c r="E93" s="874" t="s">
        <v>1369</v>
      </c>
      <c r="F93" s="874"/>
      <c r="G93" s="874"/>
      <c r="H93" s="874"/>
      <c r="I93" s="874"/>
      <c r="J93" s="874"/>
      <c r="K93" s="874"/>
      <c r="L93" s="251"/>
      <c r="M93" s="251"/>
      <c r="N93" s="875" t="str">
        <f>IFERROR(AVERAGEIF($Z$60:$Z$81,"No",N60:N81),"")</f>
        <v/>
      </c>
      <c r="O93" s="876" t="str">
        <f t="shared" ref="O93:W93" si="44">IFERROR(AVERAGEIF($Z$60:$Z$81,"No",O60:O81),"")</f>
        <v/>
      </c>
      <c r="P93" s="876" t="str">
        <f t="shared" si="44"/>
        <v/>
      </c>
      <c r="Q93" s="876" t="str">
        <f t="shared" si="44"/>
        <v/>
      </c>
      <c r="R93" s="876" t="str">
        <f t="shared" si="44"/>
        <v/>
      </c>
      <c r="S93" s="877" t="str">
        <f t="shared" si="44"/>
        <v/>
      </c>
      <c r="T93" s="877" t="str">
        <f t="shared" si="44"/>
        <v/>
      </c>
      <c r="U93" s="877" t="str">
        <f t="shared" si="44"/>
        <v/>
      </c>
      <c r="V93" s="877" t="str">
        <f t="shared" si="44"/>
        <v/>
      </c>
      <c r="W93" s="877" t="str">
        <f t="shared" si="44"/>
        <v/>
      </c>
    </row>
    <row r="94" spans="3:26" ht="13.5">
      <c r="D94" s="868"/>
      <c r="E94" s="879" t="s">
        <v>1370</v>
      </c>
      <c r="F94" s="880"/>
      <c r="G94" s="880"/>
      <c r="H94" s="880"/>
      <c r="I94" s="880"/>
      <c r="J94" s="880"/>
      <c r="K94" s="880"/>
      <c r="L94" s="239"/>
      <c r="M94" s="239"/>
      <c r="N94" s="881" t="str" cm="1">
        <f t="array" ref="N94">IFERROR(MEDIAN(IF($Z$60:$Z$81="No",N60:N81)),"")</f>
        <v/>
      </c>
      <c r="O94" s="877" t="str" cm="1">
        <f t="array" ref="O94">IFERROR(MEDIAN(IF($Z$60:$Z$81="No",O60:O81)),"")</f>
        <v/>
      </c>
      <c r="P94" s="877" t="str" cm="1">
        <f t="array" ref="P94">IFERROR(MEDIAN(IF($Z$60:$Z$81="No",P60:P81)),"")</f>
        <v/>
      </c>
      <c r="Q94" s="877" t="str" cm="1">
        <f t="array" ref="Q94">IFERROR(MEDIAN(IF($Z$60:$Z$81="No",Q60:Q81)),"")</f>
        <v/>
      </c>
      <c r="R94" s="877" t="str" cm="1">
        <f t="array" ref="R94">IFERROR(MEDIAN(IF($Z$60:$Z$81="No",R60:R81)),"")</f>
        <v/>
      </c>
      <c r="S94" s="877" t="str" cm="1">
        <f t="array" ref="S94">IFERROR(MEDIAN(IF($Z$60:$Z$81="No",S60:S81)),"")</f>
        <v/>
      </c>
      <c r="T94" s="877" t="str" cm="1">
        <f t="array" ref="T94">IFERROR(MEDIAN(IF($Z$60:$Z$81="No",T60:T81)),"")</f>
        <v/>
      </c>
      <c r="U94" s="877" t="str" cm="1">
        <f t="array" ref="U94">IFERROR(MEDIAN(IF($Z$60:$Z$81="No",U60:U81)),"")</f>
        <v/>
      </c>
      <c r="V94" s="877" t="str" cm="1">
        <f t="array" ref="V94">IFERROR(MEDIAN(IF($Z$60:$Z$81="No",V60:V81)),"")</f>
        <v/>
      </c>
      <c r="W94" s="877" t="str" cm="1">
        <f t="array" ref="W94">IFERROR(MEDIAN(IF($Z$60:$Z$81="No",W60:W81)),"")</f>
        <v/>
      </c>
    </row>
    <row r="95" spans="3:26" ht="13.5">
      <c r="D95" s="868"/>
      <c r="E95" s="874" t="s">
        <v>1420</v>
      </c>
      <c r="F95" s="883"/>
      <c r="G95" s="883"/>
      <c r="H95" s="883"/>
      <c r="I95" s="883"/>
      <c r="J95" s="883"/>
      <c r="K95" s="883"/>
      <c r="L95" s="251"/>
      <c r="M95" s="251"/>
      <c r="N95" s="875" t="e" cm="1">
        <f t="array" ref="N95">PERCENTILE(IF($Z$60:$Z$81="No",N60:N81),0.25)</f>
        <v>#NUM!</v>
      </c>
      <c r="O95" s="876" t="e" cm="1">
        <f t="array" ref="O95">PERCENTILE(IF($Z$60:$Z$81="No",O60:O81),0.25)</f>
        <v>#DIV/0!</v>
      </c>
      <c r="P95" s="876" t="e" cm="1">
        <f t="array" ref="P95">PERCENTILE(IF($Z$60:$Z$81="No",P60:P81),0.25)</f>
        <v>#DIV/0!</v>
      </c>
      <c r="Q95" s="876" t="e" cm="1">
        <f t="array" ref="Q95">PERCENTILE(IF($Z$60:$Z$81="No",Q60:Q81),0.25)</f>
        <v>#DIV/0!</v>
      </c>
      <c r="R95" s="876" t="e" cm="1">
        <f t="array" ref="R95">PERCENTILE(IF($Z$60:$Z$81="No",R60:R81),0.25)</f>
        <v>#DIV/0!</v>
      </c>
      <c r="S95" s="877" t="e" cm="1">
        <f t="array" ref="S95">PERCENTILE(IF($Z$60:$Z$81="No",S60:S81),0.25)</f>
        <v>#DIV/0!</v>
      </c>
      <c r="T95" s="877" t="e" cm="1">
        <f t="array" ref="T95">PERCENTILE(IF($Z$60:$Z$81="No",T60:T81),0.25)</f>
        <v>#DIV/0!</v>
      </c>
      <c r="U95" s="877" t="e" cm="1">
        <f t="array" ref="U95">PERCENTILE(IF($Z$60:$Z$81="No",U60:U81),0.25)</f>
        <v>#DIV/0!</v>
      </c>
      <c r="V95" s="877" t="e" cm="1">
        <f t="array" ref="V95">PERCENTILE(IF($Z$60:$Z$81="No",V60:V81),0.25)</f>
        <v>#DIV/0!</v>
      </c>
      <c r="W95" s="877" t="e" cm="1">
        <f t="array" ref="W95">PERCENTILE(IF($Z$60:$Z$81="No",W60:W81),0.25)</f>
        <v>#DIV/0!</v>
      </c>
    </row>
    <row r="96" spans="3:26" ht="13.5">
      <c r="D96" s="888"/>
      <c r="E96" s="884" t="s">
        <v>208</v>
      </c>
      <c r="F96" s="884"/>
      <c r="G96" s="884"/>
      <c r="H96" s="884"/>
      <c r="I96" s="884"/>
      <c r="J96" s="884"/>
      <c r="K96" s="884"/>
      <c r="L96" s="487"/>
      <c r="M96" s="487"/>
      <c r="N96" s="885" cm="1">
        <f t="array" ref="N96">IFERROR(MIN(IF($Z$60:$Z$81="No",N60:N81)),"")</f>
        <v>0</v>
      </c>
      <c r="O96" s="886" t="str" cm="1">
        <f t="array" ref="O96">IFERROR(MIN(IF($Z$60:$Z$81="No",O60:O81)),"")</f>
        <v/>
      </c>
      <c r="P96" s="886" t="str" cm="1">
        <f t="array" ref="P96">IFERROR(MIN(IF($Z$60:$Z$81="No",P60:P81)),"")</f>
        <v/>
      </c>
      <c r="Q96" s="886" t="str" cm="1">
        <f t="array" ref="Q96">IFERROR(MIN(IF($Z$60:$Z$81="No",Q60:Q81)),"")</f>
        <v/>
      </c>
      <c r="R96" s="886" t="str" cm="1">
        <f t="array" ref="R96">IFERROR(MIN(IF($Z$60:$Z$81="No",R60:R81)),"")</f>
        <v/>
      </c>
      <c r="S96" s="887" t="str" cm="1">
        <f t="array" ref="S96">IFERROR(MIN(IF($Z$60:$Z$81="No",S60:S81)),"")</f>
        <v/>
      </c>
      <c r="T96" s="887" t="str" cm="1">
        <f t="array" ref="T96">IFERROR(MIN(IF($Z$60:$Z$81="No",T60:T81)),"")</f>
        <v/>
      </c>
      <c r="U96" s="887" t="str" cm="1">
        <f t="array" ref="U96">IFERROR(MIN(IF($Z$60:$Z$81="No",U60:U81)),"")</f>
        <v/>
      </c>
      <c r="V96" s="887" t="str" cm="1">
        <f t="array" ref="V96">IFERROR(MIN(IF($Z$60:$Z$81="No",V60:V81)),"")</f>
        <v/>
      </c>
      <c r="W96" s="887" t="str" cm="1">
        <f t="array" ref="W96">IFERROR(MIN(IF($Z$60:$Z$81="No",W60:W81)),"")</f>
        <v/>
      </c>
    </row>
  </sheetData>
  <sheetProtection formatCells="0" formatColumns="0" formatRows="0" insertColumns="0" insertRows="0" insertHyperlinks="0" deleteColumns="0" deleteRows="0" sort="0" autoFilter="0" pivotTables="0"/>
  <mergeCells count="8">
    <mergeCell ref="F58:J58"/>
    <mergeCell ref="K58:L58"/>
    <mergeCell ref="N58:R58"/>
    <mergeCell ref="S58:V58"/>
    <mergeCell ref="F8:J8"/>
    <mergeCell ref="K8:L8"/>
    <mergeCell ref="N8:R8"/>
    <mergeCell ref="S8:V8"/>
  </mergeCells>
  <dataValidations count="1">
    <dataValidation type="list" allowBlank="1" showInputMessage="1" showErrorMessage="1" sqref="Z10:Z39 Z60:Z81" xr:uid="{00000000-0002-0000-0B00-000000000000}">
      <formula1>"Yes, No"</formula1>
    </dataValidation>
  </dataValidations>
  <pageMargins left="0.7" right="0.7" top="0.75" bottom="0.75" header="0.3" footer="0.3"/>
  <pageSetup paperSize="9" scale="34" orientation="portrait" r:id="rId1"/>
  <headerFooter>
    <oddHeader>&amp;R&amp;"Arial"&amp;8&amp;K000000Confidential&amp;1#</oddHeader>
  </headerFooter>
  <colBreaks count="1" manualBreakCount="1">
    <brk id="24" max="1048575" man="1"/>
  </col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tabColor theme="9" tint="-9.9978637043366805E-2"/>
  </sheetPr>
  <dimension ref="B1:AF105"/>
  <sheetViews>
    <sheetView showGridLines="0" view="pageBreakPreview" zoomScale="70" zoomScaleNormal="100" zoomScaleSheetLayoutView="70" workbookViewId="0">
      <selection activeCell="N4" sqref="N4"/>
    </sheetView>
  </sheetViews>
  <sheetFormatPr defaultColWidth="8.88671875" defaultRowHeight="11.25" outlineLevelRow="1"/>
  <cols>
    <col min="1" max="1" width="3.33203125" style="229" customWidth="1"/>
    <col min="2" max="2" width="3" style="229" customWidth="1"/>
    <col min="3" max="3" width="2" style="229" customWidth="1"/>
    <col min="4" max="4" width="24.88671875" style="229" customWidth="1"/>
    <col min="5" max="5" width="11.109375" style="229" customWidth="1"/>
    <col min="6" max="13" width="8.5546875" style="229" customWidth="1"/>
    <col min="14" max="15" width="5.109375" style="229" customWidth="1"/>
    <col min="16" max="25" width="8.5546875" style="229" customWidth="1"/>
    <col min="26" max="26" width="2.88671875" style="229" customWidth="1"/>
    <col min="27" max="16384" width="8.88671875" style="229"/>
  </cols>
  <sheetData>
    <row r="1" spans="2:32" s="392" customFormat="1">
      <c r="O1" s="406"/>
      <c r="P1" s="406"/>
      <c r="Q1" s="406"/>
      <c r="R1" s="406"/>
      <c r="S1" s="406"/>
      <c r="T1" s="406"/>
      <c r="U1" s="406"/>
      <c r="V1" s="406"/>
      <c r="W1" s="406"/>
      <c r="X1" s="406"/>
      <c r="Y1" s="406"/>
      <c r="Z1" s="406"/>
      <c r="AA1" s="406"/>
    </row>
    <row r="2" spans="2:32" s="407" customFormat="1" ht="15">
      <c r="B2" s="505" t="str">
        <f>Inputs!B2</f>
        <v>Valify - UAE Valuation Services</v>
      </c>
      <c r="C2" s="894"/>
      <c r="D2" s="894"/>
      <c r="E2" s="894"/>
      <c r="F2" s="894"/>
      <c r="G2" s="894"/>
      <c r="H2" s="894"/>
      <c r="I2" s="894"/>
      <c r="J2" s="894"/>
      <c r="K2" s="894"/>
      <c r="L2" s="894"/>
      <c r="M2" s="894"/>
      <c r="N2" s="741"/>
      <c r="O2"/>
      <c r="P2"/>
      <c r="Q2"/>
      <c r="R2"/>
      <c r="S2"/>
      <c r="T2" s="406"/>
      <c r="U2" s="406"/>
      <c r="V2" s="406"/>
      <c r="W2" s="406"/>
      <c r="X2" s="406"/>
      <c r="Y2" s="406"/>
      <c r="Z2" s="406"/>
      <c r="AA2" s="406"/>
    </row>
    <row r="3" spans="2:32" s="406" customFormat="1" ht="15">
      <c r="B3" s="742"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745"/>
      <c r="O3"/>
      <c r="P3"/>
      <c r="Q3"/>
      <c r="R3"/>
      <c r="S3"/>
    </row>
    <row r="4" spans="2:32" s="406" customFormat="1" ht="15">
      <c r="B4" s="742" t="s">
        <v>1452</v>
      </c>
      <c r="C4" s="506"/>
      <c r="D4" s="506"/>
      <c r="E4" s="506"/>
      <c r="F4" s="506"/>
      <c r="G4" s="506"/>
      <c r="H4" s="506"/>
      <c r="I4" s="506"/>
      <c r="J4" s="506"/>
      <c r="K4" s="506"/>
      <c r="L4" s="506"/>
      <c r="M4" s="506"/>
      <c r="N4" s="503" t="str">
        <f>valuation.date.header</f>
        <v>Valuation Date:  September 30, 2024</v>
      </c>
      <c r="O4"/>
      <c r="P4"/>
      <c r="Q4"/>
      <c r="R4"/>
      <c r="S4"/>
    </row>
    <row r="5" spans="2:32" s="406" customFormat="1" ht="15">
      <c r="B5" s="895"/>
      <c r="C5" s="895"/>
      <c r="D5" s="895"/>
      <c r="E5" s="895"/>
      <c r="F5" s="895"/>
      <c r="G5" s="895"/>
      <c r="H5" s="895"/>
      <c r="I5" s="895"/>
      <c r="J5" s="895"/>
      <c r="K5" s="895"/>
      <c r="L5" s="895"/>
      <c r="M5" s="895"/>
      <c r="N5" s="895"/>
      <c r="O5"/>
      <c r="P5"/>
      <c r="Q5"/>
      <c r="R5"/>
      <c r="S5"/>
    </row>
    <row r="6" spans="2:32" s="232" customFormat="1">
      <c r="B6" s="432"/>
      <c r="C6" s="432"/>
      <c r="D6" s="830" t="s">
        <v>1813</v>
      </c>
      <c r="K6" s="432"/>
      <c r="L6" s="432"/>
      <c r="M6" s="432"/>
      <c r="N6" s="432"/>
      <c r="O6" s="432"/>
      <c r="P6" s="432"/>
      <c r="Q6" s="896"/>
      <c r="R6" s="896"/>
      <c r="S6" s="896"/>
      <c r="T6" s="896"/>
      <c r="U6" s="896"/>
      <c r="V6" s="896"/>
      <c r="W6" s="896"/>
      <c r="X6" s="896"/>
      <c r="Y6" s="896"/>
      <c r="Z6" s="432"/>
    </row>
    <row r="7" spans="2:32" s="232" customFormat="1" ht="12" customHeight="1">
      <c r="B7" s="831"/>
      <c r="D7" s="832"/>
      <c r="E7" s="834"/>
      <c r="F7" s="1846"/>
      <c r="G7" s="1846"/>
      <c r="H7" s="1846"/>
      <c r="I7" s="1846"/>
      <c r="J7" s="1846"/>
      <c r="K7" s="1847" t="s">
        <v>1440</v>
      </c>
      <c r="L7" s="1847"/>
      <c r="M7" s="1847"/>
      <c r="N7" s="897"/>
      <c r="O7" s="897"/>
      <c r="P7" s="839"/>
      <c r="Q7" s="839"/>
      <c r="R7" s="898"/>
      <c r="S7" s="898"/>
      <c r="T7" s="899" t="s">
        <v>131</v>
      </c>
      <c r="U7" s="900" t="s">
        <v>1424</v>
      </c>
      <c r="V7" s="900" t="s">
        <v>1370</v>
      </c>
      <c r="W7" s="900"/>
      <c r="X7" s="898"/>
      <c r="Y7" s="898"/>
      <c r="Z7" s="429" t="s">
        <v>1443</v>
      </c>
      <c r="AA7" s="429" t="s">
        <v>1443</v>
      </c>
      <c r="AB7" s="429" t="s">
        <v>1443</v>
      </c>
      <c r="AC7" s="429" t="s">
        <v>1443</v>
      </c>
      <c r="AD7" s="429" t="s">
        <v>1443</v>
      </c>
      <c r="AE7" s="429" t="s">
        <v>1443</v>
      </c>
      <c r="AF7" s="429" t="s">
        <v>1443</v>
      </c>
    </row>
    <row r="8" spans="2:32" s="232" customFormat="1" ht="12" customHeight="1" thickBot="1">
      <c r="D8" s="840" t="s">
        <v>94</v>
      </c>
      <c r="E8" s="842"/>
      <c r="F8" s="842" t="s">
        <v>139</v>
      </c>
      <c r="G8" s="842" t="s">
        <v>137</v>
      </c>
      <c r="H8" s="842" t="s">
        <v>134</v>
      </c>
      <c r="I8" s="842" t="s">
        <v>131</v>
      </c>
      <c r="J8" s="835" t="s">
        <v>129</v>
      </c>
      <c r="K8" s="842" t="s">
        <v>1446</v>
      </c>
      <c r="L8" s="842" t="s">
        <v>1447</v>
      </c>
      <c r="M8" s="835" t="s">
        <v>1448</v>
      </c>
      <c r="N8" s="897"/>
      <c r="O8" s="897"/>
      <c r="P8" s="516" t="s">
        <v>1395</v>
      </c>
      <c r="Q8" s="839"/>
      <c r="R8" s="898"/>
      <c r="S8" s="898" t="str">
        <f>client.name.long</f>
        <v>Hazel Lighting India</v>
      </c>
      <c r="T8" s="901"/>
      <c r="U8" s="902"/>
      <c r="V8" s="902">
        <f>MEDIAN($I$102,$K$102)</f>
        <v>0</v>
      </c>
      <c r="W8" s="903"/>
      <c r="X8" s="898"/>
      <c r="Y8" s="898"/>
      <c r="Z8" s="427"/>
      <c r="AA8" s="427"/>
      <c r="AB8" s="427"/>
      <c r="AC8" s="427"/>
      <c r="AD8" s="427"/>
      <c r="AE8" s="427"/>
      <c r="AF8" s="427"/>
    </row>
    <row r="9" spans="2:32" s="232" customFormat="1" ht="12" thickBot="1">
      <c r="C9" s="844">
        <v>1</v>
      </c>
      <c r="D9" s="845" t="str">
        <f>'GPC Data'!E124</f>
        <v>Comp 1</v>
      </c>
      <c r="E9" s="904"/>
      <c r="F9" s="891"/>
      <c r="G9" s="891" t="str">
        <f>IFERROR(Growth!#REF!/Growth!#REF!,"")</f>
        <v/>
      </c>
      <c r="H9" s="891">
        <f>'GPC Data'!F192</f>
        <v>0</v>
      </c>
      <c r="I9" s="891">
        <f>'GPC Data'!G192</f>
        <v>0</v>
      </c>
      <c r="J9" s="891">
        <f>'GPC Data'!H192</f>
        <v>0</v>
      </c>
      <c r="K9" s="891">
        <f>'GPC Data'!I192</f>
        <v>0</v>
      </c>
      <c r="L9" s="891">
        <f>'GPC Data'!J192</f>
        <v>0</v>
      </c>
      <c r="M9" s="891">
        <f>'GPC Data'!K192</f>
        <v>0</v>
      </c>
      <c r="N9" s="897"/>
      <c r="O9" s="897"/>
      <c r="P9" s="443" t="s">
        <v>1359</v>
      </c>
      <c r="Q9" s="839"/>
      <c r="R9" s="898"/>
      <c r="S9" s="898" t="str">
        <f t="shared" ref="S9:S17" si="0">D9</f>
        <v>Comp 1</v>
      </c>
      <c r="T9" s="905">
        <f t="shared" ref="T9:T17" si="1">I9</f>
        <v>0</v>
      </c>
      <c r="U9" s="906">
        <f t="shared" ref="U9:U17" si="2">K9</f>
        <v>0</v>
      </c>
      <c r="V9" s="906">
        <f>MEDIAN($I$102,$K$102)</f>
        <v>0</v>
      </c>
      <c r="W9" s="898"/>
      <c r="X9" s="907">
        <v>0</v>
      </c>
      <c r="Y9" s="907"/>
      <c r="Z9" s="427"/>
      <c r="AA9" s="427"/>
      <c r="AB9" s="427"/>
      <c r="AC9" s="427"/>
      <c r="AD9" s="427"/>
      <c r="AE9" s="427"/>
      <c r="AF9" s="427"/>
    </row>
    <row r="10" spans="2:32" s="232" customFormat="1" ht="12" thickBot="1">
      <c r="C10" s="844">
        <v>2</v>
      </c>
      <c r="D10" s="908" t="str">
        <f>'GPC Data'!E125</f>
        <v>Comp 2</v>
      </c>
      <c r="E10" s="892"/>
      <c r="F10" s="893" t="str">
        <f>IFERROR(Growth!#REF!/Growth!#REF!,"")</f>
        <v/>
      </c>
      <c r="G10" s="893" t="str">
        <f>IFERROR(Growth!#REF!/Growth!#REF!,"")</f>
        <v/>
      </c>
      <c r="H10" s="893">
        <f>'GPC Data'!F193</f>
        <v>0</v>
      </c>
      <c r="I10" s="893">
        <f>'GPC Data'!G193</f>
        <v>0</v>
      </c>
      <c r="J10" s="893">
        <f>'GPC Data'!H193</f>
        <v>0</v>
      </c>
      <c r="K10" s="893">
        <f>'GPC Data'!I193</f>
        <v>0</v>
      </c>
      <c r="L10" s="893">
        <f>'GPC Data'!J193</f>
        <v>0</v>
      </c>
      <c r="M10" s="893">
        <f>'GPC Data'!K193</f>
        <v>0</v>
      </c>
      <c r="N10" s="897"/>
      <c r="O10" s="897"/>
      <c r="P10" s="443" t="s">
        <v>1359</v>
      </c>
      <c r="Q10" s="839"/>
      <c r="R10" s="898"/>
      <c r="S10" s="898" t="str">
        <f t="shared" si="0"/>
        <v>Comp 2</v>
      </c>
      <c r="T10" s="905">
        <f t="shared" si="1"/>
        <v>0</v>
      </c>
      <c r="U10" s="906">
        <f t="shared" si="2"/>
        <v>0</v>
      </c>
      <c r="V10" s="906">
        <f>MEDIAN($I$102,$K$102)</f>
        <v>0</v>
      </c>
      <c r="W10" s="898"/>
      <c r="X10" s="907">
        <v>1.5</v>
      </c>
      <c r="Y10" s="907"/>
      <c r="Z10" s="427"/>
      <c r="AA10" s="427"/>
      <c r="AB10" s="427"/>
      <c r="AC10" s="427"/>
      <c r="AD10" s="427"/>
      <c r="AE10" s="427"/>
      <c r="AF10" s="427"/>
    </row>
    <row r="11" spans="2:32" s="232" customFormat="1" ht="12" thickBot="1">
      <c r="C11" s="844">
        <v>3</v>
      </c>
      <c r="D11" s="908" t="str">
        <f>'GPC Data'!E126</f>
        <v>Comp 3</v>
      </c>
      <c r="E11" s="892"/>
      <c r="F11" s="893" t="str">
        <f>IFERROR(Growth!#REF!/Growth!#REF!,"")</f>
        <v/>
      </c>
      <c r="G11" s="893" t="str">
        <f>IFERROR(Growth!#REF!/Growth!#REF!,"")</f>
        <v/>
      </c>
      <c r="H11" s="893">
        <f>'GPC Data'!F194</f>
        <v>0</v>
      </c>
      <c r="I11" s="893">
        <f>'GPC Data'!G194</f>
        <v>0</v>
      </c>
      <c r="J11" s="893">
        <f>'GPC Data'!H194</f>
        <v>0</v>
      </c>
      <c r="K11" s="893">
        <f>'GPC Data'!I194</f>
        <v>0</v>
      </c>
      <c r="L11" s="893">
        <f>'GPC Data'!J194</f>
        <v>0</v>
      </c>
      <c r="M11" s="893">
        <f>'GPC Data'!K194</f>
        <v>0</v>
      </c>
      <c r="N11" s="897"/>
      <c r="O11" s="897"/>
      <c r="P11" s="443" t="s">
        <v>1359</v>
      </c>
      <c r="Q11" s="839"/>
      <c r="R11" s="898"/>
      <c r="S11" s="898" t="str">
        <f t="shared" si="0"/>
        <v>Comp 3</v>
      </c>
      <c r="T11" s="905">
        <f t="shared" si="1"/>
        <v>0</v>
      </c>
      <c r="U11" s="906">
        <f t="shared" si="2"/>
        <v>0</v>
      </c>
      <c r="V11" s="898"/>
      <c r="W11" s="898"/>
      <c r="X11" s="898"/>
      <c r="Y11" s="898"/>
      <c r="Z11" s="427" t="s">
        <v>1443</v>
      </c>
      <c r="AA11" s="427" t="s">
        <v>1443</v>
      </c>
      <c r="AB11" s="427" t="s">
        <v>1443</v>
      </c>
      <c r="AC11" s="427" t="s">
        <v>1443</v>
      </c>
      <c r="AD11" s="427" t="s">
        <v>1443</v>
      </c>
      <c r="AE11" s="427" t="s">
        <v>1443</v>
      </c>
      <c r="AF11" s="427" t="s">
        <v>1443</v>
      </c>
    </row>
    <row r="12" spans="2:32" s="232" customFormat="1" ht="12" thickBot="1">
      <c r="C12" s="844">
        <v>4</v>
      </c>
      <c r="D12" s="908" t="str">
        <f>'GPC Data'!E127</f>
        <v>Comp 4</v>
      </c>
      <c r="E12" s="892"/>
      <c r="F12" s="893" t="str">
        <f>IFERROR(Growth!#REF!/Growth!#REF!,"")</f>
        <v/>
      </c>
      <c r="G12" s="893" t="str">
        <f>IFERROR(Growth!#REF!/Growth!#REF!,"")</f>
        <v/>
      </c>
      <c r="H12" s="893">
        <f>'GPC Data'!F195</f>
        <v>0</v>
      </c>
      <c r="I12" s="893">
        <f>'GPC Data'!G195</f>
        <v>0</v>
      </c>
      <c r="J12" s="893">
        <f>'GPC Data'!H195</f>
        <v>0</v>
      </c>
      <c r="K12" s="893">
        <f>'GPC Data'!I195</f>
        <v>0</v>
      </c>
      <c r="L12" s="893">
        <f>'GPC Data'!J195</f>
        <v>0</v>
      </c>
      <c r="M12" s="893">
        <f>'GPC Data'!K195</f>
        <v>0</v>
      </c>
      <c r="N12" s="897"/>
      <c r="O12" s="897"/>
      <c r="P12" s="443" t="s">
        <v>1359</v>
      </c>
      <c r="Q12" s="839"/>
      <c r="R12" s="898"/>
      <c r="S12" s="898" t="str">
        <f t="shared" si="0"/>
        <v>Comp 4</v>
      </c>
      <c r="T12" s="905">
        <f t="shared" si="1"/>
        <v>0</v>
      </c>
      <c r="U12" s="906">
        <f t="shared" si="2"/>
        <v>0</v>
      </c>
      <c r="V12" s="898"/>
      <c r="W12" s="898"/>
      <c r="X12" s="898"/>
      <c r="Y12" s="898"/>
      <c r="Z12" s="427" t="s">
        <v>1443</v>
      </c>
      <c r="AA12" s="427" t="s">
        <v>1443</v>
      </c>
      <c r="AB12" s="427" t="s">
        <v>1443</v>
      </c>
      <c r="AC12" s="427" t="s">
        <v>1443</v>
      </c>
      <c r="AD12" s="427" t="s">
        <v>1443</v>
      </c>
      <c r="AE12" s="427" t="s">
        <v>1443</v>
      </c>
      <c r="AF12" s="427" t="s">
        <v>1443</v>
      </c>
    </row>
    <row r="13" spans="2:32" s="232" customFormat="1" ht="12" thickBot="1">
      <c r="C13" s="844">
        <v>5</v>
      </c>
      <c r="D13" s="908" t="str">
        <f>'GPC Data'!E128</f>
        <v>Comp 5</v>
      </c>
      <c r="E13" s="892"/>
      <c r="F13" s="893" t="str">
        <f>IFERROR(Growth!#REF!/Growth!#REF!,"")</f>
        <v/>
      </c>
      <c r="G13" s="893" t="str">
        <f>IFERROR(Growth!#REF!/Growth!#REF!,"")</f>
        <v/>
      </c>
      <c r="H13" s="893">
        <f>'GPC Data'!F196</f>
        <v>0</v>
      </c>
      <c r="I13" s="893">
        <f>'GPC Data'!G196</f>
        <v>0</v>
      </c>
      <c r="J13" s="893">
        <f>'GPC Data'!H196</f>
        <v>0</v>
      </c>
      <c r="K13" s="893">
        <f>'GPC Data'!I196</f>
        <v>0</v>
      </c>
      <c r="L13" s="893">
        <f>'GPC Data'!J196</f>
        <v>0</v>
      </c>
      <c r="M13" s="893">
        <f>'GPC Data'!K196</f>
        <v>0</v>
      </c>
      <c r="N13" s="897"/>
      <c r="O13" s="897"/>
      <c r="P13" s="443" t="s">
        <v>1359</v>
      </c>
      <c r="Q13" s="839"/>
      <c r="R13" s="898"/>
      <c r="S13" s="898" t="str">
        <f t="shared" si="0"/>
        <v>Comp 5</v>
      </c>
      <c r="T13" s="905">
        <f t="shared" si="1"/>
        <v>0</v>
      </c>
      <c r="U13" s="906">
        <f t="shared" si="2"/>
        <v>0</v>
      </c>
      <c r="V13" s="898"/>
      <c r="W13" s="898"/>
      <c r="X13" s="898"/>
      <c r="Y13" s="898"/>
      <c r="Z13" s="427"/>
      <c r="AA13" s="427"/>
      <c r="AB13" s="427"/>
      <c r="AC13" s="427"/>
      <c r="AD13" s="427"/>
      <c r="AE13" s="427"/>
      <c r="AF13" s="427"/>
    </row>
    <row r="14" spans="2:32" s="232" customFormat="1" ht="12" thickBot="1">
      <c r="C14" s="844">
        <v>6</v>
      </c>
      <c r="D14" s="908" t="str">
        <f>'GPC Data'!E129</f>
        <v>Comp 6</v>
      </c>
      <c r="E14" s="892"/>
      <c r="F14" s="893" t="str">
        <f>IFERROR(Growth!#REF!/Growth!#REF!,"")</f>
        <v/>
      </c>
      <c r="G14" s="893" t="str">
        <f>IFERROR(Growth!#REF!/Growth!#REF!,"")</f>
        <v/>
      </c>
      <c r="H14" s="893">
        <f>'GPC Data'!F197</f>
        <v>0</v>
      </c>
      <c r="I14" s="893">
        <f>'GPC Data'!G197</f>
        <v>0</v>
      </c>
      <c r="J14" s="893">
        <f>'GPC Data'!H197</f>
        <v>0</v>
      </c>
      <c r="K14" s="893">
        <f>'GPC Data'!I197</f>
        <v>0</v>
      </c>
      <c r="L14" s="893">
        <f>'GPC Data'!J197</f>
        <v>0</v>
      </c>
      <c r="M14" s="893">
        <f>'GPC Data'!K197</f>
        <v>0</v>
      </c>
      <c r="N14" s="897"/>
      <c r="O14" s="897"/>
      <c r="P14" s="443" t="s">
        <v>1359</v>
      </c>
      <c r="Q14" s="839"/>
      <c r="R14" s="898"/>
      <c r="S14" s="898" t="str">
        <f t="shared" si="0"/>
        <v>Comp 6</v>
      </c>
      <c r="T14" s="905">
        <f t="shared" si="1"/>
        <v>0</v>
      </c>
      <c r="U14" s="906">
        <f t="shared" si="2"/>
        <v>0</v>
      </c>
      <c r="V14" s="898"/>
      <c r="W14" s="898"/>
      <c r="X14" s="898"/>
      <c r="Y14" s="898"/>
      <c r="Z14" s="427" t="s">
        <v>1443</v>
      </c>
      <c r="AA14" s="427" t="s">
        <v>1443</v>
      </c>
      <c r="AB14" s="427" t="s">
        <v>1443</v>
      </c>
      <c r="AC14" s="427" t="s">
        <v>1443</v>
      </c>
      <c r="AD14" s="427" t="s">
        <v>1443</v>
      </c>
      <c r="AE14" s="427" t="s">
        <v>1443</v>
      </c>
      <c r="AF14" s="427" t="s">
        <v>1443</v>
      </c>
    </row>
    <row r="15" spans="2:32" s="232" customFormat="1" ht="12" thickBot="1">
      <c r="C15" s="844">
        <v>7</v>
      </c>
      <c r="D15" s="908" t="str">
        <f>'GPC Data'!E130</f>
        <v>Comp 7</v>
      </c>
      <c r="E15" s="892"/>
      <c r="F15" s="893" t="str">
        <f>IFERROR(Growth!#REF!/Growth!#REF!,"")</f>
        <v/>
      </c>
      <c r="G15" s="893" t="str">
        <f>IFERROR(Growth!#REF!/Growth!#REF!,"")</f>
        <v/>
      </c>
      <c r="H15" s="893">
        <f>'GPC Data'!F198</f>
        <v>0</v>
      </c>
      <c r="I15" s="893">
        <f>'GPC Data'!G198</f>
        <v>0</v>
      </c>
      <c r="J15" s="893">
        <f>'GPC Data'!H198</f>
        <v>0</v>
      </c>
      <c r="K15" s="893">
        <f>'GPC Data'!I198</f>
        <v>0</v>
      </c>
      <c r="L15" s="893">
        <f>'GPC Data'!J198</f>
        <v>0</v>
      </c>
      <c r="M15" s="893">
        <f>'GPC Data'!K198</f>
        <v>0</v>
      </c>
      <c r="N15" s="897"/>
      <c r="O15" s="897"/>
      <c r="P15" s="443" t="s">
        <v>1359</v>
      </c>
      <c r="Q15" s="839"/>
      <c r="R15" s="898"/>
      <c r="S15" s="898" t="str">
        <f t="shared" si="0"/>
        <v>Comp 7</v>
      </c>
      <c r="T15" s="905">
        <f t="shared" si="1"/>
        <v>0</v>
      </c>
      <c r="U15" s="906">
        <f t="shared" si="2"/>
        <v>0</v>
      </c>
      <c r="V15" s="898"/>
      <c r="W15" s="898"/>
      <c r="X15" s="898"/>
      <c r="Y15" s="898"/>
      <c r="Z15" s="427" t="s">
        <v>1443</v>
      </c>
      <c r="AA15" s="427" t="s">
        <v>1443</v>
      </c>
      <c r="AB15" s="427" t="s">
        <v>1443</v>
      </c>
      <c r="AC15" s="427" t="s">
        <v>1443</v>
      </c>
      <c r="AD15" s="427" t="s">
        <v>1443</v>
      </c>
      <c r="AE15" s="427" t="s">
        <v>1443</v>
      </c>
      <c r="AF15" s="427" t="s">
        <v>1443</v>
      </c>
    </row>
    <row r="16" spans="2:32" s="232" customFormat="1" ht="12" thickBot="1">
      <c r="C16" s="844">
        <v>8</v>
      </c>
      <c r="D16" s="908" t="str">
        <f>'GPC Data'!E131</f>
        <v>Comp 8</v>
      </c>
      <c r="E16" s="892"/>
      <c r="F16" s="893" t="str">
        <f>IFERROR(Growth!#REF!/Growth!#REF!,"")</f>
        <v/>
      </c>
      <c r="G16" s="893" t="str">
        <f>IFERROR(Growth!#REF!/Growth!#REF!,"")</f>
        <v/>
      </c>
      <c r="H16" s="893">
        <f>'GPC Data'!F199</f>
        <v>0</v>
      </c>
      <c r="I16" s="893">
        <f>'GPC Data'!G199</f>
        <v>0</v>
      </c>
      <c r="J16" s="893">
        <f>'GPC Data'!H199</f>
        <v>0</v>
      </c>
      <c r="K16" s="893">
        <f>'GPC Data'!I199</f>
        <v>0</v>
      </c>
      <c r="L16" s="893">
        <f>'GPC Data'!J199</f>
        <v>0</v>
      </c>
      <c r="M16" s="893">
        <f>'GPC Data'!K199</f>
        <v>0</v>
      </c>
      <c r="N16" s="897"/>
      <c r="O16" s="897"/>
      <c r="P16" s="443" t="s">
        <v>1359</v>
      </c>
      <c r="Q16" s="839"/>
      <c r="R16" s="898"/>
      <c r="S16" s="898" t="str">
        <f t="shared" si="0"/>
        <v>Comp 8</v>
      </c>
      <c r="T16" s="905">
        <f t="shared" si="1"/>
        <v>0</v>
      </c>
      <c r="U16" s="906">
        <f t="shared" si="2"/>
        <v>0</v>
      </c>
      <c r="V16" s="898"/>
      <c r="W16" s="898"/>
      <c r="X16" s="898"/>
      <c r="Y16" s="898"/>
      <c r="Z16" s="427"/>
      <c r="AA16" s="427"/>
      <c r="AB16" s="427"/>
      <c r="AC16" s="427"/>
      <c r="AD16" s="427"/>
      <c r="AE16" s="427"/>
      <c r="AF16" s="427"/>
    </row>
    <row r="17" spans="3:32" s="232" customFormat="1" ht="12" thickBot="1">
      <c r="C17" s="844">
        <v>9</v>
      </c>
      <c r="D17" s="908" t="str">
        <f>'GPC Data'!E132</f>
        <v>Comp 9</v>
      </c>
      <c r="E17" s="892"/>
      <c r="F17" s="893" t="str">
        <f>IFERROR(Growth!#REF!/Growth!#REF!,"")</f>
        <v/>
      </c>
      <c r="G17" s="893" t="str">
        <f>IFERROR(Growth!#REF!/Growth!#REF!,"")</f>
        <v/>
      </c>
      <c r="H17" s="893">
        <f>'GPC Data'!F200</f>
        <v>0</v>
      </c>
      <c r="I17" s="893">
        <f>'GPC Data'!G200</f>
        <v>0</v>
      </c>
      <c r="J17" s="893">
        <f>'GPC Data'!H200</f>
        <v>0</v>
      </c>
      <c r="K17" s="893">
        <f>'GPC Data'!I200</f>
        <v>0</v>
      </c>
      <c r="L17" s="893">
        <f>'GPC Data'!J200</f>
        <v>0</v>
      </c>
      <c r="M17" s="893">
        <f>'GPC Data'!K200</f>
        <v>0</v>
      </c>
      <c r="N17" s="897"/>
      <c r="O17" s="897"/>
      <c r="P17" s="443" t="s">
        <v>1359</v>
      </c>
      <c r="Q17" s="839"/>
      <c r="R17" s="898"/>
      <c r="S17" s="898" t="str">
        <f t="shared" si="0"/>
        <v>Comp 9</v>
      </c>
      <c r="T17" s="905">
        <f t="shared" si="1"/>
        <v>0</v>
      </c>
      <c r="U17" s="906">
        <f t="shared" si="2"/>
        <v>0</v>
      </c>
      <c r="V17" s="898"/>
      <c r="W17" s="898"/>
      <c r="X17" s="898"/>
      <c r="Y17" s="898"/>
      <c r="Z17" s="427" t="s">
        <v>1443</v>
      </c>
      <c r="AA17" s="427" t="s">
        <v>1443</v>
      </c>
      <c r="AB17" s="427" t="s">
        <v>1443</v>
      </c>
      <c r="AC17" s="427" t="s">
        <v>1443</v>
      </c>
      <c r="AD17" s="427" t="s">
        <v>1443</v>
      </c>
      <c r="AE17" s="427" t="s">
        <v>1443</v>
      </c>
      <c r="AF17" s="427" t="s">
        <v>1443</v>
      </c>
    </row>
    <row r="18" spans="3:32" s="232" customFormat="1" ht="12" thickBot="1">
      <c r="C18" s="844"/>
      <c r="D18" s="908" t="str">
        <f>'GPC Data'!E133</f>
        <v>Comp 10</v>
      </c>
      <c r="E18" s="892"/>
      <c r="F18" s="893" t="str">
        <f>IFERROR(Growth!F1/Growth!#REF!,"")</f>
        <v/>
      </c>
      <c r="G18" s="893" t="str">
        <f>IFERROR(Growth!G1/Growth!#REF!,"")</f>
        <v/>
      </c>
      <c r="H18" s="893">
        <f>'GPC Data'!F201</f>
        <v>0</v>
      </c>
      <c r="I18" s="893">
        <f>'GPC Data'!G201</f>
        <v>0</v>
      </c>
      <c r="J18" s="893">
        <f>'GPC Data'!H201</f>
        <v>0</v>
      </c>
      <c r="K18" s="893">
        <f>'GPC Data'!I201</f>
        <v>0</v>
      </c>
      <c r="L18" s="893">
        <f>'GPC Data'!J201</f>
        <v>0</v>
      </c>
      <c r="M18" s="893">
        <f>'GPC Data'!K201</f>
        <v>0</v>
      </c>
      <c r="N18" s="897"/>
      <c r="O18" s="897"/>
      <c r="P18" s="443" t="s">
        <v>1359</v>
      </c>
      <c r="Q18" s="839"/>
      <c r="R18" s="898"/>
      <c r="S18" s="898"/>
      <c r="T18" s="905"/>
      <c r="U18" s="906"/>
      <c r="V18" s="898"/>
      <c r="W18" s="898"/>
      <c r="X18" s="898"/>
      <c r="Y18" s="898"/>
      <c r="Z18" s="427"/>
      <c r="AA18" s="427"/>
      <c r="AB18" s="427"/>
      <c r="AC18" s="427"/>
      <c r="AD18" s="427"/>
      <c r="AE18" s="427"/>
      <c r="AF18" s="427"/>
    </row>
    <row r="19" spans="3:32" s="232" customFormat="1" ht="10.7" customHeight="1" outlineLevel="1" thickBot="1">
      <c r="C19" s="844"/>
      <c r="D19" s="908" t="str">
        <f>'GPC Data'!E134</f>
        <v>Comp 11</v>
      </c>
      <c r="E19" s="892"/>
      <c r="F19" s="893" t="str">
        <f>IFERROR(Growth!F14/Growth!#REF!,"")</f>
        <v/>
      </c>
      <c r="G19" s="893" t="str">
        <f>IFERROR(Growth!G14/Growth!#REF!,"")</f>
        <v/>
      </c>
      <c r="H19" s="893">
        <f>'GPC Data'!F202</f>
        <v>0</v>
      </c>
      <c r="I19" s="893">
        <f>'GPC Data'!G202</f>
        <v>0</v>
      </c>
      <c r="J19" s="893">
        <f>'GPC Data'!H202</f>
        <v>0</v>
      </c>
      <c r="K19" s="893">
        <f>'GPC Data'!I202</f>
        <v>0</v>
      </c>
      <c r="L19" s="893">
        <f>'GPC Data'!J202</f>
        <v>0</v>
      </c>
      <c r="M19" s="893">
        <f>'GPC Data'!K202</f>
        <v>0</v>
      </c>
      <c r="N19" s="897"/>
      <c r="O19" s="897"/>
      <c r="P19" s="443" t="s">
        <v>106</v>
      </c>
      <c r="Q19" s="839"/>
      <c r="R19" s="898"/>
      <c r="S19" s="898"/>
      <c r="T19" s="905"/>
      <c r="U19" s="906"/>
      <c r="V19" s="898"/>
      <c r="W19" s="898"/>
      <c r="X19" s="898"/>
      <c r="Y19" s="898"/>
      <c r="Z19" s="427"/>
      <c r="AA19" s="427"/>
      <c r="AB19" s="427"/>
      <c r="AC19" s="427"/>
      <c r="AD19" s="427"/>
      <c r="AE19" s="427"/>
      <c r="AF19" s="427"/>
    </row>
    <row r="20" spans="3:32" s="232" customFormat="1" ht="10.7" customHeight="1" outlineLevel="1" thickBot="1">
      <c r="C20" s="844"/>
      <c r="D20" s="908" t="str">
        <f>'GPC Data'!E135</f>
        <v>Comp 12</v>
      </c>
      <c r="E20" s="892"/>
      <c r="F20" s="893" t="str">
        <f>IFERROR(Growth!F15/Growth!#REF!,"")</f>
        <v/>
      </c>
      <c r="G20" s="893" t="str">
        <f>IFERROR(Growth!G15/Growth!#REF!,"")</f>
        <v/>
      </c>
      <c r="H20" s="893">
        <f>'GPC Data'!F203</f>
        <v>0</v>
      </c>
      <c r="I20" s="893">
        <f>'GPC Data'!G203</f>
        <v>0</v>
      </c>
      <c r="J20" s="893">
        <f>'GPC Data'!H203</f>
        <v>0</v>
      </c>
      <c r="K20" s="893">
        <f>'GPC Data'!I203</f>
        <v>0</v>
      </c>
      <c r="L20" s="893">
        <f>'GPC Data'!J203</f>
        <v>0</v>
      </c>
      <c r="M20" s="893">
        <f>'GPC Data'!K203</f>
        <v>0</v>
      </c>
      <c r="N20" s="897"/>
      <c r="O20" s="897"/>
      <c r="P20" s="443" t="s">
        <v>106</v>
      </c>
      <c r="Q20" s="839"/>
      <c r="R20" s="898"/>
      <c r="S20" s="898"/>
      <c r="T20" s="905"/>
      <c r="U20" s="906"/>
      <c r="V20" s="898"/>
      <c r="W20" s="898"/>
      <c r="X20" s="898"/>
      <c r="Y20" s="898"/>
      <c r="Z20" s="427"/>
      <c r="AA20" s="427"/>
      <c r="AB20" s="427"/>
      <c r="AC20" s="427"/>
      <c r="AD20" s="427"/>
      <c r="AE20" s="427"/>
      <c r="AF20" s="427"/>
    </row>
    <row r="21" spans="3:32" s="232" customFormat="1" ht="10.7" customHeight="1" outlineLevel="1" thickBot="1">
      <c r="C21" s="844"/>
      <c r="D21" s="908" t="str">
        <f>'GPC Data'!E136</f>
        <v>Comp 13</v>
      </c>
      <c r="E21" s="892"/>
      <c r="F21" s="893" t="str">
        <f>IFERROR(Growth!F16/Growth!#REF!,"")</f>
        <v/>
      </c>
      <c r="G21" s="893" t="str">
        <f>IFERROR(Growth!G16/Growth!#REF!,"")</f>
        <v/>
      </c>
      <c r="H21" s="893">
        <f>'GPC Data'!F204</f>
        <v>0</v>
      </c>
      <c r="I21" s="893">
        <f>'GPC Data'!G204</f>
        <v>0</v>
      </c>
      <c r="J21" s="893">
        <f>'GPC Data'!H204</f>
        <v>0</v>
      </c>
      <c r="K21" s="893">
        <f>'GPC Data'!I204</f>
        <v>0</v>
      </c>
      <c r="L21" s="893">
        <f>'GPC Data'!J204</f>
        <v>0</v>
      </c>
      <c r="M21" s="893">
        <f>'GPC Data'!K204</f>
        <v>0</v>
      </c>
      <c r="N21" s="897"/>
      <c r="O21" s="897"/>
      <c r="P21" s="443" t="s">
        <v>106</v>
      </c>
      <c r="Q21" s="839"/>
      <c r="R21" s="898"/>
      <c r="S21" s="898"/>
      <c r="T21" s="905"/>
      <c r="U21" s="906"/>
      <c r="V21" s="898"/>
      <c r="W21" s="898"/>
      <c r="X21" s="898"/>
      <c r="Y21" s="898"/>
      <c r="Z21" s="427"/>
      <c r="AA21" s="427"/>
      <c r="AB21" s="427"/>
      <c r="AC21" s="427"/>
      <c r="AD21" s="427"/>
      <c r="AE21" s="427"/>
      <c r="AF21" s="427"/>
    </row>
    <row r="22" spans="3:32" s="232" customFormat="1" ht="10.7" customHeight="1" outlineLevel="1" thickBot="1">
      <c r="C22" s="844"/>
      <c r="D22" s="908" t="str">
        <f>'GPC Data'!E137</f>
        <v>Comp 14</v>
      </c>
      <c r="E22" s="892"/>
      <c r="F22" s="893" t="str">
        <f>IFERROR(Growth!F17/Growth!#REF!,"")</f>
        <v/>
      </c>
      <c r="G22" s="893" t="str">
        <f>IFERROR(Growth!G17/Growth!#REF!,"")</f>
        <v/>
      </c>
      <c r="H22" s="893">
        <f>'GPC Data'!F205</f>
        <v>0</v>
      </c>
      <c r="I22" s="893">
        <f>'GPC Data'!G205</f>
        <v>0</v>
      </c>
      <c r="J22" s="893">
        <f>'GPC Data'!H205</f>
        <v>0</v>
      </c>
      <c r="K22" s="893">
        <f>'GPC Data'!I205</f>
        <v>0</v>
      </c>
      <c r="L22" s="893">
        <f>'GPC Data'!J205</f>
        <v>0</v>
      </c>
      <c r="M22" s="893">
        <f>'GPC Data'!K205</f>
        <v>0</v>
      </c>
      <c r="N22" s="897"/>
      <c r="O22" s="897"/>
      <c r="P22" s="443" t="s">
        <v>106</v>
      </c>
      <c r="Q22" s="839"/>
      <c r="R22" s="898"/>
      <c r="S22" s="898"/>
      <c r="T22" s="905"/>
      <c r="U22" s="906"/>
      <c r="V22" s="898"/>
      <c r="W22" s="898"/>
      <c r="X22" s="898"/>
      <c r="Y22" s="898"/>
      <c r="Z22" s="427"/>
      <c r="AA22" s="427"/>
      <c r="AB22" s="427"/>
      <c r="AC22" s="427"/>
      <c r="AD22" s="427"/>
      <c r="AE22" s="427"/>
      <c r="AF22" s="427"/>
    </row>
    <row r="23" spans="3:32" s="232" customFormat="1" ht="10.7" customHeight="1" outlineLevel="1" thickBot="1">
      <c r="C23" s="844"/>
      <c r="D23" s="908" t="str">
        <f>'GPC Data'!E138</f>
        <v>Comp 15</v>
      </c>
      <c r="E23" s="892"/>
      <c r="F23" s="893" t="str">
        <f>IFERROR(Growth!F18/Growth!#REF!,"")</f>
        <v/>
      </c>
      <c r="G23" s="893" t="str">
        <f>IFERROR(Growth!G18/Growth!#REF!,"")</f>
        <v/>
      </c>
      <c r="H23" s="893">
        <f>'GPC Data'!F206</f>
        <v>0</v>
      </c>
      <c r="I23" s="893">
        <f>'GPC Data'!G206</f>
        <v>0</v>
      </c>
      <c r="J23" s="893">
        <f>'GPC Data'!H206</f>
        <v>0</v>
      </c>
      <c r="K23" s="893">
        <f>'GPC Data'!I206</f>
        <v>0</v>
      </c>
      <c r="L23" s="893">
        <f>'GPC Data'!J206</f>
        <v>0</v>
      </c>
      <c r="M23" s="893">
        <f>'GPC Data'!K206</f>
        <v>0</v>
      </c>
      <c r="N23" s="897"/>
      <c r="O23" s="897"/>
      <c r="P23" s="443" t="s">
        <v>106</v>
      </c>
      <c r="Q23" s="839"/>
      <c r="R23" s="898"/>
      <c r="S23" s="898"/>
      <c r="T23" s="905"/>
      <c r="U23" s="906"/>
      <c r="V23" s="898"/>
      <c r="W23" s="898"/>
      <c r="X23" s="898"/>
      <c r="Y23" s="898"/>
      <c r="Z23" s="427"/>
      <c r="AA23" s="427"/>
      <c r="AB23" s="427"/>
      <c r="AC23" s="427"/>
      <c r="AD23" s="427"/>
      <c r="AE23" s="427"/>
      <c r="AF23" s="427"/>
    </row>
    <row r="24" spans="3:32" s="232" customFormat="1" ht="10.7" customHeight="1" outlineLevel="1" thickBot="1">
      <c r="C24" s="844"/>
      <c r="D24" s="908" t="str">
        <f>'GPC Data'!E139</f>
        <v>Comp 16</v>
      </c>
      <c r="E24" s="892"/>
      <c r="F24" s="893" t="str">
        <f>IFERROR(Growth!F19/Growth!#REF!,"")</f>
        <v/>
      </c>
      <c r="G24" s="893" t="str">
        <f>IFERROR(Growth!G19/Growth!#REF!,"")</f>
        <v/>
      </c>
      <c r="H24" s="893">
        <f>'GPC Data'!F207</f>
        <v>0</v>
      </c>
      <c r="I24" s="893">
        <f>'GPC Data'!G207</f>
        <v>0</v>
      </c>
      <c r="J24" s="893">
        <f>'GPC Data'!H207</f>
        <v>0</v>
      </c>
      <c r="K24" s="893">
        <f>'GPC Data'!I207</f>
        <v>0</v>
      </c>
      <c r="L24" s="893">
        <f>'GPC Data'!J207</f>
        <v>0</v>
      </c>
      <c r="M24" s="893">
        <f>'GPC Data'!K207</f>
        <v>0</v>
      </c>
      <c r="N24" s="897"/>
      <c r="O24" s="897"/>
      <c r="P24" s="443" t="s">
        <v>106</v>
      </c>
      <c r="Q24" s="839"/>
      <c r="R24" s="898"/>
      <c r="S24" s="898"/>
      <c r="T24" s="905"/>
      <c r="U24" s="906"/>
      <c r="V24" s="898"/>
      <c r="W24" s="898"/>
      <c r="X24" s="898"/>
      <c r="Y24" s="898"/>
      <c r="Z24" s="427"/>
      <c r="AA24" s="427"/>
      <c r="AB24" s="427"/>
      <c r="AC24" s="427"/>
      <c r="AD24" s="427"/>
      <c r="AE24" s="427"/>
      <c r="AF24" s="427"/>
    </row>
    <row r="25" spans="3:32" s="232" customFormat="1" ht="10.7" customHeight="1" outlineLevel="1" thickBot="1">
      <c r="C25" s="844"/>
      <c r="D25" s="908" t="str">
        <f>'GPC Data'!E140</f>
        <v>Comp 17</v>
      </c>
      <c r="E25" s="892"/>
      <c r="F25" s="893" t="str">
        <f>IFERROR(Growth!F20/Growth!#REF!,"")</f>
        <v/>
      </c>
      <c r="G25" s="893" t="str">
        <f>IFERROR(Growth!G20/Growth!#REF!,"")</f>
        <v/>
      </c>
      <c r="H25" s="893">
        <f>'GPC Data'!F208</f>
        <v>0</v>
      </c>
      <c r="I25" s="893">
        <f>'GPC Data'!G208</f>
        <v>0</v>
      </c>
      <c r="J25" s="893">
        <f>'GPC Data'!H208</f>
        <v>0</v>
      </c>
      <c r="K25" s="893">
        <f>'GPC Data'!I208</f>
        <v>0</v>
      </c>
      <c r="L25" s="893">
        <f>'GPC Data'!J208</f>
        <v>0</v>
      </c>
      <c r="M25" s="893">
        <f>'GPC Data'!K208</f>
        <v>0</v>
      </c>
      <c r="N25" s="897"/>
      <c r="O25" s="897"/>
      <c r="P25" s="443" t="s">
        <v>106</v>
      </c>
      <c r="Q25" s="839"/>
      <c r="R25" s="898"/>
      <c r="S25" s="898"/>
      <c r="T25" s="905"/>
      <c r="U25" s="906"/>
      <c r="V25" s="898"/>
      <c r="W25" s="898"/>
      <c r="X25" s="898"/>
      <c r="Y25" s="898"/>
      <c r="Z25" s="427"/>
      <c r="AA25" s="427"/>
      <c r="AB25" s="427"/>
      <c r="AC25" s="427"/>
      <c r="AD25" s="427"/>
      <c r="AE25" s="427"/>
      <c r="AF25" s="427"/>
    </row>
    <row r="26" spans="3:32" s="232" customFormat="1" ht="10.7" customHeight="1" outlineLevel="1" thickBot="1">
      <c r="C26" s="844"/>
      <c r="D26" s="908" t="str">
        <f>'GPC Data'!E141</f>
        <v>Comp 18</v>
      </c>
      <c r="E26" s="909"/>
      <c r="F26" s="893" t="str">
        <f>IFERROR(Growth!F21/Growth!#REF!,"")</f>
        <v/>
      </c>
      <c r="G26" s="893" t="str">
        <f>IFERROR(Growth!G21/Growth!#REF!,"")</f>
        <v/>
      </c>
      <c r="H26" s="893">
        <f>'GPC Data'!F209</f>
        <v>0</v>
      </c>
      <c r="I26" s="893">
        <f>'GPC Data'!G209</f>
        <v>0</v>
      </c>
      <c r="J26" s="893">
        <f>'GPC Data'!H209</f>
        <v>0</v>
      </c>
      <c r="K26" s="893">
        <f>'GPC Data'!I209</f>
        <v>0</v>
      </c>
      <c r="L26" s="893">
        <f>'GPC Data'!J209</f>
        <v>0</v>
      </c>
      <c r="M26" s="893">
        <f>'GPC Data'!K209</f>
        <v>0</v>
      </c>
      <c r="N26" s="897"/>
      <c r="O26" s="897"/>
      <c r="P26" s="443" t="s">
        <v>106</v>
      </c>
      <c r="Q26" s="839"/>
      <c r="R26" s="898"/>
      <c r="S26" s="898"/>
      <c r="T26" s="905"/>
      <c r="U26" s="906"/>
      <c r="V26" s="898"/>
      <c r="W26" s="898"/>
      <c r="X26" s="898"/>
      <c r="Y26" s="898"/>
      <c r="Z26" s="427"/>
      <c r="AA26" s="427"/>
      <c r="AB26" s="427"/>
      <c r="AC26" s="427"/>
      <c r="AD26" s="427"/>
      <c r="AE26" s="427"/>
      <c r="AF26" s="427"/>
    </row>
    <row r="27" spans="3:32" s="232" customFormat="1" ht="10.7" customHeight="1" outlineLevel="1" thickBot="1">
      <c r="C27" s="844"/>
      <c r="D27" s="908" t="str">
        <f>'GPC Data'!E142</f>
        <v>Comp 19</v>
      </c>
      <c r="E27" s="892"/>
      <c r="F27" s="893" t="str">
        <f>IFERROR(Growth!F22/Growth!#REF!,"")</f>
        <v/>
      </c>
      <c r="G27" s="893" t="str">
        <f>IFERROR(Growth!G22/Growth!#REF!,"")</f>
        <v/>
      </c>
      <c r="H27" s="893">
        <f>'GPC Data'!F210</f>
        <v>0</v>
      </c>
      <c r="I27" s="893">
        <f>'GPC Data'!G210</f>
        <v>0</v>
      </c>
      <c r="J27" s="893">
        <f>'GPC Data'!H210</f>
        <v>0</v>
      </c>
      <c r="K27" s="893">
        <f>'GPC Data'!I210</f>
        <v>0</v>
      </c>
      <c r="L27" s="893">
        <f>'GPC Data'!J210</f>
        <v>0</v>
      </c>
      <c r="M27" s="893">
        <f>'GPC Data'!K210</f>
        <v>0</v>
      </c>
      <c r="N27" s="897"/>
      <c r="O27" s="897"/>
      <c r="P27" s="443" t="s">
        <v>106</v>
      </c>
      <c r="Q27" s="839"/>
      <c r="R27" s="898"/>
      <c r="S27" s="898"/>
      <c r="T27" s="905"/>
      <c r="U27" s="906"/>
      <c r="V27" s="898"/>
      <c r="W27" s="898"/>
      <c r="X27" s="898"/>
      <c r="Y27" s="898"/>
      <c r="Z27" s="427"/>
      <c r="AA27" s="427"/>
      <c r="AB27" s="427"/>
      <c r="AC27" s="427"/>
      <c r="AD27" s="427"/>
      <c r="AE27" s="427"/>
      <c r="AF27" s="427"/>
    </row>
    <row r="28" spans="3:32" s="232" customFormat="1" ht="12" outlineLevel="1" thickBot="1">
      <c r="C28" s="844"/>
      <c r="D28" s="908" t="str">
        <f>'GPC Data'!E143</f>
        <v>Comp 20</v>
      </c>
      <c r="E28" s="892"/>
      <c r="F28" s="893" t="str">
        <f>IFERROR(Growth!F23/Growth!#REF!,"")</f>
        <v/>
      </c>
      <c r="G28" s="893" t="str">
        <f>IFERROR(Growth!G23/Growth!#REF!,"")</f>
        <v/>
      </c>
      <c r="H28" s="893">
        <f>'GPC Data'!F211</f>
        <v>0</v>
      </c>
      <c r="I28" s="893">
        <f>'GPC Data'!G211</f>
        <v>0</v>
      </c>
      <c r="J28" s="893">
        <f>'GPC Data'!H211</f>
        <v>0</v>
      </c>
      <c r="K28" s="893">
        <f>'GPC Data'!I211</f>
        <v>0</v>
      </c>
      <c r="L28" s="893">
        <f>'GPC Data'!J211</f>
        <v>0</v>
      </c>
      <c r="M28" s="893">
        <f>'GPC Data'!K211</f>
        <v>0</v>
      </c>
      <c r="N28" s="897"/>
      <c r="O28" s="897"/>
      <c r="P28" s="443" t="s">
        <v>106</v>
      </c>
      <c r="Q28" s="839"/>
      <c r="R28" s="898"/>
      <c r="S28" s="898"/>
      <c r="T28" s="905"/>
      <c r="U28" s="906"/>
      <c r="V28" s="898"/>
      <c r="W28" s="898"/>
      <c r="X28" s="898"/>
      <c r="Y28" s="898"/>
      <c r="Z28" s="427"/>
      <c r="AA28" s="427"/>
      <c r="AB28" s="427"/>
      <c r="AC28" s="427"/>
      <c r="AD28" s="427"/>
      <c r="AE28" s="427"/>
      <c r="AF28" s="427"/>
    </row>
    <row r="29" spans="3:32" s="232" customFormat="1" ht="12" outlineLevel="1" thickBot="1">
      <c r="C29" s="844"/>
      <c r="D29" s="908" t="str">
        <f>'GPC Data'!E144</f>
        <v>Comp 21</v>
      </c>
      <c r="E29" s="892"/>
      <c r="F29" s="893" t="str">
        <f>IFERROR(Growth!F24/Growth!#REF!,"")</f>
        <v/>
      </c>
      <c r="G29" s="893" t="str">
        <f>IFERROR(Growth!G24/Growth!#REF!,"")</f>
        <v/>
      </c>
      <c r="H29" s="893">
        <f>'GPC Data'!F212</f>
        <v>0</v>
      </c>
      <c r="I29" s="893">
        <f>'GPC Data'!G212</f>
        <v>0</v>
      </c>
      <c r="J29" s="893">
        <f>'GPC Data'!H212</f>
        <v>0</v>
      </c>
      <c r="K29" s="893">
        <f>'GPC Data'!I212</f>
        <v>0</v>
      </c>
      <c r="L29" s="893">
        <f>'GPC Data'!J212</f>
        <v>0</v>
      </c>
      <c r="M29" s="893">
        <f>'GPC Data'!K212</f>
        <v>0</v>
      </c>
      <c r="N29" s="897"/>
      <c r="O29" s="897"/>
      <c r="P29" s="443" t="s">
        <v>106</v>
      </c>
      <c r="Q29" s="839"/>
      <c r="R29" s="898"/>
      <c r="S29" s="898"/>
      <c r="T29" s="905"/>
      <c r="U29" s="906"/>
      <c r="V29" s="898"/>
      <c r="W29" s="898"/>
      <c r="X29" s="898"/>
      <c r="Y29" s="898"/>
      <c r="Z29" s="427"/>
      <c r="AA29" s="427"/>
      <c r="AB29" s="427"/>
      <c r="AC29" s="427"/>
      <c r="AD29" s="427"/>
      <c r="AE29" s="427"/>
      <c r="AF29" s="427"/>
    </row>
    <row r="30" spans="3:32" s="232" customFormat="1" ht="12" outlineLevel="1" thickBot="1">
      <c r="C30" s="844"/>
      <c r="D30" s="908" t="str">
        <f>'GPC Data'!E145</f>
        <v>Comp 22</v>
      </c>
      <c r="E30" s="892"/>
      <c r="F30" s="893" t="str">
        <f>IFERROR(Growth!F25/Growth!#REF!,"")</f>
        <v/>
      </c>
      <c r="G30" s="893" t="str">
        <f>IFERROR(Growth!G25/Growth!#REF!,"")</f>
        <v/>
      </c>
      <c r="H30" s="893">
        <f>'GPC Data'!F213</f>
        <v>0</v>
      </c>
      <c r="I30" s="893">
        <f>'GPC Data'!G213</f>
        <v>0</v>
      </c>
      <c r="J30" s="893">
        <f>'GPC Data'!H213</f>
        <v>0</v>
      </c>
      <c r="K30" s="893">
        <f>'GPC Data'!I213</f>
        <v>0</v>
      </c>
      <c r="L30" s="893">
        <f>'GPC Data'!J213</f>
        <v>0</v>
      </c>
      <c r="M30" s="893">
        <f>'GPC Data'!K213</f>
        <v>0</v>
      </c>
      <c r="N30" s="897"/>
      <c r="O30" s="897"/>
      <c r="P30" s="443" t="s">
        <v>106</v>
      </c>
      <c r="Q30" s="839"/>
      <c r="R30" s="898"/>
      <c r="S30" s="898"/>
      <c r="T30" s="905"/>
      <c r="U30" s="906"/>
      <c r="V30" s="898"/>
      <c r="W30" s="898"/>
      <c r="X30" s="898"/>
      <c r="Y30" s="898"/>
      <c r="Z30" s="427"/>
      <c r="AA30" s="427"/>
      <c r="AB30" s="427"/>
      <c r="AC30" s="427"/>
      <c r="AD30" s="427"/>
      <c r="AE30" s="427"/>
      <c r="AF30" s="427"/>
    </row>
    <row r="31" spans="3:32" s="232" customFormat="1" ht="12" outlineLevel="1" thickBot="1">
      <c r="C31" s="844"/>
      <c r="D31" s="908" t="str">
        <f>'GPC Data'!E146</f>
        <v>Comp 23</v>
      </c>
      <c r="E31" s="892"/>
      <c r="F31" s="893" t="str">
        <f>IFERROR(Growth!F26/Growth!#REF!,"")</f>
        <v/>
      </c>
      <c r="G31" s="893" t="str">
        <f>IFERROR(Growth!G26/Growth!#REF!,"")</f>
        <v/>
      </c>
      <c r="H31" s="893">
        <f>'GPC Data'!F214</f>
        <v>0</v>
      </c>
      <c r="I31" s="893">
        <f>'GPC Data'!G214</f>
        <v>0</v>
      </c>
      <c r="J31" s="893">
        <f>'GPC Data'!H214</f>
        <v>0</v>
      </c>
      <c r="K31" s="893">
        <f>'GPC Data'!I214</f>
        <v>0</v>
      </c>
      <c r="L31" s="893">
        <f>'GPC Data'!J214</f>
        <v>0</v>
      </c>
      <c r="M31" s="893">
        <f>'GPC Data'!K214</f>
        <v>0</v>
      </c>
      <c r="N31" s="897"/>
      <c r="O31" s="897"/>
      <c r="P31" s="443" t="s">
        <v>106</v>
      </c>
      <c r="Q31" s="839"/>
      <c r="R31" s="898"/>
      <c r="S31" s="898"/>
      <c r="T31" s="905"/>
      <c r="U31" s="906"/>
      <c r="V31" s="898"/>
      <c r="W31" s="898"/>
      <c r="X31" s="898"/>
      <c r="Y31" s="898"/>
      <c r="Z31" s="427"/>
      <c r="AA31" s="427"/>
      <c r="AB31" s="427"/>
      <c r="AC31" s="427"/>
      <c r="AD31" s="427"/>
      <c r="AE31" s="427"/>
      <c r="AF31" s="427"/>
    </row>
    <row r="32" spans="3:32" s="232" customFormat="1" ht="12" outlineLevel="1" thickBot="1">
      <c r="C32" s="844"/>
      <c r="D32" s="908" t="str">
        <f>'GPC Data'!E147</f>
        <v>Comp 24</v>
      </c>
      <c r="E32" s="892"/>
      <c r="F32" s="893" t="str">
        <f>IFERROR(Growth!F27/Growth!#REF!,"")</f>
        <v/>
      </c>
      <c r="G32" s="893" t="str">
        <f>IFERROR(Growth!G27/Growth!#REF!,"")</f>
        <v/>
      </c>
      <c r="H32" s="893">
        <f>'GPC Data'!F215</f>
        <v>0</v>
      </c>
      <c r="I32" s="893">
        <f>'GPC Data'!G215</f>
        <v>0</v>
      </c>
      <c r="J32" s="893">
        <f>'GPC Data'!H215</f>
        <v>0</v>
      </c>
      <c r="K32" s="893">
        <f>'GPC Data'!I215</f>
        <v>0</v>
      </c>
      <c r="L32" s="893">
        <f>'GPC Data'!J215</f>
        <v>0</v>
      </c>
      <c r="M32" s="893">
        <f>'GPC Data'!K215</f>
        <v>0</v>
      </c>
      <c r="N32" s="897"/>
      <c r="O32" s="897"/>
      <c r="P32" s="443" t="s">
        <v>106</v>
      </c>
      <c r="Q32" s="839"/>
      <c r="R32" s="898"/>
      <c r="S32" s="898"/>
      <c r="T32" s="905"/>
      <c r="U32" s="906"/>
      <c r="V32" s="898"/>
      <c r="W32" s="898"/>
      <c r="X32" s="898"/>
      <c r="Y32" s="898"/>
      <c r="Z32" s="427"/>
      <c r="AA32" s="427"/>
      <c r="AB32" s="427"/>
      <c r="AC32" s="427"/>
      <c r="AD32" s="427"/>
      <c r="AE32" s="427"/>
      <c r="AF32" s="427"/>
    </row>
    <row r="33" spans="2:32" s="232" customFormat="1" ht="12" outlineLevel="1" thickBot="1">
      <c r="C33" s="844"/>
      <c r="D33" s="908" t="str">
        <f>'GPC Data'!E148</f>
        <v>Comp 25</v>
      </c>
      <c r="E33" s="892"/>
      <c r="F33" s="893" t="str">
        <f>IFERROR(Growth!F28/Growth!#REF!,"")</f>
        <v/>
      </c>
      <c r="G33" s="893" t="str">
        <f>IFERROR(Growth!G28/Growth!#REF!,"")</f>
        <v/>
      </c>
      <c r="H33" s="893">
        <f>'GPC Data'!F216</f>
        <v>0</v>
      </c>
      <c r="I33" s="893">
        <f>'GPC Data'!G216</f>
        <v>0</v>
      </c>
      <c r="J33" s="893">
        <f>'GPC Data'!H216</f>
        <v>0</v>
      </c>
      <c r="K33" s="893">
        <f>'GPC Data'!I216</f>
        <v>0</v>
      </c>
      <c r="L33" s="893">
        <f>'GPC Data'!J216</f>
        <v>0</v>
      </c>
      <c r="M33" s="893">
        <f>'GPC Data'!K216</f>
        <v>0</v>
      </c>
      <c r="N33" s="897"/>
      <c r="O33" s="897"/>
      <c r="P33" s="443" t="s">
        <v>106</v>
      </c>
      <c r="Q33" s="839"/>
      <c r="R33" s="898"/>
      <c r="S33" s="898"/>
      <c r="T33" s="905"/>
      <c r="U33" s="906"/>
      <c r="V33" s="898"/>
      <c r="W33" s="898"/>
      <c r="X33" s="898"/>
      <c r="Y33" s="898"/>
      <c r="Z33" s="427"/>
      <c r="AA33" s="427"/>
      <c r="AB33" s="427"/>
      <c r="AC33" s="427"/>
      <c r="AD33" s="427"/>
      <c r="AE33" s="427"/>
      <c r="AF33" s="427"/>
    </row>
    <row r="34" spans="2:32" s="232" customFormat="1" ht="12" outlineLevel="1" thickBot="1">
      <c r="C34" s="844"/>
      <c r="D34" s="908" t="str">
        <f>'GPC Data'!E149</f>
        <v>Comp 26</v>
      </c>
      <c r="E34" s="892"/>
      <c r="F34" s="893" t="str">
        <f>IFERROR(Growth!F29/Growth!#REF!,"")</f>
        <v/>
      </c>
      <c r="G34" s="893" t="str">
        <f>IFERROR(Growth!G29/Growth!#REF!,"")</f>
        <v/>
      </c>
      <c r="H34" s="893">
        <f>'GPC Data'!F217</f>
        <v>0</v>
      </c>
      <c r="I34" s="893">
        <f>'GPC Data'!G217</f>
        <v>0</v>
      </c>
      <c r="J34" s="893">
        <f>'GPC Data'!H217</f>
        <v>0</v>
      </c>
      <c r="K34" s="893">
        <f>'GPC Data'!I217</f>
        <v>0</v>
      </c>
      <c r="L34" s="893">
        <f>'GPC Data'!J217</f>
        <v>0</v>
      </c>
      <c r="M34" s="893">
        <f>'GPC Data'!K217</f>
        <v>0</v>
      </c>
      <c r="N34" s="897"/>
      <c r="O34" s="897"/>
      <c r="P34" s="443" t="s">
        <v>106</v>
      </c>
      <c r="Q34" s="839"/>
      <c r="R34" s="898"/>
      <c r="S34" s="898"/>
      <c r="T34" s="905"/>
      <c r="U34" s="906"/>
      <c r="V34" s="898"/>
      <c r="W34" s="898"/>
      <c r="X34" s="898"/>
      <c r="Y34" s="898"/>
      <c r="Z34" s="427"/>
      <c r="AA34" s="427"/>
      <c r="AB34" s="427"/>
      <c r="AC34" s="427"/>
      <c r="AD34" s="427"/>
      <c r="AE34" s="427"/>
      <c r="AF34" s="427"/>
    </row>
    <row r="35" spans="2:32" s="232" customFormat="1" ht="12" outlineLevel="1" thickBot="1">
      <c r="C35" s="844"/>
      <c r="D35" s="908" t="str">
        <f>'GPC Data'!E150</f>
        <v>Comp 27</v>
      </c>
      <c r="E35" s="892"/>
      <c r="F35" s="893" t="str">
        <f>IFERROR(Growth!F30/Growth!#REF!,"")</f>
        <v/>
      </c>
      <c r="G35" s="893" t="str">
        <f>IFERROR(Growth!G30/Growth!#REF!,"")</f>
        <v/>
      </c>
      <c r="H35" s="893">
        <f>'GPC Data'!F218</f>
        <v>0</v>
      </c>
      <c r="I35" s="893">
        <f>'GPC Data'!G218</f>
        <v>0</v>
      </c>
      <c r="J35" s="893">
        <f>'GPC Data'!H218</f>
        <v>0</v>
      </c>
      <c r="K35" s="893">
        <f>'GPC Data'!I218</f>
        <v>0</v>
      </c>
      <c r="L35" s="893">
        <f>'GPC Data'!J218</f>
        <v>0</v>
      </c>
      <c r="M35" s="893">
        <f>'GPC Data'!K218</f>
        <v>0</v>
      </c>
      <c r="N35" s="897"/>
      <c r="O35" s="897"/>
      <c r="P35" s="443" t="s">
        <v>106</v>
      </c>
      <c r="Q35" s="839"/>
      <c r="R35" s="898"/>
      <c r="S35" s="898"/>
      <c r="T35" s="905"/>
      <c r="U35" s="906"/>
      <c r="V35" s="898"/>
      <c r="W35" s="898"/>
      <c r="X35" s="898"/>
      <c r="Y35" s="898"/>
      <c r="Z35" s="427"/>
      <c r="AA35" s="427"/>
      <c r="AB35" s="427"/>
      <c r="AC35" s="427"/>
      <c r="AD35" s="427"/>
      <c r="AE35" s="427"/>
      <c r="AF35" s="427"/>
    </row>
    <row r="36" spans="2:32" s="232" customFormat="1" ht="12" outlineLevel="1" thickBot="1">
      <c r="C36" s="844"/>
      <c r="D36" s="908" t="str">
        <f>'GPC Data'!E151</f>
        <v>Comp 28</v>
      </c>
      <c r="E36" s="892"/>
      <c r="F36" s="893" t="str">
        <f>IFERROR(Growth!F31/Growth!#REF!,"")</f>
        <v/>
      </c>
      <c r="G36" s="893" t="str">
        <f>IFERROR(Growth!G31/Growth!#REF!,"")</f>
        <v/>
      </c>
      <c r="H36" s="893">
        <f>'GPC Data'!F219</f>
        <v>0</v>
      </c>
      <c r="I36" s="893">
        <f>'GPC Data'!G219</f>
        <v>0</v>
      </c>
      <c r="J36" s="893">
        <f>'GPC Data'!H219</f>
        <v>0</v>
      </c>
      <c r="K36" s="893">
        <f>'GPC Data'!I219</f>
        <v>0</v>
      </c>
      <c r="L36" s="893">
        <f>'GPC Data'!J219</f>
        <v>0</v>
      </c>
      <c r="M36" s="893">
        <f>'GPC Data'!K219</f>
        <v>0</v>
      </c>
      <c r="N36" s="897"/>
      <c r="O36" s="897"/>
      <c r="P36" s="443" t="s">
        <v>106</v>
      </c>
      <c r="Q36" s="839"/>
      <c r="R36" s="898"/>
      <c r="S36" s="898"/>
      <c r="T36" s="905"/>
      <c r="U36" s="906"/>
      <c r="V36" s="898"/>
      <c r="W36" s="898"/>
      <c r="X36" s="898"/>
      <c r="Y36" s="898"/>
      <c r="Z36" s="427"/>
      <c r="AA36" s="427"/>
      <c r="AB36" s="427"/>
      <c r="AC36" s="427"/>
      <c r="AD36" s="427"/>
      <c r="AE36" s="427"/>
      <c r="AF36" s="427"/>
    </row>
    <row r="37" spans="2:32" s="232" customFormat="1" ht="12" outlineLevel="1" thickBot="1">
      <c r="C37" s="844"/>
      <c r="D37" s="908" t="str">
        <f>'GPC Data'!E152</f>
        <v>Comp 29</v>
      </c>
      <c r="E37" s="892"/>
      <c r="F37" s="893" t="str">
        <f>IFERROR(Growth!F32/Growth!#REF!,"")</f>
        <v/>
      </c>
      <c r="G37" s="893" t="str">
        <f>IFERROR(Growth!G32/Growth!#REF!,"")</f>
        <v/>
      </c>
      <c r="H37" s="893">
        <f>'GPC Data'!F220</f>
        <v>0</v>
      </c>
      <c r="I37" s="893">
        <f>'GPC Data'!G220</f>
        <v>0</v>
      </c>
      <c r="J37" s="893">
        <f>'GPC Data'!H220</f>
        <v>0</v>
      </c>
      <c r="K37" s="893">
        <f>'GPC Data'!I220</f>
        <v>0</v>
      </c>
      <c r="L37" s="893">
        <f>'GPC Data'!J220</f>
        <v>0</v>
      </c>
      <c r="M37" s="893">
        <f>'GPC Data'!K220</f>
        <v>0</v>
      </c>
      <c r="N37" s="897"/>
      <c r="O37" s="897"/>
      <c r="P37" s="443" t="s">
        <v>106</v>
      </c>
      <c r="Q37" s="839"/>
      <c r="R37" s="898"/>
      <c r="S37" s="898"/>
      <c r="T37" s="905"/>
      <c r="U37" s="906"/>
      <c r="V37" s="898"/>
      <c r="W37" s="898"/>
      <c r="X37" s="898"/>
      <c r="Y37" s="898"/>
      <c r="Z37" s="427"/>
      <c r="AA37" s="427"/>
      <c r="AB37" s="427"/>
      <c r="AC37" s="427"/>
      <c r="AD37" s="427"/>
      <c r="AE37" s="427"/>
      <c r="AF37" s="427"/>
    </row>
    <row r="38" spans="2:32" s="232" customFormat="1" ht="12" outlineLevel="1" thickBot="1">
      <c r="C38" s="844">
        <v>10</v>
      </c>
      <c r="D38" s="908" t="str">
        <f>'GPC Data'!E153</f>
        <v>Comp 30</v>
      </c>
      <c r="E38" s="892"/>
      <c r="F38" s="893" t="str">
        <f>IFERROR(Growth!F1/Growth!#REF!,"")</f>
        <v/>
      </c>
      <c r="G38" s="893" t="str">
        <f>IFERROR(Growth!G1/Growth!#REF!,"")</f>
        <v/>
      </c>
      <c r="H38" s="893">
        <f>'GPC Data'!F221</f>
        <v>0</v>
      </c>
      <c r="I38" s="893">
        <f>'GPC Data'!G221</f>
        <v>0</v>
      </c>
      <c r="J38" s="893">
        <f>'GPC Data'!H221</f>
        <v>0</v>
      </c>
      <c r="K38" s="893">
        <f>'GPC Data'!I221</f>
        <v>0</v>
      </c>
      <c r="L38" s="893">
        <f>'GPC Data'!J221</f>
        <v>0</v>
      </c>
      <c r="M38" s="893">
        <f>'GPC Data'!K221</f>
        <v>0</v>
      </c>
      <c r="N38" s="897"/>
      <c r="O38" s="897"/>
      <c r="P38" s="443" t="s">
        <v>106</v>
      </c>
      <c r="Q38" s="839"/>
      <c r="R38" s="898"/>
      <c r="S38" s="898" t="str">
        <f>D38</f>
        <v>Comp 30</v>
      </c>
      <c r="T38" s="905">
        <f>I38</f>
        <v>0</v>
      </c>
      <c r="U38" s="906">
        <f>K38</f>
        <v>0</v>
      </c>
      <c r="V38" s="898"/>
      <c r="W38" s="898"/>
      <c r="X38" s="898"/>
      <c r="Y38" s="898"/>
      <c r="Z38" s="427" t="s">
        <v>1443</v>
      </c>
      <c r="AA38" s="427" t="s">
        <v>1443</v>
      </c>
      <c r="AB38" s="427" t="s">
        <v>1443</v>
      </c>
      <c r="AC38" s="427" t="s">
        <v>1443</v>
      </c>
      <c r="AD38" s="427" t="s">
        <v>1443</v>
      </c>
      <c r="AE38" s="427" t="s">
        <v>1443</v>
      </c>
      <c r="AF38" s="427" t="s">
        <v>1443</v>
      </c>
    </row>
    <row r="39" spans="2:32">
      <c r="B39" s="232"/>
      <c r="D39" s="910" t="str">
        <f>"As of "&amp;TEXT(valuation.date,"d mmmm yyy")&amp;"."&amp;" Historical and forecast consensus financial statements for the selected guideline public companies provided by Capital IQ."</f>
        <v>As of 30 September 2024. Historical and forecast consensus financial statements for the selected guideline public companies provided by Capital IQ.</v>
      </c>
      <c r="E39" s="867"/>
      <c r="F39" s="867"/>
      <c r="G39" s="867"/>
      <c r="H39" s="867"/>
      <c r="I39" s="867"/>
      <c r="J39" s="867"/>
      <c r="K39" s="867"/>
      <c r="L39" s="867"/>
      <c r="M39" s="867"/>
      <c r="N39" s="867"/>
      <c r="O39" s="867"/>
      <c r="R39" s="911"/>
      <c r="S39" s="911"/>
      <c r="T39" s="911"/>
      <c r="U39" s="911"/>
      <c r="V39" s="911"/>
      <c r="W39" s="911"/>
      <c r="X39" s="911"/>
      <c r="Y39" s="911"/>
      <c r="Z39" s="867"/>
      <c r="AA39" s="867"/>
      <c r="AB39" s="867"/>
      <c r="AC39" s="867"/>
      <c r="AD39" s="867"/>
      <c r="AE39" s="867"/>
      <c r="AF39" s="867"/>
    </row>
    <row r="40" spans="2:32">
      <c r="B40" s="232"/>
      <c r="D40" s="910"/>
      <c r="E40" s="867"/>
      <c r="F40" s="867"/>
      <c r="G40" s="867"/>
      <c r="H40" s="867"/>
      <c r="I40" s="867"/>
      <c r="J40" s="867"/>
      <c r="K40" s="867"/>
      <c r="L40" s="867"/>
      <c r="M40" s="867"/>
      <c r="N40" s="867"/>
      <c r="O40" s="867"/>
      <c r="R40" s="911"/>
      <c r="S40" s="911"/>
      <c r="T40" s="911"/>
      <c r="U40" s="911"/>
      <c r="V40" s="911"/>
      <c r="W40" s="911"/>
      <c r="X40" s="911"/>
      <c r="Y40" s="911"/>
      <c r="Z40" s="867"/>
      <c r="AA40" s="867"/>
      <c r="AB40" s="867"/>
      <c r="AC40" s="867"/>
      <c r="AD40" s="867"/>
      <c r="AE40" s="867"/>
      <c r="AF40" s="867"/>
    </row>
    <row r="41" spans="2:32">
      <c r="E41" s="912" t="s">
        <v>209</v>
      </c>
      <c r="F41" s="913">
        <f>MAX(F9:F38)</f>
        <v>0</v>
      </c>
      <c r="G41" s="913">
        <f t="shared" ref="G41:M41" si="3">MAX(G9:G38)</f>
        <v>0</v>
      </c>
      <c r="H41" s="913">
        <f t="shared" si="3"/>
        <v>0</v>
      </c>
      <c r="I41" s="913">
        <f t="shared" si="3"/>
        <v>0</v>
      </c>
      <c r="J41" s="913">
        <f t="shared" si="3"/>
        <v>0</v>
      </c>
      <c r="K41" s="913">
        <f t="shared" si="3"/>
        <v>0</v>
      </c>
      <c r="L41" s="913">
        <f t="shared" si="3"/>
        <v>0</v>
      </c>
      <c r="M41" s="913">
        <f t="shared" si="3"/>
        <v>0</v>
      </c>
      <c r="N41" s="811"/>
      <c r="O41" s="811"/>
      <c r="Z41" s="867"/>
      <c r="AA41" s="867" t="s">
        <v>1443</v>
      </c>
      <c r="AB41" s="867" t="s">
        <v>1443</v>
      </c>
      <c r="AC41" s="867" t="s">
        <v>1443</v>
      </c>
      <c r="AD41" s="867" t="s">
        <v>1443</v>
      </c>
      <c r="AE41" s="867" t="s">
        <v>1443</v>
      </c>
      <c r="AF41" s="867" t="s">
        <v>1443</v>
      </c>
    </row>
    <row r="42" spans="2:32">
      <c r="E42" s="914" t="s">
        <v>1419</v>
      </c>
      <c r="F42" s="915" t="e">
        <f>PERCENTILE(F9:F38,0.75)</f>
        <v>#NUM!</v>
      </c>
      <c r="G42" s="915" t="e">
        <f t="shared" ref="G42:M42" si="4">PERCENTILE(G9:G38,0.75)</f>
        <v>#NUM!</v>
      </c>
      <c r="H42" s="915">
        <f t="shared" si="4"/>
        <v>0</v>
      </c>
      <c r="I42" s="915">
        <f t="shared" si="4"/>
        <v>0</v>
      </c>
      <c r="J42" s="915">
        <f t="shared" si="4"/>
        <v>0</v>
      </c>
      <c r="K42" s="915">
        <f t="shared" si="4"/>
        <v>0</v>
      </c>
      <c r="L42" s="915">
        <f t="shared" si="4"/>
        <v>0</v>
      </c>
      <c r="M42" s="915">
        <f t="shared" si="4"/>
        <v>0</v>
      </c>
      <c r="N42" s="811"/>
      <c r="O42" s="811"/>
      <c r="Z42" s="867"/>
      <c r="AA42" s="867"/>
      <c r="AB42" s="867"/>
      <c r="AC42" s="867"/>
      <c r="AD42" s="867"/>
      <c r="AE42" s="867"/>
      <c r="AF42" s="867"/>
    </row>
    <row r="43" spans="2:32">
      <c r="E43" s="914" t="s">
        <v>1369</v>
      </c>
      <c r="F43" s="915" t="e">
        <f>AVERAGE(F9:F38)</f>
        <v>#DIV/0!</v>
      </c>
      <c r="G43" s="915" t="e">
        <f t="shared" ref="G43:M43" si="5">AVERAGE(G9:G38)</f>
        <v>#DIV/0!</v>
      </c>
      <c r="H43" s="915">
        <f t="shared" si="5"/>
        <v>0</v>
      </c>
      <c r="I43" s="915">
        <f t="shared" si="5"/>
        <v>0</v>
      </c>
      <c r="J43" s="915">
        <f t="shared" si="5"/>
        <v>0</v>
      </c>
      <c r="K43" s="915">
        <f t="shared" si="5"/>
        <v>0</v>
      </c>
      <c r="L43" s="915">
        <f t="shared" si="5"/>
        <v>0</v>
      </c>
      <c r="M43" s="915">
        <f t="shared" si="5"/>
        <v>0</v>
      </c>
      <c r="N43" s="811"/>
      <c r="O43" s="811"/>
      <c r="Z43" s="868" t="s">
        <v>1443</v>
      </c>
      <c r="AA43" s="868" t="s">
        <v>1443</v>
      </c>
      <c r="AB43" s="868" t="s">
        <v>1443</v>
      </c>
      <c r="AC43" s="868" t="s">
        <v>1443</v>
      </c>
      <c r="AD43" s="868" t="s">
        <v>1443</v>
      </c>
      <c r="AE43" s="868" t="s">
        <v>1443</v>
      </c>
      <c r="AF43" s="868" t="s">
        <v>1443</v>
      </c>
    </row>
    <row r="44" spans="2:32" ht="13.5">
      <c r="E44" s="879" t="s">
        <v>1370</v>
      </c>
      <c r="F44" s="877" t="e">
        <f>MEDIAN(F9:F38)</f>
        <v>#NUM!</v>
      </c>
      <c r="G44" s="877" t="e">
        <f t="shared" ref="G44:M44" si="6">MEDIAN(G9:G38)</f>
        <v>#NUM!</v>
      </c>
      <c r="H44" s="877">
        <f t="shared" si="6"/>
        <v>0</v>
      </c>
      <c r="I44" s="877">
        <f t="shared" si="6"/>
        <v>0</v>
      </c>
      <c r="J44" s="877">
        <f t="shared" si="6"/>
        <v>0</v>
      </c>
      <c r="K44" s="877">
        <f t="shared" si="6"/>
        <v>0</v>
      </c>
      <c r="L44" s="877">
        <f t="shared" si="6"/>
        <v>0</v>
      </c>
      <c r="M44" s="877">
        <f t="shared" si="6"/>
        <v>0</v>
      </c>
      <c r="N44" s="811"/>
      <c r="O44" s="811"/>
      <c r="Z44" s="882" t="s">
        <v>1443</v>
      </c>
      <c r="AA44" s="882" t="s">
        <v>1443</v>
      </c>
      <c r="AB44" s="882" t="s">
        <v>1443</v>
      </c>
      <c r="AC44" s="882" t="s">
        <v>1443</v>
      </c>
      <c r="AD44" s="882" t="s">
        <v>1443</v>
      </c>
      <c r="AE44" s="882" t="s">
        <v>1443</v>
      </c>
      <c r="AF44" s="882" t="s">
        <v>1443</v>
      </c>
    </row>
    <row r="45" spans="2:32" ht="13.5">
      <c r="E45" s="914" t="s">
        <v>1420</v>
      </c>
      <c r="F45" s="915" t="e">
        <f>PERCENTILE(F9:F38,0.25)</f>
        <v>#NUM!</v>
      </c>
      <c r="G45" s="915" t="e">
        <f t="shared" ref="G45:M45" si="7">PERCENTILE(G9:G38,0.25)</f>
        <v>#NUM!</v>
      </c>
      <c r="H45" s="915">
        <f t="shared" si="7"/>
        <v>0</v>
      </c>
      <c r="I45" s="915">
        <f t="shared" si="7"/>
        <v>0</v>
      </c>
      <c r="J45" s="915">
        <f t="shared" si="7"/>
        <v>0</v>
      </c>
      <c r="K45" s="915">
        <f t="shared" si="7"/>
        <v>0</v>
      </c>
      <c r="L45" s="915">
        <f t="shared" si="7"/>
        <v>0</v>
      </c>
      <c r="M45" s="915">
        <f t="shared" si="7"/>
        <v>0</v>
      </c>
      <c r="N45" s="811"/>
      <c r="O45" s="811"/>
      <c r="Z45" s="882"/>
      <c r="AA45" s="882"/>
      <c r="AB45" s="882"/>
      <c r="AC45" s="882"/>
      <c r="AD45" s="882"/>
      <c r="AE45" s="882"/>
      <c r="AF45" s="882"/>
    </row>
    <row r="46" spans="2:32">
      <c r="E46" s="916" t="s">
        <v>208</v>
      </c>
      <c r="F46" s="917">
        <f>MIN(F9:F38)</f>
        <v>0</v>
      </c>
      <c r="G46" s="917">
        <f t="shared" ref="G46:M46" si="8">MIN(G9:G38)</f>
        <v>0</v>
      </c>
      <c r="H46" s="917">
        <f t="shared" si="8"/>
        <v>0</v>
      </c>
      <c r="I46" s="917">
        <f t="shared" si="8"/>
        <v>0</v>
      </c>
      <c r="J46" s="917">
        <f t="shared" si="8"/>
        <v>0</v>
      </c>
      <c r="K46" s="917">
        <f t="shared" si="8"/>
        <v>0</v>
      </c>
      <c r="L46" s="917">
        <f t="shared" si="8"/>
        <v>0</v>
      </c>
      <c r="M46" s="917">
        <f t="shared" si="8"/>
        <v>0</v>
      </c>
      <c r="N46" s="811"/>
      <c r="O46" s="811"/>
      <c r="Z46" s="868" t="s">
        <v>1443</v>
      </c>
      <c r="AA46" s="868" t="s">
        <v>1443</v>
      </c>
      <c r="AB46" s="868" t="s">
        <v>1443</v>
      </c>
      <c r="AC46" s="868" t="s">
        <v>1443</v>
      </c>
      <c r="AD46" s="868" t="s">
        <v>1443</v>
      </c>
      <c r="AE46" s="868" t="s">
        <v>1443</v>
      </c>
      <c r="AF46" s="868" t="s">
        <v>1443</v>
      </c>
    </row>
    <row r="47" spans="2:32">
      <c r="E47" s="918"/>
      <c r="F47" s="811"/>
      <c r="G47" s="811"/>
      <c r="H47" s="811"/>
      <c r="I47" s="811"/>
      <c r="J47" s="811"/>
      <c r="K47" s="868"/>
      <c r="L47" s="868"/>
      <c r="Z47" s="868"/>
      <c r="AA47" s="868"/>
      <c r="AB47" s="868"/>
      <c r="AC47" s="868"/>
      <c r="AD47" s="868"/>
      <c r="AE47" s="868"/>
      <c r="AF47" s="868"/>
    </row>
    <row r="48" spans="2:32">
      <c r="E48" s="466" t="s">
        <v>1371</v>
      </c>
      <c r="F48" s="811"/>
      <c r="G48" s="811"/>
      <c r="H48" s="811"/>
      <c r="I48" s="811"/>
      <c r="J48" s="811"/>
      <c r="K48" s="868"/>
      <c r="L48" s="868"/>
      <c r="Z48" s="868"/>
      <c r="AA48" s="868"/>
      <c r="AB48" s="868"/>
      <c r="AC48" s="868"/>
      <c r="AD48" s="868"/>
      <c r="AE48" s="868"/>
      <c r="AF48" s="868"/>
    </row>
    <row r="49" spans="2:32">
      <c r="E49" s="912" t="s">
        <v>209</v>
      </c>
      <c r="F49" s="913" cm="1">
        <f t="array" ref="F49">IFERROR(MAX(IF($P$59:$P$88="No",F9:F38)),"")</f>
        <v>0</v>
      </c>
      <c r="G49" s="872" cm="1">
        <f t="array" ref="G49">IFERROR(MAX(IF($P$59:$P$88="No",G9:G38)),"")</f>
        <v>0</v>
      </c>
      <c r="H49" s="872" cm="1">
        <f t="array" ref="H49">IFERROR(MAX(IF($P$59:$P$88="No",H9:H38)),"")</f>
        <v>0</v>
      </c>
      <c r="I49" s="872" cm="1">
        <f t="array" ref="I49">IFERROR(MAX(IF($P$59:$P$88="No",I9:I38)),"")</f>
        <v>0</v>
      </c>
      <c r="J49" s="872" cm="1">
        <f t="array" ref="J49">IFERROR(MAX(IF($P$59:$P$88="No",J9:J38)),"")</f>
        <v>0</v>
      </c>
      <c r="K49" s="872" cm="1">
        <f t="array" ref="K49">IFERROR(MAX(IF($P$59:$P$88="No",K9:K38)),"")</f>
        <v>0</v>
      </c>
      <c r="L49" s="872" cm="1">
        <f t="array" ref="L49">IFERROR(MAX(IF($P$59:$P$88="No",L9:L38)),"")</f>
        <v>0</v>
      </c>
      <c r="M49" s="872" cm="1">
        <f t="array" ref="M49">IFERROR(MAX(IF($P$59:$P$88="No",M9:M38)),"")</f>
        <v>0</v>
      </c>
      <c r="N49" s="811"/>
      <c r="O49" s="811"/>
      <c r="Z49" s="868"/>
      <c r="AA49" s="868"/>
      <c r="AB49" s="868"/>
      <c r="AC49" s="868"/>
      <c r="AD49" s="868"/>
      <c r="AE49" s="868"/>
      <c r="AF49" s="868"/>
    </row>
    <row r="50" spans="2:32">
      <c r="E50" s="914" t="s">
        <v>1419</v>
      </c>
      <c r="F50" s="915" cm="1">
        <f t="array" ref="F50">PERCENTILE(IF($P$59:$P$88="No",F9:F38),0.75)</f>
        <v>0</v>
      </c>
      <c r="G50" s="811" t="e" cm="1">
        <f t="array" ref="G50">PERCENTILE(IF($P$59:$P$88="No",G9:G38),0.75)</f>
        <v>#NUM!</v>
      </c>
      <c r="H50" s="811" cm="1">
        <f t="array" ref="H50">PERCENTILE(IF($P$59:$P$88="No",H9:H38),0.75)</f>
        <v>0</v>
      </c>
      <c r="I50" s="811" cm="1">
        <f t="array" ref="I50">PERCENTILE(IF($P$59:$P$88="No",I9:I38),0.75)</f>
        <v>0</v>
      </c>
      <c r="J50" s="811" cm="1">
        <f t="array" ref="J50">PERCENTILE(IF($P$59:$P$88="No",J9:J38),0.75)</f>
        <v>0</v>
      </c>
      <c r="K50" s="811" cm="1">
        <f t="array" ref="K50">PERCENTILE(IF($P$59:$P$88="No",K9:K38),0.75)</f>
        <v>0</v>
      </c>
      <c r="L50" s="811" cm="1">
        <f t="array" ref="L50">PERCENTILE(IF($P$59:$P$88="No",L9:L38),0.75)</f>
        <v>0</v>
      </c>
      <c r="M50" s="811" cm="1">
        <f t="array" ref="M50">PERCENTILE(IF($P$59:$P$88="No",M9:M38),0.75)</f>
        <v>0</v>
      </c>
      <c r="N50" s="811"/>
      <c r="O50" s="811"/>
      <c r="Z50" s="868"/>
      <c r="AA50" s="868"/>
      <c r="AB50" s="868"/>
      <c r="AC50" s="868"/>
      <c r="AD50" s="868"/>
      <c r="AE50" s="868"/>
      <c r="AF50" s="868"/>
    </row>
    <row r="51" spans="2:32">
      <c r="E51" s="914" t="s">
        <v>1369</v>
      </c>
      <c r="F51" s="915" t="str">
        <f t="shared" ref="F51:M51" si="9">IFERROR(AVERAGEIF($P$59:$P$88,"No",F9:F38),"")</f>
        <v/>
      </c>
      <c r="G51" s="915" t="str">
        <f t="shared" si="9"/>
        <v/>
      </c>
      <c r="H51" s="915">
        <f t="shared" si="9"/>
        <v>0</v>
      </c>
      <c r="I51" s="915">
        <f t="shared" si="9"/>
        <v>0</v>
      </c>
      <c r="J51" s="915">
        <f t="shared" si="9"/>
        <v>0</v>
      </c>
      <c r="K51" s="915">
        <f t="shared" si="9"/>
        <v>0</v>
      </c>
      <c r="L51" s="915">
        <f t="shared" si="9"/>
        <v>0</v>
      </c>
      <c r="M51" s="915">
        <f t="shared" si="9"/>
        <v>0</v>
      </c>
      <c r="N51" s="811"/>
      <c r="O51" s="811"/>
      <c r="Z51" s="868"/>
      <c r="AA51" s="868"/>
      <c r="AB51" s="868"/>
      <c r="AC51" s="868"/>
      <c r="AD51" s="868"/>
      <c r="AE51" s="868"/>
      <c r="AF51" s="868"/>
    </row>
    <row r="52" spans="2:32">
      <c r="E52" s="879" t="s">
        <v>1370</v>
      </c>
      <c r="F52" s="877" cm="1">
        <f t="array" ref="F52">IFERROR(MEDIAN(IF($P$59:$P$88="No",F9:F38)),"")</f>
        <v>0</v>
      </c>
      <c r="G52" s="919" t="str" cm="1">
        <f t="array" ref="G52">IFERROR(MEDIAN(IF($P$59:$P$88="No",G9:G38)),"")</f>
        <v/>
      </c>
      <c r="H52" s="919" cm="1">
        <f t="array" ref="H52">IFERROR(MEDIAN(IF($P$59:$P$88="No",H9:H38)),"")</f>
        <v>0</v>
      </c>
      <c r="I52" s="919" cm="1">
        <f t="array" ref="I52">IFERROR(MEDIAN(IF($P$59:$P$88="No",I9:I38)),"")</f>
        <v>0</v>
      </c>
      <c r="J52" s="919" cm="1">
        <f t="array" ref="J52">IFERROR(MEDIAN(IF($P$59:$P$88="No",J9:J38)),"")</f>
        <v>0</v>
      </c>
      <c r="K52" s="919" cm="1">
        <f t="array" ref="K52">IFERROR(MEDIAN(IF($P$59:$P$88="No",K9:K38)),"")</f>
        <v>0</v>
      </c>
      <c r="L52" s="919" cm="1">
        <f t="array" ref="L52">IFERROR(MEDIAN(IF($P$59:$P$88="No",L9:L38)),"")</f>
        <v>0</v>
      </c>
      <c r="M52" s="919" cm="1">
        <f t="array" ref="M52">IFERROR(MEDIAN(IF($P$59:$P$88="No",M9:M38)),"")</f>
        <v>0</v>
      </c>
      <c r="N52" s="811"/>
      <c r="O52" s="811"/>
      <c r="Z52" s="868"/>
      <c r="AA52" s="868"/>
      <c r="AB52" s="868"/>
      <c r="AC52" s="868"/>
      <c r="AD52" s="868"/>
      <c r="AE52" s="868"/>
      <c r="AF52" s="868"/>
    </row>
    <row r="53" spans="2:32">
      <c r="E53" s="914" t="s">
        <v>1420</v>
      </c>
      <c r="F53" s="915" cm="1">
        <f t="array" ref="F53">PERCENTILE(IF($P$59:$P$88="No",F9:F38),0.25)</f>
        <v>0</v>
      </c>
      <c r="G53" s="811" t="e" cm="1">
        <f t="array" ref="G53">PERCENTILE(IF($P$59:$P$88="No",G9:G38),0.25)</f>
        <v>#NUM!</v>
      </c>
      <c r="H53" s="811" cm="1">
        <f t="array" ref="H53">PERCENTILE(IF($P$59:$P$88="No",H9:H38),0.25)</f>
        <v>0</v>
      </c>
      <c r="I53" s="811" cm="1">
        <f t="array" ref="I53">PERCENTILE(IF($P$59:$P$88="No",I9:I38),0.25)</f>
        <v>0</v>
      </c>
      <c r="J53" s="811" cm="1">
        <f t="array" ref="J53">PERCENTILE(IF($P$59:$P$88="No",J9:J38),0.25)</f>
        <v>0</v>
      </c>
      <c r="K53" s="811" cm="1">
        <f t="array" ref="K53">PERCENTILE(IF($P$59:$P$88="No",K9:K38),0.25)</f>
        <v>0</v>
      </c>
      <c r="L53" s="811" cm="1">
        <f t="array" ref="L53">PERCENTILE(IF($P$59:$P$88="No",L9:L38),0.25)</f>
        <v>0</v>
      </c>
      <c r="M53" s="811" cm="1">
        <f t="array" ref="M53">PERCENTILE(IF($P$59:$P$88="No",M9:M38),0.25)</f>
        <v>0</v>
      </c>
      <c r="N53" s="811"/>
      <c r="O53" s="811"/>
      <c r="Z53" s="868"/>
      <c r="AA53" s="868"/>
      <c r="AB53" s="868"/>
      <c r="AC53" s="868"/>
      <c r="AD53" s="868"/>
      <c r="AE53" s="868"/>
      <c r="AF53" s="868"/>
    </row>
    <row r="54" spans="2:32">
      <c r="E54" s="916" t="s">
        <v>208</v>
      </c>
      <c r="F54" s="917" cm="1">
        <f t="array" ref="F54">IFERROR(MIN(IF($P$59:$P$88="No",F9:F38)),"")</f>
        <v>0</v>
      </c>
      <c r="G54" s="886" cm="1">
        <f t="array" ref="G54">IFERROR(MIN(IF($P$59:$P$88="No",G9:G38)),"")</f>
        <v>0</v>
      </c>
      <c r="H54" s="886" cm="1">
        <f t="array" ref="H54">IFERROR(MIN(IF($P$59:$P$88="No",H9:H38)),"")</f>
        <v>0</v>
      </c>
      <c r="I54" s="886" cm="1">
        <f t="array" ref="I54">IFERROR(MIN(IF($P$59:$P$88="No",I9:I38)),"")</f>
        <v>0</v>
      </c>
      <c r="J54" s="886" cm="1">
        <f t="array" ref="J54">IFERROR(MIN(IF($P$59:$P$88="No",J9:J38)),"")</f>
        <v>0</v>
      </c>
      <c r="K54" s="886" cm="1">
        <f t="array" ref="K54">IFERROR(MIN(IF($P$59:$P$88="No",K9:K38)),"")</f>
        <v>0</v>
      </c>
      <c r="L54" s="886" cm="1">
        <f t="array" ref="L54">IFERROR(MIN(IF($P$59:$P$88="No",L9:L38)),"")</f>
        <v>0</v>
      </c>
      <c r="M54" s="886" cm="1">
        <f t="array" ref="M54">IFERROR(MIN(IF($P$59:$P$88="No",M9:M38)),"")</f>
        <v>0</v>
      </c>
      <c r="N54" s="811"/>
      <c r="O54" s="811"/>
      <c r="Z54" s="868"/>
    </row>
    <row r="55" spans="2:32">
      <c r="B55" s="251"/>
      <c r="C55" s="251"/>
      <c r="D55" s="251"/>
      <c r="E55" s="251"/>
      <c r="F55" s="251"/>
      <c r="G55" s="251"/>
      <c r="H55" s="251"/>
      <c r="I55" s="251"/>
      <c r="J55" s="251"/>
      <c r="K55" s="251"/>
      <c r="L55" s="251"/>
      <c r="M55" s="251"/>
      <c r="N55" s="251"/>
      <c r="O55" s="251"/>
      <c r="P55" s="251"/>
      <c r="Q55" s="251"/>
      <c r="R55" s="251"/>
      <c r="S55" s="251"/>
      <c r="T55" s="251"/>
      <c r="U55" s="251"/>
      <c r="V55" s="251"/>
      <c r="W55" s="251"/>
      <c r="X55" s="251"/>
      <c r="Y55" s="251"/>
      <c r="Z55" s="251"/>
    </row>
    <row r="56" spans="2:32" s="232" customFormat="1">
      <c r="B56" s="432"/>
      <c r="C56" s="432"/>
      <c r="D56" s="830" t="s">
        <v>1407</v>
      </c>
      <c r="K56" s="432"/>
      <c r="L56" s="432"/>
      <c r="M56" s="432"/>
      <c r="N56" s="432"/>
      <c r="O56" s="432"/>
      <c r="P56" s="432"/>
      <c r="Q56" s="896"/>
      <c r="R56" s="896"/>
      <c r="S56" s="896"/>
      <c r="T56" s="896"/>
      <c r="U56" s="896"/>
      <c r="V56" s="896"/>
      <c r="W56" s="896"/>
      <c r="X56" s="896"/>
      <c r="Y56" s="896"/>
      <c r="Z56" s="432"/>
    </row>
    <row r="57" spans="2:32" s="232" customFormat="1" ht="12" customHeight="1">
      <c r="B57" s="831"/>
      <c r="D57" s="832"/>
      <c r="E57" s="834"/>
      <c r="F57" s="1846"/>
      <c r="G57" s="1846"/>
      <c r="H57" s="1846"/>
      <c r="I57" s="1846"/>
      <c r="J57" s="1846"/>
      <c r="K57" s="1847" t="s">
        <v>1440</v>
      </c>
      <c r="L57" s="1847"/>
      <c r="M57" s="1847"/>
      <c r="N57" s="897"/>
      <c r="O57" s="897"/>
      <c r="P57" s="839"/>
      <c r="Q57" s="839"/>
      <c r="R57" s="898"/>
      <c r="S57" s="898"/>
      <c r="T57" s="899" t="s">
        <v>131</v>
      </c>
      <c r="U57" s="900" t="s">
        <v>1424</v>
      </c>
      <c r="V57" s="900" t="s">
        <v>1370</v>
      </c>
      <c r="W57" s="900"/>
      <c r="X57" s="898"/>
      <c r="Y57" s="898"/>
      <c r="Z57" s="429" t="s">
        <v>1443</v>
      </c>
      <c r="AA57" s="429" t="s">
        <v>1443</v>
      </c>
      <c r="AB57" s="429" t="s">
        <v>1443</v>
      </c>
      <c r="AC57" s="429" t="s">
        <v>1443</v>
      </c>
      <c r="AD57" s="429" t="s">
        <v>1443</v>
      </c>
      <c r="AE57" s="429" t="s">
        <v>1443</v>
      </c>
      <c r="AF57" s="429" t="s">
        <v>1443</v>
      </c>
    </row>
    <row r="58" spans="2:32" s="232" customFormat="1" ht="12" customHeight="1" thickBot="1">
      <c r="D58" s="840" t="s">
        <v>94</v>
      </c>
      <c r="E58" s="842"/>
      <c r="F58" s="842" t="s">
        <v>139</v>
      </c>
      <c r="G58" s="842" t="s">
        <v>137</v>
      </c>
      <c r="H58" s="842" t="s">
        <v>134</v>
      </c>
      <c r="I58" s="842" t="s">
        <v>131</v>
      </c>
      <c r="J58" s="835" t="s">
        <v>129</v>
      </c>
      <c r="K58" s="842" t="s">
        <v>1446</v>
      </c>
      <c r="L58" s="842" t="s">
        <v>1447</v>
      </c>
      <c r="M58" s="835" t="s">
        <v>1448</v>
      </c>
      <c r="N58" s="897"/>
      <c r="O58" s="897"/>
      <c r="P58" s="516" t="s">
        <v>1395</v>
      </c>
      <c r="Q58" s="839"/>
      <c r="R58" s="898"/>
      <c r="S58" s="898" t="str">
        <f>client.name.long</f>
        <v>Hazel Lighting India</v>
      </c>
      <c r="T58" s="901"/>
      <c r="U58" s="902"/>
      <c r="V58" s="902">
        <f>MEDIAN($I$102,$K$102)</f>
        <v>0</v>
      </c>
      <c r="W58" s="903"/>
      <c r="X58" s="898"/>
      <c r="Y58" s="898"/>
      <c r="Z58" s="427"/>
      <c r="AA58" s="427"/>
      <c r="AB58" s="427"/>
      <c r="AC58" s="427"/>
      <c r="AD58" s="427"/>
      <c r="AE58" s="427"/>
      <c r="AF58" s="427"/>
    </row>
    <row r="59" spans="2:32" s="232" customFormat="1" ht="12" thickBot="1">
      <c r="C59" s="844">
        <v>1</v>
      </c>
      <c r="D59" s="845" t="str">
        <f>'GPC Data'!E192</f>
        <v>Comp 1</v>
      </c>
      <c r="E59" s="904"/>
      <c r="F59" s="891" t="str">
        <f>IFERROR(Growth!F60/Growth!F10,"")</f>
        <v/>
      </c>
      <c r="G59" s="891" t="str">
        <f>IFERROR(Growth!G60/Growth!G10,"")</f>
        <v/>
      </c>
      <c r="H59" s="891">
        <f>'GPC Data'!O192</f>
        <v>0</v>
      </c>
      <c r="I59" s="891">
        <f>'GPC Data'!P192</f>
        <v>0</v>
      </c>
      <c r="J59" s="891" t="str">
        <f>IFERROR(Growth!J60/Growth!J10,"")</f>
        <v/>
      </c>
      <c r="K59" s="920" t="str">
        <f>IFERROR(Growth!K60/Growth!K10,"")</f>
        <v/>
      </c>
      <c r="L59" s="920" t="str">
        <f>IFERROR(Growth!L60/Growth!L10,"")</f>
        <v/>
      </c>
      <c r="M59" s="920" t="str">
        <f>IFERROR(Growth!M60/Growth!M10,"")</f>
        <v/>
      </c>
      <c r="N59" s="897"/>
      <c r="O59" s="897"/>
      <c r="P59" s="443" t="s">
        <v>1359</v>
      </c>
      <c r="Q59" s="839"/>
      <c r="R59" s="898"/>
      <c r="S59" s="898" t="str">
        <f t="shared" ref="S59:S67" si="10">D59</f>
        <v>Comp 1</v>
      </c>
      <c r="T59" s="905">
        <f t="shared" ref="T59:T67" si="11">I59</f>
        <v>0</v>
      </c>
      <c r="U59" s="906" t="str">
        <f t="shared" ref="U59:U67" si="12">K59</f>
        <v/>
      </c>
      <c r="V59" s="906">
        <f>MEDIAN($I$102,$K$102)</f>
        <v>0</v>
      </c>
      <c r="W59" s="898"/>
      <c r="X59" s="907">
        <v>0</v>
      </c>
      <c r="Y59" s="907"/>
      <c r="Z59" s="427"/>
      <c r="AA59" s="427"/>
      <c r="AB59" s="427"/>
      <c r="AC59" s="427"/>
      <c r="AD59" s="427"/>
      <c r="AE59" s="427"/>
      <c r="AF59" s="427"/>
    </row>
    <row r="60" spans="2:32" s="232" customFormat="1" ht="12" thickBot="1">
      <c r="C60" s="844">
        <v>2</v>
      </c>
      <c r="D60" s="908" t="str">
        <f>'GPC Data'!E193</f>
        <v>Comp 2</v>
      </c>
      <c r="E60" s="892"/>
      <c r="F60" s="893" t="str">
        <f>IFERROR(Growth!F61/Growth!F11,"")</f>
        <v/>
      </c>
      <c r="G60" s="893" t="str">
        <f>IFERROR(Growth!G61/Growth!G11,"")</f>
        <v/>
      </c>
      <c r="H60" s="893">
        <f>'GPC Data'!O193</f>
        <v>0</v>
      </c>
      <c r="I60" s="893">
        <f>'GPC Data'!P193</f>
        <v>0</v>
      </c>
      <c r="J60" s="893" t="str">
        <f>IFERROR(Growth!J61/Growth!J11,"")</f>
        <v/>
      </c>
      <c r="K60" s="921" t="str">
        <f>IFERROR(Growth!K61/Growth!K11,"")</f>
        <v/>
      </c>
      <c r="L60" s="921" t="str">
        <f>IFERROR(Growth!L61/Growth!L11,"")</f>
        <v/>
      </c>
      <c r="M60" s="921" t="str">
        <f>IFERROR(Growth!M61/Growth!M11,"")</f>
        <v/>
      </c>
      <c r="N60" s="897"/>
      <c r="O60" s="897"/>
      <c r="P60" s="443" t="s">
        <v>1359</v>
      </c>
      <c r="Q60" s="839"/>
      <c r="R60" s="898"/>
      <c r="S60" s="898" t="str">
        <f t="shared" si="10"/>
        <v>Comp 2</v>
      </c>
      <c r="T60" s="905">
        <f t="shared" si="11"/>
        <v>0</v>
      </c>
      <c r="U60" s="906" t="str">
        <f t="shared" si="12"/>
        <v/>
      </c>
      <c r="V60" s="906">
        <f>MEDIAN($I$102,$K$102)</f>
        <v>0</v>
      </c>
      <c r="W60" s="898"/>
      <c r="X60" s="907">
        <v>1.5</v>
      </c>
      <c r="Y60" s="907"/>
      <c r="Z60" s="427"/>
      <c r="AA60" s="427"/>
      <c r="AB60" s="427"/>
      <c r="AC60" s="427"/>
      <c r="AD60" s="427"/>
      <c r="AE60" s="427"/>
      <c r="AF60" s="427"/>
    </row>
    <row r="61" spans="2:32" s="232" customFormat="1" ht="12" thickBot="1">
      <c r="C61" s="844">
        <v>3</v>
      </c>
      <c r="D61" s="908" t="str">
        <f>'GPC Data'!E194</f>
        <v>Comp 3</v>
      </c>
      <c r="E61" s="892"/>
      <c r="F61" s="893" t="str">
        <f>IFERROR(Growth!F62/Growth!F12,"")</f>
        <v/>
      </c>
      <c r="G61" s="893" t="str">
        <f>IFERROR(Growth!G62/Growth!G12,"")</f>
        <v/>
      </c>
      <c r="H61" s="893">
        <f>'GPC Data'!O194</f>
        <v>0</v>
      </c>
      <c r="I61" s="893">
        <f>'GPC Data'!P194</f>
        <v>0</v>
      </c>
      <c r="J61" s="893" t="str">
        <f>IFERROR(Growth!J62/Growth!J12,"")</f>
        <v/>
      </c>
      <c r="K61" s="921" t="str">
        <f>IFERROR(Growth!K62/Growth!K12,"")</f>
        <v/>
      </c>
      <c r="L61" s="921" t="str">
        <f>IFERROR(Growth!L62/Growth!L12,"")</f>
        <v/>
      </c>
      <c r="M61" s="921" t="str">
        <f>IFERROR(Growth!M62/Growth!M12,"")</f>
        <v/>
      </c>
      <c r="N61" s="897"/>
      <c r="O61" s="897"/>
      <c r="P61" s="443" t="s">
        <v>1359</v>
      </c>
      <c r="Q61" s="839"/>
      <c r="R61" s="898"/>
      <c r="S61" s="898" t="str">
        <f t="shared" si="10"/>
        <v>Comp 3</v>
      </c>
      <c r="T61" s="905">
        <f t="shared" si="11"/>
        <v>0</v>
      </c>
      <c r="U61" s="906" t="str">
        <f t="shared" si="12"/>
        <v/>
      </c>
      <c r="V61" s="898"/>
      <c r="W61" s="898"/>
      <c r="X61" s="898"/>
      <c r="Y61" s="898"/>
      <c r="Z61" s="427" t="s">
        <v>1443</v>
      </c>
      <c r="AA61" s="427" t="s">
        <v>1443</v>
      </c>
      <c r="AB61" s="427" t="s">
        <v>1443</v>
      </c>
      <c r="AC61" s="427" t="s">
        <v>1443</v>
      </c>
      <c r="AD61" s="427" t="s">
        <v>1443</v>
      </c>
      <c r="AE61" s="427" t="s">
        <v>1443</v>
      </c>
      <c r="AF61" s="427" t="s">
        <v>1443</v>
      </c>
    </row>
    <row r="62" spans="2:32" s="232" customFormat="1" ht="12" thickBot="1">
      <c r="C62" s="844">
        <v>4</v>
      </c>
      <c r="D62" s="908" t="str">
        <f>'GPC Data'!E195</f>
        <v>Comp 4</v>
      </c>
      <c r="E62" s="892"/>
      <c r="F62" s="893" t="str">
        <f>IFERROR(Growth!F63/Growth!F13,"")</f>
        <v/>
      </c>
      <c r="G62" s="893" t="str">
        <f>IFERROR(Growth!G63/Growth!G13,"")</f>
        <v/>
      </c>
      <c r="H62" s="893">
        <f>'GPC Data'!O195</f>
        <v>0</v>
      </c>
      <c r="I62" s="893">
        <f>'GPC Data'!P195</f>
        <v>0</v>
      </c>
      <c r="J62" s="893" t="str">
        <f>IFERROR(Growth!J63/Growth!J13,"")</f>
        <v/>
      </c>
      <c r="K62" s="921" t="str">
        <f>IFERROR(Growth!K63/Growth!K13,"")</f>
        <v/>
      </c>
      <c r="L62" s="921" t="str">
        <f>IFERROR(Growth!L63/Growth!L13,"")</f>
        <v/>
      </c>
      <c r="M62" s="921" t="str">
        <f>IFERROR(Growth!M63/Growth!M13,"")</f>
        <v/>
      </c>
      <c r="N62" s="897"/>
      <c r="O62" s="897"/>
      <c r="P62" s="443" t="s">
        <v>1359</v>
      </c>
      <c r="Q62" s="839"/>
      <c r="R62" s="898"/>
      <c r="S62" s="898" t="str">
        <f t="shared" si="10"/>
        <v>Comp 4</v>
      </c>
      <c r="T62" s="905">
        <f t="shared" si="11"/>
        <v>0</v>
      </c>
      <c r="U62" s="906" t="str">
        <f t="shared" si="12"/>
        <v/>
      </c>
      <c r="V62" s="898"/>
      <c r="W62" s="898"/>
      <c r="X62" s="898"/>
      <c r="Y62" s="898"/>
      <c r="Z62" s="427" t="s">
        <v>1443</v>
      </c>
      <c r="AA62" s="427" t="s">
        <v>1443</v>
      </c>
      <c r="AB62" s="427" t="s">
        <v>1443</v>
      </c>
      <c r="AC62" s="427" t="s">
        <v>1443</v>
      </c>
      <c r="AD62" s="427" t="s">
        <v>1443</v>
      </c>
      <c r="AE62" s="427" t="s">
        <v>1443</v>
      </c>
      <c r="AF62" s="427" t="s">
        <v>1443</v>
      </c>
    </row>
    <row r="63" spans="2:32" s="232" customFormat="1" ht="12" thickBot="1">
      <c r="C63" s="844">
        <v>5</v>
      </c>
      <c r="D63" s="908" t="str">
        <f>'GPC Data'!E196</f>
        <v>Comp 5</v>
      </c>
      <c r="E63" s="892"/>
      <c r="F63" s="893" t="str">
        <f>IFERROR(Growth!F64/Growth!F14,"")</f>
        <v/>
      </c>
      <c r="G63" s="893" t="str">
        <f>IFERROR(Growth!G64/Growth!G14,"")</f>
        <v/>
      </c>
      <c r="H63" s="893">
        <f>'GPC Data'!O196</f>
        <v>0</v>
      </c>
      <c r="I63" s="893">
        <f>'GPC Data'!P196</f>
        <v>0</v>
      </c>
      <c r="J63" s="893" t="str">
        <f>IFERROR(Growth!J64/Growth!J14,"")</f>
        <v/>
      </c>
      <c r="K63" s="921" t="str">
        <f>IFERROR(Growth!K64/Growth!K14,"")</f>
        <v/>
      </c>
      <c r="L63" s="921" t="str">
        <f>IFERROR(Growth!L64/Growth!L14,"")</f>
        <v/>
      </c>
      <c r="M63" s="921" t="str">
        <f>IFERROR(Growth!M64/Growth!M14,"")</f>
        <v/>
      </c>
      <c r="N63" s="897"/>
      <c r="O63" s="897"/>
      <c r="P63" s="443" t="s">
        <v>1359</v>
      </c>
      <c r="Q63" s="839"/>
      <c r="R63" s="898"/>
      <c r="S63" s="898" t="str">
        <f t="shared" si="10"/>
        <v>Comp 5</v>
      </c>
      <c r="T63" s="905">
        <f t="shared" si="11"/>
        <v>0</v>
      </c>
      <c r="U63" s="906" t="str">
        <f t="shared" si="12"/>
        <v/>
      </c>
      <c r="V63" s="898"/>
      <c r="W63" s="898"/>
      <c r="X63" s="898"/>
      <c r="Y63" s="898"/>
      <c r="Z63" s="427"/>
      <c r="AA63" s="427"/>
      <c r="AB63" s="427"/>
      <c r="AC63" s="427"/>
      <c r="AD63" s="427"/>
      <c r="AE63" s="427"/>
      <c r="AF63" s="427"/>
    </row>
    <row r="64" spans="2:32" s="232" customFormat="1" ht="12" thickBot="1">
      <c r="C64" s="844">
        <v>6</v>
      </c>
      <c r="D64" s="908" t="str">
        <f>'GPC Data'!E197</f>
        <v>Comp 6</v>
      </c>
      <c r="E64" s="892"/>
      <c r="F64" s="893" t="str">
        <f>IFERROR(Growth!F65/Growth!F15,"")</f>
        <v/>
      </c>
      <c r="G64" s="893" t="str">
        <f>IFERROR(Growth!G65/Growth!G15,"")</f>
        <v/>
      </c>
      <c r="H64" s="893">
        <f>'GPC Data'!O197</f>
        <v>0</v>
      </c>
      <c r="I64" s="893">
        <f>'GPC Data'!P197</f>
        <v>0</v>
      </c>
      <c r="J64" s="893" t="str">
        <f>IFERROR(Growth!J65/Growth!J15,"")</f>
        <v/>
      </c>
      <c r="K64" s="921" t="str">
        <f>IFERROR(Growth!K65/Growth!K15,"")</f>
        <v/>
      </c>
      <c r="L64" s="921" t="str">
        <f>IFERROR(Growth!L65/Growth!L15,"")</f>
        <v/>
      </c>
      <c r="M64" s="921" t="str">
        <f>IFERROR(Growth!M65/Growth!M15,"")</f>
        <v/>
      </c>
      <c r="N64" s="897"/>
      <c r="O64" s="897"/>
      <c r="P64" s="443" t="s">
        <v>1359</v>
      </c>
      <c r="Q64" s="839"/>
      <c r="R64" s="898"/>
      <c r="S64" s="898" t="str">
        <f t="shared" si="10"/>
        <v>Comp 6</v>
      </c>
      <c r="T64" s="905">
        <f t="shared" si="11"/>
        <v>0</v>
      </c>
      <c r="U64" s="906" t="str">
        <f t="shared" si="12"/>
        <v/>
      </c>
      <c r="V64" s="898"/>
      <c r="W64" s="898"/>
      <c r="X64" s="898"/>
      <c r="Y64" s="898"/>
      <c r="Z64" s="427" t="s">
        <v>1443</v>
      </c>
      <c r="AA64" s="427" t="s">
        <v>1443</v>
      </c>
      <c r="AB64" s="427" t="s">
        <v>1443</v>
      </c>
      <c r="AC64" s="427" t="s">
        <v>1443</v>
      </c>
      <c r="AD64" s="427" t="s">
        <v>1443</v>
      </c>
      <c r="AE64" s="427" t="s">
        <v>1443</v>
      </c>
      <c r="AF64" s="427" t="s">
        <v>1443</v>
      </c>
    </row>
    <row r="65" spans="3:32" s="232" customFormat="1" ht="12" thickBot="1">
      <c r="C65" s="844">
        <v>7</v>
      </c>
      <c r="D65" s="908" t="str">
        <f>'GPC Data'!E198</f>
        <v>Comp 7</v>
      </c>
      <c r="E65" s="892"/>
      <c r="F65" s="893" t="str">
        <f>IFERROR(Growth!F66/Growth!F16,"")</f>
        <v/>
      </c>
      <c r="G65" s="893" t="str">
        <f>IFERROR(Growth!G66/Growth!G16,"")</f>
        <v/>
      </c>
      <c r="H65" s="893">
        <f>'GPC Data'!O198</f>
        <v>0</v>
      </c>
      <c r="I65" s="893">
        <f>'GPC Data'!P198</f>
        <v>0</v>
      </c>
      <c r="J65" s="893" t="str">
        <f>IFERROR(Growth!J66/Growth!J16,"")</f>
        <v/>
      </c>
      <c r="K65" s="921" t="str">
        <f>IFERROR(Growth!K66/Growth!K16,"")</f>
        <v/>
      </c>
      <c r="L65" s="921" t="str">
        <f>IFERROR(Growth!L66/Growth!L16,"")</f>
        <v/>
      </c>
      <c r="M65" s="921" t="str">
        <f>IFERROR(Growth!M66/Growth!M16,"")</f>
        <v/>
      </c>
      <c r="N65" s="897"/>
      <c r="O65" s="897"/>
      <c r="P65" s="443" t="s">
        <v>1359</v>
      </c>
      <c r="Q65" s="839"/>
      <c r="R65" s="898"/>
      <c r="S65" s="898" t="str">
        <f t="shared" si="10"/>
        <v>Comp 7</v>
      </c>
      <c r="T65" s="905">
        <f t="shared" si="11"/>
        <v>0</v>
      </c>
      <c r="U65" s="906" t="str">
        <f t="shared" si="12"/>
        <v/>
      </c>
      <c r="V65" s="898"/>
      <c r="W65" s="898"/>
      <c r="X65" s="898"/>
      <c r="Y65" s="898"/>
      <c r="Z65" s="427" t="s">
        <v>1443</v>
      </c>
      <c r="AA65" s="427" t="s">
        <v>1443</v>
      </c>
      <c r="AB65" s="427" t="s">
        <v>1443</v>
      </c>
      <c r="AC65" s="427" t="s">
        <v>1443</v>
      </c>
      <c r="AD65" s="427" t="s">
        <v>1443</v>
      </c>
      <c r="AE65" s="427" t="s">
        <v>1443</v>
      </c>
      <c r="AF65" s="427" t="s">
        <v>1443</v>
      </c>
    </row>
    <row r="66" spans="3:32" s="232" customFormat="1" ht="12" thickBot="1">
      <c r="C66" s="844">
        <v>8</v>
      </c>
      <c r="D66" s="908" t="str">
        <f>'GPC Data'!E199</f>
        <v>Comp 8</v>
      </c>
      <c r="E66" s="892"/>
      <c r="F66" s="893" t="str">
        <f>IFERROR(Growth!F67/Growth!F17,"")</f>
        <v/>
      </c>
      <c r="G66" s="893" t="str">
        <f>IFERROR(Growth!G67/Growth!G17,"")</f>
        <v/>
      </c>
      <c r="H66" s="893">
        <f>'GPC Data'!O199</f>
        <v>0</v>
      </c>
      <c r="I66" s="893">
        <f>'GPC Data'!P199</f>
        <v>0</v>
      </c>
      <c r="J66" s="893" t="str">
        <f>IFERROR(Growth!J67/Growth!J17,"")</f>
        <v/>
      </c>
      <c r="K66" s="921" t="str">
        <f>IFERROR(Growth!K67/Growth!K17,"")</f>
        <v/>
      </c>
      <c r="L66" s="921" t="str">
        <f>IFERROR(Growth!L67/Growth!L17,"")</f>
        <v/>
      </c>
      <c r="M66" s="921" t="str">
        <f>IFERROR(Growth!M67/Growth!M17,"")</f>
        <v/>
      </c>
      <c r="N66" s="897"/>
      <c r="O66" s="897"/>
      <c r="P66" s="443" t="s">
        <v>1359</v>
      </c>
      <c r="Q66" s="839"/>
      <c r="R66" s="898"/>
      <c r="S66" s="898" t="str">
        <f t="shared" si="10"/>
        <v>Comp 8</v>
      </c>
      <c r="T66" s="905">
        <f t="shared" si="11"/>
        <v>0</v>
      </c>
      <c r="U66" s="906" t="str">
        <f t="shared" si="12"/>
        <v/>
      </c>
      <c r="V66" s="898"/>
      <c r="W66" s="898"/>
      <c r="X66" s="898"/>
      <c r="Y66" s="898"/>
      <c r="Z66" s="427"/>
      <c r="AA66" s="427"/>
      <c r="AB66" s="427"/>
      <c r="AC66" s="427"/>
      <c r="AD66" s="427"/>
      <c r="AE66" s="427"/>
      <c r="AF66" s="427"/>
    </row>
    <row r="67" spans="3:32" s="232" customFormat="1" ht="12" thickBot="1">
      <c r="C67" s="844">
        <v>9</v>
      </c>
      <c r="D67" s="908" t="str">
        <f>'GPC Data'!E200</f>
        <v>Comp 9</v>
      </c>
      <c r="E67" s="892"/>
      <c r="F67" s="893" t="str">
        <f>IFERROR(Growth!F68/Growth!F18,"")</f>
        <v/>
      </c>
      <c r="G67" s="893" t="str">
        <f>IFERROR(Growth!G68/Growth!G18,"")</f>
        <v/>
      </c>
      <c r="H67" s="893">
        <f>'GPC Data'!O200</f>
        <v>0</v>
      </c>
      <c r="I67" s="893">
        <f>'GPC Data'!P200</f>
        <v>0</v>
      </c>
      <c r="J67" s="893" t="str">
        <f>IFERROR(Growth!J68/Growth!J18,"")</f>
        <v/>
      </c>
      <c r="K67" s="921" t="str">
        <f>IFERROR(Growth!K68/Growth!K18,"")</f>
        <v/>
      </c>
      <c r="L67" s="921" t="str">
        <f>IFERROR(Growth!L68/Growth!L18,"")</f>
        <v/>
      </c>
      <c r="M67" s="921" t="str">
        <f>IFERROR(Growth!M68/Growth!M18,"")</f>
        <v/>
      </c>
      <c r="N67" s="897"/>
      <c r="O67" s="897"/>
      <c r="P67" s="443" t="s">
        <v>1359</v>
      </c>
      <c r="Q67" s="839"/>
      <c r="R67" s="898"/>
      <c r="S67" s="898" t="str">
        <f t="shared" si="10"/>
        <v>Comp 9</v>
      </c>
      <c r="T67" s="905">
        <f t="shared" si="11"/>
        <v>0</v>
      </c>
      <c r="U67" s="906" t="str">
        <f t="shared" si="12"/>
        <v/>
      </c>
      <c r="V67" s="898"/>
      <c r="W67" s="898"/>
      <c r="X67" s="898"/>
      <c r="Y67" s="898"/>
      <c r="Z67" s="427" t="s">
        <v>1443</v>
      </c>
      <c r="AA67" s="427" t="s">
        <v>1443</v>
      </c>
      <c r="AB67" s="427" t="s">
        <v>1443</v>
      </c>
      <c r="AC67" s="427" t="s">
        <v>1443</v>
      </c>
      <c r="AD67" s="427" t="s">
        <v>1443</v>
      </c>
      <c r="AE67" s="427" t="s">
        <v>1443</v>
      </c>
      <c r="AF67" s="427" t="s">
        <v>1443</v>
      </c>
    </row>
    <row r="68" spans="3:32" s="232" customFormat="1" ht="12" thickBot="1">
      <c r="C68" s="844"/>
      <c r="D68" s="908" t="str">
        <f>'GPC Data'!E201</f>
        <v>Comp 10</v>
      </c>
      <c r="E68" s="892"/>
      <c r="F68" s="893" t="str">
        <f>IFERROR(Growth!F69/Growth!F19,"")</f>
        <v/>
      </c>
      <c r="G68" s="893" t="str">
        <f>IFERROR(Growth!G69/Growth!G19,"")</f>
        <v/>
      </c>
      <c r="H68" s="893">
        <f>'GPC Data'!O201</f>
        <v>0</v>
      </c>
      <c r="I68" s="893">
        <f>'GPC Data'!P201</f>
        <v>0</v>
      </c>
      <c r="J68" s="893" t="str">
        <f>IFERROR(Growth!J69/Growth!J19,"")</f>
        <v/>
      </c>
      <c r="K68" s="921" t="str">
        <f>IFERROR(Growth!K69/Growth!K19,"")</f>
        <v/>
      </c>
      <c r="L68" s="921" t="str">
        <f>IFERROR(Growth!L69/Growth!L19,"")</f>
        <v/>
      </c>
      <c r="M68" s="921" t="str">
        <f>IFERROR(Growth!M69/Growth!M19,"")</f>
        <v/>
      </c>
      <c r="N68" s="897"/>
      <c r="O68" s="897"/>
      <c r="P68" s="443" t="s">
        <v>1359</v>
      </c>
      <c r="Q68" s="839"/>
      <c r="R68" s="898"/>
      <c r="S68" s="898"/>
      <c r="T68" s="905"/>
      <c r="U68" s="906"/>
      <c r="V68" s="898"/>
      <c r="W68" s="898"/>
      <c r="X68" s="898"/>
      <c r="Y68" s="898"/>
      <c r="Z68" s="427"/>
      <c r="AA68" s="427"/>
      <c r="AB68" s="427"/>
      <c r="AC68" s="427"/>
      <c r="AD68" s="427"/>
      <c r="AE68" s="427"/>
      <c r="AF68" s="427"/>
    </row>
    <row r="69" spans="3:32" s="232" customFormat="1" ht="10.7" customHeight="1" outlineLevel="1" thickBot="1">
      <c r="C69" s="844"/>
      <c r="D69" s="908" t="str">
        <f>'GPC Data'!E202</f>
        <v>Comp 11</v>
      </c>
      <c r="E69" s="892"/>
      <c r="F69" s="893" t="str">
        <f>IFERROR(Growth!F82/Growth!F20,"")</f>
        <v/>
      </c>
      <c r="G69" s="893" t="str">
        <f>IFERROR(Growth!G82/Growth!G20,"")</f>
        <v/>
      </c>
      <c r="H69" s="893">
        <f>'GPC Data'!O202</f>
        <v>0</v>
      </c>
      <c r="I69" s="893">
        <f>'GPC Data'!P202</f>
        <v>0</v>
      </c>
      <c r="J69" s="893" t="str">
        <f>IFERROR(Growth!J82/Growth!J20,"")</f>
        <v/>
      </c>
      <c r="K69" s="921" t="str">
        <f>IFERROR(Growth!K82/Growth!K20,"")</f>
        <v/>
      </c>
      <c r="L69" s="921" t="str">
        <f>IFERROR(Growth!L82/Growth!L20,"")</f>
        <v/>
      </c>
      <c r="M69" s="921" t="str">
        <f>IFERROR(Growth!M82/Growth!M20,"")</f>
        <v/>
      </c>
      <c r="N69" s="897"/>
      <c r="O69" s="897"/>
      <c r="P69" s="443" t="s">
        <v>106</v>
      </c>
      <c r="Q69" s="839"/>
      <c r="R69" s="898"/>
      <c r="S69" s="898"/>
      <c r="T69" s="905"/>
      <c r="U69" s="906"/>
      <c r="V69" s="898"/>
      <c r="W69" s="898"/>
      <c r="X69" s="898"/>
      <c r="Y69" s="898"/>
      <c r="Z69" s="427"/>
      <c r="AA69" s="427"/>
      <c r="AB69" s="427"/>
      <c r="AC69" s="427"/>
      <c r="AD69" s="427"/>
      <c r="AE69" s="427"/>
      <c r="AF69" s="427"/>
    </row>
    <row r="70" spans="3:32" s="232" customFormat="1" ht="10.7" customHeight="1" outlineLevel="1" thickBot="1">
      <c r="C70" s="844"/>
      <c r="D70" s="908" t="str">
        <f>'GPC Data'!E203</f>
        <v>Comp 12</v>
      </c>
      <c r="E70" s="892"/>
      <c r="F70" s="893" t="str">
        <f>IFERROR(Growth!F83/Growth!F21,"")</f>
        <v/>
      </c>
      <c r="G70" s="893" t="str">
        <f>IFERROR(Growth!G83/Growth!G21,"")</f>
        <v/>
      </c>
      <c r="H70" s="893">
        <f>'GPC Data'!O203</f>
        <v>0</v>
      </c>
      <c r="I70" s="893">
        <f>'GPC Data'!P203</f>
        <v>0</v>
      </c>
      <c r="J70" s="893" t="str">
        <f>IFERROR(Growth!J83/Growth!J21,"")</f>
        <v/>
      </c>
      <c r="K70" s="921" t="str">
        <f>IFERROR(Growth!K83/Growth!K21,"")</f>
        <v/>
      </c>
      <c r="L70" s="921" t="str">
        <f>IFERROR(Growth!L83/Growth!L21,"")</f>
        <v/>
      </c>
      <c r="M70" s="921" t="str">
        <f>IFERROR(Growth!M83/Growth!M21,"")</f>
        <v/>
      </c>
      <c r="N70" s="897"/>
      <c r="O70" s="897"/>
      <c r="P70" s="443" t="s">
        <v>106</v>
      </c>
      <c r="Q70" s="839"/>
      <c r="R70" s="898"/>
      <c r="S70" s="898"/>
      <c r="T70" s="905"/>
      <c r="U70" s="906"/>
      <c r="V70" s="898"/>
      <c r="W70" s="898"/>
      <c r="X70" s="898"/>
      <c r="Y70" s="898"/>
      <c r="Z70" s="427"/>
      <c r="AA70" s="427"/>
      <c r="AB70" s="427"/>
      <c r="AC70" s="427"/>
      <c r="AD70" s="427"/>
      <c r="AE70" s="427"/>
      <c r="AF70" s="427"/>
    </row>
    <row r="71" spans="3:32" s="232" customFormat="1" ht="10.7" customHeight="1" outlineLevel="1" thickBot="1">
      <c r="C71" s="844"/>
      <c r="D71" s="908" t="str">
        <f>'GPC Data'!E204</f>
        <v>Comp 13</v>
      </c>
      <c r="E71" s="892"/>
      <c r="F71" s="893" t="str">
        <f>IFERROR(Growth!F84/Growth!F22,"")</f>
        <v/>
      </c>
      <c r="G71" s="893" t="str">
        <f>IFERROR(Growth!G84/Growth!G22,"")</f>
        <v/>
      </c>
      <c r="H71" s="893">
        <f>'GPC Data'!O204</f>
        <v>0</v>
      </c>
      <c r="I71" s="893">
        <f>'GPC Data'!P204</f>
        <v>0</v>
      </c>
      <c r="J71" s="893" t="str">
        <f>IFERROR(Growth!J84/Growth!J22,"")</f>
        <v/>
      </c>
      <c r="K71" s="921" t="str">
        <f>IFERROR(Growth!K84/Growth!K22,"")</f>
        <v/>
      </c>
      <c r="L71" s="921" t="str">
        <f>IFERROR(Growth!L84/Growth!L22,"")</f>
        <v/>
      </c>
      <c r="M71" s="921" t="str">
        <f>IFERROR(Growth!M84/Growth!M22,"")</f>
        <v/>
      </c>
      <c r="N71" s="897"/>
      <c r="O71" s="897"/>
      <c r="P71" s="443" t="s">
        <v>106</v>
      </c>
      <c r="Q71" s="839"/>
      <c r="R71" s="898"/>
      <c r="S71" s="898"/>
      <c r="T71" s="905"/>
      <c r="U71" s="906"/>
      <c r="V71" s="898"/>
      <c r="W71" s="898"/>
      <c r="X71" s="898"/>
      <c r="Y71" s="898"/>
      <c r="Z71" s="427"/>
      <c r="AA71" s="427"/>
      <c r="AB71" s="427"/>
      <c r="AC71" s="427"/>
      <c r="AD71" s="427"/>
      <c r="AE71" s="427"/>
      <c r="AF71" s="427"/>
    </row>
    <row r="72" spans="3:32" s="232" customFormat="1" ht="10.7" customHeight="1" outlineLevel="1" thickBot="1">
      <c r="C72" s="844"/>
      <c r="D72" s="908" t="str">
        <f>'GPC Data'!E205</f>
        <v>Comp 14</v>
      </c>
      <c r="E72" s="892"/>
      <c r="F72" s="893" t="str">
        <f>IFERROR(Growth!F85/Growth!F23,"")</f>
        <v/>
      </c>
      <c r="G72" s="893" t="str">
        <f>IFERROR(Growth!G85/Growth!G23,"")</f>
        <v/>
      </c>
      <c r="H72" s="893">
        <f>'GPC Data'!O205</f>
        <v>0</v>
      </c>
      <c r="I72" s="893">
        <f>'GPC Data'!P205</f>
        <v>0</v>
      </c>
      <c r="J72" s="893" t="str">
        <f>IFERROR(Growth!J85/Growth!J23,"")</f>
        <v/>
      </c>
      <c r="K72" s="921" t="str">
        <f>IFERROR(Growth!K85/Growth!K23,"")</f>
        <v/>
      </c>
      <c r="L72" s="921" t="str">
        <f>IFERROR(Growth!L85/Growth!L23,"")</f>
        <v/>
      </c>
      <c r="M72" s="921" t="str">
        <f>IFERROR(Growth!M85/Growth!M23,"")</f>
        <v/>
      </c>
      <c r="N72" s="897"/>
      <c r="O72" s="897"/>
      <c r="P72" s="443" t="s">
        <v>106</v>
      </c>
      <c r="Q72" s="839"/>
      <c r="R72" s="898"/>
      <c r="S72" s="898"/>
      <c r="T72" s="905"/>
      <c r="U72" s="906"/>
      <c r="V72" s="898"/>
      <c r="W72" s="898"/>
      <c r="X72" s="898"/>
      <c r="Y72" s="898"/>
      <c r="Z72" s="427"/>
      <c r="AA72" s="427"/>
      <c r="AB72" s="427"/>
      <c r="AC72" s="427"/>
      <c r="AD72" s="427"/>
      <c r="AE72" s="427"/>
      <c r="AF72" s="427"/>
    </row>
    <row r="73" spans="3:32" s="232" customFormat="1" ht="10.7" customHeight="1" outlineLevel="1" thickBot="1">
      <c r="C73" s="844"/>
      <c r="D73" s="908" t="str">
        <f>'GPC Data'!E206</f>
        <v>Comp 15</v>
      </c>
      <c r="E73" s="892"/>
      <c r="F73" s="893" t="str">
        <f>IFERROR(Growth!F86/Growth!F24,"")</f>
        <v/>
      </c>
      <c r="G73" s="893" t="str">
        <f>IFERROR(Growth!G86/Growth!G24,"")</f>
        <v/>
      </c>
      <c r="H73" s="893">
        <f>'GPC Data'!O206</f>
        <v>0</v>
      </c>
      <c r="I73" s="893">
        <f>'GPC Data'!P206</f>
        <v>0</v>
      </c>
      <c r="J73" s="893" t="str">
        <f>IFERROR(Growth!J86/Growth!J24,"")</f>
        <v/>
      </c>
      <c r="K73" s="921" t="str">
        <f>IFERROR(Growth!K86/Growth!K24,"")</f>
        <v/>
      </c>
      <c r="L73" s="921" t="str">
        <f>IFERROR(Growth!L86/Growth!L24,"")</f>
        <v/>
      </c>
      <c r="M73" s="921" t="str">
        <f>IFERROR(Growth!M86/Growth!M24,"")</f>
        <v/>
      </c>
      <c r="N73" s="897"/>
      <c r="O73" s="897"/>
      <c r="P73" s="443" t="s">
        <v>106</v>
      </c>
      <c r="Q73" s="839"/>
      <c r="R73" s="898"/>
      <c r="S73" s="898"/>
      <c r="T73" s="905"/>
      <c r="U73" s="906"/>
      <c r="V73" s="898"/>
      <c r="W73" s="898"/>
      <c r="X73" s="898"/>
      <c r="Y73" s="898"/>
      <c r="Z73" s="427"/>
      <c r="AA73" s="427"/>
      <c r="AB73" s="427"/>
      <c r="AC73" s="427"/>
      <c r="AD73" s="427"/>
      <c r="AE73" s="427"/>
      <c r="AF73" s="427"/>
    </row>
    <row r="74" spans="3:32" s="232" customFormat="1" ht="10.7" customHeight="1" outlineLevel="1" thickBot="1">
      <c r="C74" s="844"/>
      <c r="D74" s="908" t="str">
        <f>'GPC Data'!E207</f>
        <v>Comp 16</v>
      </c>
      <c r="E74" s="892"/>
      <c r="F74" s="893" t="str">
        <f>IFERROR(Growth!F87/Growth!F25,"")</f>
        <v/>
      </c>
      <c r="G74" s="893" t="str">
        <f>IFERROR(Growth!G87/Growth!G25,"")</f>
        <v/>
      </c>
      <c r="H74" s="893">
        <f>'GPC Data'!O207</f>
        <v>0</v>
      </c>
      <c r="I74" s="893">
        <f>'GPC Data'!P207</f>
        <v>0</v>
      </c>
      <c r="J74" s="893" t="str">
        <f>IFERROR(Growth!J87/Growth!J25,"")</f>
        <v/>
      </c>
      <c r="K74" s="921" t="str">
        <f>IFERROR(Growth!K87/Growth!K25,"")</f>
        <v/>
      </c>
      <c r="L74" s="921" t="str">
        <f>IFERROR(Growth!L87/Growth!L25,"")</f>
        <v/>
      </c>
      <c r="M74" s="921" t="str">
        <f>IFERROR(Growth!M87/Growth!M25,"")</f>
        <v/>
      </c>
      <c r="N74" s="897"/>
      <c r="O74" s="897"/>
      <c r="P74" s="443" t="s">
        <v>106</v>
      </c>
      <c r="Q74" s="839"/>
      <c r="R74" s="898"/>
      <c r="S74" s="898"/>
      <c r="T74" s="905"/>
      <c r="U74" s="906"/>
      <c r="V74" s="898"/>
      <c r="W74" s="898"/>
      <c r="X74" s="898"/>
      <c r="Y74" s="898"/>
      <c r="Z74" s="427"/>
      <c r="AA74" s="427"/>
      <c r="AB74" s="427"/>
      <c r="AC74" s="427"/>
      <c r="AD74" s="427"/>
      <c r="AE74" s="427"/>
      <c r="AF74" s="427"/>
    </row>
    <row r="75" spans="3:32" s="232" customFormat="1" ht="10.7" customHeight="1" outlineLevel="1" thickBot="1">
      <c r="C75" s="844"/>
      <c r="D75" s="908" t="str">
        <f>'GPC Data'!E208</f>
        <v>Comp 17</v>
      </c>
      <c r="E75" s="892"/>
      <c r="F75" s="893" t="str">
        <f>IFERROR(Growth!F88/Growth!F26,"")</f>
        <v/>
      </c>
      <c r="G75" s="893" t="str">
        <f>IFERROR(Growth!G88/Growth!G26,"")</f>
        <v/>
      </c>
      <c r="H75" s="893">
        <f>'GPC Data'!O208</f>
        <v>0</v>
      </c>
      <c r="I75" s="893">
        <f>'GPC Data'!P208</f>
        <v>0</v>
      </c>
      <c r="J75" s="893" t="str">
        <f>IFERROR(Growth!J88/Growth!J26,"")</f>
        <v/>
      </c>
      <c r="K75" s="921" t="str">
        <f>IFERROR(Growth!K88/Growth!K26,"")</f>
        <v/>
      </c>
      <c r="L75" s="921" t="str">
        <f>IFERROR(Growth!L88/Growth!L26,"")</f>
        <v/>
      </c>
      <c r="M75" s="921" t="str">
        <f>IFERROR(Growth!M88/Growth!M26,"")</f>
        <v/>
      </c>
      <c r="N75" s="897"/>
      <c r="O75" s="897"/>
      <c r="P75" s="443" t="s">
        <v>106</v>
      </c>
      <c r="Q75" s="839"/>
      <c r="R75" s="898"/>
      <c r="S75" s="898"/>
      <c r="T75" s="905"/>
      <c r="U75" s="906"/>
      <c r="V75" s="898"/>
      <c r="W75" s="898"/>
      <c r="X75" s="898"/>
      <c r="Y75" s="898"/>
      <c r="Z75" s="427"/>
      <c r="AA75" s="427"/>
      <c r="AB75" s="427"/>
      <c r="AC75" s="427"/>
      <c r="AD75" s="427"/>
      <c r="AE75" s="427"/>
      <c r="AF75" s="427"/>
    </row>
    <row r="76" spans="3:32" s="232" customFormat="1" ht="10.7" customHeight="1" outlineLevel="1" thickBot="1">
      <c r="C76" s="844"/>
      <c r="D76" s="908" t="str">
        <f>'GPC Data'!E209</f>
        <v>Comp 18</v>
      </c>
      <c r="E76" s="909"/>
      <c r="F76" s="893" t="str">
        <f>IFERROR(Growth!F89/Growth!F27,"")</f>
        <v/>
      </c>
      <c r="G76" s="893" t="str">
        <f>IFERROR(Growth!G89/Growth!G27,"")</f>
        <v/>
      </c>
      <c r="H76" s="893">
        <f>'GPC Data'!O209</f>
        <v>0</v>
      </c>
      <c r="I76" s="893">
        <f>'GPC Data'!P209</f>
        <v>0</v>
      </c>
      <c r="J76" s="893" t="str">
        <f>IFERROR(Growth!J89/Growth!J27,"")</f>
        <v/>
      </c>
      <c r="K76" s="921" t="str">
        <f>IFERROR(Growth!K89/Growth!K27,"")</f>
        <v/>
      </c>
      <c r="L76" s="921" t="str">
        <f>IFERROR(Growth!L89/Growth!L27,"")</f>
        <v/>
      </c>
      <c r="M76" s="921" t="str">
        <f>IFERROR(Growth!M89/Growth!M27,"")</f>
        <v/>
      </c>
      <c r="N76" s="897"/>
      <c r="O76" s="897"/>
      <c r="P76" s="443" t="s">
        <v>106</v>
      </c>
      <c r="Q76" s="839"/>
      <c r="R76" s="898"/>
      <c r="S76" s="898"/>
      <c r="T76" s="905"/>
      <c r="U76" s="906"/>
      <c r="V76" s="898"/>
      <c r="W76" s="898"/>
      <c r="X76" s="898"/>
      <c r="Y76" s="898"/>
      <c r="Z76" s="427"/>
      <c r="AA76" s="427"/>
      <c r="AB76" s="427"/>
      <c r="AC76" s="427"/>
      <c r="AD76" s="427"/>
      <c r="AE76" s="427"/>
      <c r="AF76" s="427"/>
    </row>
    <row r="77" spans="3:32" s="232" customFormat="1" ht="10.7" customHeight="1" outlineLevel="1" thickBot="1">
      <c r="C77" s="844"/>
      <c r="D77" s="908" t="str">
        <f>'GPC Data'!E210</f>
        <v>Comp 19</v>
      </c>
      <c r="E77" s="892"/>
      <c r="F77" s="893" t="str">
        <f>IFERROR(Growth!F90/Growth!F28,"")</f>
        <v/>
      </c>
      <c r="G77" s="893" t="str">
        <f>IFERROR(Growth!G90/Growth!G28,"")</f>
        <v/>
      </c>
      <c r="H77" s="893">
        <f>'GPC Data'!O210</f>
        <v>0</v>
      </c>
      <c r="I77" s="893">
        <f>'GPC Data'!P210</f>
        <v>0</v>
      </c>
      <c r="J77" s="893" t="str">
        <f>IFERROR(Growth!J90/Growth!J28,"")</f>
        <v/>
      </c>
      <c r="K77" s="921" t="str">
        <f>IFERROR(Growth!K90/Growth!K28,"")</f>
        <v/>
      </c>
      <c r="L77" s="921" t="str">
        <f>IFERROR(Growth!L90/Growth!L28,"")</f>
        <v/>
      </c>
      <c r="M77" s="921" t="str">
        <f>IFERROR(Growth!M90/Growth!M28,"")</f>
        <v/>
      </c>
      <c r="N77" s="897"/>
      <c r="O77" s="897"/>
      <c r="P77" s="443" t="s">
        <v>106</v>
      </c>
      <c r="Q77" s="839"/>
      <c r="R77" s="898"/>
      <c r="S77" s="898"/>
      <c r="T77" s="905"/>
      <c r="U77" s="906"/>
      <c r="V77" s="898"/>
      <c r="W77" s="898"/>
      <c r="X77" s="898"/>
      <c r="Y77" s="898"/>
      <c r="Z77" s="427"/>
      <c r="AA77" s="427"/>
      <c r="AB77" s="427"/>
      <c r="AC77" s="427"/>
      <c r="AD77" s="427"/>
      <c r="AE77" s="427"/>
      <c r="AF77" s="427"/>
    </row>
    <row r="78" spans="3:32" s="232" customFormat="1" ht="12" outlineLevel="1" thickBot="1">
      <c r="C78" s="844"/>
      <c r="D78" s="908" t="str">
        <f>'GPC Data'!E211</f>
        <v>Comp 20</v>
      </c>
      <c r="E78" s="892"/>
      <c r="F78" s="893" t="str">
        <f>IFERROR(Growth!F91/Growth!F29,"")</f>
        <v/>
      </c>
      <c r="G78" s="893" t="str">
        <f>IFERROR(Growth!G91/Growth!G29,"")</f>
        <v/>
      </c>
      <c r="H78" s="893">
        <f>'GPC Data'!O211</f>
        <v>0</v>
      </c>
      <c r="I78" s="893">
        <f>'GPC Data'!P211</f>
        <v>0</v>
      </c>
      <c r="J78" s="893" t="str">
        <f>IFERROR(Growth!J91/Growth!J29,"")</f>
        <v/>
      </c>
      <c r="K78" s="921" t="str">
        <f>IFERROR(Growth!K91/Growth!K29,"")</f>
        <v/>
      </c>
      <c r="L78" s="921" t="str">
        <f>IFERROR(Growth!L91/Growth!L29,"")</f>
        <v/>
      </c>
      <c r="M78" s="921" t="str">
        <f>IFERROR(Growth!M91/Growth!M29,"")</f>
        <v/>
      </c>
      <c r="N78" s="897"/>
      <c r="O78" s="897"/>
      <c r="P78" s="443" t="s">
        <v>106</v>
      </c>
      <c r="Q78" s="839"/>
      <c r="R78" s="898"/>
      <c r="S78" s="898"/>
      <c r="T78" s="905"/>
      <c r="U78" s="906"/>
      <c r="V78" s="898"/>
      <c r="W78" s="898"/>
      <c r="X78" s="898"/>
      <c r="Y78" s="898"/>
      <c r="Z78" s="427"/>
      <c r="AA78" s="427"/>
      <c r="AB78" s="427"/>
      <c r="AC78" s="427"/>
      <c r="AD78" s="427"/>
      <c r="AE78" s="427"/>
      <c r="AF78" s="427"/>
    </row>
    <row r="79" spans="3:32" s="232" customFormat="1" ht="12" outlineLevel="1" thickBot="1">
      <c r="C79" s="844"/>
      <c r="D79" s="908" t="str">
        <f>'GPC Data'!E212</f>
        <v>Comp 21</v>
      </c>
      <c r="E79" s="892"/>
      <c r="F79" s="893" t="str">
        <f>IFERROR(Growth!F92/Growth!F30,"")</f>
        <v/>
      </c>
      <c r="G79" s="893" t="str">
        <f>IFERROR(Growth!G92/Growth!G30,"")</f>
        <v/>
      </c>
      <c r="H79" s="893">
        <f>'GPC Data'!O212</f>
        <v>0</v>
      </c>
      <c r="I79" s="893">
        <f>'GPC Data'!P212</f>
        <v>0</v>
      </c>
      <c r="J79" s="893" t="str">
        <f>IFERROR(Growth!J92/Growth!J30,"")</f>
        <v/>
      </c>
      <c r="K79" s="921" t="str">
        <f>IFERROR(Growth!K92/Growth!K30,"")</f>
        <v/>
      </c>
      <c r="L79" s="921" t="str">
        <f>IFERROR(Growth!L92/Growth!L30,"")</f>
        <v/>
      </c>
      <c r="M79" s="921" t="str">
        <f>IFERROR(Growth!M92/Growth!M30,"")</f>
        <v/>
      </c>
      <c r="N79" s="897"/>
      <c r="O79" s="897"/>
      <c r="P79" s="443" t="s">
        <v>106</v>
      </c>
      <c r="Q79" s="839"/>
      <c r="R79" s="898"/>
      <c r="S79" s="898"/>
      <c r="T79" s="905"/>
      <c r="U79" s="906"/>
      <c r="V79" s="898"/>
      <c r="W79" s="898"/>
      <c r="X79" s="898"/>
      <c r="Y79" s="898"/>
      <c r="Z79" s="427"/>
      <c r="AA79" s="427"/>
      <c r="AB79" s="427"/>
      <c r="AC79" s="427"/>
      <c r="AD79" s="427"/>
      <c r="AE79" s="427"/>
      <c r="AF79" s="427"/>
    </row>
    <row r="80" spans="3:32" s="232" customFormat="1" ht="12" outlineLevel="1" thickBot="1">
      <c r="C80" s="844"/>
      <c r="D80" s="908" t="str">
        <f>'GPC Data'!E213</f>
        <v>Comp 22</v>
      </c>
      <c r="E80" s="892"/>
      <c r="F80" s="893" t="str">
        <f>IFERROR(Growth!F93/Growth!F31,"")</f>
        <v/>
      </c>
      <c r="G80" s="893" t="str">
        <f>IFERROR(Growth!G93/Growth!G31,"")</f>
        <v/>
      </c>
      <c r="H80" s="893">
        <f>'GPC Data'!O213</f>
        <v>0</v>
      </c>
      <c r="I80" s="893">
        <f>'GPC Data'!P213</f>
        <v>0</v>
      </c>
      <c r="J80" s="893" t="str">
        <f>IFERROR(Growth!J93/Growth!J31,"")</f>
        <v/>
      </c>
      <c r="K80" s="921" t="str">
        <f>IFERROR(Growth!K93/Growth!K31,"")</f>
        <v/>
      </c>
      <c r="L80" s="921" t="str">
        <f>IFERROR(Growth!L93/Growth!L31,"")</f>
        <v/>
      </c>
      <c r="M80" s="921" t="str">
        <f>IFERROR(Growth!M93/Growth!M31,"")</f>
        <v/>
      </c>
      <c r="N80" s="897"/>
      <c r="O80" s="897"/>
      <c r="P80" s="443" t="s">
        <v>106</v>
      </c>
      <c r="Q80" s="839"/>
      <c r="R80" s="898"/>
      <c r="S80" s="898"/>
      <c r="T80" s="905"/>
      <c r="U80" s="906"/>
      <c r="V80" s="898"/>
      <c r="W80" s="898"/>
      <c r="X80" s="898"/>
      <c r="Y80" s="898"/>
      <c r="Z80" s="427"/>
      <c r="AA80" s="427"/>
      <c r="AB80" s="427"/>
      <c r="AC80" s="427"/>
      <c r="AD80" s="427"/>
      <c r="AE80" s="427"/>
      <c r="AF80" s="427"/>
    </row>
    <row r="81" spans="2:32" s="232" customFormat="1" ht="12" outlineLevel="1" thickBot="1">
      <c r="C81" s="844"/>
      <c r="D81" s="908" t="str">
        <f>'GPC Data'!E214</f>
        <v>Comp 23</v>
      </c>
      <c r="E81" s="892"/>
      <c r="F81" s="893" t="str">
        <f>IFERROR(Growth!F94/Growth!F32,"")</f>
        <v/>
      </c>
      <c r="G81" s="893" t="str">
        <f>IFERROR(Growth!G94/Growth!G32,"")</f>
        <v/>
      </c>
      <c r="H81" s="893">
        <f>'GPC Data'!O214</f>
        <v>0</v>
      </c>
      <c r="I81" s="893">
        <f>'GPC Data'!P214</f>
        <v>0</v>
      </c>
      <c r="J81" s="893" t="str">
        <f>IFERROR(Growth!J94/Growth!J32,"")</f>
        <v/>
      </c>
      <c r="K81" s="921" t="str">
        <f>IFERROR(Growth!K94/Growth!K32,"")</f>
        <v/>
      </c>
      <c r="L81" s="921" t="str">
        <f>IFERROR(Growth!L94/Growth!L32,"")</f>
        <v/>
      </c>
      <c r="M81" s="921" t="str">
        <f>IFERROR(Growth!M94/Growth!M32,"")</f>
        <v/>
      </c>
      <c r="N81" s="897"/>
      <c r="O81" s="897"/>
      <c r="P81" s="443" t="s">
        <v>106</v>
      </c>
      <c r="Q81" s="839"/>
      <c r="R81" s="898"/>
      <c r="S81" s="898"/>
      <c r="T81" s="905"/>
      <c r="U81" s="906"/>
      <c r="V81" s="898"/>
      <c r="W81" s="898"/>
      <c r="X81" s="898"/>
      <c r="Y81" s="898"/>
      <c r="Z81" s="427"/>
      <c r="AA81" s="427"/>
      <c r="AB81" s="427"/>
      <c r="AC81" s="427"/>
      <c r="AD81" s="427"/>
      <c r="AE81" s="427"/>
      <c r="AF81" s="427"/>
    </row>
    <row r="82" spans="2:32" s="232" customFormat="1" ht="12" outlineLevel="1" thickBot="1">
      <c r="C82" s="844"/>
      <c r="D82" s="908" t="str">
        <f>'GPC Data'!E215</f>
        <v>Comp 24</v>
      </c>
      <c r="E82" s="892"/>
      <c r="F82" s="893" t="str">
        <f>IFERROR(Growth!F95/Growth!F33,"")</f>
        <v/>
      </c>
      <c r="G82" s="893" t="str">
        <f>IFERROR(Growth!G95/Growth!G33,"")</f>
        <v/>
      </c>
      <c r="H82" s="893">
        <f>'GPC Data'!O215</f>
        <v>0</v>
      </c>
      <c r="I82" s="893">
        <f>'GPC Data'!P215</f>
        <v>0</v>
      </c>
      <c r="J82" s="893" t="str">
        <f>IFERROR(Growth!J95/Growth!J33,"")</f>
        <v/>
      </c>
      <c r="K82" s="921" t="str">
        <f>IFERROR(Growth!K95/Growth!K33,"")</f>
        <v/>
      </c>
      <c r="L82" s="921" t="str">
        <f>IFERROR(Growth!L95/Growth!L33,"")</f>
        <v/>
      </c>
      <c r="M82" s="921" t="str">
        <f>IFERROR(Growth!M95/Growth!M33,"")</f>
        <v/>
      </c>
      <c r="N82" s="897"/>
      <c r="O82" s="897"/>
      <c r="P82" s="443" t="s">
        <v>106</v>
      </c>
      <c r="Q82" s="839"/>
      <c r="R82" s="898"/>
      <c r="S82" s="898"/>
      <c r="T82" s="905"/>
      <c r="U82" s="906"/>
      <c r="V82" s="898"/>
      <c r="W82" s="898"/>
      <c r="X82" s="898"/>
      <c r="Y82" s="898"/>
      <c r="Z82" s="427"/>
      <c r="AA82" s="427"/>
      <c r="AB82" s="427"/>
      <c r="AC82" s="427"/>
      <c r="AD82" s="427"/>
      <c r="AE82" s="427"/>
      <c r="AF82" s="427"/>
    </row>
    <row r="83" spans="2:32" s="232" customFormat="1" ht="12" outlineLevel="1" thickBot="1">
      <c r="C83" s="844"/>
      <c r="D83" s="908" t="str">
        <f>'GPC Data'!E216</f>
        <v>Comp 25</v>
      </c>
      <c r="E83" s="892"/>
      <c r="F83" s="893" t="str">
        <f>IFERROR(Growth!F96/Growth!F34,"")</f>
        <v/>
      </c>
      <c r="G83" s="893" t="str">
        <f>IFERROR(Growth!G96/Growth!G34,"")</f>
        <v/>
      </c>
      <c r="H83" s="893">
        <f>'GPC Data'!O216</f>
        <v>0</v>
      </c>
      <c r="I83" s="893">
        <f>'GPC Data'!P216</f>
        <v>0</v>
      </c>
      <c r="J83" s="893" t="str">
        <f>IFERROR(Growth!J96/Growth!J34,"")</f>
        <v/>
      </c>
      <c r="K83" s="921" t="str">
        <f>IFERROR(Growth!K96/Growth!K34,"")</f>
        <v/>
      </c>
      <c r="L83" s="921" t="str">
        <f>IFERROR(Growth!L96/Growth!L34,"")</f>
        <v/>
      </c>
      <c r="M83" s="921" t="str">
        <f>IFERROR(Growth!M96/Growth!M34,"")</f>
        <v/>
      </c>
      <c r="N83" s="897"/>
      <c r="O83" s="897"/>
      <c r="P83" s="443" t="s">
        <v>106</v>
      </c>
      <c r="Q83" s="839"/>
      <c r="R83" s="898"/>
      <c r="S83" s="898"/>
      <c r="T83" s="905"/>
      <c r="U83" s="906"/>
      <c r="V83" s="898"/>
      <c r="W83" s="898"/>
      <c r="X83" s="898"/>
      <c r="Y83" s="898"/>
      <c r="Z83" s="427"/>
      <c r="AA83" s="427"/>
      <c r="AB83" s="427"/>
      <c r="AC83" s="427"/>
      <c r="AD83" s="427"/>
      <c r="AE83" s="427"/>
      <c r="AF83" s="427"/>
    </row>
    <row r="84" spans="2:32" s="232" customFormat="1" ht="12" outlineLevel="1" thickBot="1">
      <c r="C84" s="844"/>
      <c r="D84" s="908" t="str">
        <f>'GPC Data'!E217</f>
        <v>Comp 26</v>
      </c>
      <c r="E84" s="892"/>
      <c r="F84" s="893" t="str">
        <f>IFERROR(Growth!F97/Growth!F35,"")</f>
        <v/>
      </c>
      <c r="G84" s="893" t="str">
        <f>IFERROR(Growth!G97/Growth!G35,"")</f>
        <v/>
      </c>
      <c r="H84" s="893">
        <f>'GPC Data'!O217</f>
        <v>0</v>
      </c>
      <c r="I84" s="893">
        <f>'GPC Data'!P217</f>
        <v>0</v>
      </c>
      <c r="J84" s="893" t="str">
        <f>IFERROR(Growth!J97/Growth!J35,"")</f>
        <v/>
      </c>
      <c r="K84" s="921" t="str">
        <f>IFERROR(Growth!K97/Growth!K35,"")</f>
        <v/>
      </c>
      <c r="L84" s="921" t="str">
        <f>IFERROR(Growth!L97/Growth!L35,"")</f>
        <v/>
      </c>
      <c r="M84" s="921" t="str">
        <f>IFERROR(Growth!M97/Growth!M35,"")</f>
        <v/>
      </c>
      <c r="N84" s="897"/>
      <c r="O84" s="897"/>
      <c r="P84" s="443" t="s">
        <v>106</v>
      </c>
      <c r="Q84" s="839"/>
      <c r="R84" s="898"/>
      <c r="S84" s="898"/>
      <c r="T84" s="905"/>
      <c r="U84" s="906"/>
      <c r="V84" s="898"/>
      <c r="W84" s="898"/>
      <c r="X84" s="898"/>
      <c r="Y84" s="898"/>
      <c r="Z84" s="427"/>
      <c r="AA84" s="427"/>
      <c r="AB84" s="427"/>
      <c r="AC84" s="427"/>
      <c r="AD84" s="427"/>
      <c r="AE84" s="427"/>
      <c r="AF84" s="427"/>
    </row>
    <row r="85" spans="2:32" s="232" customFormat="1" ht="12" outlineLevel="1" thickBot="1">
      <c r="C85" s="844"/>
      <c r="D85" s="908" t="str">
        <f>'GPC Data'!E218</f>
        <v>Comp 27</v>
      </c>
      <c r="E85" s="892"/>
      <c r="F85" s="893" t="str">
        <f>IFERROR(Growth!F98/Growth!F36,"")</f>
        <v/>
      </c>
      <c r="G85" s="893" t="str">
        <f>IFERROR(Growth!G98/Growth!G36,"")</f>
        <v/>
      </c>
      <c r="H85" s="893">
        <f>'GPC Data'!O218</f>
        <v>0</v>
      </c>
      <c r="I85" s="893">
        <f>'GPC Data'!P218</f>
        <v>0</v>
      </c>
      <c r="J85" s="893" t="str">
        <f>IFERROR(Growth!J98/Growth!J36,"")</f>
        <v/>
      </c>
      <c r="K85" s="921" t="str">
        <f>IFERROR(Growth!K98/Growth!K36,"")</f>
        <v/>
      </c>
      <c r="L85" s="921" t="str">
        <f>IFERROR(Growth!L98/Growth!L36,"")</f>
        <v/>
      </c>
      <c r="M85" s="921" t="str">
        <f>IFERROR(Growth!M98/Growth!M36,"")</f>
        <v/>
      </c>
      <c r="N85" s="897"/>
      <c r="O85" s="897"/>
      <c r="P85" s="443" t="s">
        <v>106</v>
      </c>
      <c r="Q85" s="839"/>
      <c r="R85" s="898"/>
      <c r="S85" s="898"/>
      <c r="T85" s="905"/>
      <c r="U85" s="906"/>
      <c r="V85" s="898"/>
      <c r="W85" s="898"/>
      <c r="X85" s="898"/>
      <c r="Y85" s="898"/>
      <c r="Z85" s="427"/>
      <c r="AA85" s="427"/>
      <c r="AB85" s="427"/>
      <c r="AC85" s="427"/>
      <c r="AD85" s="427"/>
      <c r="AE85" s="427"/>
      <c r="AF85" s="427"/>
    </row>
    <row r="86" spans="2:32" s="232" customFormat="1" ht="12" outlineLevel="1" thickBot="1">
      <c r="C86" s="844"/>
      <c r="D86" s="908" t="str">
        <f>'GPC Data'!E219</f>
        <v>Comp 28</v>
      </c>
      <c r="E86" s="892"/>
      <c r="F86" s="893" t="str">
        <f>IFERROR(Growth!F99/Growth!F37,"")</f>
        <v/>
      </c>
      <c r="G86" s="893" t="str">
        <f>IFERROR(Growth!G99/Growth!G37,"")</f>
        <v/>
      </c>
      <c r="H86" s="893">
        <f>'GPC Data'!O219</f>
        <v>0</v>
      </c>
      <c r="I86" s="893">
        <f>'GPC Data'!P219</f>
        <v>0</v>
      </c>
      <c r="J86" s="893" t="str">
        <f>IFERROR(Growth!J99/Growth!J37,"")</f>
        <v/>
      </c>
      <c r="K86" s="921" t="str">
        <f>IFERROR(Growth!K99/Growth!K37,"")</f>
        <v/>
      </c>
      <c r="L86" s="921" t="str">
        <f>IFERROR(Growth!L99/Growth!L37,"")</f>
        <v/>
      </c>
      <c r="M86" s="921" t="str">
        <f>IFERROR(Growth!M99/Growth!M37,"")</f>
        <v/>
      </c>
      <c r="N86" s="897"/>
      <c r="O86" s="897"/>
      <c r="P86" s="443" t="s">
        <v>106</v>
      </c>
      <c r="Q86" s="839"/>
      <c r="R86" s="898"/>
      <c r="S86" s="898"/>
      <c r="T86" s="905"/>
      <c r="U86" s="906"/>
      <c r="V86" s="898"/>
      <c r="W86" s="898"/>
      <c r="X86" s="898"/>
      <c r="Y86" s="898"/>
      <c r="Z86" s="427"/>
      <c r="AA86" s="427"/>
      <c r="AB86" s="427"/>
      <c r="AC86" s="427"/>
      <c r="AD86" s="427"/>
      <c r="AE86" s="427"/>
      <c r="AF86" s="427"/>
    </row>
    <row r="87" spans="2:32" s="232" customFormat="1" ht="12" outlineLevel="1" thickBot="1">
      <c r="C87" s="844"/>
      <c r="D87" s="908" t="str">
        <f>'GPC Data'!E220</f>
        <v>Comp 29</v>
      </c>
      <c r="E87" s="892"/>
      <c r="F87" s="893" t="str">
        <f>IFERROR(Growth!F100/Growth!F38,"")</f>
        <v/>
      </c>
      <c r="G87" s="893" t="str">
        <f>IFERROR(Growth!G100/Growth!G38,"")</f>
        <v/>
      </c>
      <c r="H87" s="893">
        <f>'GPC Data'!O220</f>
        <v>0</v>
      </c>
      <c r="I87" s="893">
        <f>'GPC Data'!P220</f>
        <v>0</v>
      </c>
      <c r="J87" s="893" t="str">
        <f>IFERROR(Growth!J100/Growth!J38,"")</f>
        <v/>
      </c>
      <c r="K87" s="921" t="str">
        <f>IFERROR(Growth!K100/Growth!K38,"")</f>
        <v/>
      </c>
      <c r="L87" s="921" t="str">
        <f>IFERROR(Growth!L100/Growth!L38,"")</f>
        <v/>
      </c>
      <c r="M87" s="921" t="str">
        <f>IFERROR(Growth!M100/Growth!M38,"")</f>
        <v/>
      </c>
      <c r="N87" s="897"/>
      <c r="O87" s="897"/>
      <c r="P87" s="443" t="s">
        <v>106</v>
      </c>
      <c r="Q87" s="839"/>
      <c r="R87" s="898"/>
      <c r="S87" s="898"/>
      <c r="T87" s="905"/>
      <c r="U87" s="906"/>
      <c r="V87" s="898"/>
      <c r="W87" s="898"/>
      <c r="X87" s="898"/>
      <c r="Y87" s="898"/>
      <c r="Z87" s="427"/>
      <c r="AA87" s="427"/>
      <c r="AB87" s="427"/>
      <c r="AC87" s="427"/>
      <c r="AD87" s="427"/>
      <c r="AE87" s="427"/>
      <c r="AF87" s="427"/>
    </row>
    <row r="88" spans="2:32" s="232" customFormat="1" ht="12" outlineLevel="1" thickBot="1">
      <c r="C88" s="844">
        <v>10</v>
      </c>
      <c r="D88" s="908" t="str">
        <f>'GPC Data'!E221</f>
        <v>Comp 30</v>
      </c>
      <c r="E88" s="892"/>
      <c r="F88" s="893" t="str">
        <f>IFERROR(Growth!F69/Growth!F39,"")</f>
        <v/>
      </c>
      <c r="G88" s="893" t="str">
        <f>IFERROR(Growth!G69/Growth!G39,"")</f>
        <v/>
      </c>
      <c r="H88" s="893">
        <f>'GPC Data'!O221</f>
        <v>0</v>
      </c>
      <c r="I88" s="893">
        <f>'GPC Data'!P221</f>
        <v>0</v>
      </c>
      <c r="J88" s="893" t="str">
        <f>IFERROR(Growth!J69/Growth!J39,"")</f>
        <v/>
      </c>
      <c r="K88" s="921" t="str">
        <f>IFERROR(Growth!K69/Growth!K39,"")</f>
        <v/>
      </c>
      <c r="L88" s="921" t="str">
        <f>IFERROR(Growth!L69/Growth!L39,"")</f>
        <v/>
      </c>
      <c r="M88" s="921" t="str">
        <f>IFERROR(Growth!M69/Growth!M39,"")</f>
        <v/>
      </c>
      <c r="N88" s="897"/>
      <c r="O88" s="897"/>
      <c r="P88" s="443" t="s">
        <v>106</v>
      </c>
      <c r="Q88" s="839"/>
      <c r="R88" s="898"/>
      <c r="S88" s="898" t="str">
        <f>D88</f>
        <v>Comp 30</v>
      </c>
      <c r="T88" s="905">
        <f>I88</f>
        <v>0</v>
      </c>
      <c r="U88" s="906" t="str">
        <f>K88</f>
        <v/>
      </c>
      <c r="V88" s="898"/>
      <c r="W88" s="898"/>
      <c r="X88" s="898"/>
      <c r="Y88" s="898"/>
      <c r="Z88" s="427" t="s">
        <v>1443</v>
      </c>
      <c r="AA88" s="427" t="s">
        <v>1443</v>
      </c>
      <c r="AB88" s="427" t="s">
        <v>1443</v>
      </c>
      <c r="AC88" s="427" t="s">
        <v>1443</v>
      </c>
      <c r="AD88" s="427" t="s">
        <v>1443</v>
      </c>
      <c r="AE88" s="427" t="s">
        <v>1443</v>
      </c>
      <c r="AF88" s="427" t="s">
        <v>1443</v>
      </c>
    </row>
    <row r="89" spans="2:32">
      <c r="B89" s="232"/>
      <c r="D89" s="910" t="str">
        <f>"As of "&amp;TEXT(valuation.date,"d mmmm yyy")&amp;"."&amp;" Historical and forecast consensus financial statements for the selected guideline public companies provided by Capital IQ."</f>
        <v>As of 30 September 2024. Historical and forecast consensus financial statements for the selected guideline public companies provided by Capital IQ.</v>
      </c>
      <c r="E89" s="867"/>
      <c r="F89" s="867"/>
      <c r="G89" s="867"/>
      <c r="H89" s="867"/>
      <c r="I89" s="867"/>
      <c r="J89" s="867"/>
      <c r="K89" s="867"/>
      <c r="L89" s="867"/>
      <c r="M89" s="867"/>
      <c r="N89" s="867"/>
      <c r="O89" s="867"/>
      <c r="R89" s="911"/>
      <c r="S89" s="911"/>
      <c r="T89" s="911"/>
      <c r="U89" s="911"/>
      <c r="V89" s="911"/>
      <c r="W89" s="911"/>
      <c r="X89" s="911"/>
      <c r="Y89" s="911"/>
      <c r="Z89" s="867"/>
      <c r="AA89" s="867"/>
      <c r="AB89" s="867"/>
      <c r="AC89" s="867"/>
      <c r="AD89" s="867"/>
      <c r="AE89" s="867"/>
      <c r="AF89" s="867"/>
    </row>
    <row r="90" spans="2:32">
      <c r="B90" s="232"/>
      <c r="D90" s="910"/>
      <c r="E90" s="867"/>
      <c r="F90" s="867"/>
      <c r="G90" s="867"/>
      <c r="H90" s="867"/>
      <c r="I90" s="867"/>
      <c r="J90" s="867"/>
      <c r="K90" s="867"/>
      <c r="L90" s="867"/>
      <c r="M90" s="867"/>
      <c r="N90" s="867"/>
      <c r="O90" s="867"/>
      <c r="R90" s="911"/>
      <c r="S90" s="911"/>
      <c r="T90" s="911"/>
      <c r="U90" s="911"/>
      <c r="V90" s="911"/>
      <c r="W90" s="911"/>
      <c r="X90" s="911"/>
      <c r="Y90" s="911"/>
      <c r="Z90" s="867"/>
      <c r="AA90" s="867"/>
      <c r="AB90" s="867"/>
      <c r="AC90" s="867"/>
      <c r="AD90" s="867"/>
      <c r="AE90" s="867"/>
      <c r="AF90" s="867"/>
    </row>
    <row r="91" spans="2:32">
      <c r="E91" s="912" t="s">
        <v>209</v>
      </c>
      <c r="F91" s="913">
        <f>MAX(F59:F88)</f>
        <v>0</v>
      </c>
      <c r="G91" s="913">
        <f t="shared" ref="G91:M91" si="13">MAX(G59:G88)</f>
        <v>0</v>
      </c>
      <c r="H91" s="913">
        <f t="shared" si="13"/>
        <v>0</v>
      </c>
      <c r="I91" s="913">
        <f t="shared" si="13"/>
        <v>0</v>
      </c>
      <c r="J91" s="913">
        <f t="shared" si="13"/>
        <v>0</v>
      </c>
      <c r="K91" s="913">
        <f t="shared" si="13"/>
        <v>0</v>
      </c>
      <c r="L91" s="913">
        <f t="shared" si="13"/>
        <v>0</v>
      </c>
      <c r="M91" s="913">
        <f t="shared" si="13"/>
        <v>0</v>
      </c>
      <c r="N91" s="811"/>
      <c r="O91" s="811"/>
      <c r="Z91" s="867"/>
      <c r="AA91" s="867" t="s">
        <v>1443</v>
      </c>
      <c r="AB91" s="867" t="s">
        <v>1443</v>
      </c>
      <c r="AC91" s="867" t="s">
        <v>1443</v>
      </c>
      <c r="AD91" s="867" t="s">
        <v>1443</v>
      </c>
      <c r="AE91" s="867" t="s">
        <v>1443</v>
      </c>
      <c r="AF91" s="867" t="s">
        <v>1443</v>
      </c>
    </row>
    <row r="92" spans="2:32">
      <c r="E92" s="914" t="s">
        <v>1419</v>
      </c>
      <c r="F92" s="915" t="e">
        <f>PERCENTILE(F59:F88,0.75)</f>
        <v>#NUM!</v>
      </c>
      <c r="G92" s="915" t="e">
        <f t="shared" ref="G92:M92" si="14">PERCENTILE(G59:G88,0.75)</f>
        <v>#NUM!</v>
      </c>
      <c r="H92" s="915">
        <f t="shared" si="14"/>
        <v>0</v>
      </c>
      <c r="I92" s="915">
        <f t="shared" si="14"/>
        <v>0</v>
      </c>
      <c r="J92" s="915" t="e">
        <f t="shared" si="14"/>
        <v>#NUM!</v>
      </c>
      <c r="K92" s="915" t="e">
        <f t="shared" si="14"/>
        <v>#NUM!</v>
      </c>
      <c r="L92" s="915" t="e">
        <f t="shared" si="14"/>
        <v>#NUM!</v>
      </c>
      <c r="M92" s="915" t="e">
        <f t="shared" si="14"/>
        <v>#NUM!</v>
      </c>
      <c r="N92" s="811"/>
      <c r="O92" s="811"/>
      <c r="Z92" s="867"/>
      <c r="AA92" s="867"/>
      <c r="AB92" s="867"/>
      <c r="AC92" s="867"/>
      <c r="AD92" s="867"/>
      <c r="AE92" s="867"/>
      <c r="AF92" s="867"/>
    </row>
    <row r="93" spans="2:32">
      <c r="E93" s="914" t="s">
        <v>1369</v>
      </c>
      <c r="F93" s="915" t="e">
        <f>AVERAGE(F59:F88)</f>
        <v>#DIV/0!</v>
      </c>
      <c r="G93" s="915" t="e">
        <f t="shared" ref="G93:M93" si="15">AVERAGE(G59:G88)</f>
        <v>#DIV/0!</v>
      </c>
      <c r="H93" s="915">
        <f t="shared" si="15"/>
        <v>0</v>
      </c>
      <c r="I93" s="915">
        <f t="shared" si="15"/>
        <v>0</v>
      </c>
      <c r="J93" s="915" t="e">
        <f t="shared" si="15"/>
        <v>#DIV/0!</v>
      </c>
      <c r="K93" s="915" t="e">
        <f t="shared" si="15"/>
        <v>#DIV/0!</v>
      </c>
      <c r="L93" s="915" t="e">
        <f t="shared" si="15"/>
        <v>#DIV/0!</v>
      </c>
      <c r="M93" s="915" t="e">
        <f t="shared" si="15"/>
        <v>#DIV/0!</v>
      </c>
      <c r="N93" s="811"/>
      <c r="O93" s="811"/>
      <c r="Z93" s="868" t="s">
        <v>1443</v>
      </c>
      <c r="AA93" s="868" t="s">
        <v>1443</v>
      </c>
      <c r="AB93" s="868" t="s">
        <v>1443</v>
      </c>
      <c r="AC93" s="868" t="s">
        <v>1443</v>
      </c>
      <c r="AD93" s="868" t="s">
        <v>1443</v>
      </c>
      <c r="AE93" s="868" t="s">
        <v>1443</v>
      </c>
      <c r="AF93" s="868" t="s">
        <v>1443</v>
      </c>
    </row>
    <row r="94" spans="2:32" ht="13.5">
      <c r="E94" s="879" t="s">
        <v>1370</v>
      </c>
      <c r="F94" s="877" t="e">
        <f>MEDIAN(F59:F88)</f>
        <v>#NUM!</v>
      </c>
      <c r="G94" s="877" t="e">
        <f t="shared" ref="G94:M94" si="16">MEDIAN(G59:G88)</f>
        <v>#NUM!</v>
      </c>
      <c r="H94" s="877">
        <f t="shared" si="16"/>
        <v>0</v>
      </c>
      <c r="I94" s="877">
        <f t="shared" si="16"/>
        <v>0</v>
      </c>
      <c r="J94" s="877" t="e">
        <f t="shared" si="16"/>
        <v>#NUM!</v>
      </c>
      <c r="K94" s="877" t="e">
        <f t="shared" si="16"/>
        <v>#NUM!</v>
      </c>
      <c r="L94" s="877" t="e">
        <f t="shared" si="16"/>
        <v>#NUM!</v>
      </c>
      <c r="M94" s="877" t="e">
        <f t="shared" si="16"/>
        <v>#NUM!</v>
      </c>
      <c r="N94" s="811"/>
      <c r="O94" s="811"/>
      <c r="Z94" s="882" t="s">
        <v>1443</v>
      </c>
      <c r="AA94" s="882" t="s">
        <v>1443</v>
      </c>
      <c r="AB94" s="882" t="s">
        <v>1443</v>
      </c>
      <c r="AC94" s="882" t="s">
        <v>1443</v>
      </c>
      <c r="AD94" s="882" t="s">
        <v>1443</v>
      </c>
      <c r="AE94" s="882" t="s">
        <v>1443</v>
      </c>
      <c r="AF94" s="882" t="s">
        <v>1443</v>
      </c>
    </row>
    <row r="95" spans="2:32" ht="13.5">
      <c r="E95" s="914" t="s">
        <v>1420</v>
      </c>
      <c r="F95" s="915" t="e">
        <f>PERCENTILE(F59:F88,0.25)</f>
        <v>#NUM!</v>
      </c>
      <c r="G95" s="915" t="e">
        <f t="shared" ref="G95:M95" si="17">PERCENTILE(G59:G88,0.25)</f>
        <v>#NUM!</v>
      </c>
      <c r="H95" s="915">
        <f t="shared" si="17"/>
        <v>0</v>
      </c>
      <c r="I95" s="915">
        <f t="shared" si="17"/>
        <v>0</v>
      </c>
      <c r="J95" s="915" t="e">
        <f t="shared" si="17"/>
        <v>#NUM!</v>
      </c>
      <c r="K95" s="915" t="e">
        <f t="shared" si="17"/>
        <v>#NUM!</v>
      </c>
      <c r="L95" s="915" t="e">
        <f t="shared" si="17"/>
        <v>#NUM!</v>
      </c>
      <c r="M95" s="915" t="e">
        <f t="shared" si="17"/>
        <v>#NUM!</v>
      </c>
      <c r="N95" s="811"/>
      <c r="O95" s="811"/>
      <c r="Z95" s="882"/>
      <c r="AA95" s="882"/>
      <c r="AB95" s="882"/>
      <c r="AC95" s="882"/>
      <c r="AD95" s="882"/>
      <c r="AE95" s="882"/>
      <c r="AF95" s="882"/>
    </row>
    <row r="96" spans="2:32">
      <c r="E96" s="916" t="s">
        <v>208</v>
      </c>
      <c r="F96" s="917">
        <f>MIN(F59:F88)</f>
        <v>0</v>
      </c>
      <c r="G96" s="917">
        <f t="shared" ref="G96:M96" si="18">MIN(G59:G88)</f>
        <v>0</v>
      </c>
      <c r="H96" s="917">
        <f t="shared" si="18"/>
        <v>0</v>
      </c>
      <c r="I96" s="917">
        <f t="shared" si="18"/>
        <v>0</v>
      </c>
      <c r="J96" s="917">
        <f t="shared" si="18"/>
        <v>0</v>
      </c>
      <c r="K96" s="917">
        <f t="shared" si="18"/>
        <v>0</v>
      </c>
      <c r="L96" s="917">
        <f t="shared" si="18"/>
        <v>0</v>
      </c>
      <c r="M96" s="917">
        <f t="shared" si="18"/>
        <v>0</v>
      </c>
      <c r="N96" s="811"/>
      <c r="O96" s="811"/>
      <c r="Z96" s="868" t="s">
        <v>1443</v>
      </c>
      <c r="AA96" s="868" t="s">
        <v>1443</v>
      </c>
      <c r="AB96" s="868" t="s">
        <v>1443</v>
      </c>
      <c r="AC96" s="868" t="s">
        <v>1443</v>
      </c>
      <c r="AD96" s="868" t="s">
        <v>1443</v>
      </c>
      <c r="AE96" s="868" t="s">
        <v>1443</v>
      </c>
      <c r="AF96" s="868" t="s">
        <v>1443</v>
      </c>
    </row>
    <row r="97" spans="2:32">
      <c r="E97" s="918"/>
      <c r="F97" s="811"/>
      <c r="G97" s="811"/>
      <c r="H97" s="811"/>
      <c r="I97" s="811"/>
      <c r="J97" s="811"/>
      <c r="K97" s="868"/>
      <c r="L97" s="868"/>
      <c r="Z97" s="868"/>
      <c r="AA97" s="868"/>
      <c r="AB97" s="868"/>
      <c r="AC97" s="868"/>
      <c r="AD97" s="868"/>
      <c r="AE97" s="868"/>
      <c r="AF97" s="868"/>
    </row>
    <row r="98" spans="2:32">
      <c r="E98" s="466" t="s">
        <v>1371</v>
      </c>
      <c r="F98" s="811"/>
      <c r="G98" s="811"/>
      <c r="H98" s="811"/>
      <c r="I98" s="811"/>
      <c r="J98" s="811"/>
      <c r="K98" s="868"/>
      <c r="L98" s="868"/>
      <c r="Z98" s="868"/>
      <c r="AA98" s="868"/>
      <c r="AB98" s="868"/>
      <c r="AC98" s="868"/>
      <c r="AD98" s="868"/>
      <c r="AE98" s="868"/>
      <c r="AF98" s="868"/>
    </row>
    <row r="99" spans="2:32">
      <c r="E99" s="912" t="s">
        <v>209</v>
      </c>
      <c r="F99" s="872" cm="1">
        <f t="array" ref="F99">IFERROR(MAX(IF($P$59:$P$88="No",F59:F88)),"")</f>
        <v>0</v>
      </c>
      <c r="G99" s="872" cm="1">
        <f t="array" ref="G99">IFERROR(MAX(IF($P$59:$P$88="No",G59:G88)),"")</f>
        <v>0</v>
      </c>
      <c r="H99" s="872" cm="1">
        <f t="array" ref="H99">IFERROR(MAX(IF($P$59:$P$88="No",H59:H88)),"")</f>
        <v>0</v>
      </c>
      <c r="I99" s="872" cm="1">
        <f t="array" ref="I99">IFERROR(MAX(IF($P$59:$P$88="No",I59:I88)),"")</f>
        <v>0</v>
      </c>
      <c r="J99" s="872" cm="1">
        <f t="array" ref="J99">IFERROR(MAX(IF($P$59:$P$88="No",J59:J88)),"")</f>
        <v>0</v>
      </c>
      <c r="K99" s="872" cm="1">
        <f t="array" ref="K99">IFERROR(MAX(IF($P$59:$P$88="No",K59:K88)),"")</f>
        <v>0</v>
      </c>
      <c r="L99" s="872" cm="1">
        <f t="array" ref="L99">IFERROR(MAX(IF($P$59:$P$88="No",L59:L88)),"")</f>
        <v>0</v>
      </c>
      <c r="M99" s="872" cm="1">
        <f t="array" ref="M99">IFERROR(MAX(IF($P$59:$P$88="No",M59:M88)),"")</f>
        <v>0</v>
      </c>
      <c r="N99" s="811"/>
      <c r="O99" s="811"/>
      <c r="Z99" s="868"/>
      <c r="AA99" s="868"/>
      <c r="AB99" s="868"/>
      <c r="AC99" s="868"/>
      <c r="AD99" s="868"/>
      <c r="AE99" s="868"/>
      <c r="AF99" s="868"/>
    </row>
    <row r="100" spans="2:32">
      <c r="E100" s="914" t="s">
        <v>1419</v>
      </c>
      <c r="F100" s="811" t="e" cm="1">
        <f t="array" ref="F100">PERCENTILE(IF($P$59:$P$88="No",F59:F88),0.75)</f>
        <v>#NUM!</v>
      </c>
      <c r="G100" s="811" t="e" cm="1">
        <f t="array" ref="G100">PERCENTILE(IF($P$59:$P$88="No",G59:G88),0.75)</f>
        <v>#NUM!</v>
      </c>
      <c r="H100" s="811" cm="1">
        <f t="array" ref="H100">PERCENTILE(IF($P$59:$P$88="No",H59:H88),0.75)</f>
        <v>0</v>
      </c>
      <c r="I100" s="811" cm="1">
        <f t="array" ref="I100">PERCENTILE(IF($P$59:$P$88="No",I59:I88),0.75)</f>
        <v>0</v>
      </c>
      <c r="J100" s="811" t="e" cm="1">
        <f t="array" ref="J100">PERCENTILE(IF($P$59:$P$88="No",J59:J88),0.75)</f>
        <v>#NUM!</v>
      </c>
      <c r="K100" s="811" t="e" cm="1">
        <f t="array" ref="K100">PERCENTILE(IF($P$59:$P$88="No",K59:K88),0.75)</f>
        <v>#NUM!</v>
      </c>
      <c r="L100" s="811" t="e" cm="1">
        <f t="array" ref="L100">PERCENTILE(IF($P$59:$P$88="No",L59:L88),0.75)</f>
        <v>#NUM!</v>
      </c>
      <c r="M100" s="811" t="e" cm="1">
        <f t="array" ref="M100">PERCENTILE(IF($P$59:$P$88="No",M59:M88),0.75)</f>
        <v>#NUM!</v>
      </c>
      <c r="N100" s="811"/>
      <c r="O100" s="811"/>
      <c r="Z100" s="868"/>
      <c r="AA100" s="868"/>
      <c r="AB100" s="868"/>
      <c r="AC100" s="868"/>
      <c r="AD100" s="868"/>
      <c r="AE100" s="868"/>
      <c r="AF100" s="868"/>
    </row>
    <row r="101" spans="2:32">
      <c r="E101" s="914" t="s">
        <v>1369</v>
      </c>
      <c r="F101" s="915" t="str">
        <f t="shared" ref="F101:M101" si="19">IFERROR(AVERAGEIF($P$59:$P$88,"No",F59:F88),"")</f>
        <v/>
      </c>
      <c r="G101" s="915" t="str">
        <f t="shared" si="19"/>
        <v/>
      </c>
      <c r="H101" s="915">
        <f t="shared" si="19"/>
        <v>0</v>
      </c>
      <c r="I101" s="915">
        <f t="shared" si="19"/>
        <v>0</v>
      </c>
      <c r="J101" s="915" t="str">
        <f t="shared" si="19"/>
        <v/>
      </c>
      <c r="K101" s="915" t="str">
        <f t="shared" si="19"/>
        <v/>
      </c>
      <c r="L101" s="915" t="str">
        <f t="shared" si="19"/>
        <v/>
      </c>
      <c r="M101" s="915" t="str">
        <f t="shared" si="19"/>
        <v/>
      </c>
      <c r="N101" s="811"/>
      <c r="O101" s="811"/>
      <c r="Z101" s="868"/>
      <c r="AA101" s="868"/>
      <c r="AB101" s="868"/>
      <c r="AC101" s="868"/>
      <c r="AD101" s="868"/>
      <c r="AE101" s="868"/>
      <c r="AF101" s="868"/>
    </row>
    <row r="102" spans="2:32">
      <c r="E102" s="879" t="s">
        <v>1370</v>
      </c>
      <c r="F102" s="919" t="str" cm="1">
        <f t="array" ref="F102">IFERROR(MEDIAN(IF($P$59:$P$88="No",F59:F88)),"")</f>
        <v/>
      </c>
      <c r="G102" s="919" t="str" cm="1">
        <f t="array" ref="G102">IFERROR(MEDIAN(IF($P$59:$P$88="No",G59:G88)),"")</f>
        <v/>
      </c>
      <c r="H102" s="919" cm="1">
        <f t="array" ref="H102">IFERROR(MEDIAN(IF($P$59:$P$88="No",H59:H88)),"")</f>
        <v>0</v>
      </c>
      <c r="I102" s="919" cm="1">
        <f t="array" ref="I102">IFERROR(MEDIAN(IF($P$59:$P$88="No",I59:I88)),"")</f>
        <v>0</v>
      </c>
      <c r="J102" s="919" t="str" cm="1">
        <f t="array" ref="J102">IFERROR(MEDIAN(IF($P$59:$P$88="No",J59:J88)),"")</f>
        <v/>
      </c>
      <c r="K102" s="919" t="str" cm="1">
        <f t="array" ref="K102">IFERROR(MEDIAN(IF($P$59:$P$88="No",K59:K88)),"")</f>
        <v/>
      </c>
      <c r="L102" s="919" t="str" cm="1">
        <f t="array" ref="L102">IFERROR(MEDIAN(IF($P$59:$P$88="No",L59:L88)),"")</f>
        <v/>
      </c>
      <c r="M102" s="919" t="str" cm="1">
        <f t="array" ref="M102">IFERROR(MEDIAN(IF($P$59:$P$88="No",M59:M88)),"")</f>
        <v/>
      </c>
      <c r="N102" s="811"/>
      <c r="O102" s="811"/>
      <c r="Z102" s="868"/>
      <c r="AA102" s="868"/>
      <c r="AB102" s="868"/>
      <c r="AC102" s="868"/>
      <c r="AD102" s="868"/>
      <c r="AE102" s="868"/>
      <c r="AF102" s="868"/>
    </row>
    <row r="103" spans="2:32">
      <c r="E103" s="914" t="s">
        <v>1420</v>
      </c>
      <c r="F103" s="811" t="e" cm="1">
        <f t="array" ref="F103">PERCENTILE(IF($P$59:$P$88="No",F59:F88),0.25)</f>
        <v>#NUM!</v>
      </c>
      <c r="G103" s="811" t="e" cm="1">
        <f t="array" ref="G103">PERCENTILE(IF($P$59:$P$88="No",G59:G88),0.25)</f>
        <v>#NUM!</v>
      </c>
      <c r="H103" s="811" cm="1">
        <f t="array" ref="H103">PERCENTILE(IF($P$59:$P$88="No",H59:H88),0.25)</f>
        <v>0</v>
      </c>
      <c r="I103" s="811" cm="1">
        <f t="array" ref="I103">PERCENTILE(IF($P$59:$P$88="No",I59:I88),0.25)</f>
        <v>0</v>
      </c>
      <c r="J103" s="811" t="e" cm="1">
        <f t="array" ref="J103">PERCENTILE(IF($P$59:$P$88="No",J59:J88),0.25)</f>
        <v>#NUM!</v>
      </c>
      <c r="K103" s="811" t="e" cm="1">
        <f t="array" ref="K103">PERCENTILE(IF($P$59:$P$88="No",K59:K88),0.25)</f>
        <v>#NUM!</v>
      </c>
      <c r="L103" s="811" t="e" cm="1">
        <f t="array" ref="L103">PERCENTILE(IF($P$59:$P$88="No",L59:L88),0.25)</f>
        <v>#NUM!</v>
      </c>
      <c r="M103" s="811" t="e" cm="1">
        <f t="array" ref="M103">PERCENTILE(IF($P$59:$P$88="No",M59:M88),0.25)</f>
        <v>#NUM!</v>
      </c>
      <c r="N103" s="811"/>
      <c r="O103" s="811"/>
      <c r="Z103" s="868"/>
      <c r="AA103" s="868"/>
      <c r="AB103" s="868"/>
      <c r="AC103" s="868"/>
      <c r="AD103" s="868"/>
      <c r="AE103" s="868"/>
      <c r="AF103" s="868"/>
    </row>
    <row r="104" spans="2:32">
      <c r="E104" s="916" t="s">
        <v>208</v>
      </c>
      <c r="F104" s="886" cm="1">
        <f t="array" ref="F104">IFERROR(MIN(IF($P$59:$P$88="No",F59:F88)),"")</f>
        <v>0</v>
      </c>
      <c r="G104" s="886" cm="1">
        <f t="array" ref="G104">IFERROR(MIN(IF($P$59:$P$88="No",G59:G88)),"")</f>
        <v>0</v>
      </c>
      <c r="H104" s="886" cm="1">
        <f t="array" ref="H104">IFERROR(MIN(IF($P$59:$P$88="No",H59:H88)),"")</f>
        <v>0</v>
      </c>
      <c r="I104" s="886" cm="1">
        <f t="array" ref="I104">IFERROR(MIN(IF($P$59:$P$88="No",I59:I88)),"")</f>
        <v>0</v>
      </c>
      <c r="J104" s="886" cm="1">
        <f t="array" ref="J104">IFERROR(MIN(IF($P$59:$P$88="No",J59:J88)),"")</f>
        <v>0</v>
      </c>
      <c r="K104" s="886" cm="1">
        <f t="array" ref="K104">IFERROR(MIN(IF($P$59:$P$88="No",K59:K88)),"")</f>
        <v>0</v>
      </c>
      <c r="L104" s="886" cm="1">
        <f t="array" ref="L104">IFERROR(MIN(IF($P$59:$P$88="No",L59:L88)),"")</f>
        <v>0</v>
      </c>
      <c r="M104" s="886" cm="1">
        <f t="array" ref="M104">IFERROR(MIN(IF($P$59:$P$88="No",M59:M88)),"")</f>
        <v>0</v>
      </c>
      <c r="N104" s="811"/>
      <c r="O104" s="811"/>
      <c r="Z104" s="868"/>
    </row>
    <row r="105" spans="2:32">
      <c r="B105" s="251"/>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row>
  </sheetData>
  <sheetProtection formatCells="0" formatColumns="0" formatRows="0" insertColumns="0" insertRows="0" insertHyperlinks="0" deleteColumns="0" deleteRows="0" selectLockedCells="1" sort="0" autoFilter="0" pivotTables="0" selectUnlockedCells="1"/>
  <mergeCells count="4">
    <mergeCell ref="F57:J57"/>
    <mergeCell ref="K57:M57"/>
    <mergeCell ref="F7:J7"/>
    <mergeCell ref="K7:M7"/>
  </mergeCells>
  <dataValidations disablePrompts="1" count="1">
    <dataValidation type="list" allowBlank="1" showInputMessage="1" showErrorMessage="1" sqref="P59:P88 P9:P38" xr:uid="{00000000-0002-0000-0C00-000000000000}">
      <formula1>"Yes, No"</formula1>
    </dataValidation>
  </dataValidations>
  <pageMargins left="0.7" right="0.7" top="0.75" bottom="0.75" header="0.3" footer="0.3"/>
  <pageSetup scale="24" orientation="landscape" r:id="rId1"/>
  <headerFooter>
    <oddHeader>&amp;R&amp;"Arial"&amp;8&amp;K000000Confidential&amp;1#</oddHead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tabColor theme="9" tint="-9.9978637043366805E-2"/>
  </sheetPr>
  <dimension ref="B1:AK155"/>
  <sheetViews>
    <sheetView showGridLines="0" view="pageBreakPreview" zoomScale="64" zoomScaleNormal="72" zoomScaleSheetLayoutView="64" workbookViewId="0">
      <selection activeCell="D7" sqref="D7"/>
    </sheetView>
  </sheetViews>
  <sheetFormatPr defaultColWidth="8.88671875" defaultRowHeight="11.25" outlineLevelRow="1"/>
  <cols>
    <col min="1" max="1" width="3.44140625" style="229" customWidth="1"/>
    <col min="2" max="2" width="3" style="229" customWidth="1"/>
    <col min="3" max="3" width="2" style="229" customWidth="1"/>
    <col min="4" max="4" width="36.88671875" style="229" customWidth="1"/>
    <col min="5" max="5" width="11.109375" style="229" customWidth="1"/>
    <col min="6" max="13" width="10.5546875" style="229" customWidth="1"/>
    <col min="14" max="14" width="2.88671875" style="229" customWidth="1"/>
    <col min="15" max="15" width="3.5546875" style="229" customWidth="1"/>
    <col min="16" max="16384" width="8.88671875" style="229"/>
  </cols>
  <sheetData>
    <row r="1" spans="2:25" s="485" customFormat="1"/>
    <row r="2" spans="2:25" s="407" customFormat="1">
      <c r="B2" s="505" t="str">
        <f>Inputs!B2</f>
        <v>Valify - UAE Valuation Services</v>
      </c>
      <c r="C2" s="922"/>
      <c r="D2" s="894"/>
      <c r="E2" s="894"/>
      <c r="F2" s="894"/>
      <c r="G2" s="894"/>
      <c r="H2" s="894"/>
      <c r="I2" s="894"/>
      <c r="J2" s="894"/>
      <c r="K2" s="894"/>
      <c r="L2" s="894"/>
      <c r="M2" s="894"/>
      <c r="N2" s="741"/>
      <c r="P2" s="747"/>
      <c r="Q2" s="747"/>
      <c r="R2" s="747"/>
      <c r="V2" s="923"/>
    </row>
    <row r="3" spans="2:25" s="406" customFormat="1">
      <c r="B3" s="742" t="str">
        <f>Inputs!$B$3</f>
        <v>Lazure Worldwide FZCO - Self Valuation using DCF Method, Transaction Multiples Method, &amp; Market Multiples Method as at September 30, 2024</v>
      </c>
      <c r="C3" s="924"/>
      <c r="D3" s="506"/>
      <c r="E3" s="506"/>
      <c r="F3" s="506"/>
      <c r="G3" s="506"/>
      <c r="H3" s="506"/>
      <c r="I3" s="506"/>
      <c r="J3" s="506"/>
      <c r="K3" s="506"/>
      <c r="L3" s="506"/>
      <c r="M3" s="506"/>
      <c r="N3" s="745"/>
      <c r="P3" s="510"/>
      <c r="Q3" s="1850"/>
      <c r="R3" s="1850"/>
    </row>
    <row r="4" spans="2:25" s="406" customFormat="1">
      <c r="B4" s="925" t="s">
        <v>1454</v>
      </c>
      <c r="C4" s="926"/>
      <c r="D4" s="508"/>
      <c r="E4" s="508"/>
      <c r="F4" s="508"/>
      <c r="G4" s="508"/>
      <c r="H4" s="508"/>
      <c r="I4" s="508"/>
      <c r="J4" s="508"/>
      <c r="K4" s="508"/>
      <c r="L4" s="508"/>
      <c r="M4" s="508"/>
      <c r="N4" s="561" t="str">
        <f>valuation.date.header</f>
        <v>Valuation Date:  September 30, 2024</v>
      </c>
      <c r="P4" s="510"/>
      <c r="Q4" s="1850"/>
      <c r="R4" s="1850"/>
    </row>
    <row r="5" spans="2:25" s="406" customFormat="1">
      <c r="B5" s="927" t="str">
        <f>currency.heading1</f>
        <v>INR 'Units</v>
      </c>
      <c r="C5" s="928"/>
      <c r="D5" s="929"/>
      <c r="E5" s="929"/>
      <c r="F5" s="929"/>
      <c r="G5" s="929"/>
      <c r="H5" s="929"/>
      <c r="I5" s="929"/>
      <c r="J5" s="929"/>
      <c r="K5" s="929"/>
      <c r="L5" s="929"/>
      <c r="M5" s="929"/>
      <c r="N5" s="929"/>
    </row>
    <row r="6" spans="2:25" s="232" customFormat="1">
      <c r="B6" s="930"/>
      <c r="C6" s="930"/>
    </row>
    <row r="7" spans="2:25" s="232" customFormat="1">
      <c r="D7" s="931" t="s">
        <v>2282</v>
      </c>
      <c r="K7" s="432"/>
      <c r="L7" s="432"/>
      <c r="M7" s="432"/>
      <c r="R7" s="432"/>
      <c r="S7" s="432"/>
      <c r="T7" s="432"/>
      <c r="U7" s="432"/>
      <c r="V7" s="432"/>
      <c r="W7" s="432"/>
      <c r="X7" s="432"/>
    </row>
    <row r="8" spans="2:25" s="232" customFormat="1" ht="25.5" customHeight="1">
      <c r="B8" s="831"/>
      <c r="D8" s="932"/>
      <c r="E8" s="933"/>
      <c r="F8" s="1849"/>
      <c r="G8" s="1849"/>
      <c r="H8" s="1849"/>
      <c r="I8" s="1849"/>
      <c r="J8" s="1849"/>
      <c r="K8" s="1851" t="s">
        <v>1440</v>
      </c>
      <c r="L8" s="1851"/>
      <c r="M8" s="1851"/>
      <c r="N8" s="429" t="s">
        <v>1443</v>
      </c>
      <c r="O8" s="429"/>
      <c r="P8" s="429"/>
      <c r="Q8" s="429"/>
      <c r="R8" s="433"/>
      <c r="S8" s="934"/>
      <c r="T8" s="935"/>
      <c r="U8" s="935"/>
      <c r="V8" s="936"/>
      <c r="W8" s="936"/>
      <c r="X8" s="433"/>
      <c r="Y8" s="429"/>
    </row>
    <row r="9" spans="2:25" s="232" customFormat="1" ht="12" thickBot="1">
      <c r="D9" s="937" t="s">
        <v>94</v>
      </c>
      <c r="E9" s="938" t="s">
        <v>1445</v>
      </c>
      <c r="F9" s="938" t="s">
        <v>139</v>
      </c>
      <c r="G9" s="938" t="s">
        <v>137</v>
      </c>
      <c r="H9" s="938" t="s">
        <v>134</v>
      </c>
      <c r="I9" s="938" t="s">
        <v>131</v>
      </c>
      <c r="J9" s="939" t="s">
        <v>129</v>
      </c>
      <c r="K9" s="938" t="s">
        <v>1446</v>
      </c>
      <c r="L9" s="938" t="s">
        <v>1447</v>
      </c>
      <c r="M9" s="939" t="s">
        <v>1448</v>
      </c>
      <c r="N9" s="427"/>
      <c r="O9" s="427"/>
      <c r="P9" s="516" t="s">
        <v>1395</v>
      </c>
      <c r="Q9" s="427"/>
      <c r="R9" s="434"/>
      <c r="S9" s="934"/>
      <c r="T9" s="940"/>
      <c r="U9" s="940"/>
      <c r="V9" s="940"/>
      <c r="W9" s="940"/>
      <c r="X9" s="434"/>
      <c r="Y9" s="427"/>
    </row>
    <row r="10" spans="2:25" s="232" customFormat="1" ht="12" thickBot="1">
      <c r="D10" s="941" t="str">
        <f>WACC!C29</f>
        <v>Comp 1</v>
      </c>
      <c r="E10" s="890">
        <f>'GPC Data'!P22</f>
        <v>0</v>
      </c>
      <c r="F10" s="942">
        <f>'GPC Data'!R158</f>
        <v>0</v>
      </c>
      <c r="G10" s="942">
        <f>'GPC Data'!S158</f>
        <v>0</v>
      </c>
      <c r="H10" s="942">
        <f>'GPC Data'!T158</f>
        <v>0</v>
      </c>
      <c r="I10" s="942">
        <f>'GPC Data'!U158</f>
        <v>0</v>
      </c>
      <c r="J10" s="942">
        <f>'GPC Data'!V158</f>
        <v>0</v>
      </c>
      <c r="K10" s="943">
        <f>'GPC Data'!W158</f>
        <v>0</v>
      </c>
      <c r="L10" s="943">
        <f>'GPC Data'!X158</f>
        <v>0</v>
      </c>
      <c r="M10" s="943">
        <f>'GPC Data'!Y158</f>
        <v>0</v>
      </c>
      <c r="N10" s="427"/>
      <c r="O10" s="427"/>
      <c r="P10" s="443" t="s">
        <v>1359</v>
      </c>
      <c r="Q10" s="427"/>
      <c r="R10" s="434"/>
      <c r="S10" s="934"/>
      <c r="T10" s="944"/>
      <c r="U10" s="944"/>
      <c r="V10" s="934"/>
      <c r="W10" s="934"/>
      <c r="X10" s="434"/>
      <c r="Y10" s="427"/>
    </row>
    <row r="11" spans="2:25" s="232" customFormat="1" ht="12" thickBot="1">
      <c r="D11" s="945" t="str">
        <f>WACC!C30</f>
        <v>Comp 2</v>
      </c>
      <c r="E11" s="892">
        <f>'GPC Data'!P23</f>
        <v>0</v>
      </c>
      <c r="F11" s="946">
        <f>'GPC Data'!R159</f>
        <v>0</v>
      </c>
      <c r="G11" s="946">
        <f>'GPC Data'!S159</f>
        <v>0</v>
      </c>
      <c r="H11" s="946">
        <f>'GPC Data'!T159</f>
        <v>0</v>
      </c>
      <c r="I11" s="946">
        <f>'GPC Data'!U159</f>
        <v>0</v>
      </c>
      <c r="J11" s="946">
        <f>'GPC Data'!V159</f>
        <v>0</v>
      </c>
      <c r="K11" s="947">
        <f>'GPC Data'!W159</f>
        <v>0</v>
      </c>
      <c r="L11" s="947">
        <f>'GPC Data'!X159</f>
        <v>0</v>
      </c>
      <c r="M11" s="947">
        <f>'GPC Data'!Y159</f>
        <v>0</v>
      </c>
      <c r="N11" s="427"/>
      <c r="O11" s="427"/>
      <c r="P11" s="443" t="s">
        <v>1359</v>
      </c>
      <c r="Q11" s="427"/>
      <c r="R11" s="434"/>
      <c r="S11" s="934"/>
      <c r="T11" s="944"/>
      <c r="U11" s="944"/>
      <c r="V11" s="934"/>
      <c r="W11" s="934"/>
      <c r="X11" s="434"/>
      <c r="Y11" s="427"/>
    </row>
    <row r="12" spans="2:25" s="232" customFormat="1" ht="12" thickBot="1">
      <c r="D12" s="945" t="str">
        <f>WACC!C31</f>
        <v>Comp 3</v>
      </c>
      <c r="E12" s="892">
        <f>'GPC Data'!P24</f>
        <v>0</v>
      </c>
      <c r="F12" s="946">
        <f>'GPC Data'!R160</f>
        <v>0</v>
      </c>
      <c r="G12" s="946">
        <f>'GPC Data'!S160</f>
        <v>0</v>
      </c>
      <c r="H12" s="946">
        <f>'GPC Data'!T160</f>
        <v>0</v>
      </c>
      <c r="I12" s="946">
        <f>'GPC Data'!U160</f>
        <v>0</v>
      </c>
      <c r="J12" s="946">
        <f>'GPC Data'!V160</f>
        <v>0</v>
      </c>
      <c r="K12" s="947">
        <f>'GPC Data'!W160</f>
        <v>0</v>
      </c>
      <c r="L12" s="947">
        <f>'GPC Data'!X160</f>
        <v>0</v>
      </c>
      <c r="M12" s="947">
        <f>'GPC Data'!Y160</f>
        <v>0</v>
      </c>
      <c r="N12" s="427" t="s">
        <v>1443</v>
      </c>
      <c r="O12" s="427"/>
      <c r="P12" s="443" t="s">
        <v>1359</v>
      </c>
      <c r="Q12" s="427"/>
      <c r="R12" s="434"/>
      <c r="S12" s="934"/>
      <c r="T12" s="944"/>
      <c r="U12" s="944"/>
      <c r="V12" s="934"/>
      <c r="W12" s="934"/>
      <c r="X12" s="434"/>
      <c r="Y12" s="427"/>
    </row>
    <row r="13" spans="2:25" s="232" customFormat="1" ht="12" thickBot="1">
      <c r="D13" s="945" t="str">
        <f>WACC!C32</f>
        <v>Comp 4</v>
      </c>
      <c r="E13" s="892">
        <f>'GPC Data'!P25</f>
        <v>0</v>
      </c>
      <c r="F13" s="946">
        <f>'GPC Data'!R161</f>
        <v>0</v>
      </c>
      <c r="G13" s="946">
        <f>'GPC Data'!S161</f>
        <v>0</v>
      </c>
      <c r="H13" s="946">
        <f>'GPC Data'!T161</f>
        <v>0</v>
      </c>
      <c r="I13" s="946">
        <f>'GPC Data'!U161</f>
        <v>0</v>
      </c>
      <c r="J13" s="946">
        <f>'GPC Data'!V161</f>
        <v>0</v>
      </c>
      <c r="K13" s="947">
        <f>'GPC Data'!W161</f>
        <v>0</v>
      </c>
      <c r="L13" s="947">
        <f>'GPC Data'!X161</f>
        <v>0</v>
      </c>
      <c r="M13" s="947">
        <f>'GPC Data'!Y161</f>
        <v>0</v>
      </c>
      <c r="N13" s="427" t="s">
        <v>1443</v>
      </c>
      <c r="O13" s="427"/>
      <c r="P13" s="443" t="s">
        <v>1359</v>
      </c>
      <c r="Q13" s="427"/>
      <c r="R13" s="434"/>
      <c r="S13" s="934"/>
      <c r="T13" s="944"/>
      <c r="U13" s="944"/>
      <c r="V13" s="934"/>
      <c r="W13" s="934"/>
      <c r="X13" s="434"/>
      <c r="Y13" s="427"/>
    </row>
    <row r="14" spans="2:25" s="232" customFormat="1" ht="12" thickBot="1">
      <c r="D14" s="945" t="str">
        <f>WACC!C33</f>
        <v>Comp 5</v>
      </c>
      <c r="E14" s="892">
        <f>'GPC Data'!P26</f>
        <v>0</v>
      </c>
      <c r="F14" s="946">
        <f>'GPC Data'!R162</f>
        <v>0</v>
      </c>
      <c r="G14" s="946">
        <f>'GPC Data'!S162</f>
        <v>0</v>
      </c>
      <c r="H14" s="946">
        <f>'GPC Data'!T162</f>
        <v>0</v>
      </c>
      <c r="I14" s="946">
        <f>'GPC Data'!U162</f>
        <v>0</v>
      </c>
      <c r="J14" s="946">
        <f>'GPC Data'!V162</f>
        <v>0</v>
      </c>
      <c r="K14" s="947">
        <f>'GPC Data'!W162</f>
        <v>0</v>
      </c>
      <c r="L14" s="947">
        <f>'GPC Data'!X162</f>
        <v>0</v>
      </c>
      <c r="M14" s="947">
        <f>'GPC Data'!Y162</f>
        <v>0</v>
      </c>
      <c r="N14" s="427"/>
      <c r="O14" s="427"/>
      <c r="P14" s="443" t="s">
        <v>1359</v>
      </c>
      <c r="Q14" s="427"/>
      <c r="R14" s="434"/>
      <c r="S14" s="934"/>
      <c r="T14" s="944"/>
      <c r="U14" s="944"/>
      <c r="V14" s="934"/>
      <c r="W14" s="934"/>
      <c r="X14" s="434"/>
      <c r="Y14" s="427"/>
    </row>
    <row r="15" spans="2:25" s="232" customFormat="1" ht="12" thickBot="1">
      <c r="D15" s="945" t="str">
        <f>WACC!C34</f>
        <v>Comp 6</v>
      </c>
      <c r="E15" s="892">
        <f>'GPC Data'!P27</f>
        <v>0</v>
      </c>
      <c r="F15" s="946">
        <f>'GPC Data'!R163</f>
        <v>0</v>
      </c>
      <c r="G15" s="946">
        <f>'GPC Data'!S163</f>
        <v>0</v>
      </c>
      <c r="H15" s="946">
        <f>'GPC Data'!T163</f>
        <v>0</v>
      </c>
      <c r="I15" s="946">
        <f>'GPC Data'!U163</f>
        <v>0</v>
      </c>
      <c r="J15" s="946">
        <f>'GPC Data'!V163</f>
        <v>0</v>
      </c>
      <c r="K15" s="947">
        <f>'GPC Data'!W163</f>
        <v>0</v>
      </c>
      <c r="L15" s="947">
        <f>'GPC Data'!X163</f>
        <v>0</v>
      </c>
      <c r="M15" s="947">
        <f>'GPC Data'!Y163</f>
        <v>0</v>
      </c>
      <c r="N15" s="427" t="s">
        <v>1443</v>
      </c>
      <c r="O15" s="427"/>
      <c r="P15" s="443" t="s">
        <v>1359</v>
      </c>
      <c r="Q15" s="427"/>
      <c r="R15" s="434"/>
      <c r="S15" s="934"/>
      <c r="T15" s="944"/>
      <c r="U15" s="944"/>
      <c r="V15" s="934"/>
      <c r="W15" s="934"/>
      <c r="X15" s="434"/>
      <c r="Y15" s="427"/>
    </row>
    <row r="16" spans="2:25" s="232" customFormat="1" ht="12" thickBot="1">
      <c r="D16" s="945" t="str">
        <f>WACC!C35</f>
        <v>Comp 7</v>
      </c>
      <c r="E16" s="892">
        <f>'GPC Data'!P28</f>
        <v>0</v>
      </c>
      <c r="F16" s="946">
        <f>'GPC Data'!R164</f>
        <v>0</v>
      </c>
      <c r="G16" s="946">
        <f>'GPC Data'!S164</f>
        <v>0</v>
      </c>
      <c r="H16" s="946">
        <f>'GPC Data'!T164</f>
        <v>0</v>
      </c>
      <c r="I16" s="946">
        <f>'GPC Data'!U164</f>
        <v>0</v>
      </c>
      <c r="J16" s="946">
        <f>'GPC Data'!V164</f>
        <v>0</v>
      </c>
      <c r="K16" s="947">
        <f>'GPC Data'!W164</f>
        <v>0</v>
      </c>
      <c r="L16" s="947">
        <f>'GPC Data'!X164</f>
        <v>0</v>
      </c>
      <c r="M16" s="947">
        <f>'GPC Data'!Y164</f>
        <v>0</v>
      </c>
      <c r="N16" s="427" t="s">
        <v>1443</v>
      </c>
      <c r="O16" s="427"/>
      <c r="P16" s="443" t="s">
        <v>1359</v>
      </c>
      <c r="Q16" s="427"/>
      <c r="R16" s="434"/>
      <c r="S16" s="934"/>
      <c r="T16" s="944"/>
      <c r="U16" s="944"/>
      <c r="V16" s="934"/>
      <c r="W16" s="934"/>
      <c r="X16" s="434"/>
      <c r="Y16" s="427"/>
    </row>
    <row r="17" spans="4:25" s="232" customFormat="1" ht="12" thickBot="1">
      <c r="D17" s="945" t="str">
        <f>WACC!C36</f>
        <v>Comp 8</v>
      </c>
      <c r="E17" s="892">
        <f>'GPC Data'!P29</f>
        <v>0</v>
      </c>
      <c r="F17" s="946">
        <f>'GPC Data'!R165</f>
        <v>0</v>
      </c>
      <c r="G17" s="946">
        <f>'GPC Data'!S165</f>
        <v>0</v>
      </c>
      <c r="H17" s="946">
        <f>'GPC Data'!T165</f>
        <v>0</v>
      </c>
      <c r="I17" s="946">
        <f>'GPC Data'!U165</f>
        <v>0</v>
      </c>
      <c r="J17" s="946">
        <f>'GPC Data'!V165</f>
        <v>0</v>
      </c>
      <c r="K17" s="947">
        <f>'GPC Data'!W165</f>
        <v>0</v>
      </c>
      <c r="L17" s="947">
        <f>'GPC Data'!X165</f>
        <v>0</v>
      </c>
      <c r="M17" s="947">
        <f>'GPC Data'!Y165</f>
        <v>0</v>
      </c>
      <c r="N17" s="427"/>
      <c r="O17" s="427"/>
      <c r="P17" s="443" t="s">
        <v>1359</v>
      </c>
      <c r="Q17" s="427"/>
      <c r="R17" s="434"/>
      <c r="S17" s="934"/>
      <c r="T17" s="944"/>
      <c r="U17" s="944"/>
      <c r="V17" s="934"/>
      <c r="W17" s="934"/>
      <c r="X17" s="434"/>
      <c r="Y17" s="427"/>
    </row>
    <row r="18" spans="4:25" s="232" customFormat="1" ht="12" thickBot="1">
      <c r="D18" s="945" t="str">
        <f>WACC!C37</f>
        <v>Comp 9</v>
      </c>
      <c r="E18" s="892">
        <f>'GPC Data'!P30</f>
        <v>0</v>
      </c>
      <c r="F18" s="946">
        <f>'GPC Data'!R166</f>
        <v>0</v>
      </c>
      <c r="G18" s="946">
        <f>'GPC Data'!S166</f>
        <v>0</v>
      </c>
      <c r="H18" s="946">
        <f>'GPC Data'!T166</f>
        <v>0</v>
      </c>
      <c r="I18" s="946">
        <f>'GPC Data'!U166</f>
        <v>0</v>
      </c>
      <c r="J18" s="946">
        <f>'GPC Data'!V166</f>
        <v>0</v>
      </c>
      <c r="K18" s="947">
        <f>'GPC Data'!W166</f>
        <v>0</v>
      </c>
      <c r="L18" s="947">
        <f>'GPC Data'!X166</f>
        <v>0</v>
      </c>
      <c r="M18" s="947">
        <f>'GPC Data'!Y166</f>
        <v>0</v>
      </c>
      <c r="N18" s="427" t="s">
        <v>1443</v>
      </c>
      <c r="O18" s="427"/>
      <c r="P18" s="443" t="s">
        <v>1359</v>
      </c>
      <c r="Q18" s="427"/>
      <c r="R18" s="434"/>
      <c r="S18" s="934"/>
      <c r="T18" s="944"/>
      <c r="U18" s="944"/>
      <c r="V18" s="934"/>
      <c r="W18" s="934"/>
      <c r="X18" s="434"/>
      <c r="Y18" s="427"/>
    </row>
    <row r="19" spans="4:25" s="232" customFormat="1" ht="12" thickBot="1">
      <c r="D19" s="945" t="str">
        <f>WACC!C38</f>
        <v>Comp 10</v>
      </c>
      <c r="E19" s="892">
        <f>'GPC Data'!P31</f>
        <v>0</v>
      </c>
      <c r="F19" s="946">
        <f>'GPC Data'!R167</f>
        <v>0</v>
      </c>
      <c r="G19" s="946">
        <f>'GPC Data'!S167</f>
        <v>0</v>
      </c>
      <c r="H19" s="946">
        <f>'GPC Data'!T167</f>
        <v>0</v>
      </c>
      <c r="I19" s="946">
        <f>'GPC Data'!U167</f>
        <v>0</v>
      </c>
      <c r="J19" s="946">
        <f>'GPC Data'!V167</f>
        <v>0</v>
      </c>
      <c r="K19" s="947">
        <f>'GPC Data'!W167</f>
        <v>0</v>
      </c>
      <c r="L19" s="947">
        <f>'GPC Data'!X167</f>
        <v>0</v>
      </c>
      <c r="M19" s="947">
        <f>'GPC Data'!Y167</f>
        <v>0</v>
      </c>
      <c r="N19" s="427" t="s">
        <v>1443</v>
      </c>
      <c r="O19" s="427"/>
      <c r="P19" s="443" t="s">
        <v>1359</v>
      </c>
      <c r="Q19" s="427"/>
      <c r="R19" s="434"/>
      <c r="S19" s="934"/>
      <c r="T19" s="944"/>
      <c r="U19" s="944"/>
      <c r="V19" s="934"/>
      <c r="W19" s="934"/>
      <c r="X19" s="434"/>
      <c r="Y19" s="427"/>
    </row>
    <row r="20" spans="4:25" s="232" customFormat="1" ht="12" hidden="1" outlineLevel="1" thickBot="1">
      <c r="D20" s="945" t="str">
        <f>WACC!C39</f>
        <v>Comp 11</v>
      </c>
      <c r="E20" s="892">
        <f>'GPC Data'!P32</f>
        <v>0</v>
      </c>
      <c r="F20" s="946">
        <f>'GPC Data'!R168</f>
        <v>0</v>
      </c>
      <c r="G20" s="946">
        <f>'GPC Data'!S168</f>
        <v>0</v>
      </c>
      <c r="H20" s="946">
        <f>'GPC Data'!T168</f>
        <v>0</v>
      </c>
      <c r="I20" s="946">
        <f>'GPC Data'!U168</f>
        <v>0</v>
      </c>
      <c r="J20" s="946">
        <f>'GPC Data'!V168</f>
        <v>0</v>
      </c>
      <c r="K20" s="947">
        <f>'GPC Data'!W168</f>
        <v>0</v>
      </c>
      <c r="L20" s="947">
        <f>'GPC Data'!X168</f>
        <v>0</v>
      </c>
      <c r="M20" s="947">
        <f>'GPC Data'!Y168</f>
        <v>0</v>
      </c>
      <c r="N20" s="427" t="s">
        <v>1443</v>
      </c>
      <c r="O20" s="427"/>
      <c r="P20" s="443" t="s">
        <v>106</v>
      </c>
      <c r="Q20" s="427"/>
      <c r="R20" s="434"/>
      <c r="S20" s="934"/>
      <c r="T20" s="944"/>
      <c r="U20" s="944"/>
      <c r="V20" s="934"/>
      <c r="W20" s="934"/>
      <c r="X20" s="434"/>
      <c r="Y20" s="427"/>
    </row>
    <row r="21" spans="4:25" s="232" customFormat="1" ht="12" hidden="1" outlineLevel="1" thickBot="1">
      <c r="D21" s="945" t="str">
        <f>WACC!C40</f>
        <v>Comp 12</v>
      </c>
      <c r="E21" s="892">
        <f>'GPC Data'!P33</f>
        <v>0</v>
      </c>
      <c r="F21" s="946">
        <f>'GPC Data'!R169</f>
        <v>0</v>
      </c>
      <c r="G21" s="946">
        <f>'GPC Data'!S169</f>
        <v>0</v>
      </c>
      <c r="H21" s="946">
        <f>'GPC Data'!T169</f>
        <v>0</v>
      </c>
      <c r="I21" s="946">
        <f>'GPC Data'!U169</f>
        <v>0</v>
      </c>
      <c r="J21" s="946">
        <f>'GPC Data'!V169</f>
        <v>0</v>
      </c>
      <c r="K21" s="947">
        <f>'GPC Data'!W169</f>
        <v>0</v>
      </c>
      <c r="L21" s="947">
        <f>'GPC Data'!X169</f>
        <v>0</v>
      </c>
      <c r="M21" s="947">
        <f>'GPC Data'!Y169</f>
        <v>0</v>
      </c>
      <c r="N21" s="427" t="s">
        <v>1443</v>
      </c>
      <c r="O21" s="427"/>
      <c r="P21" s="443" t="s">
        <v>106</v>
      </c>
      <c r="Q21" s="427"/>
      <c r="R21" s="434"/>
      <c r="S21" s="934"/>
      <c r="T21" s="944"/>
      <c r="U21" s="944"/>
      <c r="V21" s="934"/>
      <c r="W21" s="934"/>
      <c r="X21" s="434"/>
      <c r="Y21" s="427"/>
    </row>
    <row r="22" spans="4:25" s="232" customFormat="1" ht="12" hidden="1" outlineLevel="1" thickBot="1">
      <c r="D22" s="945" t="str">
        <f>WACC!C41</f>
        <v>Comp 13</v>
      </c>
      <c r="E22" s="892">
        <f>'GPC Data'!P34</f>
        <v>0</v>
      </c>
      <c r="F22" s="946">
        <f>'GPC Data'!R170</f>
        <v>0</v>
      </c>
      <c r="G22" s="946">
        <f>'GPC Data'!S170</f>
        <v>0</v>
      </c>
      <c r="H22" s="946">
        <f>'GPC Data'!T170</f>
        <v>0</v>
      </c>
      <c r="I22" s="946">
        <f>'GPC Data'!U170</f>
        <v>0</v>
      </c>
      <c r="J22" s="946">
        <f>'GPC Data'!V170</f>
        <v>0</v>
      </c>
      <c r="K22" s="947">
        <f>'GPC Data'!W170</f>
        <v>0</v>
      </c>
      <c r="L22" s="947">
        <f>'GPC Data'!X170</f>
        <v>0</v>
      </c>
      <c r="M22" s="947">
        <f>'GPC Data'!Y170</f>
        <v>0</v>
      </c>
      <c r="N22" s="427" t="s">
        <v>1443</v>
      </c>
      <c r="O22" s="427"/>
      <c r="P22" s="443" t="s">
        <v>106</v>
      </c>
      <c r="Q22" s="427"/>
      <c r="R22" s="434"/>
      <c r="S22" s="934"/>
      <c r="T22" s="944"/>
      <c r="U22" s="944"/>
      <c r="V22" s="934"/>
      <c r="W22" s="934"/>
      <c r="X22" s="434"/>
      <c r="Y22" s="427"/>
    </row>
    <row r="23" spans="4:25" s="232" customFormat="1" ht="12" hidden="1" outlineLevel="1" thickBot="1">
      <c r="D23" s="945" t="str">
        <f>WACC!C42</f>
        <v>Comp 14</v>
      </c>
      <c r="E23" s="892">
        <f>'GPC Data'!P35</f>
        <v>0</v>
      </c>
      <c r="F23" s="946">
        <f>'GPC Data'!R171</f>
        <v>0</v>
      </c>
      <c r="G23" s="946">
        <f>'GPC Data'!S171</f>
        <v>0</v>
      </c>
      <c r="H23" s="946">
        <f>'GPC Data'!T171</f>
        <v>0</v>
      </c>
      <c r="I23" s="946">
        <f>'GPC Data'!U171</f>
        <v>0</v>
      </c>
      <c r="J23" s="946">
        <f>'GPC Data'!V171</f>
        <v>0</v>
      </c>
      <c r="K23" s="947">
        <f>'GPC Data'!W171</f>
        <v>0</v>
      </c>
      <c r="L23" s="947">
        <f>'GPC Data'!X171</f>
        <v>0</v>
      </c>
      <c r="M23" s="947">
        <f>'GPC Data'!Y171</f>
        <v>0</v>
      </c>
      <c r="N23" s="427" t="s">
        <v>1443</v>
      </c>
      <c r="O23" s="427"/>
      <c r="P23" s="443" t="s">
        <v>106</v>
      </c>
      <c r="Q23" s="427"/>
      <c r="R23" s="434"/>
      <c r="S23" s="934"/>
      <c r="T23" s="944"/>
      <c r="U23" s="944"/>
      <c r="V23" s="934"/>
      <c r="W23" s="934"/>
      <c r="X23" s="434"/>
      <c r="Y23" s="427"/>
    </row>
    <row r="24" spans="4:25" s="232" customFormat="1" ht="12" hidden="1" outlineLevel="1" thickBot="1">
      <c r="D24" s="945" t="str">
        <f>WACC!C43</f>
        <v>Comp 15</v>
      </c>
      <c r="E24" s="892">
        <f>'GPC Data'!P36</f>
        <v>0</v>
      </c>
      <c r="F24" s="946">
        <f>'GPC Data'!R172</f>
        <v>0</v>
      </c>
      <c r="G24" s="946">
        <f>'GPC Data'!S172</f>
        <v>0</v>
      </c>
      <c r="H24" s="946">
        <f>'GPC Data'!T172</f>
        <v>0</v>
      </c>
      <c r="I24" s="946">
        <f>'GPC Data'!U172</f>
        <v>0</v>
      </c>
      <c r="J24" s="946">
        <f>'GPC Data'!V172</f>
        <v>0</v>
      </c>
      <c r="K24" s="947">
        <f>'GPC Data'!W172</f>
        <v>0</v>
      </c>
      <c r="L24" s="947">
        <f>'GPC Data'!X172</f>
        <v>0</v>
      </c>
      <c r="M24" s="947">
        <f>'GPC Data'!Y172</f>
        <v>0</v>
      </c>
      <c r="N24" s="427" t="s">
        <v>1443</v>
      </c>
      <c r="O24" s="427"/>
      <c r="P24" s="443" t="s">
        <v>106</v>
      </c>
      <c r="Q24" s="427"/>
      <c r="R24" s="434"/>
      <c r="S24" s="934"/>
      <c r="T24" s="944"/>
      <c r="U24" s="944"/>
      <c r="V24" s="934"/>
      <c r="W24" s="934"/>
      <c r="X24" s="434"/>
      <c r="Y24" s="427"/>
    </row>
    <row r="25" spans="4:25" s="232" customFormat="1" ht="12" hidden="1" outlineLevel="1" thickBot="1">
      <c r="D25" s="945" t="str">
        <f>WACC!C44</f>
        <v>Comp 16</v>
      </c>
      <c r="E25" s="892">
        <f>'GPC Data'!P37</f>
        <v>0</v>
      </c>
      <c r="F25" s="946">
        <f>'GPC Data'!R173</f>
        <v>0</v>
      </c>
      <c r="G25" s="946">
        <f>'GPC Data'!S173</f>
        <v>0</v>
      </c>
      <c r="H25" s="946">
        <f>'GPC Data'!T173</f>
        <v>0</v>
      </c>
      <c r="I25" s="946">
        <f>'GPC Data'!U173</f>
        <v>0</v>
      </c>
      <c r="J25" s="946">
        <f>'GPC Data'!V173</f>
        <v>0</v>
      </c>
      <c r="K25" s="947">
        <f>'GPC Data'!W173</f>
        <v>0</v>
      </c>
      <c r="L25" s="947">
        <f>'GPC Data'!X173</f>
        <v>0</v>
      </c>
      <c r="M25" s="947">
        <f>'GPC Data'!Y173</f>
        <v>0</v>
      </c>
      <c r="N25" s="427" t="s">
        <v>1443</v>
      </c>
      <c r="O25" s="427"/>
      <c r="P25" s="443" t="s">
        <v>106</v>
      </c>
      <c r="Q25" s="427"/>
      <c r="R25" s="434"/>
      <c r="S25" s="934"/>
      <c r="T25" s="944"/>
      <c r="U25" s="944"/>
      <c r="V25" s="934"/>
      <c r="W25" s="934"/>
      <c r="X25" s="434"/>
      <c r="Y25" s="427"/>
    </row>
    <row r="26" spans="4:25" s="232" customFormat="1" ht="12" hidden="1" outlineLevel="1" thickBot="1">
      <c r="D26" s="945" t="str">
        <f>WACC!C45</f>
        <v>Comp 17</v>
      </c>
      <c r="E26" s="892">
        <f>'GPC Data'!P38</f>
        <v>0</v>
      </c>
      <c r="F26" s="946">
        <f>'GPC Data'!R174</f>
        <v>0</v>
      </c>
      <c r="G26" s="946">
        <f>'GPC Data'!S174</f>
        <v>0</v>
      </c>
      <c r="H26" s="946">
        <f>'GPC Data'!T174</f>
        <v>0</v>
      </c>
      <c r="I26" s="946">
        <f>'GPC Data'!U174</f>
        <v>0</v>
      </c>
      <c r="J26" s="946">
        <f>'GPC Data'!V174</f>
        <v>0</v>
      </c>
      <c r="K26" s="947">
        <f>'GPC Data'!W174</f>
        <v>0</v>
      </c>
      <c r="L26" s="947">
        <f>'GPC Data'!X174</f>
        <v>0</v>
      </c>
      <c r="M26" s="947">
        <f>'GPC Data'!Y174</f>
        <v>0</v>
      </c>
      <c r="N26" s="427" t="s">
        <v>1443</v>
      </c>
      <c r="O26" s="427"/>
      <c r="P26" s="443" t="s">
        <v>106</v>
      </c>
      <c r="Q26" s="427"/>
      <c r="R26" s="434"/>
      <c r="S26" s="934"/>
      <c r="T26" s="944"/>
      <c r="U26" s="944"/>
      <c r="V26" s="934"/>
      <c r="W26" s="934"/>
      <c r="X26" s="434"/>
      <c r="Y26" s="427"/>
    </row>
    <row r="27" spans="4:25" s="232" customFormat="1" ht="12" hidden="1" outlineLevel="1" thickBot="1">
      <c r="D27" s="945" t="str">
        <f>WACC!C46</f>
        <v>Comp 18</v>
      </c>
      <c r="E27" s="892">
        <f>'GPC Data'!P39</f>
        <v>0</v>
      </c>
      <c r="F27" s="946">
        <f>'GPC Data'!R175</f>
        <v>0</v>
      </c>
      <c r="G27" s="946">
        <f>'GPC Data'!S175</f>
        <v>0</v>
      </c>
      <c r="H27" s="946">
        <f>'GPC Data'!T175</f>
        <v>0</v>
      </c>
      <c r="I27" s="946">
        <f>'GPC Data'!U175</f>
        <v>0</v>
      </c>
      <c r="J27" s="946">
        <f>'GPC Data'!V175</f>
        <v>0</v>
      </c>
      <c r="K27" s="947">
        <f>'GPC Data'!W175</f>
        <v>0</v>
      </c>
      <c r="L27" s="947">
        <f>'GPC Data'!X175</f>
        <v>0</v>
      </c>
      <c r="M27" s="947">
        <f>'GPC Data'!Y175</f>
        <v>0</v>
      </c>
      <c r="N27" s="427" t="s">
        <v>1443</v>
      </c>
      <c r="O27" s="427"/>
      <c r="P27" s="443" t="s">
        <v>106</v>
      </c>
      <c r="Q27" s="427"/>
      <c r="R27" s="434"/>
      <c r="S27" s="934"/>
      <c r="T27" s="944"/>
      <c r="U27" s="944"/>
      <c r="V27" s="934"/>
      <c r="W27" s="934"/>
      <c r="X27" s="434"/>
      <c r="Y27" s="427"/>
    </row>
    <row r="28" spans="4:25" s="232" customFormat="1" ht="12" hidden="1" outlineLevel="1" thickBot="1">
      <c r="D28" s="945" t="str">
        <f>WACC!C47</f>
        <v>Comp 19</v>
      </c>
      <c r="E28" s="892">
        <f>'GPC Data'!P40</f>
        <v>0</v>
      </c>
      <c r="F28" s="946">
        <f>'GPC Data'!R176</f>
        <v>0</v>
      </c>
      <c r="G28" s="946">
        <f>'GPC Data'!S176</f>
        <v>0</v>
      </c>
      <c r="H28" s="946">
        <f>'GPC Data'!T176</f>
        <v>0</v>
      </c>
      <c r="I28" s="946">
        <f>'GPC Data'!U176</f>
        <v>0</v>
      </c>
      <c r="J28" s="946">
        <f>'GPC Data'!V176</f>
        <v>0</v>
      </c>
      <c r="K28" s="947">
        <f>'GPC Data'!W176</f>
        <v>0</v>
      </c>
      <c r="L28" s="947">
        <f>'GPC Data'!X176</f>
        <v>0</v>
      </c>
      <c r="M28" s="947">
        <f>'GPC Data'!Y176</f>
        <v>0</v>
      </c>
      <c r="N28" s="427" t="s">
        <v>1443</v>
      </c>
      <c r="O28" s="427"/>
      <c r="P28" s="443" t="s">
        <v>106</v>
      </c>
      <c r="Q28" s="427"/>
      <c r="R28" s="434"/>
      <c r="S28" s="934"/>
      <c r="T28" s="944"/>
      <c r="U28" s="944"/>
      <c r="V28" s="934"/>
      <c r="W28" s="934"/>
      <c r="X28" s="434"/>
      <c r="Y28" s="427"/>
    </row>
    <row r="29" spans="4:25" s="232" customFormat="1" ht="12" hidden="1" outlineLevel="1" thickBot="1">
      <c r="D29" s="945" t="str">
        <f>WACC!C48</f>
        <v>Comp 20</v>
      </c>
      <c r="E29" s="892">
        <f>'GPC Data'!P41</f>
        <v>0</v>
      </c>
      <c r="F29" s="946">
        <f>'GPC Data'!R177</f>
        <v>0</v>
      </c>
      <c r="G29" s="946">
        <f>'GPC Data'!S177</f>
        <v>0</v>
      </c>
      <c r="H29" s="946">
        <f>'GPC Data'!T177</f>
        <v>0</v>
      </c>
      <c r="I29" s="946">
        <f>'GPC Data'!U177</f>
        <v>0</v>
      </c>
      <c r="J29" s="946">
        <f>'GPC Data'!V177</f>
        <v>0</v>
      </c>
      <c r="K29" s="947">
        <f>'GPC Data'!W177</f>
        <v>0</v>
      </c>
      <c r="L29" s="947">
        <f>'GPC Data'!X177</f>
        <v>0</v>
      </c>
      <c r="M29" s="947">
        <f>'GPC Data'!Y177</f>
        <v>0</v>
      </c>
      <c r="N29" s="427" t="s">
        <v>1443</v>
      </c>
      <c r="O29" s="427"/>
      <c r="P29" s="443" t="s">
        <v>106</v>
      </c>
      <c r="Q29" s="427"/>
      <c r="R29" s="434"/>
      <c r="S29" s="934"/>
      <c r="T29" s="944"/>
      <c r="U29" s="944"/>
      <c r="V29" s="934"/>
      <c r="W29" s="934"/>
      <c r="X29" s="434"/>
      <c r="Y29" s="427"/>
    </row>
    <row r="30" spans="4:25" s="232" customFormat="1" ht="12" hidden="1" outlineLevel="1" thickBot="1">
      <c r="D30" s="945" t="str">
        <f>WACC!C49</f>
        <v>Comp 21</v>
      </c>
      <c r="E30" s="892">
        <f>'GPC Data'!P42</f>
        <v>0</v>
      </c>
      <c r="F30" s="946">
        <f>'GPC Data'!R178</f>
        <v>0</v>
      </c>
      <c r="G30" s="946">
        <f>'GPC Data'!S178</f>
        <v>0</v>
      </c>
      <c r="H30" s="946">
        <f>'GPC Data'!T178</f>
        <v>0</v>
      </c>
      <c r="I30" s="946">
        <f>'GPC Data'!U178</f>
        <v>0</v>
      </c>
      <c r="J30" s="946">
        <f>'GPC Data'!V178</f>
        <v>0</v>
      </c>
      <c r="K30" s="947">
        <f>'GPC Data'!W178</f>
        <v>0</v>
      </c>
      <c r="L30" s="947">
        <f>'GPC Data'!X178</f>
        <v>0</v>
      </c>
      <c r="M30" s="947">
        <f>'GPC Data'!Y178</f>
        <v>0</v>
      </c>
      <c r="N30" s="427" t="s">
        <v>1443</v>
      </c>
      <c r="O30" s="427"/>
      <c r="P30" s="443" t="s">
        <v>106</v>
      </c>
      <c r="Q30" s="427"/>
      <c r="R30" s="434"/>
      <c r="S30" s="934"/>
      <c r="T30" s="944"/>
      <c r="U30" s="944"/>
      <c r="V30" s="934"/>
      <c r="W30" s="934"/>
      <c r="X30" s="434"/>
      <c r="Y30" s="427"/>
    </row>
    <row r="31" spans="4:25" s="232" customFormat="1" ht="12" hidden="1" outlineLevel="1" thickBot="1">
      <c r="D31" s="945" t="str">
        <f>WACC!C50</f>
        <v>Comp 22</v>
      </c>
      <c r="E31" s="892">
        <f>'GPC Data'!P43</f>
        <v>0</v>
      </c>
      <c r="F31" s="946">
        <f>'GPC Data'!R179</f>
        <v>0</v>
      </c>
      <c r="G31" s="946">
        <f>'GPC Data'!S179</f>
        <v>0</v>
      </c>
      <c r="H31" s="946">
        <f>'GPC Data'!T179</f>
        <v>0</v>
      </c>
      <c r="I31" s="946">
        <f>'GPC Data'!U179</f>
        <v>0</v>
      </c>
      <c r="J31" s="946">
        <f>'GPC Data'!V179</f>
        <v>0</v>
      </c>
      <c r="K31" s="947">
        <f>'GPC Data'!W179</f>
        <v>0</v>
      </c>
      <c r="L31" s="947">
        <f>'GPC Data'!X179</f>
        <v>0</v>
      </c>
      <c r="M31" s="947">
        <f>'GPC Data'!Y179</f>
        <v>0</v>
      </c>
      <c r="N31" s="427" t="s">
        <v>1443</v>
      </c>
      <c r="O31" s="427"/>
      <c r="P31" s="443" t="s">
        <v>106</v>
      </c>
      <c r="Q31" s="427"/>
      <c r="R31" s="434"/>
      <c r="S31" s="934"/>
      <c r="T31" s="944"/>
      <c r="U31" s="944"/>
      <c r="V31" s="934"/>
      <c r="W31" s="934"/>
      <c r="X31" s="434"/>
      <c r="Y31" s="427"/>
    </row>
    <row r="32" spans="4:25" s="232" customFormat="1" ht="12" hidden="1" outlineLevel="1" thickBot="1">
      <c r="D32" s="945" t="str">
        <f>WACC!C51</f>
        <v>Comp 23</v>
      </c>
      <c r="E32" s="892">
        <f>'GPC Data'!P44</f>
        <v>0</v>
      </c>
      <c r="F32" s="946">
        <f>'GPC Data'!R180</f>
        <v>0</v>
      </c>
      <c r="G32" s="946">
        <f>'GPC Data'!S180</f>
        <v>0</v>
      </c>
      <c r="H32" s="946">
        <f>'GPC Data'!T180</f>
        <v>0</v>
      </c>
      <c r="I32" s="946">
        <f>'GPC Data'!U180</f>
        <v>0</v>
      </c>
      <c r="J32" s="946">
        <f>'GPC Data'!V180</f>
        <v>0</v>
      </c>
      <c r="K32" s="947">
        <f>'GPC Data'!W180</f>
        <v>0</v>
      </c>
      <c r="L32" s="947">
        <f>'GPC Data'!X180</f>
        <v>0</v>
      </c>
      <c r="M32" s="947">
        <f>'GPC Data'!Y180</f>
        <v>0</v>
      </c>
      <c r="N32" s="427" t="s">
        <v>1443</v>
      </c>
      <c r="O32" s="427"/>
      <c r="P32" s="443" t="s">
        <v>106</v>
      </c>
      <c r="Q32" s="427"/>
      <c r="R32" s="434"/>
      <c r="S32" s="934"/>
      <c r="T32" s="944"/>
      <c r="U32" s="944"/>
      <c r="V32" s="934"/>
      <c r="W32" s="934"/>
      <c r="X32" s="434"/>
      <c r="Y32" s="427"/>
    </row>
    <row r="33" spans="2:37" s="232" customFormat="1" ht="12" hidden="1" outlineLevel="1" thickBot="1">
      <c r="D33" s="945" t="str">
        <f>WACC!C52</f>
        <v>Comp 24</v>
      </c>
      <c r="E33" s="892">
        <f>'GPC Data'!P45</f>
        <v>0</v>
      </c>
      <c r="F33" s="946">
        <f>'GPC Data'!R181</f>
        <v>0</v>
      </c>
      <c r="G33" s="946">
        <f>'GPC Data'!S181</f>
        <v>0</v>
      </c>
      <c r="H33" s="946">
        <f>'GPC Data'!T181</f>
        <v>0</v>
      </c>
      <c r="I33" s="946">
        <f>'GPC Data'!U181</f>
        <v>0</v>
      </c>
      <c r="J33" s="946">
        <f>'GPC Data'!V181</f>
        <v>0</v>
      </c>
      <c r="K33" s="947">
        <f>'GPC Data'!W181</f>
        <v>0</v>
      </c>
      <c r="L33" s="947">
        <f>'GPC Data'!X181</f>
        <v>0</v>
      </c>
      <c r="M33" s="947">
        <f>'GPC Data'!Y181</f>
        <v>0</v>
      </c>
      <c r="N33" s="427" t="s">
        <v>1443</v>
      </c>
      <c r="O33" s="427"/>
      <c r="P33" s="443" t="s">
        <v>106</v>
      </c>
      <c r="Q33" s="427"/>
      <c r="R33" s="434"/>
      <c r="S33" s="934"/>
      <c r="T33" s="944"/>
      <c r="U33" s="944"/>
      <c r="V33" s="934"/>
      <c r="W33" s="934"/>
      <c r="X33" s="434"/>
      <c r="Y33" s="427"/>
    </row>
    <row r="34" spans="2:37" s="232" customFormat="1" ht="12" hidden="1" outlineLevel="1" thickBot="1">
      <c r="D34" s="945" t="str">
        <f>WACC!C53</f>
        <v>Comp 25</v>
      </c>
      <c r="E34" s="892">
        <f>'GPC Data'!P46</f>
        <v>0</v>
      </c>
      <c r="F34" s="946">
        <f>'GPC Data'!R182</f>
        <v>0</v>
      </c>
      <c r="G34" s="946">
        <f>'GPC Data'!S182</f>
        <v>0</v>
      </c>
      <c r="H34" s="946">
        <f>'GPC Data'!T182</f>
        <v>0</v>
      </c>
      <c r="I34" s="946">
        <f>'GPC Data'!U182</f>
        <v>0</v>
      </c>
      <c r="J34" s="946">
        <f>'GPC Data'!V182</f>
        <v>0</v>
      </c>
      <c r="K34" s="947">
        <f>'GPC Data'!W182</f>
        <v>0</v>
      </c>
      <c r="L34" s="947">
        <f>'GPC Data'!X182</f>
        <v>0</v>
      </c>
      <c r="M34" s="947">
        <f>'GPC Data'!Y182</f>
        <v>0</v>
      </c>
      <c r="N34" s="427" t="s">
        <v>1443</v>
      </c>
      <c r="O34" s="427"/>
      <c r="P34" s="443" t="s">
        <v>106</v>
      </c>
      <c r="Q34" s="427"/>
      <c r="R34" s="434"/>
      <c r="S34" s="934"/>
      <c r="T34" s="944"/>
      <c r="U34" s="944"/>
      <c r="V34" s="934"/>
      <c r="W34" s="934"/>
      <c r="X34" s="434"/>
      <c r="Y34" s="427"/>
    </row>
    <row r="35" spans="2:37" s="232" customFormat="1" ht="12" hidden="1" outlineLevel="1" thickBot="1">
      <c r="D35" s="945" t="str">
        <f>WACC!C54</f>
        <v>Comp 26</v>
      </c>
      <c r="E35" s="892">
        <f>'GPC Data'!P47</f>
        <v>0</v>
      </c>
      <c r="F35" s="946">
        <f>'GPC Data'!R183</f>
        <v>0</v>
      </c>
      <c r="G35" s="946">
        <f>'GPC Data'!S183</f>
        <v>0</v>
      </c>
      <c r="H35" s="946">
        <f>'GPC Data'!T183</f>
        <v>0</v>
      </c>
      <c r="I35" s="946">
        <f>'GPC Data'!U183</f>
        <v>0</v>
      </c>
      <c r="J35" s="946">
        <f>'GPC Data'!V183</f>
        <v>0</v>
      </c>
      <c r="K35" s="947">
        <f>'GPC Data'!W183</f>
        <v>0</v>
      </c>
      <c r="L35" s="947">
        <f>'GPC Data'!X183</f>
        <v>0</v>
      </c>
      <c r="M35" s="947">
        <f>'GPC Data'!Y183</f>
        <v>0</v>
      </c>
      <c r="N35" s="427" t="s">
        <v>1443</v>
      </c>
      <c r="O35" s="427"/>
      <c r="P35" s="443" t="s">
        <v>106</v>
      </c>
      <c r="Q35" s="427"/>
      <c r="R35" s="434"/>
      <c r="S35" s="934"/>
      <c r="T35" s="944"/>
      <c r="U35" s="944"/>
      <c r="V35" s="934"/>
      <c r="W35" s="934"/>
      <c r="X35" s="434"/>
      <c r="Y35" s="427"/>
    </row>
    <row r="36" spans="2:37" s="232" customFormat="1" ht="12" hidden="1" outlineLevel="1" thickBot="1">
      <c r="D36" s="945" t="str">
        <f>WACC!C55</f>
        <v>Comp 27</v>
      </c>
      <c r="E36" s="892">
        <f>'GPC Data'!P48</f>
        <v>0</v>
      </c>
      <c r="F36" s="946">
        <f>'GPC Data'!R184</f>
        <v>0</v>
      </c>
      <c r="G36" s="946">
        <f>'GPC Data'!S184</f>
        <v>0</v>
      </c>
      <c r="H36" s="946">
        <f>'GPC Data'!T184</f>
        <v>0</v>
      </c>
      <c r="I36" s="946">
        <f>'GPC Data'!U184</f>
        <v>0</v>
      </c>
      <c r="J36" s="946">
        <f>'GPC Data'!V184</f>
        <v>0</v>
      </c>
      <c r="K36" s="947">
        <f>'GPC Data'!W184</f>
        <v>0</v>
      </c>
      <c r="L36" s="947">
        <f>'GPC Data'!X184</f>
        <v>0</v>
      </c>
      <c r="M36" s="947">
        <f>'GPC Data'!Y184</f>
        <v>0</v>
      </c>
      <c r="N36" s="427" t="s">
        <v>1443</v>
      </c>
      <c r="O36" s="427"/>
      <c r="P36" s="443" t="s">
        <v>106</v>
      </c>
      <c r="Q36" s="427"/>
      <c r="R36" s="434"/>
      <c r="S36" s="934"/>
      <c r="T36" s="944"/>
      <c r="U36" s="944"/>
      <c r="V36" s="934"/>
      <c r="W36" s="934"/>
      <c r="X36" s="434"/>
      <c r="Y36" s="427"/>
    </row>
    <row r="37" spans="2:37" s="232" customFormat="1" ht="12" hidden="1" outlineLevel="1" thickBot="1">
      <c r="D37" s="945" t="str">
        <f>WACC!C56</f>
        <v>Comp 28</v>
      </c>
      <c r="E37" s="892">
        <f>'GPC Data'!P49</f>
        <v>0</v>
      </c>
      <c r="F37" s="946">
        <f>'GPC Data'!R185</f>
        <v>0</v>
      </c>
      <c r="G37" s="946">
        <f>'GPC Data'!S185</f>
        <v>0</v>
      </c>
      <c r="H37" s="946">
        <f>'GPC Data'!T185</f>
        <v>0</v>
      </c>
      <c r="I37" s="946">
        <f>'GPC Data'!U185</f>
        <v>0</v>
      </c>
      <c r="J37" s="946">
        <f>'GPC Data'!V185</f>
        <v>0</v>
      </c>
      <c r="K37" s="947">
        <f>'GPC Data'!W185</f>
        <v>0</v>
      </c>
      <c r="L37" s="947">
        <f>'GPC Data'!X185</f>
        <v>0</v>
      </c>
      <c r="M37" s="947">
        <f>'GPC Data'!Y185</f>
        <v>0</v>
      </c>
      <c r="N37" s="427" t="s">
        <v>1443</v>
      </c>
      <c r="O37" s="427"/>
      <c r="P37" s="443" t="s">
        <v>106</v>
      </c>
      <c r="Q37" s="427"/>
      <c r="R37" s="434"/>
      <c r="S37" s="934"/>
      <c r="T37" s="944"/>
      <c r="U37" s="944"/>
      <c r="V37" s="934"/>
      <c r="W37" s="934"/>
      <c r="X37" s="434"/>
      <c r="Y37" s="427"/>
    </row>
    <row r="38" spans="2:37" s="232" customFormat="1" ht="12" hidden="1" outlineLevel="1" thickBot="1">
      <c r="D38" s="945" t="str">
        <f>WACC!C57</f>
        <v>Comp 29</v>
      </c>
      <c r="E38" s="892">
        <f>'GPC Data'!P50</f>
        <v>0</v>
      </c>
      <c r="F38" s="946">
        <f>'GPC Data'!R186</f>
        <v>0</v>
      </c>
      <c r="G38" s="946">
        <f>'GPC Data'!S186</f>
        <v>0</v>
      </c>
      <c r="H38" s="946">
        <f>'GPC Data'!T186</f>
        <v>0</v>
      </c>
      <c r="I38" s="946">
        <f>'GPC Data'!U186</f>
        <v>0</v>
      </c>
      <c r="J38" s="946">
        <f>'GPC Data'!V186</f>
        <v>0</v>
      </c>
      <c r="K38" s="947">
        <f>'GPC Data'!W186</f>
        <v>0</v>
      </c>
      <c r="L38" s="947">
        <f>'GPC Data'!X186</f>
        <v>0</v>
      </c>
      <c r="M38" s="947">
        <f>'GPC Data'!Y186</f>
        <v>0</v>
      </c>
      <c r="N38" s="427" t="s">
        <v>1443</v>
      </c>
      <c r="O38" s="427"/>
      <c r="P38" s="443" t="s">
        <v>106</v>
      </c>
      <c r="Q38" s="427"/>
      <c r="R38" s="434"/>
      <c r="S38" s="934"/>
      <c r="T38" s="944"/>
      <c r="U38" s="944"/>
      <c r="V38" s="934"/>
      <c r="W38" s="934"/>
      <c r="X38" s="434"/>
      <c r="Y38" s="427"/>
    </row>
    <row r="39" spans="2:37" s="232" customFormat="1" ht="12" hidden="1" outlineLevel="1" thickBot="1">
      <c r="D39" s="945" t="str">
        <f>WACC!C58</f>
        <v>Comp 30</v>
      </c>
      <c r="E39" s="892">
        <f>'GPC Data'!P51</f>
        <v>0</v>
      </c>
      <c r="F39" s="946">
        <f>'GPC Data'!R187</f>
        <v>0</v>
      </c>
      <c r="G39" s="946">
        <f>'GPC Data'!S187</f>
        <v>0</v>
      </c>
      <c r="H39" s="946">
        <f>'GPC Data'!T187</f>
        <v>0</v>
      </c>
      <c r="I39" s="946">
        <f>'GPC Data'!U187</f>
        <v>0</v>
      </c>
      <c r="J39" s="946">
        <f>'GPC Data'!V187</f>
        <v>0</v>
      </c>
      <c r="K39" s="947">
        <f>'GPC Data'!W187</f>
        <v>0</v>
      </c>
      <c r="L39" s="947">
        <f>'GPC Data'!X187</f>
        <v>0</v>
      </c>
      <c r="M39" s="947">
        <f>'GPC Data'!Y187</f>
        <v>0</v>
      </c>
      <c r="N39" s="427" t="s">
        <v>1443</v>
      </c>
      <c r="O39" s="427"/>
      <c r="P39" s="443" t="s">
        <v>106</v>
      </c>
      <c r="Q39" s="427"/>
      <c r="R39" s="434"/>
      <c r="S39" s="934"/>
      <c r="T39" s="944"/>
      <c r="U39" s="944"/>
      <c r="V39" s="934"/>
      <c r="W39" s="934"/>
      <c r="X39" s="434"/>
      <c r="Y39" s="427"/>
    </row>
    <row r="40" spans="2:37" collapsed="1">
      <c r="B40" s="232"/>
      <c r="D40" s="867"/>
      <c r="E40" s="867"/>
      <c r="F40" s="867"/>
      <c r="G40" s="867"/>
      <c r="H40" s="867"/>
      <c r="I40" s="867"/>
      <c r="J40" s="867"/>
      <c r="K40" s="867"/>
      <c r="L40" s="867"/>
      <c r="M40" s="867"/>
      <c r="N40" s="867"/>
      <c r="O40" s="868"/>
      <c r="P40" s="868"/>
      <c r="Q40" s="867"/>
      <c r="R40" s="948"/>
      <c r="S40" s="948"/>
      <c r="T40" s="251"/>
      <c r="U40" s="948"/>
      <c r="V40" s="948"/>
      <c r="W40" s="948"/>
      <c r="X40" s="948"/>
      <c r="Y40" s="867"/>
    </row>
    <row r="41" spans="2:37">
      <c r="E41" s="912" t="s">
        <v>209</v>
      </c>
      <c r="F41" s="913">
        <f>MAX(F10:F39)</f>
        <v>0</v>
      </c>
      <c r="G41" s="913">
        <f t="shared" ref="G41:M41" si="0">MAX(G10:G39)</f>
        <v>0</v>
      </c>
      <c r="H41" s="913">
        <f t="shared" si="0"/>
        <v>0</v>
      </c>
      <c r="I41" s="913">
        <f t="shared" si="0"/>
        <v>0</v>
      </c>
      <c r="J41" s="913">
        <f t="shared" si="0"/>
        <v>0</v>
      </c>
      <c r="K41" s="913">
        <f t="shared" si="0"/>
        <v>0</v>
      </c>
      <c r="L41" s="913">
        <f t="shared" si="0"/>
        <v>0</v>
      </c>
      <c r="M41" s="913">
        <f t="shared" si="0"/>
        <v>0</v>
      </c>
      <c r="N41" s="867"/>
      <c r="O41" s="868"/>
      <c r="P41" s="868"/>
      <c r="Q41" s="867"/>
      <c r="R41" s="948"/>
      <c r="S41" s="948"/>
      <c r="T41" s="948"/>
      <c r="U41" s="948"/>
      <c r="V41" s="948"/>
      <c r="W41" s="948"/>
      <c r="X41" s="948"/>
      <c r="Y41" s="867"/>
    </row>
    <row r="42" spans="2:37">
      <c r="E42" s="914" t="s">
        <v>1419</v>
      </c>
      <c r="F42" s="915">
        <f>PERCENTILE(F10:F39,0.75)</f>
        <v>0</v>
      </c>
      <c r="G42" s="915">
        <f t="shared" ref="G42:M42" si="1">PERCENTILE(G10:G39,0.75)</f>
        <v>0</v>
      </c>
      <c r="H42" s="915">
        <f t="shared" si="1"/>
        <v>0</v>
      </c>
      <c r="I42" s="915">
        <f t="shared" si="1"/>
        <v>0</v>
      </c>
      <c r="J42" s="915">
        <f t="shared" si="1"/>
        <v>0</v>
      </c>
      <c r="K42" s="915">
        <f t="shared" si="1"/>
        <v>0</v>
      </c>
      <c r="L42" s="915">
        <f t="shared" si="1"/>
        <v>0</v>
      </c>
      <c r="M42" s="915">
        <f t="shared" si="1"/>
        <v>0</v>
      </c>
      <c r="N42" s="867"/>
      <c r="O42" s="868"/>
      <c r="P42" s="868"/>
      <c r="Q42" s="867"/>
      <c r="R42" s="948"/>
      <c r="S42" s="948"/>
      <c r="T42" s="948"/>
      <c r="U42" s="948"/>
      <c r="V42" s="948"/>
      <c r="W42" s="948"/>
      <c r="X42" s="948"/>
      <c r="Y42" s="867"/>
    </row>
    <row r="43" spans="2:37">
      <c r="E43" s="914" t="s">
        <v>1369</v>
      </c>
      <c r="F43" s="915">
        <f>AVERAGE(F10:F39)</f>
        <v>0</v>
      </c>
      <c r="G43" s="915">
        <f t="shared" ref="G43:M43" si="2">AVERAGE(G10:G39)</f>
        <v>0</v>
      </c>
      <c r="H43" s="915">
        <f t="shared" si="2"/>
        <v>0</v>
      </c>
      <c r="I43" s="915">
        <f t="shared" si="2"/>
        <v>0</v>
      </c>
      <c r="J43" s="915">
        <f t="shared" si="2"/>
        <v>0</v>
      </c>
      <c r="K43" s="915">
        <f t="shared" si="2"/>
        <v>0</v>
      </c>
      <c r="L43" s="915">
        <f t="shared" si="2"/>
        <v>0</v>
      </c>
      <c r="M43" s="915">
        <f t="shared" si="2"/>
        <v>0</v>
      </c>
      <c r="N43" s="868" t="s">
        <v>1443</v>
      </c>
      <c r="O43" s="868"/>
      <c r="P43" s="868"/>
      <c r="Q43" s="868"/>
      <c r="R43" s="874"/>
      <c r="S43" s="874"/>
      <c r="T43" s="874"/>
      <c r="U43" s="874"/>
      <c r="V43" s="874"/>
      <c r="W43" s="874"/>
      <c r="X43" s="874"/>
      <c r="Y43" s="868"/>
    </row>
    <row r="44" spans="2:37" ht="13.5">
      <c r="E44" s="879" t="s">
        <v>1370</v>
      </c>
      <c r="F44" s="877">
        <f>MEDIAN(F10:F39)</f>
        <v>0</v>
      </c>
      <c r="G44" s="877">
        <f t="shared" ref="G44:M44" si="3">MEDIAN(G10:G39)</f>
        <v>0</v>
      </c>
      <c r="H44" s="877">
        <f t="shared" si="3"/>
        <v>0</v>
      </c>
      <c r="I44" s="877">
        <f t="shared" si="3"/>
        <v>0</v>
      </c>
      <c r="J44" s="877">
        <f t="shared" si="3"/>
        <v>0</v>
      </c>
      <c r="K44" s="877">
        <f t="shared" si="3"/>
        <v>0</v>
      </c>
      <c r="L44" s="877">
        <f t="shared" si="3"/>
        <v>0</v>
      </c>
      <c r="M44" s="877">
        <f t="shared" si="3"/>
        <v>0</v>
      </c>
      <c r="N44" s="882" t="s">
        <v>1443</v>
      </c>
      <c r="O44" s="868"/>
      <c r="P44" s="868"/>
      <c r="Q44" s="882"/>
      <c r="R44" s="949"/>
      <c r="S44" s="949"/>
      <c r="T44" s="949"/>
      <c r="U44" s="949"/>
      <c r="V44" s="949"/>
      <c r="W44" s="949"/>
      <c r="X44" s="949"/>
      <c r="Y44" s="882"/>
    </row>
    <row r="45" spans="2:37" ht="13.5">
      <c r="E45" s="914" t="s">
        <v>1420</v>
      </c>
      <c r="F45" s="915">
        <f>PERCENTILE(F10:F39,0.25)</f>
        <v>0</v>
      </c>
      <c r="G45" s="915">
        <f t="shared" ref="G45:M45" si="4">PERCENTILE(G10:G39,0.25)</f>
        <v>0</v>
      </c>
      <c r="H45" s="915">
        <f t="shared" si="4"/>
        <v>0</v>
      </c>
      <c r="I45" s="915">
        <f t="shared" si="4"/>
        <v>0</v>
      </c>
      <c r="J45" s="915">
        <f t="shared" si="4"/>
        <v>0</v>
      </c>
      <c r="K45" s="915">
        <f t="shared" si="4"/>
        <v>0</v>
      </c>
      <c r="L45" s="915">
        <f t="shared" si="4"/>
        <v>0</v>
      </c>
      <c r="M45" s="915">
        <f t="shared" si="4"/>
        <v>0</v>
      </c>
      <c r="N45" s="882"/>
      <c r="O45" s="499"/>
      <c r="P45" s="499"/>
      <c r="Q45" s="499"/>
      <c r="R45" s="950"/>
      <c r="S45" s="950"/>
      <c r="T45" s="950"/>
      <c r="U45" s="950"/>
      <c r="V45" s="950"/>
      <c r="W45" s="950"/>
      <c r="X45" s="950"/>
      <c r="Y45" s="499"/>
      <c r="Z45" s="499"/>
      <c r="AA45" s="499"/>
      <c r="AB45" s="499"/>
      <c r="AC45" s="499"/>
      <c r="AD45" s="499"/>
      <c r="AE45" s="499"/>
      <c r="AF45" s="499"/>
      <c r="AG45" s="499"/>
      <c r="AH45" s="499"/>
      <c r="AI45" s="499"/>
      <c r="AJ45" s="499"/>
      <c r="AK45" s="499"/>
    </row>
    <row r="46" spans="2:37">
      <c r="E46" s="916" t="s">
        <v>208</v>
      </c>
      <c r="F46" s="917">
        <f>MIN(F10:F39)</f>
        <v>0</v>
      </c>
      <c r="G46" s="917">
        <f t="shared" ref="G46:M46" si="5">MIN(G10:G39)</f>
        <v>0</v>
      </c>
      <c r="H46" s="917">
        <f t="shared" si="5"/>
        <v>0</v>
      </c>
      <c r="I46" s="917">
        <f t="shared" si="5"/>
        <v>0</v>
      </c>
      <c r="J46" s="917">
        <f t="shared" si="5"/>
        <v>0</v>
      </c>
      <c r="K46" s="917">
        <f t="shared" si="5"/>
        <v>0</v>
      </c>
      <c r="L46" s="917">
        <f t="shared" si="5"/>
        <v>0</v>
      </c>
      <c r="M46" s="917">
        <f t="shared" si="5"/>
        <v>0</v>
      </c>
      <c r="N46" s="886"/>
      <c r="O46" s="499"/>
      <c r="P46" s="499"/>
      <c r="Q46" s="499"/>
      <c r="R46" s="950"/>
      <c r="S46" s="950"/>
      <c r="T46" s="950"/>
      <c r="U46" s="950"/>
      <c r="V46" s="950"/>
      <c r="W46" s="950"/>
      <c r="X46" s="950"/>
      <c r="Y46" s="499"/>
      <c r="Z46" s="499"/>
      <c r="AA46" s="499"/>
      <c r="AB46" s="499"/>
      <c r="AC46" s="499"/>
      <c r="AD46" s="499"/>
      <c r="AE46" s="499"/>
      <c r="AF46" s="499"/>
      <c r="AG46" s="499"/>
      <c r="AH46" s="499"/>
      <c r="AI46" s="499"/>
      <c r="AJ46" s="499"/>
      <c r="AK46" s="499"/>
    </row>
    <row r="47" spans="2:37">
      <c r="E47" s="918"/>
      <c r="F47" s="811"/>
      <c r="G47" s="811"/>
      <c r="H47" s="811"/>
      <c r="I47" s="811"/>
      <c r="J47" s="811"/>
      <c r="K47" s="868"/>
      <c r="L47" s="868"/>
      <c r="N47" s="868"/>
      <c r="O47" s="499"/>
      <c r="P47" s="499"/>
      <c r="Q47" s="499"/>
      <c r="R47" s="950"/>
      <c r="S47" s="950"/>
      <c r="T47" s="950"/>
      <c r="U47" s="950"/>
      <c r="V47" s="950"/>
      <c r="W47" s="950"/>
      <c r="X47" s="950"/>
      <c r="Y47" s="499"/>
      <c r="Z47" s="499"/>
      <c r="AA47" s="499"/>
      <c r="AB47" s="499"/>
      <c r="AC47" s="499"/>
      <c r="AD47" s="499"/>
      <c r="AE47" s="499"/>
      <c r="AF47" s="499"/>
      <c r="AG47" s="499"/>
      <c r="AH47" s="499"/>
      <c r="AI47" s="499"/>
      <c r="AJ47" s="499"/>
      <c r="AK47" s="499"/>
    </row>
    <row r="48" spans="2:37">
      <c r="E48" s="466" t="s">
        <v>1371</v>
      </c>
      <c r="F48" s="811"/>
      <c r="G48" s="811"/>
      <c r="H48" s="811"/>
      <c r="I48" s="811"/>
      <c r="J48" s="811"/>
      <c r="K48" s="868"/>
      <c r="L48" s="868"/>
      <c r="N48" s="868"/>
      <c r="O48" s="499"/>
      <c r="P48" s="499"/>
      <c r="Q48" s="499"/>
      <c r="R48" s="950"/>
      <c r="S48" s="950"/>
      <c r="T48" s="950"/>
      <c r="U48" s="950"/>
      <c r="V48" s="950"/>
      <c r="W48" s="950"/>
      <c r="X48" s="950"/>
      <c r="Y48" s="499"/>
      <c r="Z48" s="499"/>
      <c r="AA48" s="499"/>
      <c r="AB48" s="499"/>
      <c r="AC48" s="499"/>
      <c r="AD48" s="499"/>
      <c r="AE48" s="499"/>
      <c r="AF48" s="499"/>
      <c r="AG48" s="499"/>
      <c r="AH48" s="499"/>
      <c r="AI48" s="499"/>
      <c r="AJ48" s="499"/>
      <c r="AK48" s="499"/>
    </row>
    <row r="49" spans="2:37">
      <c r="E49" s="912" t="s">
        <v>209</v>
      </c>
      <c r="F49" s="913" cm="1">
        <f t="array" ref="F49">IFERROR(MAX(IF($P$10:$P$39="No",F10:F39)),"")</f>
        <v>0</v>
      </c>
      <c r="G49" s="872" cm="1">
        <f t="array" ref="G49">IFERROR(MAX(IF($P$10:$P$39="No",G10:G39)),"")</f>
        <v>0</v>
      </c>
      <c r="H49" s="872" cm="1">
        <f t="array" ref="H49">IFERROR(MAX(IF($P$10:$P$39="No",H10:H39)),"")</f>
        <v>0</v>
      </c>
      <c r="I49" s="872" cm="1">
        <f t="array" ref="I49">IFERROR(MAX(IF($P$10:$P$39="No",I10:I39)),"")</f>
        <v>0</v>
      </c>
      <c r="J49" s="872" cm="1">
        <f t="array" ref="J49">IFERROR(MAX(IF($P$10:$P$39="No",J10:J39)),"")</f>
        <v>0</v>
      </c>
      <c r="K49" s="872" cm="1">
        <f t="array" ref="K49">IFERROR(MAX(IF($P$10:$P$39="No",K10:K39)),"")</f>
        <v>0</v>
      </c>
      <c r="L49" s="872" cm="1">
        <f t="array" ref="L49">IFERROR(MAX(IF($P$10:$P$39="No",L10:L39)),"")</f>
        <v>0</v>
      </c>
      <c r="M49" s="872" cm="1">
        <f t="array" ref="M49">IFERROR(MAX(IF($P$10:$P$39="No",M10:M39)),"")</f>
        <v>0</v>
      </c>
      <c r="N49" s="868"/>
      <c r="O49" s="499"/>
      <c r="P49" s="499"/>
      <c r="Q49" s="499"/>
      <c r="R49" s="950"/>
      <c r="S49" s="950"/>
      <c r="T49" s="950"/>
      <c r="U49" s="950"/>
      <c r="V49" s="950"/>
      <c r="W49" s="950"/>
      <c r="X49" s="950"/>
      <c r="Y49" s="499"/>
      <c r="Z49" s="499"/>
      <c r="AA49" s="499"/>
      <c r="AB49" s="499"/>
      <c r="AC49" s="499"/>
      <c r="AD49" s="499"/>
      <c r="AE49" s="499"/>
      <c r="AF49" s="499"/>
      <c r="AG49" s="499"/>
      <c r="AH49" s="499"/>
      <c r="AI49" s="499"/>
      <c r="AJ49" s="499"/>
      <c r="AK49" s="499"/>
    </row>
    <row r="50" spans="2:37">
      <c r="E50" s="914" t="s">
        <v>1419</v>
      </c>
      <c r="F50" s="915" cm="1">
        <f t="array" ref="F50">PERCENTILE(IF($P$10:$P$39="No",F10:F39),0.74)</f>
        <v>0</v>
      </c>
      <c r="G50" s="811" cm="1">
        <f t="array" ref="G50">PERCENTILE(IF($P$10:$P$39="No",G10:G39),0.74)</f>
        <v>0</v>
      </c>
      <c r="H50" s="811" cm="1">
        <f t="array" ref="H50">PERCENTILE(IF($P$10:$P$39="No",H10:H39),0.74)</f>
        <v>0</v>
      </c>
      <c r="I50" s="811" cm="1">
        <f t="array" ref="I50">PERCENTILE(IF($P$10:$P$39="No",I10:I39),0.74)</f>
        <v>0</v>
      </c>
      <c r="J50" s="811" cm="1">
        <f t="array" ref="J50">PERCENTILE(IF($P$10:$P$39="No",J10:J39),0.74)</f>
        <v>0</v>
      </c>
      <c r="K50" s="811" cm="1">
        <f t="array" ref="K50">PERCENTILE(IF($P$10:$P$39="No",K10:K39),0.74)</f>
        <v>0</v>
      </c>
      <c r="L50" s="811" cm="1">
        <f t="array" ref="L50">PERCENTILE(IF($P$10:$P$39="No",L10:L39),0.74)</f>
        <v>0</v>
      </c>
      <c r="M50" s="811" cm="1">
        <f t="array" ref="M50">PERCENTILE(IF($P$10:$P$39="No",M10:M39),0.74)</f>
        <v>0</v>
      </c>
      <c r="N50" s="868"/>
      <c r="O50" s="499"/>
      <c r="P50" s="499"/>
      <c r="Q50" s="499"/>
      <c r="R50" s="950"/>
      <c r="S50" s="950"/>
      <c r="T50" s="950"/>
      <c r="U50" s="950"/>
      <c r="V50" s="950"/>
      <c r="W50" s="950"/>
      <c r="X50" s="950"/>
      <c r="Y50" s="499"/>
      <c r="Z50" s="499"/>
      <c r="AA50" s="499"/>
      <c r="AB50" s="499"/>
      <c r="AC50" s="499"/>
      <c r="AD50" s="499"/>
      <c r="AE50" s="499"/>
      <c r="AF50" s="499"/>
      <c r="AG50" s="499"/>
      <c r="AH50" s="499"/>
      <c r="AI50" s="499"/>
      <c r="AJ50" s="499"/>
      <c r="AK50" s="499"/>
    </row>
    <row r="51" spans="2:37">
      <c r="E51" s="914" t="s">
        <v>1369</v>
      </c>
      <c r="F51" s="915">
        <f>IFERROR(AVERAGEIF($P$10:$P$39,"No",F10:F39),"")</f>
        <v>0</v>
      </c>
      <c r="G51" s="915">
        <f t="shared" ref="G51:M51" si="6">IFERROR(AVERAGEIF($P$10:$P$39,"No",G10:G39),"")</f>
        <v>0</v>
      </c>
      <c r="H51" s="915">
        <f t="shared" si="6"/>
        <v>0</v>
      </c>
      <c r="I51" s="915">
        <f t="shared" si="6"/>
        <v>0</v>
      </c>
      <c r="J51" s="915">
        <f t="shared" si="6"/>
        <v>0</v>
      </c>
      <c r="K51" s="915">
        <f t="shared" si="6"/>
        <v>0</v>
      </c>
      <c r="L51" s="915">
        <f t="shared" si="6"/>
        <v>0</v>
      </c>
      <c r="M51" s="915">
        <f t="shared" si="6"/>
        <v>0</v>
      </c>
      <c r="N51" s="868"/>
      <c r="O51" s="499"/>
      <c r="P51" s="499"/>
      <c r="Q51" s="499"/>
      <c r="R51" s="950"/>
      <c r="S51" s="950"/>
      <c r="T51" s="950"/>
      <c r="U51" s="950"/>
      <c r="V51" s="950"/>
      <c r="W51" s="950"/>
      <c r="X51" s="950"/>
      <c r="Y51" s="499"/>
      <c r="Z51" s="499"/>
      <c r="AA51" s="499"/>
      <c r="AB51" s="499"/>
      <c r="AC51" s="499"/>
      <c r="AD51" s="499"/>
      <c r="AE51" s="499"/>
      <c r="AF51" s="499"/>
      <c r="AG51" s="499"/>
      <c r="AH51" s="499"/>
      <c r="AI51" s="499"/>
      <c r="AJ51" s="499"/>
      <c r="AK51" s="499"/>
    </row>
    <row r="52" spans="2:37">
      <c r="E52" s="879" t="s">
        <v>1370</v>
      </c>
      <c r="F52" s="877" cm="1">
        <f t="array" ref="F52">IFERROR(MEDIAN(IF($P$10:$P$39="No",F10:F39)),"")</f>
        <v>0</v>
      </c>
      <c r="G52" s="919" cm="1">
        <f t="array" ref="G52">IFERROR(MEDIAN(IF($P$10:$P$39="No",G10:G39)),"")</f>
        <v>0</v>
      </c>
      <c r="H52" s="919" cm="1">
        <f t="array" ref="H52">IFERROR(MEDIAN(IF($P$10:$P$39="No",H10:H39)),"")</f>
        <v>0</v>
      </c>
      <c r="I52" s="919" cm="1">
        <f t="array" ref="I52">IFERROR(MEDIAN(IF($P$10:$P$39="No",I10:I39)),"")</f>
        <v>0</v>
      </c>
      <c r="J52" s="919" cm="1">
        <f t="array" ref="J52">IFERROR(MEDIAN(IF($P$10:$P$39="No",J10:J39)),"")</f>
        <v>0</v>
      </c>
      <c r="K52" s="919" cm="1">
        <f t="array" ref="K52">IFERROR(MEDIAN(IF($P$10:$P$39="No",K10:K39)),"")</f>
        <v>0</v>
      </c>
      <c r="L52" s="919" cm="1">
        <f t="array" ref="L52">IFERROR(MEDIAN(IF($P$10:$P$39="No",L10:L39)),"")</f>
        <v>0</v>
      </c>
      <c r="M52" s="919" cm="1">
        <f t="array" ref="M52">IFERROR(MEDIAN(IF($P$10:$P$39="No",M10:M39)),"")</f>
        <v>0</v>
      </c>
      <c r="N52" s="868"/>
      <c r="O52" s="499"/>
      <c r="P52" s="499"/>
      <c r="Q52" s="499"/>
      <c r="R52" s="499"/>
      <c r="S52" s="499"/>
      <c r="T52" s="499"/>
      <c r="U52" s="499"/>
      <c r="V52" s="499"/>
      <c r="W52" s="499"/>
      <c r="X52" s="499"/>
      <c r="Y52" s="499"/>
      <c r="Z52" s="499"/>
      <c r="AA52" s="499"/>
      <c r="AB52" s="499"/>
      <c r="AC52" s="499"/>
      <c r="AD52" s="499"/>
      <c r="AE52" s="499"/>
      <c r="AF52" s="499"/>
      <c r="AG52" s="499"/>
      <c r="AH52" s="499"/>
      <c r="AI52" s="499"/>
      <c r="AJ52" s="499"/>
      <c r="AK52" s="499"/>
    </row>
    <row r="53" spans="2:37">
      <c r="E53" s="914" t="s">
        <v>1420</v>
      </c>
      <c r="F53" s="915" cm="1">
        <f t="array" ref="F53">PERCENTILE(IF($P$10:$P$39="No",F10:F39),0.25)</f>
        <v>0</v>
      </c>
      <c r="G53" s="811" cm="1">
        <f t="array" ref="G53">PERCENTILE(IF($P$10:$P$39="No",G10:G39),0.25)</f>
        <v>0</v>
      </c>
      <c r="H53" s="811" cm="1">
        <f t="array" ref="H53">PERCENTILE(IF($P$10:$P$39="No",H10:H39),0.25)</f>
        <v>0</v>
      </c>
      <c r="I53" s="811" cm="1">
        <f t="array" ref="I53">PERCENTILE(IF($P$10:$P$39="No",I10:I39),0.25)</f>
        <v>0</v>
      </c>
      <c r="J53" s="811" cm="1">
        <f t="array" ref="J53">PERCENTILE(IF($P$10:$P$39="No",J10:J39),0.25)</f>
        <v>0</v>
      </c>
      <c r="K53" s="811" cm="1">
        <f t="array" ref="K53">PERCENTILE(IF($P$10:$P$39="No",K10:K39),0.25)</f>
        <v>0</v>
      </c>
      <c r="L53" s="811" cm="1">
        <f t="array" ref="L53">PERCENTILE(IF($P$10:$P$39="No",L10:L39),0.25)</f>
        <v>0</v>
      </c>
      <c r="M53" s="811" cm="1">
        <f t="array" ref="M53">PERCENTILE(IF($P$10:$P$39="No",M10:M39),0.25)</f>
        <v>0</v>
      </c>
      <c r="N53" s="868"/>
      <c r="O53" s="499"/>
      <c r="P53" s="499"/>
      <c r="Q53" s="499"/>
      <c r="R53" s="499"/>
      <c r="S53" s="499"/>
      <c r="T53" s="499"/>
      <c r="U53" s="499"/>
      <c r="V53" s="499"/>
      <c r="W53" s="499"/>
      <c r="X53" s="499"/>
      <c r="Y53" s="499"/>
      <c r="Z53" s="499"/>
      <c r="AA53" s="499"/>
      <c r="AB53" s="499"/>
      <c r="AC53" s="499"/>
      <c r="AD53" s="499"/>
      <c r="AE53" s="499"/>
      <c r="AF53" s="499"/>
      <c r="AG53" s="499"/>
      <c r="AH53" s="499"/>
      <c r="AI53" s="499"/>
      <c r="AJ53" s="499"/>
      <c r="AK53" s="499"/>
    </row>
    <row r="54" spans="2:37">
      <c r="E54" s="916" t="s">
        <v>208</v>
      </c>
      <c r="F54" s="917" cm="1">
        <f t="array" ref="F54">IFERROR(MIN(IF($P$10:$P$39="No",F10:F39)),"")</f>
        <v>0</v>
      </c>
      <c r="G54" s="886" cm="1">
        <f t="array" ref="G54">IFERROR(MIN(IF($P$10:$P$39="No",G10:G39)),"")</f>
        <v>0</v>
      </c>
      <c r="H54" s="886" cm="1">
        <f t="array" ref="H54">IFERROR(MIN(IF($P$10:$P$39="No",H10:H39)),"")</f>
        <v>0</v>
      </c>
      <c r="I54" s="886" cm="1">
        <f t="array" ref="I54">IFERROR(MIN(IF($P$10:$P$39="No",I10:I39)),"")</f>
        <v>0</v>
      </c>
      <c r="J54" s="886" cm="1">
        <f t="array" ref="J54">IFERROR(MIN(IF($P$10:$P$39="No",J10:J39)),"")</f>
        <v>0</v>
      </c>
      <c r="K54" s="886" cm="1">
        <f t="array" ref="K54">IFERROR(MIN(IF($P$10:$P$39="No",K10:K39)),"")</f>
        <v>0</v>
      </c>
      <c r="L54" s="886" cm="1">
        <f t="array" ref="L54">IFERROR(MIN(IF($P$10:$P$39="No",L10:L39)),"")</f>
        <v>0</v>
      </c>
      <c r="M54" s="886" cm="1">
        <f t="array" ref="M54">IFERROR(MIN(IF($P$10:$P$39="No",M10:M39)),"")</f>
        <v>0</v>
      </c>
      <c r="N54" s="868"/>
      <c r="O54" s="499"/>
      <c r="P54" s="499"/>
      <c r="Q54" s="499"/>
      <c r="R54" s="499"/>
      <c r="S54" s="499"/>
      <c r="T54" s="499"/>
      <c r="U54" s="499"/>
      <c r="V54" s="499"/>
      <c r="W54" s="499"/>
      <c r="X54" s="499"/>
      <c r="Y54" s="499"/>
      <c r="Z54" s="499"/>
      <c r="AA54" s="499"/>
      <c r="AB54" s="499"/>
      <c r="AC54" s="499"/>
      <c r="AD54" s="499"/>
      <c r="AE54" s="499"/>
      <c r="AF54" s="499"/>
      <c r="AG54" s="499"/>
      <c r="AH54" s="499"/>
      <c r="AI54" s="499"/>
      <c r="AJ54" s="499"/>
      <c r="AK54" s="499"/>
    </row>
    <row r="55" spans="2:37">
      <c r="B55" s="251"/>
      <c r="C55" s="251"/>
      <c r="D55" s="251"/>
      <c r="F55" s="251"/>
      <c r="G55" s="251"/>
      <c r="H55" s="251"/>
      <c r="I55" s="251"/>
      <c r="J55" s="251"/>
      <c r="K55" s="251"/>
      <c r="L55" s="251"/>
      <c r="M55" s="251"/>
      <c r="N55" s="251"/>
      <c r="O55" s="499"/>
      <c r="P55" s="499"/>
      <c r="Q55" s="499"/>
      <c r="R55" s="499"/>
      <c r="S55" s="499"/>
      <c r="T55" s="499"/>
      <c r="U55" s="499"/>
      <c r="V55" s="499"/>
      <c r="W55" s="499"/>
      <c r="X55" s="499"/>
      <c r="Y55" s="499"/>
      <c r="Z55" s="499"/>
      <c r="AA55" s="499"/>
      <c r="AB55" s="499"/>
      <c r="AC55" s="499"/>
      <c r="AD55" s="499"/>
      <c r="AE55" s="499"/>
      <c r="AF55" s="499"/>
      <c r="AG55" s="499"/>
      <c r="AH55" s="499"/>
      <c r="AI55" s="499"/>
      <c r="AJ55" s="499"/>
      <c r="AK55" s="499"/>
    </row>
    <row r="56" spans="2:37">
      <c r="B56" s="951"/>
      <c r="C56" s="950"/>
      <c r="D56" s="251"/>
      <c r="E56" s="251"/>
      <c r="F56" s="251"/>
      <c r="G56" s="251"/>
      <c r="H56" s="251"/>
      <c r="I56" s="251"/>
      <c r="J56" s="251"/>
      <c r="K56" s="251"/>
      <c r="L56" s="251"/>
      <c r="M56" s="251"/>
      <c r="N56" s="251"/>
      <c r="O56" s="499"/>
      <c r="P56" s="499"/>
      <c r="Q56" s="499"/>
      <c r="R56" s="499"/>
      <c r="S56" s="499"/>
      <c r="T56" s="499"/>
      <c r="U56" s="499"/>
      <c r="V56" s="499"/>
      <c r="W56" s="499"/>
      <c r="X56" s="499"/>
      <c r="Y56" s="499"/>
      <c r="Z56" s="499"/>
      <c r="AA56" s="499"/>
      <c r="AB56" s="499"/>
      <c r="AC56" s="499"/>
      <c r="AD56" s="499"/>
      <c r="AE56" s="499"/>
      <c r="AF56" s="499"/>
      <c r="AG56" s="499"/>
      <c r="AH56" s="499"/>
      <c r="AI56" s="499"/>
      <c r="AJ56" s="499"/>
      <c r="AK56" s="499"/>
    </row>
    <row r="57" spans="2:37">
      <c r="O57" s="499"/>
      <c r="P57" s="499"/>
      <c r="Q57" s="499"/>
      <c r="R57" s="499"/>
      <c r="S57" s="499"/>
      <c r="T57" s="499"/>
      <c r="U57" s="499"/>
      <c r="V57" s="499"/>
      <c r="W57" s="499"/>
      <c r="X57" s="499"/>
      <c r="Y57" s="499"/>
      <c r="Z57" s="499"/>
      <c r="AA57" s="499"/>
      <c r="AB57" s="499"/>
      <c r="AC57" s="499"/>
      <c r="AD57" s="499"/>
      <c r="AE57" s="499"/>
      <c r="AF57" s="499"/>
      <c r="AG57" s="499"/>
      <c r="AH57" s="499"/>
      <c r="AI57" s="499"/>
      <c r="AJ57" s="499"/>
      <c r="AK57" s="499"/>
    </row>
    <row r="58" spans="2:37" ht="13.5">
      <c r="D58" s="952" t="s">
        <v>227</v>
      </c>
      <c r="E58" s="867"/>
      <c r="F58" s="867"/>
      <c r="G58" s="867"/>
      <c r="H58" s="867"/>
      <c r="I58" s="867"/>
      <c r="J58" s="867"/>
      <c r="K58" s="867"/>
      <c r="L58" s="867"/>
      <c r="M58" s="867"/>
      <c r="N58" s="868"/>
      <c r="O58" s="882"/>
    </row>
    <row r="59" spans="2:37">
      <c r="D59" s="932"/>
      <c r="E59" s="933"/>
      <c r="F59" s="953"/>
      <c r="G59" s="953"/>
      <c r="H59" s="953"/>
      <c r="I59" s="953"/>
      <c r="J59" s="953"/>
      <c r="K59" s="954" t="s">
        <v>1440</v>
      </c>
      <c r="L59" s="954"/>
      <c r="M59" s="954"/>
      <c r="N59" s="429"/>
      <c r="O59" s="429"/>
    </row>
    <row r="60" spans="2:37" ht="12" thickBot="1">
      <c r="D60" s="937" t="s">
        <v>94</v>
      </c>
      <c r="E60" s="955" t="s">
        <v>1445</v>
      </c>
      <c r="F60" s="938" t="str">
        <f>F9</f>
        <v>FYE-3</v>
      </c>
      <c r="G60" s="938" t="str">
        <f>G9</f>
        <v>FYE-2</v>
      </c>
      <c r="H60" s="938" t="str">
        <f>H9</f>
        <v>FYE-1</v>
      </c>
      <c r="I60" s="938" t="str">
        <f>I9</f>
        <v>FYE</v>
      </c>
      <c r="J60" s="938" t="str">
        <f>J9</f>
        <v>TTM</v>
      </c>
      <c r="K60" s="938" t="s">
        <v>1446</v>
      </c>
      <c r="L60" s="938" t="s">
        <v>1447</v>
      </c>
      <c r="M60" s="939" t="s">
        <v>1448</v>
      </c>
      <c r="O60" s="427"/>
      <c r="P60" s="516" t="s">
        <v>1395</v>
      </c>
    </row>
    <row r="61" spans="2:37" ht="12" thickBot="1">
      <c r="D61" s="941" t="str">
        <f>D10</f>
        <v>Comp 1</v>
      </c>
      <c r="E61" s="846">
        <f>'GPC Data'!P22</f>
        <v>0</v>
      </c>
      <c r="F61" s="956">
        <f>'GPC Data'!Z158</f>
        <v>0</v>
      </c>
      <c r="G61" s="956">
        <f>'GPC Data'!AA158</f>
        <v>0</v>
      </c>
      <c r="H61" s="956">
        <f>'GPC Data'!AB158</f>
        <v>0</v>
      </c>
      <c r="I61" s="956">
        <f>'GPC Data'!AC158</f>
        <v>0</v>
      </c>
      <c r="J61" s="956">
        <f>'GPC Data'!AD158</f>
        <v>0</v>
      </c>
      <c r="K61" s="957">
        <f>'GPC Data'!AE158</f>
        <v>0</v>
      </c>
      <c r="L61" s="957">
        <f>'GPC Data'!AF158</f>
        <v>0</v>
      </c>
      <c r="M61" s="957">
        <f>'GPC Data'!AG158</f>
        <v>0</v>
      </c>
      <c r="O61" s="427"/>
      <c r="P61" s="443" t="s">
        <v>1359</v>
      </c>
    </row>
    <row r="62" spans="2:37" ht="12" thickBot="1">
      <c r="D62" s="945" t="str">
        <f t="shared" ref="D62:D90" si="7">D11</f>
        <v>Comp 2</v>
      </c>
      <c r="E62" s="858">
        <f>'GPC Data'!P23</f>
        <v>0</v>
      </c>
      <c r="F62" s="958">
        <f>'GPC Data'!Z159</f>
        <v>0</v>
      </c>
      <c r="G62" s="958">
        <f>'GPC Data'!AA159</f>
        <v>0</v>
      </c>
      <c r="H62" s="958">
        <f>'GPC Data'!AB159</f>
        <v>0</v>
      </c>
      <c r="I62" s="958">
        <f>'GPC Data'!AC159</f>
        <v>0</v>
      </c>
      <c r="J62" s="958">
        <f>'GPC Data'!AD159</f>
        <v>0</v>
      </c>
      <c r="K62" s="959">
        <f>'GPC Data'!AE159</f>
        <v>0</v>
      </c>
      <c r="L62" s="959">
        <f>'GPC Data'!AF159</f>
        <v>0</v>
      </c>
      <c r="M62" s="959">
        <f>'GPC Data'!AG159</f>
        <v>0</v>
      </c>
      <c r="O62" s="427"/>
      <c r="P62" s="443" t="s">
        <v>1359</v>
      </c>
    </row>
    <row r="63" spans="2:37" ht="12" thickBot="1">
      <c r="D63" s="945" t="str">
        <f t="shared" si="7"/>
        <v>Comp 3</v>
      </c>
      <c r="E63" s="858">
        <f>'GPC Data'!P24</f>
        <v>0</v>
      </c>
      <c r="F63" s="958">
        <f>'GPC Data'!Z160</f>
        <v>0</v>
      </c>
      <c r="G63" s="958">
        <f>'GPC Data'!AA160</f>
        <v>0</v>
      </c>
      <c r="H63" s="958">
        <f>'GPC Data'!AB160</f>
        <v>0</v>
      </c>
      <c r="I63" s="958">
        <f>'GPC Data'!AC160</f>
        <v>0</v>
      </c>
      <c r="J63" s="958">
        <f>'GPC Data'!AD160</f>
        <v>0</v>
      </c>
      <c r="K63" s="959">
        <f>'GPC Data'!AE160</f>
        <v>0</v>
      </c>
      <c r="L63" s="959">
        <f>'GPC Data'!AF160</f>
        <v>0</v>
      </c>
      <c r="M63" s="959">
        <f>'GPC Data'!AG160</f>
        <v>0</v>
      </c>
      <c r="O63" s="427"/>
      <c r="P63" s="443" t="s">
        <v>1359</v>
      </c>
    </row>
    <row r="64" spans="2:37" ht="12" thickBot="1">
      <c r="D64" s="945" t="str">
        <f t="shared" si="7"/>
        <v>Comp 4</v>
      </c>
      <c r="E64" s="858">
        <f>'GPC Data'!P25</f>
        <v>0</v>
      </c>
      <c r="F64" s="958">
        <f>'GPC Data'!Z161</f>
        <v>0</v>
      </c>
      <c r="G64" s="958">
        <f>'GPC Data'!AA161</f>
        <v>0</v>
      </c>
      <c r="H64" s="958">
        <f>'GPC Data'!AB161</f>
        <v>0</v>
      </c>
      <c r="I64" s="958">
        <f>'GPC Data'!AC161</f>
        <v>0</v>
      </c>
      <c r="J64" s="958">
        <f>'GPC Data'!AD161</f>
        <v>0</v>
      </c>
      <c r="K64" s="959">
        <f>'GPC Data'!AE161</f>
        <v>0</v>
      </c>
      <c r="L64" s="959">
        <f>'GPC Data'!AF161</f>
        <v>0</v>
      </c>
      <c r="M64" s="959">
        <f>'GPC Data'!AG161</f>
        <v>0</v>
      </c>
      <c r="O64" s="427"/>
      <c r="P64" s="443" t="s">
        <v>1359</v>
      </c>
    </row>
    <row r="65" spans="4:16" ht="12" thickBot="1">
      <c r="D65" s="945" t="str">
        <f t="shared" si="7"/>
        <v>Comp 5</v>
      </c>
      <c r="E65" s="858">
        <f>'GPC Data'!P26</f>
        <v>0</v>
      </c>
      <c r="F65" s="958">
        <f>'GPC Data'!Z162</f>
        <v>0</v>
      </c>
      <c r="G65" s="958">
        <f>'GPC Data'!AA162</f>
        <v>0</v>
      </c>
      <c r="H65" s="958">
        <f>'GPC Data'!AB162</f>
        <v>0</v>
      </c>
      <c r="I65" s="958">
        <f>'GPC Data'!AC162</f>
        <v>0</v>
      </c>
      <c r="J65" s="958">
        <f>'GPC Data'!AD162</f>
        <v>0</v>
      </c>
      <c r="K65" s="959">
        <f>'GPC Data'!AE162</f>
        <v>0</v>
      </c>
      <c r="L65" s="959">
        <f>'GPC Data'!AF162</f>
        <v>0</v>
      </c>
      <c r="M65" s="959">
        <f>'GPC Data'!AG162</f>
        <v>0</v>
      </c>
      <c r="O65" s="427"/>
      <c r="P65" s="443" t="s">
        <v>1359</v>
      </c>
    </row>
    <row r="66" spans="4:16" ht="12" thickBot="1">
      <c r="D66" s="945" t="str">
        <f t="shared" si="7"/>
        <v>Comp 6</v>
      </c>
      <c r="E66" s="858">
        <f>'GPC Data'!P27</f>
        <v>0</v>
      </c>
      <c r="F66" s="958">
        <f>'GPC Data'!Z163</f>
        <v>0</v>
      </c>
      <c r="G66" s="958">
        <f>'GPC Data'!AA163</f>
        <v>0</v>
      </c>
      <c r="H66" s="958">
        <f>'GPC Data'!AB163</f>
        <v>0</v>
      </c>
      <c r="I66" s="958">
        <f>'GPC Data'!AC163</f>
        <v>0</v>
      </c>
      <c r="J66" s="958">
        <f>'GPC Data'!AD163</f>
        <v>0</v>
      </c>
      <c r="K66" s="959">
        <f>'GPC Data'!AE163</f>
        <v>0</v>
      </c>
      <c r="L66" s="959">
        <f>'GPC Data'!AF163</f>
        <v>0</v>
      </c>
      <c r="M66" s="959">
        <f>'GPC Data'!AG163</f>
        <v>0</v>
      </c>
      <c r="O66" s="427"/>
      <c r="P66" s="443" t="s">
        <v>1359</v>
      </c>
    </row>
    <row r="67" spans="4:16" ht="12" thickBot="1">
      <c r="D67" s="945" t="str">
        <f t="shared" si="7"/>
        <v>Comp 7</v>
      </c>
      <c r="E67" s="858">
        <f>'GPC Data'!P28</f>
        <v>0</v>
      </c>
      <c r="F67" s="958">
        <f>'GPC Data'!Z164</f>
        <v>0</v>
      </c>
      <c r="G67" s="958">
        <f>'GPC Data'!AA164</f>
        <v>0</v>
      </c>
      <c r="H67" s="958">
        <f>'GPC Data'!AB164</f>
        <v>0</v>
      </c>
      <c r="I67" s="958">
        <f>'GPC Data'!AC164</f>
        <v>0</v>
      </c>
      <c r="J67" s="958">
        <f>'GPC Data'!AD164</f>
        <v>0</v>
      </c>
      <c r="K67" s="959">
        <f>'GPC Data'!AE164</f>
        <v>0</v>
      </c>
      <c r="L67" s="959">
        <f>'GPC Data'!AF164</f>
        <v>0</v>
      </c>
      <c r="M67" s="959">
        <f>'GPC Data'!AG164</f>
        <v>0</v>
      </c>
      <c r="O67" s="427"/>
      <c r="P67" s="443" t="s">
        <v>1359</v>
      </c>
    </row>
    <row r="68" spans="4:16" ht="12" thickBot="1">
      <c r="D68" s="945" t="str">
        <f t="shared" si="7"/>
        <v>Comp 8</v>
      </c>
      <c r="E68" s="858">
        <f>'GPC Data'!P29</f>
        <v>0</v>
      </c>
      <c r="F68" s="958">
        <f>'GPC Data'!Z165</f>
        <v>0</v>
      </c>
      <c r="G68" s="958">
        <f>'GPC Data'!AA165</f>
        <v>0</v>
      </c>
      <c r="H68" s="958">
        <f>'GPC Data'!AB165</f>
        <v>0</v>
      </c>
      <c r="I68" s="958">
        <f>'GPC Data'!AC165</f>
        <v>0</v>
      </c>
      <c r="J68" s="958">
        <f>'GPC Data'!AD165</f>
        <v>0</v>
      </c>
      <c r="K68" s="959">
        <f>'GPC Data'!AE165</f>
        <v>0</v>
      </c>
      <c r="L68" s="959">
        <f>'GPC Data'!AF165</f>
        <v>0</v>
      </c>
      <c r="M68" s="959">
        <f>'GPC Data'!AG165</f>
        <v>0</v>
      </c>
      <c r="O68" s="427"/>
      <c r="P68" s="443" t="s">
        <v>1359</v>
      </c>
    </row>
    <row r="69" spans="4:16" ht="12" thickBot="1">
      <c r="D69" s="945" t="str">
        <f t="shared" si="7"/>
        <v>Comp 9</v>
      </c>
      <c r="E69" s="858">
        <f>'GPC Data'!P30</f>
        <v>0</v>
      </c>
      <c r="F69" s="958">
        <f>'GPC Data'!Z166</f>
        <v>0</v>
      </c>
      <c r="G69" s="958">
        <f>'GPC Data'!AA166</f>
        <v>0</v>
      </c>
      <c r="H69" s="958">
        <f>'GPC Data'!AB166</f>
        <v>0</v>
      </c>
      <c r="I69" s="958">
        <f>'GPC Data'!AC166</f>
        <v>0</v>
      </c>
      <c r="J69" s="958">
        <f>'GPC Data'!AD166</f>
        <v>0</v>
      </c>
      <c r="K69" s="959">
        <f>'GPC Data'!AE166</f>
        <v>0</v>
      </c>
      <c r="L69" s="959">
        <f>'GPC Data'!AF166</f>
        <v>0</v>
      </c>
      <c r="M69" s="959">
        <f>'GPC Data'!AG166</f>
        <v>0</v>
      </c>
      <c r="O69" s="427"/>
      <c r="P69" s="443" t="s">
        <v>1359</v>
      </c>
    </row>
    <row r="70" spans="4:16" ht="12" thickBot="1">
      <c r="D70" s="945" t="str">
        <f t="shared" si="7"/>
        <v>Comp 10</v>
      </c>
      <c r="E70" s="858">
        <f>'GPC Data'!P31</f>
        <v>0</v>
      </c>
      <c r="F70" s="958">
        <f>'GPC Data'!Z167</f>
        <v>0</v>
      </c>
      <c r="G70" s="958">
        <f>'GPC Data'!AA167</f>
        <v>0</v>
      </c>
      <c r="H70" s="958">
        <f>'GPC Data'!AB167</f>
        <v>0</v>
      </c>
      <c r="I70" s="958">
        <f>'GPC Data'!AC167</f>
        <v>0</v>
      </c>
      <c r="J70" s="958">
        <f>'GPC Data'!AD167</f>
        <v>0</v>
      </c>
      <c r="K70" s="959">
        <f>'GPC Data'!AE167</f>
        <v>0</v>
      </c>
      <c r="L70" s="959">
        <f>'GPC Data'!AF167</f>
        <v>0</v>
      </c>
      <c r="M70" s="959">
        <f>'GPC Data'!AG167</f>
        <v>0</v>
      </c>
      <c r="O70" s="427"/>
      <c r="P70" s="443" t="s">
        <v>1359</v>
      </c>
    </row>
    <row r="71" spans="4:16" ht="12" thickBot="1">
      <c r="D71" s="945" t="str">
        <f t="shared" si="7"/>
        <v>Comp 11</v>
      </c>
      <c r="E71" s="858">
        <f>'GPC Data'!P32</f>
        <v>0</v>
      </c>
      <c r="F71" s="958">
        <f>'GPC Data'!Z168</f>
        <v>0</v>
      </c>
      <c r="G71" s="958">
        <f>'GPC Data'!AA168</f>
        <v>0</v>
      </c>
      <c r="H71" s="958">
        <f>'GPC Data'!AB168</f>
        <v>0</v>
      </c>
      <c r="I71" s="958">
        <f>'GPC Data'!AC168</f>
        <v>0</v>
      </c>
      <c r="J71" s="958">
        <f>'GPC Data'!AD168</f>
        <v>0</v>
      </c>
      <c r="K71" s="959">
        <f>'GPC Data'!AE168</f>
        <v>0</v>
      </c>
      <c r="L71" s="959">
        <f>'GPC Data'!AF168</f>
        <v>0</v>
      </c>
      <c r="M71" s="959">
        <f>'GPC Data'!AG168</f>
        <v>0</v>
      </c>
      <c r="O71" s="427"/>
      <c r="P71" s="443" t="s">
        <v>106</v>
      </c>
    </row>
    <row r="72" spans="4:16" ht="12" thickBot="1">
      <c r="D72" s="945" t="str">
        <f t="shared" si="7"/>
        <v>Comp 12</v>
      </c>
      <c r="E72" s="858">
        <f>'GPC Data'!P33</f>
        <v>0</v>
      </c>
      <c r="F72" s="958">
        <f>'GPC Data'!Z169</f>
        <v>0</v>
      </c>
      <c r="G72" s="958">
        <f>'GPC Data'!AA169</f>
        <v>0</v>
      </c>
      <c r="H72" s="958">
        <f>'GPC Data'!AB169</f>
        <v>0</v>
      </c>
      <c r="I72" s="958">
        <f>'GPC Data'!AC169</f>
        <v>0</v>
      </c>
      <c r="J72" s="958">
        <f>'GPC Data'!AD169</f>
        <v>0</v>
      </c>
      <c r="K72" s="959">
        <f>'GPC Data'!AE169</f>
        <v>0</v>
      </c>
      <c r="L72" s="959">
        <f>'GPC Data'!AF169</f>
        <v>0</v>
      </c>
      <c r="M72" s="959">
        <f>'GPC Data'!AG169</f>
        <v>0</v>
      </c>
      <c r="O72" s="427"/>
      <c r="P72" s="443" t="s">
        <v>106</v>
      </c>
    </row>
    <row r="73" spans="4:16" ht="12" thickBot="1">
      <c r="D73" s="945" t="str">
        <f t="shared" si="7"/>
        <v>Comp 13</v>
      </c>
      <c r="E73" s="858">
        <f>'GPC Data'!P34</f>
        <v>0</v>
      </c>
      <c r="F73" s="958">
        <f>'GPC Data'!Z170</f>
        <v>0</v>
      </c>
      <c r="G73" s="958">
        <f>'GPC Data'!AA170</f>
        <v>0</v>
      </c>
      <c r="H73" s="958">
        <f>'GPC Data'!AB170</f>
        <v>0</v>
      </c>
      <c r="I73" s="958">
        <f>'GPC Data'!AC170</f>
        <v>0</v>
      </c>
      <c r="J73" s="958">
        <f>'GPC Data'!AD170</f>
        <v>0</v>
      </c>
      <c r="K73" s="959">
        <f>'GPC Data'!AE170</f>
        <v>0</v>
      </c>
      <c r="L73" s="959">
        <f>'GPC Data'!AF170</f>
        <v>0</v>
      </c>
      <c r="M73" s="959">
        <f>'GPC Data'!AG170</f>
        <v>0</v>
      </c>
      <c r="O73" s="427"/>
      <c r="P73" s="443" t="s">
        <v>106</v>
      </c>
    </row>
    <row r="74" spans="4:16" ht="12" thickBot="1">
      <c r="D74" s="945" t="str">
        <f t="shared" si="7"/>
        <v>Comp 14</v>
      </c>
      <c r="E74" s="858">
        <f>'GPC Data'!P35</f>
        <v>0</v>
      </c>
      <c r="F74" s="958">
        <f>'GPC Data'!Z171</f>
        <v>0</v>
      </c>
      <c r="G74" s="958">
        <f>'GPC Data'!AA171</f>
        <v>0</v>
      </c>
      <c r="H74" s="958">
        <f>'GPC Data'!AB171</f>
        <v>0</v>
      </c>
      <c r="I74" s="958">
        <f>'GPC Data'!AC171</f>
        <v>0</v>
      </c>
      <c r="J74" s="958">
        <f>'GPC Data'!AD171</f>
        <v>0</v>
      </c>
      <c r="K74" s="959">
        <f>'GPC Data'!AE171</f>
        <v>0</v>
      </c>
      <c r="L74" s="959">
        <f>'GPC Data'!AF171</f>
        <v>0</v>
      </c>
      <c r="M74" s="959">
        <f>'GPC Data'!AG171</f>
        <v>0</v>
      </c>
      <c r="O74" s="427"/>
      <c r="P74" s="443" t="s">
        <v>106</v>
      </c>
    </row>
    <row r="75" spans="4:16" ht="12" thickBot="1">
      <c r="D75" s="945" t="str">
        <f t="shared" si="7"/>
        <v>Comp 15</v>
      </c>
      <c r="E75" s="858">
        <f>'GPC Data'!P36</f>
        <v>0</v>
      </c>
      <c r="F75" s="958">
        <f>'GPC Data'!Z172</f>
        <v>0</v>
      </c>
      <c r="G75" s="958">
        <f>'GPC Data'!AA172</f>
        <v>0</v>
      </c>
      <c r="H75" s="958">
        <f>'GPC Data'!AB172</f>
        <v>0</v>
      </c>
      <c r="I75" s="958">
        <f>'GPC Data'!AC172</f>
        <v>0</v>
      </c>
      <c r="J75" s="958">
        <f>'GPC Data'!AD172</f>
        <v>0</v>
      </c>
      <c r="K75" s="959">
        <f>'GPC Data'!AE172</f>
        <v>0</v>
      </c>
      <c r="L75" s="959">
        <f>'GPC Data'!AF172</f>
        <v>0</v>
      </c>
      <c r="M75" s="959">
        <f>'GPC Data'!AG172</f>
        <v>0</v>
      </c>
      <c r="O75" s="427"/>
      <c r="P75" s="443" t="s">
        <v>106</v>
      </c>
    </row>
    <row r="76" spans="4:16" ht="12" thickBot="1">
      <c r="D76" s="945" t="str">
        <f t="shared" si="7"/>
        <v>Comp 16</v>
      </c>
      <c r="E76" s="858">
        <f>'GPC Data'!P37</f>
        <v>0</v>
      </c>
      <c r="F76" s="958">
        <f>'GPC Data'!Z173</f>
        <v>0</v>
      </c>
      <c r="G76" s="958">
        <f>'GPC Data'!AA173</f>
        <v>0</v>
      </c>
      <c r="H76" s="958">
        <f>'GPC Data'!AB173</f>
        <v>0</v>
      </c>
      <c r="I76" s="958">
        <f>'GPC Data'!AC173</f>
        <v>0</v>
      </c>
      <c r="J76" s="958">
        <f>'GPC Data'!AD173</f>
        <v>0</v>
      </c>
      <c r="K76" s="959">
        <f>'GPC Data'!AE173</f>
        <v>0</v>
      </c>
      <c r="L76" s="959">
        <f>'GPC Data'!AF173</f>
        <v>0</v>
      </c>
      <c r="M76" s="959">
        <f>'GPC Data'!AG173</f>
        <v>0</v>
      </c>
      <c r="O76" s="427"/>
      <c r="P76" s="443" t="s">
        <v>106</v>
      </c>
    </row>
    <row r="77" spans="4:16" ht="12" thickBot="1">
      <c r="D77" s="945" t="str">
        <f t="shared" si="7"/>
        <v>Comp 17</v>
      </c>
      <c r="E77" s="858">
        <f>'GPC Data'!P38</f>
        <v>0</v>
      </c>
      <c r="F77" s="958">
        <f>'GPC Data'!Z174</f>
        <v>0</v>
      </c>
      <c r="G77" s="958">
        <f>'GPC Data'!AA174</f>
        <v>0</v>
      </c>
      <c r="H77" s="958">
        <f>'GPC Data'!AB174</f>
        <v>0</v>
      </c>
      <c r="I77" s="958">
        <f>'GPC Data'!AC174</f>
        <v>0</v>
      </c>
      <c r="J77" s="958">
        <f>'GPC Data'!AD174</f>
        <v>0</v>
      </c>
      <c r="K77" s="959">
        <f>'GPC Data'!AE174</f>
        <v>0</v>
      </c>
      <c r="L77" s="959">
        <f>'GPC Data'!AF174</f>
        <v>0</v>
      </c>
      <c r="M77" s="959">
        <f>'GPC Data'!AG174</f>
        <v>0</v>
      </c>
      <c r="O77" s="427"/>
      <c r="P77" s="443" t="s">
        <v>106</v>
      </c>
    </row>
    <row r="78" spans="4:16" ht="12" thickBot="1">
      <c r="D78" s="945" t="str">
        <f t="shared" si="7"/>
        <v>Comp 18</v>
      </c>
      <c r="E78" s="858">
        <f>'GPC Data'!P39</f>
        <v>0</v>
      </c>
      <c r="F78" s="958">
        <f>'GPC Data'!Z175</f>
        <v>0</v>
      </c>
      <c r="G78" s="958">
        <f>'GPC Data'!AA175</f>
        <v>0</v>
      </c>
      <c r="H78" s="958">
        <f>'GPC Data'!AB175</f>
        <v>0</v>
      </c>
      <c r="I78" s="958">
        <f>'GPC Data'!AC175</f>
        <v>0</v>
      </c>
      <c r="J78" s="958">
        <f>'GPC Data'!AD175</f>
        <v>0</v>
      </c>
      <c r="K78" s="959">
        <f>'GPC Data'!AE175</f>
        <v>0</v>
      </c>
      <c r="L78" s="959">
        <f>'GPC Data'!AF175</f>
        <v>0</v>
      </c>
      <c r="M78" s="959">
        <f>'GPC Data'!AG175</f>
        <v>0</v>
      </c>
      <c r="O78" s="427"/>
      <c r="P78" s="443" t="s">
        <v>106</v>
      </c>
    </row>
    <row r="79" spans="4:16" ht="12" thickBot="1">
      <c r="D79" s="945" t="str">
        <f t="shared" si="7"/>
        <v>Comp 19</v>
      </c>
      <c r="E79" s="858">
        <f>'GPC Data'!P40</f>
        <v>0</v>
      </c>
      <c r="F79" s="958">
        <f>'GPC Data'!Z176</f>
        <v>0</v>
      </c>
      <c r="G79" s="958">
        <f>'GPC Data'!AA176</f>
        <v>0</v>
      </c>
      <c r="H79" s="958">
        <f>'GPC Data'!AB176</f>
        <v>0</v>
      </c>
      <c r="I79" s="958">
        <f>'GPC Data'!AC176</f>
        <v>0</v>
      </c>
      <c r="J79" s="958">
        <f>'GPC Data'!AD176</f>
        <v>0</v>
      </c>
      <c r="K79" s="959">
        <f>'GPC Data'!AE176</f>
        <v>0</v>
      </c>
      <c r="L79" s="959">
        <f>'GPC Data'!AF176</f>
        <v>0</v>
      </c>
      <c r="M79" s="959">
        <f>'GPC Data'!AG176</f>
        <v>0</v>
      </c>
      <c r="O79" s="427"/>
      <c r="P79" s="443" t="s">
        <v>106</v>
      </c>
    </row>
    <row r="80" spans="4:16" ht="12" thickBot="1">
      <c r="D80" s="945" t="str">
        <f t="shared" si="7"/>
        <v>Comp 20</v>
      </c>
      <c r="E80" s="858">
        <f>'GPC Data'!P41</f>
        <v>0</v>
      </c>
      <c r="F80" s="958">
        <f>'GPC Data'!Z177</f>
        <v>0</v>
      </c>
      <c r="G80" s="958">
        <f>'GPC Data'!AA177</f>
        <v>0</v>
      </c>
      <c r="H80" s="958">
        <f>'GPC Data'!AB177</f>
        <v>0</v>
      </c>
      <c r="I80" s="958">
        <f>'GPC Data'!AC177</f>
        <v>0</v>
      </c>
      <c r="J80" s="958">
        <f>'GPC Data'!AD177</f>
        <v>0</v>
      </c>
      <c r="K80" s="959">
        <f>'GPC Data'!AE177</f>
        <v>0</v>
      </c>
      <c r="L80" s="959">
        <f>'GPC Data'!AF177</f>
        <v>0</v>
      </c>
      <c r="M80" s="959">
        <f>'GPC Data'!AG177</f>
        <v>0</v>
      </c>
      <c r="O80" s="427"/>
      <c r="P80" s="443" t="s">
        <v>106</v>
      </c>
    </row>
    <row r="81" spans="2:16" ht="12" thickBot="1">
      <c r="D81" s="945" t="str">
        <f t="shared" si="7"/>
        <v>Comp 21</v>
      </c>
      <c r="E81" s="858">
        <f>'GPC Data'!P42</f>
        <v>0</v>
      </c>
      <c r="F81" s="958">
        <f>'GPC Data'!Z178</f>
        <v>0</v>
      </c>
      <c r="G81" s="958">
        <f>'GPC Data'!AA178</f>
        <v>0</v>
      </c>
      <c r="H81" s="958">
        <f>'GPC Data'!AB178</f>
        <v>0</v>
      </c>
      <c r="I81" s="958">
        <f>'GPC Data'!AC178</f>
        <v>0</v>
      </c>
      <c r="J81" s="958">
        <f>'GPC Data'!AD178</f>
        <v>0</v>
      </c>
      <c r="K81" s="959">
        <f>'GPC Data'!AE178</f>
        <v>0</v>
      </c>
      <c r="L81" s="959">
        <f>'GPC Data'!AF178</f>
        <v>0</v>
      </c>
      <c r="M81" s="959">
        <f>'GPC Data'!AG178</f>
        <v>0</v>
      </c>
      <c r="O81" s="427"/>
      <c r="P81" s="443" t="s">
        <v>106</v>
      </c>
    </row>
    <row r="82" spans="2:16" ht="12" thickBot="1">
      <c r="D82" s="945" t="str">
        <f t="shared" si="7"/>
        <v>Comp 22</v>
      </c>
      <c r="E82" s="858">
        <f>'GPC Data'!P43</f>
        <v>0</v>
      </c>
      <c r="F82" s="958">
        <f>'GPC Data'!Z179</f>
        <v>0</v>
      </c>
      <c r="G82" s="958">
        <f>'GPC Data'!AA179</f>
        <v>0</v>
      </c>
      <c r="H82" s="958">
        <f>'GPC Data'!AB179</f>
        <v>0</v>
      </c>
      <c r="I82" s="958">
        <f>'GPC Data'!AC179</f>
        <v>0</v>
      </c>
      <c r="J82" s="958">
        <f>'GPC Data'!AD179</f>
        <v>0</v>
      </c>
      <c r="K82" s="959">
        <f>'GPC Data'!AE179</f>
        <v>0</v>
      </c>
      <c r="L82" s="959">
        <f>'GPC Data'!AF179</f>
        <v>0</v>
      </c>
      <c r="M82" s="959">
        <f>'GPC Data'!AG179</f>
        <v>0</v>
      </c>
      <c r="O82" s="427"/>
      <c r="P82" s="443" t="s">
        <v>106</v>
      </c>
    </row>
    <row r="83" spans="2:16" ht="12" thickBot="1">
      <c r="D83" s="945" t="str">
        <f t="shared" si="7"/>
        <v>Comp 23</v>
      </c>
      <c r="E83" s="858">
        <f>'GPC Data'!P44</f>
        <v>0</v>
      </c>
      <c r="F83" s="958">
        <f>'GPC Data'!Z180</f>
        <v>0</v>
      </c>
      <c r="G83" s="958">
        <f>'GPC Data'!AA180</f>
        <v>0</v>
      </c>
      <c r="H83" s="958">
        <f>'GPC Data'!AB180</f>
        <v>0</v>
      </c>
      <c r="I83" s="958">
        <f>'GPC Data'!AC180</f>
        <v>0</v>
      </c>
      <c r="J83" s="958">
        <f>'GPC Data'!AD180</f>
        <v>0</v>
      </c>
      <c r="K83" s="959">
        <f>'GPC Data'!AE180</f>
        <v>0</v>
      </c>
      <c r="L83" s="959">
        <f>'GPC Data'!AF180</f>
        <v>0</v>
      </c>
      <c r="M83" s="959">
        <f>'GPC Data'!AG180</f>
        <v>0</v>
      </c>
      <c r="O83" s="427"/>
      <c r="P83" s="443" t="s">
        <v>106</v>
      </c>
    </row>
    <row r="84" spans="2:16" ht="12" thickBot="1">
      <c r="D84" s="945" t="str">
        <f t="shared" si="7"/>
        <v>Comp 24</v>
      </c>
      <c r="E84" s="858">
        <f>'GPC Data'!P45</f>
        <v>0</v>
      </c>
      <c r="F84" s="958">
        <f>'GPC Data'!Z181</f>
        <v>0</v>
      </c>
      <c r="G84" s="958">
        <f>'GPC Data'!AA181</f>
        <v>0</v>
      </c>
      <c r="H84" s="958">
        <f>'GPC Data'!AB181</f>
        <v>0</v>
      </c>
      <c r="I84" s="958">
        <f>'GPC Data'!AC181</f>
        <v>0</v>
      </c>
      <c r="J84" s="958">
        <f>'GPC Data'!AD181</f>
        <v>0</v>
      </c>
      <c r="K84" s="959">
        <f>'GPC Data'!AE181</f>
        <v>0</v>
      </c>
      <c r="L84" s="959">
        <f>'GPC Data'!AF181</f>
        <v>0</v>
      </c>
      <c r="M84" s="959">
        <f>'GPC Data'!AG181</f>
        <v>0</v>
      </c>
      <c r="O84" s="427"/>
      <c r="P84" s="443" t="s">
        <v>106</v>
      </c>
    </row>
    <row r="85" spans="2:16" ht="12" thickBot="1">
      <c r="D85" s="945" t="str">
        <f t="shared" si="7"/>
        <v>Comp 25</v>
      </c>
      <c r="E85" s="858">
        <f>'GPC Data'!P46</f>
        <v>0</v>
      </c>
      <c r="F85" s="958">
        <f>'GPC Data'!Z182</f>
        <v>0</v>
      </c>
      <c r="G85" s="958">
        <f>'GPC Data'!AA182</f>
        <v>0</v>
      </c>
      <c r="H85" s="958">
        <f>'GPC Data'!AB182</f>
        <v>0</v>
      </c>
      <c r="I85" s="958">
        <f>'GPC Data'!AC182</f>
        <v>0</v>
      </c>
      <c r="J85" s="958">
        <f>'GPC Data'!AD182</f>
        <v>0</v>
      </c>
      <c r="K85" s="959">
        <f>'GPC Data'!AE182</f>
        <v>0</v>
      </c>
      <c r="L85" s="959">
        <f>'GPC Data'!AF182</f>
        <v>0</v>
      </c>
      <c r="M85" s="959">
        <f>'GPC Data'!AG182</f>
        <v>0</v>
      </c>
      <c r="O85" s="427"/>
      <c r="P85" s="443" t="s">
        <v>106</v>
      </c>
    </row>
    <row r="86" spans="2:16" ht="12" thickBot="1">
      <c r="D86" s="945" t="str">
        <f t="shared" si="7"/>
        <v>Comp 26</v>
      </c>
      <c r="E86" s="858">
        <f>'GPC Data'!P47</f>
        <v>0</v>
      </c>
      <c r="F86" s="958">
        <f>'GPC Data'!Z183</f>
        <v>0</v>
      </c>
      <c r="G86" s="958">
        <f>'GPC Data'!AA183</f>
        <v>0</v>
      </c>
      <c r="H86" s="958">
        <f>'GPC Data'!AB183</f>
        <v>0</v>
      </c>
      <c r="I86" s="958">
        <f>'GPC Data'!AC183</f>
        <v>0</v>
      </c>
      <c r="J86" s="958">
        <f>'GPC Data'!AD183</f>
        <v>0</v>
      </c>
      <c r="K86" s="959">
        <f>'GPC Data'!AE183</f>
        <v>0</v>
      </c>
      <c r="L86" s="959">
        <f>'GPC Data'!AF183</f>
        <v>0</v>
      </c>
      <c r="M86" s="959">
        <f>'GPC Data'!AG183</f>
        <v>0</v>
      </c>
      <c r="O86" s="427"/>
      <c r="P86" s="443" t="s">
        <v>106</v>
      </c>
    </row>
    <row r="87" spans="2:16" ht="12" thickBot="1">
      <c r="D87" s="945" t="str">
        <f t="shared" si="7"/>
        <v>Comp 27</v>
      </c>
      <c r="E87" s="858">
        <f>'GPC Data'!P48</f>
        <v>0</v>
      </c>
      <c r="F87" s="958">
        <f>'GPC Data'!Z184</f>
        <v>0</v>
      </c>
      <c r="G87" s="958">
        <f>'GPC Data'!AA184</f>
        <v>0</v>
      </c>
      <c r="H87" s="958">
        <f>'GPC Data'!AB184</f>
        <v>0</v>
      </c>
      <c r="I87" s="958">
        <f>'GPC Data'!AC184</f>
        <v>0</v>
      </c>
      <c r="J87" s="958">
        <f>'GPC Data'!AD184</f>
        <v>0</v>
      </c>
      <c r="K87" s="959">
        <f>'GPC Data'!AE184</f>
        <v>0</v>
      </c>
      <c r="L87" s="959">
        <f>'GPC Data'!AF184</f>
        <v>0</v>
      </c>
      <c r="M87" s="959">
        <f>'GPC Data'!AG184</f>
        <v>0</v>
      </c>
      <c r="O87" s="427"/>
      <c r="P87" s="443" t="s">
        <v>106</v>
      </c>
    </row>
    <row r="88" spans="2:16" ht="12" thickBot="1">
      <c r="D88" s="945" t="str">
        <f t="shared" si="7"/>
        <v>Comp 28</v>
      </c>
      <c r="E88" s="858">
        <f>'GPC Data'!P49</f>
        <v>0</v>
      </c>
      <c r="F88" s="958">
        <f>'GPC Data'!Z185</f>
        <v>0</v>
      </c>
      <c r="G88" s="958">
        <f>'GPC Data'!AA185</f>
        <v>0</v>
      </c>
      <c r="H88" s="958">
        <f>'GPC Data'!AB185</f>
        <v>0</v>
      </c>
      <c r="I88" s="958">
        <f>'GPC Data'!AC185</f>
        <v>0</v>
      </c>
      <c r="J88" s="958">
        <f>'GPC Data'!AD185</f>
        <v>0</v>
      </c>
      <c r="K88" s="959">
        <f>'GPC Data'!AE185</f>
        <v>0</v>
      </c>
      <c r="L88" s="959">
        <f>'GPC Data'!AF185</f>
        <v>0</v>
      </c>
      <c r="M88" s="959">
        <f>'GPC Data'!AG185</f>
        <v>0</v>
      </c>
      <c r="O88" s="427"/>
      <c r="P88" s="443" t="s">
        <v>106</v>
      </c>
    </row>
    <row r="89" spans="2:16" ht="12" thickBot="1">
      <c r="D89" s="945" t="str">
        <f t="shared" si="7"/>
        <v>Comp 29</v>
      </c>
      <c r="E89" s="858">
        <f>'GPC Data'!P50</f>
        <v>0</v>
      </c>
      <c r="F89" s="958">
        <f>'GPC Data'!Z186</f>
        <v>0</v>
      </c>
      <c r="G89" s="958">
        <f>'GPC Data'!AA186</f>
        <v>0</v>
      </c>
      <c r="H89" s="958">
        <f>'GPC Data'!AB186</f>
        <v>0</v>
      </c>
      <c r="I89" s="958">
        <f>'GPC Data'!AC186</f>
        <v>0</v>
      </c>
      <c r="J89" s="958">
        <f>'GPC Data'!AD186</f>
        <v>0</v>
      </c>
      <c r="K89" s="959">
        <f>'GPC Data'!AE186</f>
        <v>0</v>
      </c>
      <c r="L89" s="959">
        <f>'GPC Data'!AF186</f>
        <v>0</v>
      </c>
      <c r="M89" s="959">
        <f>'GPC Data'!AG186</f>
        <v>0</v>
      </c>
      <c r="O89" s="427"/>
      <c r="P89" s="443" t="s">
        <v>106</v>
      </c>
    </row>
    <row r="90" spans="2:16" ht="12" thickBot="1">
      <c r="D90" s="945" t="str">
        <f t="shared" si="7"/>
        <v>Comp 30</v>
      </c>
      <c r="E90" s="858">
        <f>'GPC Data'!P51</f>
        <v>0</v>
      </c>
      <c r="F90" s="958">
        <f>'GPC Data'!Z187</f>
        <v>0</v>
      </c>
      <c r="G90" s="958">
        <f>'GPC Data'!AA187</f>
        <v>0</v>
      </c>
      <c r="H90" s="958">
        <f>'GPC Data'!AB187</f>
        <v>0</v>
      </c>
      <c r="I90" s="958">
        <f>'GPC Data'!AC187</f>
        <v>0</v>
      </c>
      <c r="J90" s="958">
        <f>'GPC Data'!AD187</f>
        <v>0</v>
      </c>
      <c r="K90" s="959">
        <f>'GPC Data'!AE187</f>
        <v>0</v>
      </c>
      <c r="L90" s="959">
        <f>'GPC Data'!AF187</f>
        <v>0</v>
      </c>
      <c r="M90" s="959">
        <f>'GPC Data'!AG187</f>
        <v>0</v>
      </c>
      <c r="O90" s="427"/>
      <c r="P90" s="443" t="s">
        <v>106</v>
      </c>
    </row>
    <row r="91" spans="2:16">
      <c r="B91" s="867"/>
      <c r="C91" s="867"/>
      <c r="D91" s="867"/>
      <c r="E91" s="867"/>
      <c r="F91" s="867"/>
      <c r="G91" s="867"/>
      <c r="H91" s="867"/>
      <c r="I91" s="867"/>
      <c r="J91" s="867"/>
      <c r="K91" s="867"/>
      <c r="L91" s="867"/>
      <c r="M91" s="868"/>
      <c r="N91" s="868"/>
      <c r="O91" s="867"/>
    </row>
    <row r="92" spans="2:16">
      <c r="E92" s="912" t="s">
        <v>209</v>
      </c>
      <c r="F92" s="913">
        <f t="shared" ref="F92:M92" si="8">MAX(F61:F90)</f>
        <v>0</v>
      </c>
      <c r="G92" s="913">
        <f t="shared" si="8"/>
        <v>0</v>
      </c>
      <c r="H92" s="913">
        <f t="shared" si="8"/>
        <v>0</v>
      </c>
      <c r="I92" s="913">
        <f t="shared" si="8"/>
        <v>0</v>
      </c>
      <c r="J92" s="913">
        <f t="shared" si="8"/>
        <v>0</v>
      </c>
      <c r="K92" s="913">
        <f t="shared" si="8"/>
        <v>0</v>
      </c>
      <c r="L92" s="913">
        <f t="shared" si="8"/>
        <v>0</v>
      </c>
      <c r="M92" s="913">
        <f t="shared" si="8"/>
        <v>0</v>
      </c>
      <c r="O92" s="867"/>
    </row>
    <row r="93" spans="2:16">
      <c r="E93" s="914" t="s">
        <v>1419</v>
      </c>
      <c r="F93" s="915">
        <f t="shared" ref="F93:M93" si="9">PERCENTILE(F61:F90,0.75)</f>
        <v>0</v>
      </c>
      <c r="G93" s="915">
        <f t="shared" si="9"/>
        <v>0</v>
      </c>
      <c r="H93" s="915">
        <f t="shared" si="9"/>
        <v>0</v>
      </c>
      <c r="I93" s="915">
        <f t="shared" si="9"/>
        <v>0</v>
      </c>
      <c r="J93" s="915">
        <f t="shared" si="9"/>
        <v>0</v>
      </c>
      <c r="K93" s="915">
        <f t="shared" si="9"/>
        <v>0</v>
      </c>
      <c r="L93" s="915">
        <f t="shared" si="9"/>
        <v>0</v>
      </c>
      <c r="M93" s="915">
        <f t="shared" si="9"/>
        <v>0</v>
      </c>
      <c r="O93" s="867"/>
    </row>
    <row r="94" spans="2:16">
      <c r="E94" s="914" t="s">
        <v>1369</v>
      </c>
      <c r="F94" s="915">
        <f t="shared" ref="F94:M94" si="10">AVERAGE(F61:F90)</f>
        <v>0</v>
      </c>
      <c r="G94" s="915">
        <f t="shared" si="10"/>
        <v>0</v>
      </c>
      <c r="H94" s="915">
        <f t="shared" si="10"/>
        <v>0</v>
      </c>
      <c r="I94" s="915">
        <f t="shared" si="10"/>
        <v>0</v>
      </c>
      <c r="J94" s="915">
        <f t="shared" si="10"/>
        <v>0</v>
      </c>
      <c r="K94" s="915">
        <f t="shared" si="10"/>
        <v>0</v>
      </c>
      <c r="L94" s="915">
        <f t="shared" si="10"/>
        <v>0</v>
      </c>
      <c r="M94" s="915">
        <f t="shared" si="10"/>
        <v>0</v>
      </c>
      <c r="O94" s="868"/>
    </row>
    <row r="95" spans="2:16" ht="13.5">
      <c r="E95" s="879" t="s">
        <v>1370</v>
      </c>
      <c r="F95" s="877">
        <f t="shared" ref="F95:M95" si="11">MEDIAN(F61:F90)</f>
        <v>0</v>
      </c>
      <c r="G95" s="877">
        <f t="shared" si="11"/>
        <v>0</v>
      </c>
      <c r="H95" s="877">
        <f t="shared" si="11"/>
        <v>0</v>
      </c>
      <c r="I95" s="877">
        <f t="shared" si="11"/>
        <v>0</v>
      </c>
      <c r="J95" s="877">
        <f t="shared" si="11"/>
        <v>0</v>
      </c>
      <c r="K95" s="877">
        <f t="shared" si="11"/>
        <v>0</v>
      </c>
      <c r="L95" s="877">
        <f t="shared" si="11"/>
        <v>0</v>
      </c>
      <c r="M95" s="877">
        <f t="shared" si="11"/>
        <v>0</v>
      </c>
      <c r="O95" s="882"/>
    </row>
    <row r="96" spans="2:16">
      <c r="E96" s="914" t="s">
        <v>1420</v>
      </c>
      <c r="F96" s="915">
        <f t="shared" ref="F96:M96" si="12">PERCENTILE(F61:F90,0.25)</f>
        <v>0</v>
      </c>
      <c r="G96" s="915">
        <f t="shared" si="12"/>
        <v>0</v>
      </c>
      <c r="H96" s="915">
        <f t="shared" si="12"/>
        <v>0</v>
      </c>
      <c r="I96" s="915">
        <f t="shared" si="12"/>
        <v>0</v>
      </c>
      <c r="J96" s="915">
        <f t="shared" si="12"/>
        <v>0</v>
      </c>
      <c r="K96" s="915">
        <f t="shared" si="12"/>
        <v>0</v>
      </c>
      <c r="L96" s="915">
        <f t="shared" si="12"/>
        <v>0</v>
      </c>
      <c r="M96" s="915">
        <f t="shared" si="12"/>
        <v>0</v>
      </c>
      <c r="O96" s="499"/>
    </row>
    <row r="97" spans="3:26">
      <c r="E97" s="916" t="s">
        <v>208</v>
      </c>
      <c r="F97" s="917">
        <f t="shared" ref="F97:M97" si="13">MIN(F61:F90)</f>
        <v>0</v>
      </c>
      <c r="G97" s="917">
        <f t="shared" si="13"/>
        <v>0</v>
      </c>
      <c r="H97" s="917">
        <f t="shared" si="13"/>
        <v>0</v>
      </c>
      <c r="I97" s="917">
        <f t="shared" si="13"/>
        <v>0</v>
      </c>
      <c r="J97" s="917">
        <f t="shared" si="13"/>
        <v>0</v>
      </c>
      <c r="K97" s="917">
        <f t="shared" si="13"/>
        <v>0</v>
      </c>
      <c r="L97" s="917">
        <f t="shared" si="13"/>
        <v>0</v>
      </c>
      <c r="M97" s="917">
        <f t="shared" si="13"/>
        <v>0</v>
      </c>
      <c r="O97" s="499"/>
    </row>
    <row r="98" spans="3:26">
      <c r="E98" s="918"/>
      <c r="F98" s="811"/>
      <c r="G98" s="811"/>
      <c r="H98" s="811"/>
      <c r="I98" s="811"/>
      <c r="J98" s="811"/>
      <c r="K98" s="868"/>
      <c r="L98" s="868"/>
      <c r="O98" s="499"/>
    </row>
    <row r="99" spans="3:26">
      <c r="E99" s="466" t="s">
        <v>1371</v>
      </c>
      <c r="F99" s="811"/>
      <c r="G99" s="811"/>
      <c r="H99" s="811"/>
      <c r="I99" s="811"/>
      <c r="J99" s="811"/>
      <c r="K99" s="868"/>
      <c r="L99" s="868"/>
      <c r="O99" s="499"/>
    </row>
    <row r="100" spans="3:26">
      <c r="E100" s="912" t="s">
        <v>209</v>
      </c>
      <c r="F100" s="913">
        <f t="array" ref="F100">IFERROR(MAX(IF($P$61:$P$90="No",F61:F90)),"")</f>
        <v>0</v>
      </c>
      <c r="G100" s="913">
        <f t="array" ref="G100">IFERROR(MAX(IF($P$61:$P$90="No",G61:G90)),"")</f>
        <v>0</v>
      </c>
      <c r="H100" s="913">
        <f t="array" ref="H100">IFERROR(MAX(IF($P$61:$P$90="No",H61:H90)),"")</f>
        <v>0</v>
      </c>
      <c r="I100" s="913">
        <f t="array" ref="I100">IFERROR(MAX(IF($P$61:$P$90="No",I61:I90)),"")</f>
        <v>0</v>
      </c>
      <c r="J100" s="913">
        <f t="array" ref="J100">IFERROR(MAX(IF($P$61:$P$90="No",J61:J90)),"")</f>
        <v>0</v>
      </c>
      <c r="K100" s="913">
        <f t="array" ref="K100">IFERROR(MAX(IF($P$61:$P$90="No",K61:K90)),"")</f>
        <v>0</v>
      </c>
      <c r="L100" s="913">
        <f t="array" ref="L100">IFERROR(MAX(IF($P$61:$P$90="No",L61:L90)),"")</f>
        <v>0</v>
      </c>
      <c r="M100" s="913">
        <f t="array" ref="M100">IFERROR(MAX(IF($P$61:$P$90="No",M61:M90)),"")</f>
        <v>0</v>
      </c>
      <c r="O100" s="499"/>
    </row>
    <row r="101" spans="3:26">
      <c r="E101" s="914" t="s">
        <v>1419</v>
      </c>
      <c r="F101" s="915">
        <f t="array" ref="F101">PERCENTILE(IF($P$61:$P$90="No",F61:F90),0.74)</f>
        <v>0</v>
      </c>
      <c r="G101" s="915">
        <f t="array" ref="G101">PERCENTILE(IF($P$61:$P$90="No",G61:G90),0.74)</f>
        <v>0</v>
      </c>
      <c r="H101" s="915" cm="1">
        <f t="array" ref="H101">PERCENTILE(IF($P$61:$P$90="No",H61:H90),0.74)</f>
        <v>0</v>
      </c>
      <c r="I101" s="915">
        <f t="array" ref="I101">PERCENTILE(IF($P$61:$P$90="No",I61:I90),0.74)</f>
        <v>0</v>
      </c>
      <c r="J101" s="915">
        <f t="array" ref="J101">PERCENTILE(IF($P$61:$P$90="No",J61:J90),0.74)</f>
        <v>0</v>
      </c>
      <c r="K101" s="915">
        <f t="array" ref="K101">PERCENTILE(IF($P$61:$P$90="No",K61:K90),0.74)</f>
        <v>0</v>
      </c>
      <c r="L101" s="915">
        <f t="array" ref="L101">PERCENTILE(IF($P$61:$P$90="No",L61:L90),0.74)</f>
        <v>0</v>
      </c>
      <c r="M101" s="915">
        <f t="array" ref="M101">PERCENTILE(IF($P$61:$P$90="No",M61:M90),0.74)</f>
        <v>0</v>
      </c>
      <c r="O101" s="499"/>
    </row>
    <row r="102" spans="3:26">
      <c r="E102" s="914" t="s">
        <v>1369</v>
      </c>
      <c r="F102" s="915">
        <f t="array" ref="F102">IFERROR(AVERAGEIF($P$61:$P$90,"No",F61:F90),"")</f>
        <v>0</v>
      </c>
      <c r="G102" s="915">
        <f t="array" ref="G102">IFERROR(AVERAGEIF($P$61:$P$90,"No",G61:G90),"")</f>
        <v>0</v>
      </c>
      <c r="H102" s="915">
        <f t="array" ref="H102">IFERROR(AVERAGEIF($P$61:$P$90,"No",H61:H90),"")</f>
        <v>0</v>
      </c>
      <c r="I102" s="915">
        <f t="array" ref="I102">IFERROR(AVERAGEIF($P$61:$P$90,"No",I61:I90),"")</f>
        <v>0</v>
      </c>
      <c r="J102" s="915">
        <f t="array" ref="J102">IFERROR(AVERAGEIF($P$61:$P$90,"No",J61:J90),"")</f>
        <v>0</v>
      </c>
      <c r="K102" s="915">
        <f t="array" ref="K102">IFERROR(AVERAGEIF($P$61:$P$90,"No",K61:K90),"")</f>
        <v>0</v>
      </c>
      <c r="L102" s="915">
        <f t="array" ref="L102">IFERROR(AVERAGEIF($P$61:$P$90,"No",L61:L90),"")</f>
        <v>0</v>
      </c>
      <c r="M102" s="915">
        <f t="array" ref="M102">IFERROR(AVERAGEIF($P$61:$P$90,"No",M61:M90),"")</f>
        <v>0</v>
      </c>
      <c r="O102" s="499"/>
    </row>
    <row r="103" spans="3:26">
      <c r="E103" s="879" t="s">
        <v>1370</v>
      </c>
      <c r="F103" s="877">
        <f t="array" ref="F103">IFERROR(MEDIAN(IF($P$61:$P$90="No",F61:F90)),"")</f>
        <v>0</v>
      </c>
      <c r="G103" s="877">
        <f t="array" ref="G103">IFERROR(MEDIAN(IF($P$61:$P$90="No",G61:G90)),"")</f>
        <v>0</v>
      </c>
      <c r="H103" s="877">
        <f t="array" ref="H103">IFERROR(MEDIAN(IF($P$61:$P$90="No",H61:H90)),"")</f>
        <v>0</v>
      </c>
      <c r="I103" s="877">
        <f t="array" ref="I103">IFERROR(MEDIAN(IF($P$61:$P$90="No",I61:I90)),"")</f>
        <v>0</v>
      </c>
      <c r="J103" s="877">
        <f t="array" ref="J103">IFERROR(MEDIAN(IF($P$61:$P$90="No",J61:J90)),"")</f>
        <v>0</v>
      </c>
      <c r="K103" s="877">
        <f t="array" ref="K103">IFERROR(MEDIAN(IF($P$61:$P$90="No",K61:K90)),"")</f>
        <v>0</v>
      </c>
      <c r="L103" s="877">
        <f t="array" ref="L103">IFERROR(MEDIAN(IF($P$61:$P$90="No",L61:L90)),"")</f>
        <v>0</v>
      </c>
      <c r="M103" s="877">
        <f t="array" ref="M103">IFERROR(MEDIAN(IF($P$61:$P$90="No",M61:M90)),"")</f>
        <v>0</v>
      </c>
      <c r="O103" s="499"/>
    </row>
    <row r="104" spans="3:26">
      <c r="E104" s="914" t="s">
        <v>1420</v>
      </c>
      <c r="F104" s="915">
        <f t="array" ref="F104">PERCENTILE(IF($P$61:$P$90="No",F61:F90),0.25)</f>
        <v>0</v>
      </c>
      <c r="G104" s="915">
        <f t="array" ref="G104">PERCENTILE(IF($P$61:$P$90="No",G61:G90),0.25)</f>
        <v>0</v>
      </c>
      <c r="H104" s="915">
        <f t="array" ref="H104">PERCENTILE(IF($P$61:$P$90="No",H61:H90),0.25)</f>
        <v>0</v>
      </c>
      <c r="I104" s="915">
        <f t="array" ref="I104">PERCENTILE(IF($P$61:$P$90="No",I61:I90),0.25)</f>
        <v>0</v>
      </c>
      <c r="J104" s="915">
        <f t="array" ref="J104">PERCENTILE(IF($P$61:$P$90="No",J61:J90),0.25)</f>
        <v>0</v>
      </c>
      <c r="K104" s="915">
        <f t="array" ref="K104">PERCENTILE(IF($P$61:$P$90="No",K61:K90),0.25)</f>
        <v>0</v>
      </c>
      <c r="L104" s="915">
        <f t="array" ref="L104">PERCENTILE(IF($P$61:$P$90="No",L61:L90),0.25)</f>
        <v>0</v>
      </c>
      <c r="M104" s="915">
        <f t="array" ref="M104">PERCENTILE(IF($P$61:$P$90="No",M61:M90),0.25)</f>
        <v>0</v>
      </c>
      <c r="O104" s="499"/>
    </row>
    <row r="105" spans="3:26">
      <c r="E105" s="916" t="s">
        <v>208</v>
      </c>
      <c r="F105" s="917">
        <f t="array" ref="F105">IFERROR(MIN(IF($P$61:$P$90="No",F61:F90)),"")</f>
        <v>0</v>
      </c>
      <c r="G105" s="917">
        <f t="array" ref="G105">IFERROR(MIN(IF($P$61:$P$90="No",G61:G90)),"")</f>
        <v>0</v>
      </c>
      <c r="H105" s="917">
        <f t="array" ref="H105">IFERROR(MIN(IF($P$61:$P$90="No",H61:H90)),"")</f>
        <v>0</v>
      </c>
      <c r="I105" s="917">
        <f t="array" ref="I105">IFERROR(MIN(IF($P$61:$P$90="No",I61:I90)),"")</f>
        <v>0</v>
      </c>
      <c r="J105" s="917">
        <f t="array" ref="J105">IFERROR(MIN(IF($P$61:$P$90="No",J61:J90)),"")</f>
        <v>0</v>
      </c>
      <c r="K105" s="917">
        <f t="array" ref="K105">IFERROR(MIN(IF($P$61:$P$90="No",K61:K90)),"")</f>
        <v>0</v>
      </c>
      <c r="L105" s="917">
        <f t="array" ref="L105">IFERROR(MIN(IF($P$61:$P$90="No",L61:L90)),"")</f>
        <v>0</v>
      </c>
      <c r="M105" s="917">
        <f t="array" ref="M105">IFERROR(MIN(IF($P$61:$P$90="No",M61:M90)),"")</f>
        <v>0</v>
      </c>
      <c r="O105" s="499"/>
    </row>
    <row r="108" spans="3:26">
      <c r="C108" s="960"/>
      <c r="D108" s="366" t="s">
        <v>2283</v>
      </c>
    </row>
    <row r="109" spans="3:26">
      <c r="D109" s="932"/>
      <c r="E109" s="933"/>
      <c r="F109" s="1849"/>
      <c r="G109" s="1849"/>
      <c r="H109" s="1849"/>
      <c r="I109" s="1849"/>
      <c r="J109" s="1849"/>
      <c r="K109" s="1833"/>
      <c r="L109" s="1833"/>
      <c r="M109" s="429" t="s">
        <v>1443</v>
      </c>
      <c r="N109" s="429"/>
      <c r="O109" s="429"/>
      <c r="P109" s="429"/>
      <c r="Q109" s="429" t="s">
        <v>1443</v>
      </c>
      <c r="R109" s="429" t="s">
        <v>1443</v>
      </c>
      <c r="S109" s="429" t="s">
        <v>1443</v>
      </c>
      <c r="T109" s="232"/>
      <c r="U109" s="232"/>
      <c r="V109" s="232"/>
      <c r="W109" s="232"/>
    </row>
    <row r="110" spans="3:26" ht="12" thickBot="1">
      <c r="D110" s="937" t="s">
        <v>1456</v>
      </c>
      <c r="E110" s="938" t="s">
        <v>1445</v>
      </c>
      <c r="F110" s="938" t="s">
        <v>139</v>
      </c>
      <c r="G110" s="938" t="s">
        <v>137</v>
      </c>
      <c r="H110" s="938" t="s">
        <v>134</v>
      </c>
      <c r="I110" s="938" t="s">
        <v>131</v>
      </c>
      <c r="J110" s="939" t="s">
        <v>129</v>
      </c>
      <c r="K110" s="427"/>
      <c r="L110" s="427"/>
      <c r="P110" s="516" t="s">
        <v>1395</v>
      </c>
      <c r="Q110" s="427"/>
      <c r="R110" s="427"/>
      <c r="S110" s="427"/>
      <c r="T110" s="427"/>
      <c r="U110" s="427"/>
      <c r="V110" s="427"/>
      <c r="W110" s="232"/>
      <c r="X110" s="232"/>
      <c r="Y110" s="232"/>
      <c r="Z110" s="232"/>
    </row>
    <row r="111" spans="3:26" ht="12" thickBot="1">
      <c r="D111" s="941" t="str">
        <f>WACC!C29</f>
        <v>Comp 1</v>
      </c>
      <c r="E111" s="890">
        <f>'GPC Data'!P22</f>
        <v>0</v>
      </c>
      <c r="F111" s="961">
        <f>'GPC Data'!AH158</f>
        <v>0</v>
      </c>
      <c r="G111" s="961">
        <f>'GPC Data'!AI158</f>
        <v>0</v>
      </c>
      <c r="H111" s="962">
        <f>'GPC Data'!AJ158</f>
        <v>0</v>
      </c>
      <c r="I111" s="962">
        <f>'GPC Data'!AK158</f>
        <v>0</v>
      </c>
      <c r="J111" s="962">
        <f>'GPC Data'!AL158</f>
        <v>0</v>
      </c>
      <c r="K111" s="963"/>
      <c r="L111" s="963"/>
      <c r="P111" s="443" t="s">
        <v>1359</v>
      </c>
      <c r="Q111" s="427"/>
      <c r="R111" s="964" t="s">
        <v>1457</v>
      </c>
      <c r="S111" s="965"/>
      <c r="T111" s="232"/>
      <c r="U111" s="427"/>
      <c r="V111" s="427"/>
      <c r="W111" s="232"/>
      <c r="X111" s="232"/>
      <c r="Y111" s="232"/>
      <c r="Z111" s="232"/>
    </row>
    <row r="112" spans="3:26" ht="12" thickBot="1">
      <c r="D112" s="945" t="str">
        <f>WACC!C30</f>
        <v>Comp 2</v>
      </c>
      <c r="E112" s="892">
        <f>'GPC Data'!P23</f>
        <v>0</v>
      </c>
      <c r="F112" s="966">
        <f>'GPC Data'!AH159</f>
        <v>0</v>
      </c>
      <c r="G112" s="966">
        <f>'GPC Data'!AI159</f>
        <v>0</v>
      </c>
      <c r="H112" s="967">
        <f>'GPC Data'!AJ159</f>
        <v>0</v>
      </c>
      <c r="I112" s="967">
        <f>'GPC Data'!AK159</f>
        <v>0</v>
      </c>
      <c r="J112" s="967">
        <f>'GPC Data'!AL159</f>
        <v>0</v>
      </c>
      <c r="K112" s="963"/>
      <c r="L112" s="963"/>
      <c r="P112" s="443" t="s">
        <v>1359</v>
      </c>
      <c r="Q112" s="427"/>
      <c r="R112" s="968"/>
      <c r="S112" s="969" t="s">
        <v>1458</v>
      </c>
      <c r="T112" s="232"/>
      <c r="U112" s="427"/>
      <c r="V112" s="232"/>
      <c r="W112" s="969" t="s">
        <v>1459</v>
      </c>
      <c r="X112" s="232"/>
      <c r="Y112" s="232"/>
      <c r="Z112" s="232"/>
    </row>
    <row r="113" spans="4:26" ht="12" thickBot="1">
      <c r="D113" s="945" t="str">
        <f>WACC!C31</f>
        <v>Comp 3</v>
      </c>
      <c r="E113" s="892">
        <f>'GPC Data'!P24</f>
        <v>0</v>
      </c>
      <c r="F113" s="966">
        <f>'GPC Data'!AH160</f>
        <v>0</v>
      </c>
      <c r="G113" s="966">
        <f>'GPC Data'!AI160</f>
        <v>0</v>
      </c>
      <c r="H113" s="967">
        <f>'GPC Data'!AJ160</f>
        <v>0</v>
      </c>
      <c r="I113" s="967">
        <f>'GPC Data'!AK160</f>
        <v>0</v>
      </c>
      <c r="J113" s="967">
        <f>'GPC Data'!AL160</f>
        <v>0</v>
      </c>
      <c r="K113" s="963"/>
      <c r="L113" s="963"/>
      <c r="P113" s="443" t="s">
        <v>1359</v>
      </c>
      <c r="Q113" s="427"/>
      <c r="R113" s="968" t="s">
        <v>1405</v>
      </c>
      <c r="S113" s="969" t="s">
        <v>1460</v>
      </c>
      <c r="T113" s="232"/>
      <c r="U113" s="427"/>
      <c r="V113" s="232"/>
      <c r="W113" s="969" t="s">
        <v>1461</v>
      </c>
      <c r="X113" s="232"/>
      <c r="Y113" s="232"/>
      <c r="Z113" s="232"/>
    </row>
    <row r="114" spans="4:26" ht="12" thickBot="1">
      <c r="D114" s="945" t="str">
        <f>WACC!C32</f>
        <v>Comp 4</v>
      </c>
      <c r="E114" s="892">
        <f>'GPC Data'!P25</f>
        <v>0</v>
      </c>
      <c r="F114" s="967">
        <f>'GPC Data'!AH161</f>
        <v>0</v>
      </c>
      <c r="G114" s="967">
        <f>'GPC Data'!AI161</f>
        <v>0</v>
      </c>
      <c r="H114" s="967">
        <f>'GPC Data'!AJ161</f>
        <v>0</v>
      </c>
      <c r="I114" s="967">
        <f>'GPC Data'!AK161</f>
        <v>0</v>
      </c>
      <c r="J114" s="967">
        <f>'GPC Data'!AL161</f>
        <v>0</v>
      </c>
      <c r="K114" s="963"/>
      <c r="L114" s="963"/>
      <c r="P114" s="443" t="s">
        <v>1359</v>
      </c>
      <c r="Q114" s="427"/>
      <c r="R114" s="968" t="s">
        <v>1405</v>
      </c>
      <c r="S114" s="969" t="s">
        <v>1462</v>
      </c>
      <c r="T114" s="232"/>
      <c r="U114" s="427"/>
      <c r="V114" s="232"/>
      <c r="W114" s="969" t="s">
        <v>1463</v>
      </c>
      <c r="X114" s="232"/>
      <c r="Y114" s="232"/>
      <c r="Z114" s="232"/>
    </row>
    <row r="115" spans="4:26" ht="12" thickBot="1">
      <c r="D115" s="945" t="str">
        <f>WACC!C33</f>
        <v>Comp 5</v>
      </c>
      <c r="E115" s="892">
        <f>'GPC Data'!P26</f>
        <v>0</v>
      </c>
      <c r="F115" s="967">
        <f>'GPC Data'!AH162</f>
        <v>0</v>
      </c>
      <c r="G115" s="967">
        <f>'GPC Data'!AI162</f>
        <v>0</v>
      </c>
      <c r="H115" s="967">
        <f>'GPC Data'!AJ162</f>
        <v>0</v>
      </c>
      <c r="I115" s="967">
        <f>'GPC Data'!AK162</f>
        <v>0</v>
      </c>
      <c r="J115" s="967">
        <f>'GPC Data'!AL162</f>
        <v>0</v>
      </c>
      <c r="K115" s="963"/>
      <c r="L115" s="963"/>
      <c r="P115" s="443" t="s">
        <v>1359</v>
      </c>
      <c r="Q115" s="427"/>
      <c r="R115" s="968" t="s">
        <v>1464</v>
      </c>
      <c r="S115" s="969" t="s">
        <v>1400</v>
      </c>
      <c r="T115" s="232"/>
      <c r="U115" s="427"/>
      <c r="V115" s="427"/>
      <c r="W115" s="232"/>
      <c r="X115" s="232"/>
      <c r="Y115" s="232"/>
      <c r="Z115" s="232"/>
    </row>
    <row r="116" spans="4:26" ht="12" thickBot="1">
      <c r="D116" s="945" t="str">
        <f>WACC!C34</f>
        <v>Comp 6</v>
      </c>
      <c r="E116" s="892">
        <f>'GPC Data'!P27</f>
        <v>0</v>
      </c>
      <c r="F116" s="967">
        <f>'GPC Data'!AH163</f>
        <v>0</v>
      </c>
      <c r="G116" s="967">
        <f>'GPC Data'!AI163</f>
        <v>0</v>
      </c>
      <c r="H116" s="967">
        <f>'GPC Data'!AJ163</f>
        <v>0</v>
      </c>
      <c r="I116" s="967">
        <f>'GPC Data'!AK163</f>
        <v>0</v>
      </c>
      <c r="J116" s="967">
        <f>'GPC Data'!AL163</f>
        <v>0</v>
      </c>
      <c r="K116" s="963"/>
      <c r="L116" s="963"/>
      <c r="P116" s="443" t="s">
        <v>1359</v>
      </c>
      <c r="Q116" s="427"/>
      <c r="R116" s="232"/>
      <c r="S116" s="232"/>
      <c r="T116" s="232"/>
      <c r="U116" s="427"/>
      <c r="V116" s="427" t="s">
        <v>1443</v>
      </c>
      <c r="W116" s="232"/>
      <c r="X116" s="232"/>
      <c r="Y116" s="232"/>
      <c r="Z116" s="232"/>
    </row>
    <row r="117" spans="4:26" ht="12" thickBot="1">
      <c r="D117" s="945" t="str">
        <f>WACC!C35</f>
        <v>Comp 7</v>
      </c>
      <c r="E117" s="892">
        <f>'GPC Data'!P28</f>
        <v>0</v>
      </c>
      <c r="F117" s="967">
        <f>'GPC Data'!AH164</f>
        <v>0</v>
      </c>
      <c r="G117" s="967">
        <f>'GPC Data'!AI164</f>
        <v>0</v>
      </c>
      <c r="H117" s="967">
        <f>'GPC Data'!AJ164</f>
        <v>0</v>
      </c>
      <c r="I117" s="967">
        <f>'GPC Data'!AK164</f>
        <v>0</v>
      </c>
      <c r="J117" s="967">
        <f>'GPC Data'!AL164</f>
        <v>0</v>
      </c>
      <c r="K117" s="963"/>
      <c r="L117" s="963"/>
      <c r="P117" s="443" t="s">
        <v>1359</v>
      </c>
      <c r="Q117" s="427"/>
      <c r="R117" s="427"/>
      <c r="S117" s="427"/>
      <c r="T117" s="970" t="s">
        <v>1443</v>
      </c>
      <c r="U117" s="427"/>
      <c r="V117" s="427" t="s">
        <v>1443</v>
      </c>
      <c r="W117" s="232"/>
      <c r="X117" s="232"/>
      <c r="Y117" s="232"/>
      <c r="Z117" s="232"/>
    </row>
    <row r="118" spans="4:26" ht="12" thickBot="1">
      <c r="D118" s="945" t="str">
        <f>WACC!C36</f>
        <v>Comp 8</v>
      </c>
      <c r="E118" s="892">
        <f>'GPC Data'!P29</f>
        <v>0</v>
      </c>
      <c r="F118" s="967">
        <f>'GPC Data'!AH165</f>
        <v>0</v>
      </c>
      <c r="G118" s="967">
        <f>'GPC Data'!AI165</f>
        <v>0</v>
      </c>
      <c r="H118" s="967">
        <f>'GPC Data'!AJ165</f>
        <v>0</v>
      </c>
      <c r="I118" s="967">
        <f>'GPC Data'!AK165</f>
        <v>0</v>
      </c>
      <c r="J118" s="967">
        <f>'GPC Data'!AL165</f>
        <v>0</v>
      </c>
      <c r="K118" s="963"/>
      <c r="L118" s="963"/>
      <c r="P118" s="443" t="s">
        <v>1359</v>
      </c>
      <c r="Q118" s="427"/>
      <c r="R118" s="427"/>
      <c r="S118" s="427"/>
      <c r="T118" s="427"/>
      <c r="U118" s="427"/>
      <c r="V118" s="427"/>
      <c r="W118" s="232"/>
      <c r="X118" s="232"/>
      <c r="Y118" s="232"/>
      <c r="Z118" s="232"/>
    </row>
    <row r="119" spans="4:26" ht="12" thickBot="1">
      <c r="D119" s="945" t="str">
        <f>WACC!C37</f>
        <v>Comp 9</v>
      </c>
      <c r="E119" s="892">
        <f>'GPC Data'!P30</f>
        <v>0</v>
      </c>
      <c r="F119" s="967">
        <f>'GPC Data'!AH166</f>
        <v>0</v>
      </c>
      <c r="G119" s="967">
        <f>'GPC Data'!AI166</f>
        <v>0</v>
      </c>
      <c r="H119" s="967">
        <f>'GPC Data'!AJ166</f>
        <v>0</v>
      </c>
      <c r="I119" s="967">
        <f>'GPC Data'!AK166</f>
        <v>0</v>
      </c>
      <c r="J119" s="967">
        <f>'GPC Data'!AL166</f>
        <v>0</v>
      </c>
      <c r="K119" s="963"/>
      <c r="L119" s="963"/>
      <c r="P119" s="443" t="s">
        <v>1359</v>
      </c>
      <c r="Q119" s="427"/>
      <c r="R119" s="427"/>
      <c r="S119" s="427"/>
      <c r="T119" s="427" t="s">
        <v>1443</v>
      </c>
      <c r="U119" s="427" t="s">
        <v>1443</v>
      </c>
      <c r="V119" s="427" t="s">
        <v>1443</v>
      </c>
      <c r="W119" s="232"/>
      <c r="X119" s="232"/>
      <c r="Y119" s="232"/>
      <c r="Z119" s="232"/>
    </row>
    <row r="120" spans="4:26" ht="12" thickBot="1">
      <c r="D120" s="945" t="str">
        <f>WACC!C38</f>
        <v>Comp 10</v>
      </c>
      <c r="E120" s="892">
        <f>'GPC Data'!P31</f>
        <v>0</v>
      </c>
      <c r="F120" s="967">
        <f>'GPC Data'!AH167</f>
        <v>0</v>
      </c>
      <c r="G120" s="967">
        <f>'GPC Data'!AI167</f>
        <v>0</v>
      </c>
      <c r="H120" s="967">
        <f>'GPC Data'!AJ167</f>
        <v>0</v>
      </c>
      <c r="I120" s="967">
        <f>'GPC Data'!AK167</f>
        <v>0</v>
      </c>
      <c r="J120" s="967">
        <f>'GPC Data'!AL167</f>
        <v>0</v>
      </c>
      <c r="K120" s="963"/>
      <c r="L120" s="963"/>
      <c r="P120" s="443" t="s">
        <v>1359</v>
      </c>
      <c r="Q120" s="427"/>
      <c r="R120" s="427"/>
      <c r="S120" s="427"/>
      <c r="T120" s="427" t="s">
        <v>1443</v>
      </c>
      <c r="U120" s="427" t="s">
        <v>1443</v>
      </c>
      <c r="V120" s="427" t="s">
        <v>1443</v>
      </c>
      <c r="W120" s="232"/>
      <c r="X120" s="232"/>
      <c r="Y120" s="232"/>
      <c r="Z120" s="232"/>
    </row>
    <row r="121" spans="4:26" ht="12" thickBot="1">
      <c r="D121" s="945" t="str">
        <f>WACC!C39</f>
        <v>Comp 11</v>
      </c>
      <c r="E121" s="971">
        <f>'GPC Data'!P32</f>
        <v>0</v>
      </c>
      <c r="F121" s="972">
        <f>'GPC Data'!AH168</f>
        <v>0</v>
      </c>
      <c r="G121" s="972">
        <f>'GPC Data'!AI168</f>
        <v>0</v>
      </c>
      <c r="H121" s="972">
        <f>'GPC Data'!AJ168</f>
        <v>0</v>
      </c>
      <c r="I121" s="972">
        <f>'GPC Data'!AK168</f>
        <v>0</v>
      </c>
      <c r="J121" s="972">
        <f>'GPC Data'!AL168</f>
        <v>0</v>
      </c>
      <c r="K121" s="973"/>
      <c r="L121" s="963"/>
      <c r="P121" s="443" t="s">
        <v>106</v>
      </c>
      <c r="Q121" s="427"/>
      <c r="R121" s="427"/>
      <c r="S121" s="427"/>
      <c r="T121" s="427" t="s">
        <v>1443</v>
      </c>
      <c r="U121" s="427" t="s">
        <v>1443</v>
      </c>
      <c r="V121" s="427" t="s">
        <v>1443</v>
      </c>
      <c r="W121" s="232"/>
      <c r="X121" s="232"/>
      <c r="Y121" s="232"/>
      <c r="Z121" s="232"/>
    </row>
    <row r="122" spans="4:26" ht="12" thickBot="1">
      <c r="D122" s="945" t="str">
        <f>WACC!C40</f>
        <v>Comp 12</v>
      </c>
      <c r="E122" s="971">
        <f>'GPC Data'!P33</f>
        <v>0</v>
      </c>
      <c r="F122" s="972">
        <f>'GPC Data'!AH169</f>
        <v>0</v>
      </c>
      <c r="G122" s="972">
        <f>'GPC Data'!AI169</f>
        <v>0</v>
      </c>
      <c r="H122" s="972">
        <f>'GPC Data'!AJ169</f>
        <v>0</v>
      </c>
      <c r="I122" s="972">
        <f>'GPC Data'!AK169</f>
        <v>0</v>
      </c>
      <c r="J122" s="972">
        <f>'GPC Data'!AL169</f>
        <v>0</v>
      </c>
      <c r="K122" s="973"/>
      <c r="L122" s="963"/>
      <c r="P122" s="443" t="s">
        <v>106</v>
      </c>
      <c r="Q122" s="427"/>
      <c r="R122" s="427"/>
      <c r="S122" s="427"/>
      <c r="T122" s="427" t="s">
        <v>1443</v>
      </c>
      <c r="U122" s="427" t="s">
        <v>1443</v>
      </c>
      <c r="V122" s="427" t="s">
        <v>1443</v>
      </c>
      <c r="W122" s="232"/>
      <c r="X122" s="232"/>
      <c r="Y122" s="232"/>
      <c r="Z122" s="232"/>
    </row>
    <row r="123" spans="4:26" ht="12" thickBot="1">
      <c r="D123" s="945" t="str">
        <f>WACC!C41</f>
        <v>Comp 13</v>
      </c>
      <c r="E123" s="971">
        <f>'GPC Data'!P34</f>
        <v>0</v>
      </c>
      <c r="F123" s="972">
        <f>'GPC Data'!AH170</f>
        <v>0</v>
      </c>
      <c r="G123" s="972">
        <f>'GPC Data'!AI170</f>
        <v>0</v>
      </c>
      <c r="H123" s="972">
        <f>'GPC Data'!AJ170</f>
        <v>0</v>
      </c>
      <c r="I123" s="972">
        <f>'GPC Data'!AK170</f>
        <v>0</v>
      </c>
      <c r="J123" s="972">
        <f>'GPC Data'!AL170</f>
        <v>0</v>
      </c>
      <c r="K123" s="973"/>
      <c r="L123" s="963"/>
      <c r="P123" s="443" t="s">
        <v>106</v>
      </c>
      <c r="Q123" s="427"/>
      <c r="R123" s="427"/>
      <c r="S123" s="427"/>
      <c r="T123" s="427" t="s">
        <v>1443</v>
      </c>
      <c r="U123" s="427" t="s">
        <v>1443</v>
      </c>
      <c r="V123" s="427" t="s">
        <v>1443</v>
      </c>
      <c r="W123" s="232"/>
      <c r="X123" s="232"/>
      <c r="Y123" s="232"/>
      <c r="Z123" s="232"/>
    </row>
    <row r="124" spans="4:26" ht="12" thickBot="1">
      <c r="D124" s="945" t="str">
        <f>WACC!C42</f>
        <v>Comp 14</v>
      </c>
      <c r="E124" s="971">
        <f>'GPC Data'!P35</f>
        <v>0</v>
      </c>
      <c r="F124" s="972">
        <f>'GPC Data'!AH171</f>
        <v>0</v>
      </c>
      <c r="G124" s="972">
        <f>'GPC Data'!AI171</f>
        <v>0</v>
      </c>
      <c r="H124" s="972">
        <f>'GPC Data'!AJ171</f>
        <v>0</v>
      </c>
      <c r="I124" s="972">
        <f>'GPC Data'!AK171</f>
        <v>0</v>
      </c>
      <c r="J124" s="972">
        <f>'GPC Data'!AL171</f>
        <v>0</v>
      </c>
      <c r="K124" s="973"/>
      <c r="L124" s="963"/>
      <c r="P124" s="443" t="s">
        <v>106</v>
      </c>
      <c r="Q124" s="427"/>
      <c r="R124" s="427"/>
      <c r="S124" s="427"/>
      <c r="T124" s="427" t="s">
        <v>1443</v>
      </c>
      <c r="U124" s="427" t="s">
        <v>1443</v>
      </c>
      <c r="V124" s="427" t="s">
        <v>1443</v>
      </c>
      <c r="W124" s="232"/>
      <c r="X124" s="232"/>
      <c r="Y124" s="232"/>
      <c r="Z124" s="232"/>
    </row>
    <row r="125" spans="4:26" ht="12" thickBot="1">
      <c r="D125" s="945" t="str">
        <f>WACC!C43</f>
        <v>Comp 15</v>
      </c>
      <c r="E125" s="971">
        <f>'GPC Data'!P36</f>
        <v>0</v>
      </c>
      <c r="F125" s="972">
        <f>'GPC Data'!AH172</f>
        <v>0</v>
      </c>
      <c r="G125" s="972">
        <f>'GPC Data'!AI172</f>
        <v>0</v>
      </c>
      <c r="H125" s="972">
        <f>'GPC Data'!AJ172</f>
        <v>0</v>
      </c>
      <c r="I125" s="972">
        <f>'GPC Data'!AK172</f>
        <v>0</v>
      </c>
      <c r="J125" s="972">
        <f>'GPC Data'!AL172</f>
        <v>0</v>
      </c>
      <c r="K125" s="973"/>
      <c r="L125" s="963"/>
      <c r="P125" s="443" t="s">
        <v>106</v>
      </c>
      <c r="Q125" s="427"/>
      <c r="R125" s="427"/>
      <c r="S125" s="427"/>
      <c r="T125" s="427" t="s">
        <v>1443</v>
      </c>
      <c r="U125" s="427" t="s">
        <v>1443</v>
      </c>
      <c r="V125" s="427" t="s">
        <v>1443</v>
      </c>
      <c r="W125" s="232"/>
      <c r="X125" s="232"/>
      <c r="Y125" s="232"/>
      <c r="Z125" s="232"/>
    </row>
    <row r="126" spans="4:26" ht="12" thickBot="1">
      <c r="D126" s="945" t="str">
        <f>WACC!C44</f>
        <v>Comp 16</v>
      </c>
      <c r="E126" s="971">
        <f>'GPC Data'!P37</f>
        <v>0</v>
      </c>
      <c r="F126" s="972">
        <f>'GPC Data'!AH173</f>
        <v>0</v>
      </c>
      <c r="G126" s="972">
        <f>'GPC Data'!AI173</f>
        <v>0</v>
      </c>
      <c r="H126" s="972">
        <f>'GPC Data'!AJ173</f>
        <v>0</v>
      </c>
      <c r="I126" s="972">
        <f>'GPC Data'!AK173</f>
        <v>0</v>
      </c>
      <c r="J126" s="972">
        <f>'GPC Data'!AL173</f>
        <v>0</v>
      </c>
      <c r="K126" s="973"/>
      <c r="L126" s="963"/>
      <c r="P126" s="443" t="s">
        <v>106</v>
      </c>
      <c r="Q126" s="427"/>
      <c r="R126" s="427"/>
      <c r="S126" s="427"/>
      <c r="T126" s="427" t="s">
        <v>1443</v>
      </c>
      <c r="U126" s="427" t="s">
        <v>1443</v>
      </c>
      <c r="V126" s="427" t="s">
        <v>1443</v>
      </c>
      <c r="W126" s="232"/>
      <c r="X126" s="232"/>
      <c r="Y126" s="232"/>
      <c r="Z126" s="232"/>
    </row>
    <row r="127" spans="4:26" ht="12" thickBot="1">
      <c r="D127" s="945" t="str">
        <f>WACC!C45</f>
        <v>Comp 17</v>
      </c>
      <c r="E127" s="971">
        <f>'GPC Data'!P38</f>
        <v>0</v>
      </c>
      <c r="F127" s="972">
        <f>'GPC Data'!AH174</f>
        <v>0</v>
      </c>
      <c r="G127" s="972">
        <f>'GPC Data'!AI174</f>
        <v>0</v>
      </c>
      <c r="H127" s="972">
        <f>'GPC Data'!AJ174</f>
        <v>0</v>
      </c>
      <c r="I127" s="972">
        <f>'GPC Data'!AK174</f>
        <v>0</v>
      </c>
      <c r="J127" s="972">
        <f>'GPC Data'!AL174</f>
        <v>0</v>
      </c>
      <c r="K127" s="973"/>
      <c r="L127" s="963"/>
      <c r="P127" s="443" t="s">
        <v>106</v>
      </c>
      <c r="Q127" s="427"/>
      <c r="R127" s="427"/>
      <c r="S127" s="427"/>
      <c r="T127" s="427" t="s">
        <v>1443</v>
      </c>
      <c r="U127" s="427" t="s">
        <v>1443</v>
      </c>
      <c r="V127" s="427" t="s">
        <v>1443</v>
      </c>
      <c r="W127" s="232"/>
      <c r="X127" s="232"/>
      <c r="Y127" s="232"/>
      <c r="Z127" s="232"/>
    </row>
    <row r="128" spans="4:26" ht="12" thickBot="1">
      <c r="D128" s="945" t="str">
        <f>WACC!C46</f>
        <v>Comp 18</v>
      </c>
      <c r="E128" s="971">
        <f>'GPC Data'!P39</f>
        <v>0</v>
      </c>
      <c r="F128" s="972">
        <f>'GPC Data'!AH175</f>
        <v>0</v>
      </c>
      <c r="G128" s="972">
        <f>'GPC Data'!AI175</f>
        <v>0</v>
      </c>
      <c r="H128" s="972">
        <f>'GPC Data'!AJ175</f>
        <v>0</v>
      </c>
      <c r="I128" s="972">
        <f>'GPC Data'!AK175</f>
        <v>0</v>
      </c>
      <c r="J128" s="972">
        <f>'GPC Data'!AL175</f>
        <v>0</v>
      </c>
      <c r="K128" s="973"/>
      <c r="L128" s="963"/>
      <c r="P128" s="443" t="s">
        <v>106</v>
      </c>
      <c r="Q128" s="427"/>
      <c r="R128" s="427"/>
      <c r="S128" s="427"/>
      <c r="T128" s="427" t="s">
        <v>1443</v>
      </c>
      <c r="U128" s="427" t="s">
        <v>1443</v>
      </c>
      <c r="V128" s="427" t="s">
        <v>1443</v>
      </c>
      <c r="W128" s="232"/>
      <c r="X128" s="232"/>
      <c r="Y128" s="232"/>
      <c r="Z128" s="232"/>
    </row>
    <row r="129" spans="4:26" ht="12" thickBot="1">
      <c r="D129" s="945" t="str">
        <f>WACC!C47</f>
        <v>Comp 19</v>
      </c>
      <c r="E129" s="971">
        <f>'GPC Data'!P40</f>
        <v>0</v>
      </c>
      <c r="F129" s="972">
        <f>'GPC Data'!AH176</f>
        <v>0</v>
      </c>
      <c r="G129" s="972">
        <f>'GPC Data'!AI176</f>
        <v>0</v>
      </c>
      <c r="H129" s="972">
        <f>'GPC Data'!AJ176</f>
        <v>0</v>
      </c>
      <c r="I129" s="972">
        <f>'GPC Data'!AK176</f>
        <v>0</v>
      </c>
      <c r="J129" s="972">
        <f>'GPC Data'!AL176</f>
        <v>0</v>
      </c>
      <c r="K129" s="973"/>
      <c r="L129" s="963"/>
      <c r="P129" s="443" t="s">
        <v>106</v>
      </c>
      <c r="Q129" s="427"/>
      <c r="R129" s="427"/>
      <c r="S129" s="427"/>
      <c r="T129" s="427" t="s">
        <v>1443</v>
      </c>
      <c r="U129" s="427" t="s">
        <v>1443</v>
      </c>
      <c r="V129" s="427" t="s">
        <v>1443</v>
      </c>
      <c r="W129" s="232"/>
      <c r="X129" s="232"/>
      <c r="Y129" s="232"/>
      <c r="Z129" s="232"/>
    </row>
    <row r="130" spans="4:26" ht="12" thickBot="1">
      <c r="D130" s="945" t="str">
        <f>WACC!C48</f>
        <v>Comp 20</v>
      </c>
      <c r="E130" s="971">
        <f>'GPC Data'!P41</f>
        <v>0</v>
      </c>
      <c r="F130" s="972">
        <f>'GPC Data'!AH177</f>
        <v>0</v>
      </c>
      <c r="G130" s="972">
        <f>'GPC Data'!AI177</f>
        <v>0</v>
      </c>
      <c r="H130" s="972">
        <f>'GPC Data'!AJ177</f>
        <v>0</v>
      </c>
      <c r="I130" s="972">
        <f>'GPC Data'!AK177</f>
        <v>0</v>
      </c>
      <c r="J130" s="972">
        <f>'GPC Data'!AL177</f>
        <v>0</v>
      </c>
      <c r="K130" s="973"/>
      <c r="L130" s="963"/>
      <c r="P130" s="443" t="s">
        <v>106</v>
      </c>
      <c r="Q130" s="427"/>
      <c r="R130" s="427"/>
      <c r="S130" s="427"/>
      <c r="T130" s="427" t="s">
        <v>1443</v>
      </c>
      <c r="U130" s="427" t="s">
        <v>1443</v>
      </c>
      <c r="V130" s="427" t="s">
        <v>1443</v>
      </c>
      <c r="W130" s="232"/>
      <c r="X130" s="232"/>
      <c r="Y130" s="232"/>
      <c r="Z130" s="232"/>
    </row>
    <row r="131" spans="4:26" ht="12" thickBot="1">
      <c r="D131" s="945" t="str">
        <f>WACC!C49</f>
        <v>Comp 21</v>
      </c>
      <c r="E131" s="971">
        <f>'GPC Data'!P42</f>
        <v>0</v>
      </c>
      <c r="F131" s="972">
        <f>'GPC Data'!AH178</f>
        <v>0</v>
      </c>
      <c r="G131" s="972">
        <f>'GPC Data'!AI178</f>
        <v>0</v>
      </c>
      <c r="H131" s="972">
        <f>'GPC Data'!AJ178</f>
        <v>0</v>
      </c>
      <c r="I131" s="972">
        <f>'GPC Data'!AK178</f>
        <v>0</v>
      </c>
      <c r="J131" s="972">
        <f>'GPC Data'!AL178</f>
        <v>0</v>
      </c>
      <c r="K131" s="973"/>
      <c r="L131" s="963"/>
      <c r="P131" s="443" t="s">
        <v>106</v>
      </c>
      <c r="Q131" s="427"/>
      <c r="R131" s="427"/>
      <c r="S131" s="427"/>
      <c r="T131" s="427" t="s">
        <v>1443</v>
      </c>
      <c r="U131" s="427" t="s">
        <v>1443</v>
      </c>
      <c r="V131" s="427" t="s">
        <v>1443</v>
      </c>
      <c r="W131" s="232"/>
      <c r="X131" s="232"/>
      <c r="Y131" s="232"/>
      <c r="Z131" s="232"/>
    </row>
    <row r="132" spans="4:26" ht="12" thickBot="1">
      <c r="D132" s="945" t="str">
        <f>WACC!C50</f>
        <v>Comp 22</v>
      </c>
      <c r="E132" s="971">
        <f>'GPC Data'!P43</f>
        <v>0</v>
      </c>
      <c r="F132" s="972">
        <f>'GPC Data'!AH179</f>
        <v>0</v>
      </c>
      <c r="G132" s="972">
        <f>'GPC Data'!AI179</f>
        <v>0</v>
      </c>
      <c r="H132" s="972">
        <f>'GPC Data'!AJ179</f>
        <v>0</v>
      </c>
      <c r="I132" s="972">
        <f>'GPC Data'!AK179</f>
        <v>0</v>
      </c>
      <c r="J132" s="972">
        <f>'GPC Data'!AL179</f>
        <v>0</v>
      </c>
      <c r="K132" s="973"/>
      <c r="L132" s="963"/>
      <c r="P132" s="443" t="s">
        <v>106</v>
      </c>
      <c r="Q132" s="427"/>
      <c r="R132" s="427"/>
      <c r="S132" s="427"/>
      <c r="T132" s="427" t="s">
        <v>1443</v>
      </c>
      <c r="U132" s="427" t="s">
        <v>1443</v>
      </c>
      <c r="V132" s="427" t="s">
        <v>1443</v>
      </c>
      <c r="W132" s="232"/>
      <c r="X132" s="232"/>
      <c r="Y132" s="232"/>
      <c r="Z132" s="232"/>
    </row>
    <row r="133" spans="4:26" ht="12" thickBot="1">
      <c r="D133" s="945" t="str">
        <f>WACC!C51</f>
        <v>Comp 23</v>
      </c>
      <c r="E133" s="971">
        <f>'GPC Data'!P44</f>
        <v>0</v>
      </c>
      <c r="F133" s="972">
        <f>'GPC Data'!AH180</f>
        <v>0</v>
      </c>
      <c r="G133" s="972">
        <f>'GPC Data'!AI180</f>
        <v>0</v>
      </c>
      <c r="H133" s="972">
        <f>'GPC Data'!AJ180</f>
        <v>0</v>
      </c>
      <c r="I133" s="972">
        <f>'GPC Data'!AK180</f>
        <v>0</v>
      </c>
      <c r="J133" s="972">
        <f>'GPC Data'!AL180</f>
        <v>0</v>
      </c>
      <c r="K133" s="973"/>
      <c r="L133" s="963"/>
      <c r="P133" s="443" t="s">
        <v>106</v>
      </c>
      <c r="Q133" s="427"/>
      <c r="R133" s="427"/>
      <c r="S133" s="427"/>
      <c r="T133" s="427" t="s">
        <v>1443</v>
      </c>
      <c r="U133" s="427" t="s">
        <v>1443</v>
      </c>
      <c r="V133" s="427" t="s">
        <v>1443</v>
      </c>
      <c r="W133" s="232"/>
      <c r="X133" s="232"/>
      <c r="Y133" s="232"/>
      <c r="Z133" s="232"/>
    </row>
    <row r="134" spans="4:26" ht="12" thickBot="1">
      <c r="D134" s="945" t="str">
        <f>WACC!C52</f>
        <v>Comp 24</v>
      </c>
      <c r="E134" s="971">
        <f>'GPC Data'!P45</f>
        <v>0</v>
      </c>
      <c r="F134" s="972">
        <f>'GPC Data'!AH181</f>
        <v>0</v>
      </c>
      <c r="G134" s="972">
        <f>'GPC Data'!AI181</f>
        <v>0</v>
      </c>
      <c r="H134" s="972">
        <f>'GPC Data'!AJ181</f>
        <v>0</v>
      </c>
      <c r="I134" s="972">
        <f>'GPC Data'!AK181</f>
        <v>0</v>
      </c>
      <c r="J134" s="972">
        <f>'GPC Data'!AL181</f>
        <v>0</v>
      </c>
      <c r="K134" s="973"/>
      <c r="L134" s="963"/>
      <c r="P134" s="443" t="s">
        <v>106</v>
      </c>
      <c r="Q134" s="427"/>
      <c r="R134" s="427"/>
      <c r="S134" s="427"/>
      <c r="T134" s="427" t="s">
        <v>1443</v>
      </c>
      <c r="U134" s="427" t="s">
        <v>1443</v>
      </c>
      <c r="V134" s="427" t="s">
        <v>1443</v>
      </c>
      <c r="W134" s="232"/>
      <c r="X134" s="232"/>
      <c r="Y134" s="232"/>
      <c r="Z134" s="232"/>
    </row>
    <row r="135" spans="4:26" ht="12" thickBot="1">
      <c r="D135" s="945" t="str">
        <f>WACC!C53</f>
        <v>Comp 25</v>
      </c>
      <c r="E135" s="971">
        <f>'GPC Data'!P46</f>
        <v>0</v>
      </c>
      <c r="F135" s="972">
        <f>'GPC Data'!AH182</f>
        <v>0</v>
      </c>
      <c r="G135" s="972">
        <f>'GPC Data'!AI182</f>
        <v>0</v>
      </c>
      <c r="H135" s="972">
        <f>'GPC Data'!AJ182</f>
        <v>0</v>
      </c>
      <c r="I135" s="972">
        <f>'GPC Data'!AK182</f>
        <v>0</v>
      </c>
      <c r="J135" s="972">
        <f>'GPC Data'!AL182</f>
        <v>0</v>
      </c>
      <c r="K135" s="973"/>
      <c r="L135" s="963"/>
      <c r="P135" s="443" t="s">
        <v>106</v>
      </c>
      <c r="Q135" s="427"/>
      <c r="R135" s="427"/>
      <c r="S135" s="427"/>
      <c r="T135" s="427" t="s">
        <v>1443</v>
      </c>
      <c r="U135" s="427" t="s">
        <v>1443</v>
      </c>
      <c r="V135" s="427" t="s">
        <v>1443</v>
      </c>
      <c r="W135" s="232"/>
      <c r="X135" s="232"/>
      <c r="Y135" s="232"/>
      <c r="Z135" s="232"/>
    </row>
    <row r="136" spans="4:26" ht="12" thickBot="1">
      <c r="D136" s="945" t="str">
        <f>WACC!C54</f>
        <v>Comp 26</v>
      </c>
      <c r="E136" s="971">
        <f>'GPC Data'!P47</f>
        <v>0</v>
      </c>
      <c r="F136" s="972">
        <f>'GPC Data'!AH183</f>
        <v>0</v>
      </c>
      <c r="G136" s="972">
        <f>'GPC Data'!AI183</f>
        <v>0</v>
      </c>
      <c r="H136" s="972">
        <f>'GPC Data'!AJ183</f>
        <v>0</v>
      </c>
      <c r="I136" s="972">
        <f>'GPC Data'!AK183</f>
        <v>0</v>
      </c>
      <c r="J136" s="972">
        <f>'GPC Data'!AL183</f>
        <v>0</v>
      </c>
      <c r="K136" s="973"/>
      <c r="L136" s="963"/>
      <c r="P136" s="443" t="s">
        <v>106</v>
      </c>
      <c r="Q136" s="427"/>
      <c r="R136" s="427"/>
      <c r="S136" s="427"/>
      <c r="T136" s="427" t="s">
        <v>1443</v>
      </c>
      <c r="U136" s="427" t="s">
        <v>1443</v>
      </c>
      <c r="V136" s="427" t="s">
        <v>1443</v>
      </c>
      <c r="W136" s="232"/>
      <c r="X136" s="232"/>
      <c r="Y136" s="232"/>
      <c r="Z136" s="232"/>
    </row>
    <row r="137" spans="4:26" ht="12" thickBot="1">
      <c r="D137" s="945" t="str">
        <f>WACC!C55</f>
        <v>Comp 27</v>
      </c>
      <c r="E137" s="971">
        <f>'GPC Data'!P48</f>
        <v>0</v>
      </c>
      <c r="F137" s="972">
        <f>'GPC Data'!AH184</f>
        <v>0</v>
      </c>
      <c r="G137" s="972">
        <f>'GPC Data'!AI184</f>
        <v>0</v>
      </c>
      <c r="H137" s="972">
        <f>'GPC Data'!AJ184</f>
        <v>0</v>
      </c>
      <c r="I137" s="972">
        <f>'GPC Data'!AK184</f>
        <v>0</v>
      </c>
      <c r="J137" s="972">
        <f>'GPC Data'!AL184</f>
        <v>0</v>
      </c>
      <c r="K137" s="973"/>
      <c r="L137" s="963"/>
      <c r="P137" s="443" t="s">
        <v>106</v>
      </c>
      <c r="Q137" s="427"/>
      <c r="R137" s="427"/>
      <c r="S137" s="427"/>
      <c r="T137" s="427" t="s">
        <v>1443</v>
      </c>
      <c r="U137" s="427" t="s">
        <v>1443</v>
      </c>
      <c r="V137" s="427" t="s">
        <v>1443</v>
      </c>
      <c r="W137" s="232"/>
      <c r="X137" s="232"/>
      <c r="Y137" s="232"/>
      <c r="Z137" s="232"/>
    </row>
    <row r="138" spans="4:26" ht="12" thickBot="1">
      <c r="D138" s="945" t="str">
        <f>WACC!C56</f>
        <v>Comp 28</v>
      </c>
      <c r="E138" s="971">
        <f>'GPC Data'!P49</f>
        <v>0</v>
      </c>
      <c r="F138" s="972">
        <f>'GPC Data'!AH185</f>
        <v>0</v>
      </c>
      <c r="G138" s="972">
        <f>'GPC Data'!AI185</f>
        <v>0</v>
      </c>
      <c r="H138" s="972">
        <f>'GPC Data'!AJ185</f>
        <v>0</v>
      </c>
      <c r="I138" s="972">
        <f>'GPC Data'!AK185</f>
        <v>0</v>
      </c>
      <c r="J138" s="972">
        <f>'GPC Data'!AL185</f>
        <v>0</v>
      </c>
      <c r="K138" s="973"/>
      <c r="L138" s="963"/>
      <c r="P138" s="443" t="s">
        <v>106</v>
      </c>
      <c r="Q138" s="427"/>
      <c r="R138" s="427"/>
      <c r="S138" s="427"/>
      <c r="T138" s="427" t="s">
        <v>1443</v>
      </c>
      <c r="U138" s="427" t="s">
        <v>1443</v>
      </c>
      <c r="V138" s="427" t="s">
        <v>1443</v>
      </c>
      <c r="W138" s="232"/>
      <c r="X138" s="232"/>
      <c r="Y138" s="232"/>
      <c r="Z138" s="232"/>
    </row>
    <row r="139" spans="4:26" ht="12" thickBot="1">
      <c r="D139" s="945" t="str">
        <f>WACC!C57</f>
        <v>Comp 29</v>
      </c>
      <c r="E139" s="971">
        <f>'GPC Data'!P50</f>
        <v>0</v>
      </c>
      <c r="F139" s="972">
        <f>'GPC Data'!AH186</f>
        <v>0</v>
      </c>
      <c r="G139" s="972">
        <f>'GPC Data'!AI186</f>
        <v>0</v>
      </c>
      <c r="H139" s="972">
        <f>'GPC Data'!AJ186</f>
        <v>0</v>
      </c>
      <c r="I139" s="972">
        <f>'GPC Data'!AK186</f>
        <v>0</v>
      </c>
      <c r="J139" s="972">
        <f>'GPC Data'!AL186</f>
        <v>0</v>
      </c>
      <c r="K139" s="973"/>
      <c r="L139" s="963"/>
      <c r="P139" s="443" t="s">
        <v>106</v>
      </c>
      <c r="Q139" s="427"/>
      <c r="R139" s="427"/>
      <c r="S139" s="427"/>
      <c r="T139" s="427" t="s">
        <v>1443</v>
      </c>
      <c r="U139" s="427" t="s">
        <v>1443</v>
      </c>
      <c r="V139" s="427" t="s">
        <v>1443</v>
      </c>
      <c r="W139" s="232"/>
      <c r="X139" s="232"/>
      <c r="Y139" s="232"/>
      <c r="Z139" s="232"/>
    </row>
    <row r="140" spans="4:26" ht="12" thickBot="1">
      <c r="D140" s="945" t="str">
        <f>WACC!C58</f>
        <v>Comp 30</v>
      </c>
      <c r="E140" s="971">
        <f>'GPC Data'!P51</f>
        <v>0</v>
      </c>
      <c r="F140" s="972">
        <f>'GPC Data'!AH187</f>
        <v>0</v>
      </c>
      <c r="G140" s="972">
        <f>'GPC Data'!AI187</f>
        <v>0</v>
      </c>
      <c r="H140" s="972">
        <f>'GPC Data'!AJ187</f>
        <v>0</v>
      </c>
      <c r="I140" s="972">
        <f>'GPC Data'!AK187</f>
        <v>0</v>
      </c>
      <c r="J140" s="972">
        <f>'GPC Data'!AL187</f>
        <v>0</v>
      </c>
      <c r="K140" s="973"/>
      <c r="L140" s="963"/>
      <c r="P140" s="443" t="s">
        <v>106</v>
      </c>
      <c r="Q140" s="427"/>
      <c r="R140" s="427"/>
      <c r="S140" s="427"/>
      <c r="T140" s="427" t="s">
        <v>1443</v>
      </c>
      <c r="U140" s="427" t="s">
        <v>1443</v>
      </c>
      <c r="V140" s="427" t="s">
        <v>1443</v>
      </c>
      <c r="W140" s="232"/>
      <c r="X140" s="232"/>
      <c r="Y140" s="232"/>
      <c r="Z140" s="232"/>
    </row>
    <row r="141" spans="4:26">
      <c r="D141" s="974"/>
      <c r="E141" s="974"/>
      <c r="F141" s="975"/>
      <c r="G141" s="975"/>
      <c r="H141" s="975"/>
      <c r="I141" s="975"/>
      <c r="J141" s="975"/>
      <c r="K141" s="974"/>
      <c r="L141" s="867"/>
      <c r="M141" s="867"/>
      <c r="N141" s="868"/>
      <c r="O141" s="868"/>
      <c r="P141" s="867"/>
      <c r="Q141" s="867"/>
      <c r="R141" s="867"/>
      <c r="S141" s="867"/>
    </row>
    <row r="142" spans="4:26">
      <c r="E142" s="912" t="s">
        <v>209</v>
      </c>
      <c r="F142" s="913">
        <f>MAX(F111:F140)</f>
        <v>0</v>
      </c>
      <c r="G142" s="913">
        <f>MAX(G111:G140)</f>
        <v>0</v>
      </c>
      <c r="H142" s="913">
        <f>MAX(H111:H140)</f>
        <v>0</v>
      </c>
      <c r="I142" s="913">
        <f>MAX(I111:I140)</f>
        <v>0</v>
      </c>
      <c r="J142" s="913">
        <f>MAX(J111:J140)</f>
        <v>0</v>
      </c>
      <c r="K142" s="868"/>
      <c r="L142" s="918"/>
      <c r="M142" s="868"/>
      <c r="N142" s="868"/>
      <c r="O142" s="868"/>
      <c r="P142" s="868"/>
      <c r="Q142" s="868"/>
      <c r="R142" s="868"/>
      <c r="S142" s="868"/>
    </row>
    <row r="143" spans="4:26">
      <c r="E143" s="914" t="s">
        <v>1419</v>
      </c>
      <c r="F143" s="915">
        <f>PERCENTILE(F111:F140,0.75)</f>
        <v>0</v>
      </c>
      <c r="G143" s="915">
        <f>PERCENTILE(G111:G140,0.75)</f>
        <v>0</v>
      </c>
      <c r="H143" s="915">
        <f>PERCENTILE(H111:H140,0.75)</f>
        <v>0</v>
      </c>
      <c r="I143" s="915">
        <f>PERCENTILE(I111:I140,0.75)</f>
        <v>0</v>
      </c>
      <c r="J143" s="915">
        <f>PERCENTILE(J111:J140,0.75)</f>
        <v>0</v>
      </c>
      <c r="K143" s="868"/>
      <c r="L143" s="918"/>
      <c r="M143" s="868"/>
      <c r="N143" s="868"/>
      <c r="O143" s="868"/>
      <c r="P143" s="868"/>
      <c r="Q143" s="868"/>
      <c r="R143" s="868"/>
      <c r="S143" s="868"/>
    </row>
    <row r="144" spans="4:26">
      <c r="E144" s="914" t="s">
        <v>1369</v>
      </c>
      <c r="F144" s="915">
        <f>AVERAGE(F111:F140)</f>
        <v>0</v>
      </c>
      <c r="G144" s="915">
        <f>AVERAGE(G111:G140)</f>
        <v>0</v>
      </c>
      <c r="H144" s="915">
        <f>AVERAGE(H111:H140)</f>
        <v>0</v>
      </c>
      <c r="I144" s="915">
        <f>AVERAGE(I111:I140)</f>
        <v>0</v>
      </c>
      <c r="J144" s="915">
        <f>AVERAGE(J111:J140)</f>
        <v>0</v>
      </c>
      <c r="K144" s="868"/>
      <c r="L144" s="918"/>
      <c r="M144" s="868"/>
      <c r="N144" s="868"/>
      <c r="O144" s="868"/>
      <c r="P144" s="868"/>
      <c r="Q144" s="868"/>
      <c r="R144" s="868"/>
      <c r="S144" s="868"/>
    </row>
    <row r="145" spans="5:19">
      <c r="E145" s="879" t="s">
        <v>1370</v>
      </c>
      <c r="F145" s="877">
        <f>MEDIAN(F111:F140)</f>
        <v>0</v>
      </c>
      <c r="G145" s="877">
        <f>MEDIAN(G111:G140)</f>
        <v>0</v>
      </c>
      <c r="H145" s="877">
        <f>MEDIAN(H111:H140)</f>
        <v>0</v>
      </c>
      <c r="I145" s="877">
        <f>MEDIAN(I111:I140)</f>
        <v>0</v>
      </c>
      <c r="J145" s="877">
        <f>MEDIAN(J111:J140)</f>
        <v>0</v>
      </c>
      <c r="K145" s="868"/>
      <c r="L145" s="918"/>
      <c r="M145" s="868"/>
      <c r="N145" s="868"/>
      <c r="O145" s="868"/>
      <c r="P145" s="868"/>
      <c r="Q145" s="868"/>
      <c r="R145" s="868"/>
      <c r="S145" s="868"/>
    </row>
    <row r="146" spans="5:19">
      <c r="E146" s="914" t="s">
        <v>1420</v>
      </c>
      <c r="F146" s="915">
        <f>PERCENTILE(F111:F140,0.25)</f>
        <v>0</v>
      </c>
      <c r="G146" s="915">
        <f>PERCENTILE(G111:G140,0.25)</f>
        <v>0</v>
      </c>
      <c r="H146" s="915">
        <f>PERCENTILE(H111:H140,0.25)</f>
        <v>0</v>
      </c>
      <c r="I146" s="915">
        <f>PERCENTILE(I111:I140,0.25)</f>
        <v>0</v>
      </c>
      <c r="J146" s="915">
        <f>PERCENTILE(J111:J140,0.25)</f>
        <v>0</v>
      </c>
      <c r="K146" s="868"/>
      <c r="L146" s="918"/>
      <c r="M146" s="868"/>
      <c r="N146" s="868"/>
      <c r="O146" s="868"/>
      <c r="P146" s="868"/>
      <c r="Q146" s="868"/>
      <c r="R146" s="868"/>
      <c r="S146" s="868"/>
    </row>
    <row r="147" spans="5:19">
      <c r="E147" s="916" t="s">
        <v>208</v>
      </c>
      <c r="F147" s="917">
        <f>MIN(F111:F140)</f>
        <v>0</v>
      </c>
      <c r="G147" s="917">
        <f>MIN(G111:G140)</f>
        <v>0</v>
      </c>
      <c r="H147" s="917">
        <f>MIN(H111:H140)</f>
        <v>0</v>
      </c>
      <c r="I147" s="917">
        <f>MIN(I111:I140)</f>
        <v>0</v>
      </c>
      <c r="J147" s="917">
        <f>MIN(J111:J140)</f>
        <v>0</v>
      </c>
      <c r="K147" s="868"/>
      <c r="L147" s="918"/>
      <c r="M147" s="868"/>
      <c r="N147" s="868"/>
      <c r="O147" s="868"/>
      <c r="P147" s="868"/>
      <c r="Q147" s="868"/>
      <c r="R147" s="868"/>
      <c r="S147" s="868"/>
    </row>
    <row r="148" spans="5:19">
      <c r="E148" s="918"/>
      <c r="F148" s="811"/>
      <c r="G148" s="811"/>
      <c r="H148" s="811"/>
      <c r="I148" s="811"/>
      <c r="J148" s="811"/>
      <c r="K148" s="868"/>
      <c r="L148" s="918"/>
      <c r="M148" s="868"/>
      <c r="N148" s="868"/>
      <c r="O148" s="868"/>
      <c r="P148" s="868"/>
      <c r="Q148" s="868"/>
      <c r="R148" s="868"/>
      <c r="S148" s="868"/>
    </row>
    <row r="149" spans="5:19">
      <c r="E149" s="466" t="s">
        <v>1371</v>
      </c>
      <c r="F149" s="811"/>
      <c r="G149" s="811"/>
      <c r="H149" s="811"/>
      <c r="I149" s="811"/>
      <c r="J149" s="811"/>
      <c r="K149" s="868"/>
      <c r="L149" s="918"/>
      <c r="M149" s="868"/>
      <c r="N149" s="868"/>
      <c r="O149" s="868"/>
      <c r="P149" s="868"/>
      <c r="Q149" s="868"/>
      <c r="R149" s="868"/>
      <c r="S149" s="868"/>
    </row>
    <row r="150" spans="5:19">
      <c r="E150" s="912" t="s">
        <v>209</v>
      </c>
      <c r="F150" s="913">
        <f t="array" ref="F150">IFERROR(MAX(IF($P$111:$P$140="No",F111:F140)),"")</f>
        <v>0</v>
      </c>
      <c r="G150" s="913">
        <f t="array" ref="G150">IFERROR(MAX(IF($P$111:$P$140="No",G111:G140)),"")</f>
        <v>0</v>
      </c>
      <c r="H150" s="913">
        <f t="array" ref="H150">IFERROR(MAX(IF($P$111:$P$140="No",H111:H140)),"")</f>
        <v>0</v>
      </c>
      <c r="I150" s="913">
        <f t="array" ref="I150">IFERROR(MAX(IF($P$111:$P$140="No",I111:I140)),"")</f>
        <v>0</v>
      </c>
      <c r="J150" s="913">
        <f t="array" ref="J150">IFERROR(MAX(IF($P$111:$P$140="No",J111:J140)),"")</f>
        <v>0</v>
      </c>
      <c r="K150" s="868"/>
      <c r="L150" s="918"/>
      <c r="M150" s="868"/>
      <c r="N150" s="868"/>
      <c r="O150" s="868"/>
      <c r="P150" s="868"/>
      <c r="Q150" s="868"/>
      <c r="R150" s="868"/>
      <c r="S150" s="868"/>
    </row>
    <row r="151" spans="5:19">
      <c r="E151" s="914" t="s">
        <v>1419</v>
      </c>
      <c r="F151" s="915">
        <f t="array" ref="F151">PERCENTILE(IF($P$111:$P$140="No",F111:F140),0.75)</f>
        <v>0</v>
      </c>
      <c r="G151" s="915">
        <f t="array" ref="G151">PERCENTILE(IF($P$111:$P$140="No",G111:G140),0.75)</f>
        <v>0</v>
      </c>
      <c r="H151" s="915">
        <f t="array" ref="H151">PERCENTILE(IF($P$111:$P$140="No",H111:H140),0.75)</f>
        <v>0</v>
      </c>
      <c r="I151" s="915">
        <f t="array" ref="I151">PERCENTILE(IF($P$111:$P$140="No",I111:I140),0.75)</f>
        <v>0</v>
      </c>
      <c r="J151" s="915">
        <f t="array" ref="J151">PERCENTILE(IF($P$111:$P$140="No",J111:J140),0.75)</f>
        <v>0</v>
      </c>
      <c r="K151" s="868"/>
      <c r="L151" s="918"/>
      <c r="M151" s="868"/>
      <c r="N151" s="868"/>
      <c r="O151" s="868"/>
      <c r="P151" s="868"/>
      <c r="Q151" s="868"/>
      <c r="R151" s="868"/>
      <c r="S151" s="868"/>
    </row>
    <row r="152" spans="5:19">
      <c r="E152" s="914" t="s">
        <v>1369</v>
      </c>
      <c r="F152" s="915">
        <f t="array" ref="F152">IFERROR(AVERAGEIF($P$111:$P$140,"No",F111:F140),"")</f>
        <v>0</v>
      </c>
      <c r="G152" s="915">
        <f t="array" ref="G152">IFERROR(AVERAGEIF($P$111:$P$140,"No",G111:G140),"")</f>
        <v>0</v>
      </c>
      <c r="H152" s="915">
        <f>IFERROR(AVERAGEIF($P$111:$P$140,"No",H111:H140),"")</f>
        <v>0</v>
      </c>
      <c r="I152" s="915">
        <f t="array" ref="I152">IFERROR(AVERAGEIF($P$111:$P$140,"No",I111:I140),"")</f>
        <v>0</v>
      </c>
      <c r="J152" s="915">
        <f t="array" ref="J152">IFERROR(AVERAGEIF($P$111:$P$140,"No",J111:J140),"")</f>
        <v>0</v>
      </c>
      <c r="K152" s="868"/>
      <c r="L152" s="918"/>
      <c r="M152" s="868"/>
      <c r="N152" s="868"/>
      <c r="O152" s="868"/>
      <c r="P152" s="868"/>
      <c r="Q152" s="868"/>
      <c r="R152" s="868"/>
      <c r="S152" s="868"/>
    </row>
    <row r="153" spans="5:19">
      <c r="E153" s="879" t="s">
        <v>1370</v>
      </c>
      <c r="F153" s="877">
        <f t="array" ref="F153">IFERROR(MEDIAN(IF($P$111:$P$140="No",F111:F140)),"")</f>
        <v>0</v>
      </c>
      <c r="G153" s="877">
        <f t="array" ref="G153">IFERROR(MEDIAN(IF($P$111:$P$140="No",G111:G140)),"")</f>
        <v>0</v>
      </c>
      <c r="H153" s="877">
        <f t="array" ref="H153">IFERROR(MEDIAN(IF($P$111:$P$140="No",H111:H140)),"")</f>
        <v>0</v>
      </c>
      <c r="I153" s="877">
        <f t="array" ref="I153">IFERROR(MEDIAN(IF($P$111:$P$140="No",I111:I140)),"")</f>
        <v>0</v>
      </c>
      <c r="J153" s="877">
        <f t="array" ref="J153">IFERROR(MEDIAN(IF($P$111:$P$140="No",J111:J140)),"")</f>
        <v>0</v>
      </c>
      <c r="K153" s="868"/>
      <c r="L153" s="918"/>
      <c r="M153" s="868"/>
      <c r="N153" s="868"/>
      <c r="O153" s="868"/>
      <c r="P153" s="868"/>
      <c r="Q153" s="868"/>
      <c r="R153" s="868"/>
      <c r="S153" s="868"/>
    </row>
    <row r="154" spans="5:19">
      <c r="E154" s="914" t="s">
        <v>1420</v>
      </c>
      <c r="F154" s="915">
        <f t="array" ref="F154">PERCENTILE(IF($P$111:$P$140="No",F111:F140),0.25)</f>
        <v>0</v>
      </c>
      <c r="G154" s="915">
        <f t="array" ref="G154">PERCENTILE(IF($P$111:$P$140="No",G111:G140),0.25)</f>
        <v>0</v>
      </c>
      <c r="H154" s="915">
        <f t="array" ref="H154">PERCENTILE(IF($P$111:$P$140="No",H111:H140),0.25)</f>
        <v>0</v>
      </c>
      <c r="I154" s="915">
        <f t="array" ref="I154">PERCENTILE(IF($P$111:$P$140="No",I111:I140),0.25)</f>
        <v>0</v>
      </c>
      <c r="J154" s="915">
        <f t="array" ref="J154">PERCENTILE(IF($P$111:$P$140="No",J111:J140),0.25)</f>
        <v>0</v>
      </c>
      <c r="K154" s="868"/>
      <c r="L154" s="918"/>
      <c r="M154" s="868"/>
      <c r="N154" s="868"/>
      <c r="O154" s="868"/>
      <c r="P154" s="868"/>
      <c r="Q154" s="868"/>
      <c r="R154" s="868"/>
      <c r="S154" s="868"/>
    </row>
    <row r="155" spans="5:19">
      <c r="E155" s="916" t="s">
        <v>208</v>
      </c>
      <c r="F155" s="917">
        <f t="array" ref="F155">IFERROR(MIN(IF($P$111:$P$140="No",F111:F140)),"")</f>
        <v>0</v>
      </c>
      <c r="G155" s="917">
        <f t="array" ref="G155">IFERROR(MIN(IF($P$111:$P$140="No",G111:G140)),"")</f>
        <v>0</v>
      </c>
      <c r="H155" s="917">
        <f t="array" ref="H155">IFERROR(MIN(IF($P$111:$P$140="No",H111:H140)),"")</f>
        <v>0</v>
      </c>
      <c r="I155" s="917">
        <f t="array" ref="I155">IFERROR(MIN(IF($P$111:$P$140="No",I111:I140)),"")</f>
        <v>0</v>
      </c>
      <c r="J155" s="917">
        <f t="array" ref="J155">IFERROR(MIN(IF($P$111:$P$140="No",J111:J140)),"")</f>
        <v>0</v>
      </c>
      <c r="K155" s="868"/>
      <c r="L155" s="918"/>
      <c r="M155" s="868"/>
      <c r="N155" s="868"/>
      <c r="O155" s="868"/>
      <c r="P155" s="868"/>
      <c r="Q155" s="868"/>
      <c r="R155" s="868"/>
      <c r="S155" s="868"/>
    </row>
  </sheetData>
  <mergeCells count="5">
    <mergeCell ref="F109:J109"/>
    <mergeCell ref="K109:L109"/>
    <mergeCell ref="F8:J8"/>
    <mergeCell ref="Q3:R4"/>
    <mergeCell ref="K8:M8"/>
  </mergeCells>
  <conditionalFormatting sqref="D111:J140">
    <cfRule type="expression" dxfId="2" priority="124">
      <formula>$P111="Yes"</formula>
    </cfRule>
  </conditionalFormatting>
  <dataValidations count="2">
    <dataValidation allowBlank="1" showInputMessage="1" showErrorMessage="1" promptTitle="Warning:" prompt="Ensure cell value is consistent with that in GPCRevGrowth tab, Cell AE2_x000a_" sqref="Q3:R4" xr:uid="{00000000-0002-0000-0D00-000001000000}"/>
    <dataValidation type="list" allowBlank="1" showInputMessage="1" showErrorMessage="1" sqref="P10:P39 P61:P90 P111:P140" xr:uid="{00000000-0002-0000-0D00-000000000000}">
      <formula1>"Yes, No"</formula1>
    </dataValidation>
  </dataValidations>
  <pageMargins left="0.7" right="0.7" top="0.75" bottom="0.75" header="0.3" footer="0.3"/>
  <pageSetup scale="24" orientation="landscape" r:id="rId1"/>
  <headerFooter>
    <oddHeader>&amp;R&amp;"Arial"&amp;8&amp;K000000Confidential&amp;1#</oddHead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6D4C9653-6F91-4C20-A5E9-E1DFCBBCE5CD}">
            <xm:f>$Q$3&lt;&gt;Growth!AA2</xm:f>
            <x14:dxf>
              <font>
                <b/>
                <i val="0"/>
                <color rgb="FFC00000"/>
              </font>
              <fill>
                <patternFill>
                  <bgColor theme="5" tint="0.39994506668294322"/>
                </patternFill>
              </fill>
            </x14:dxf>
          </x14:cfRule>
          <xm:sqref>Q3:R4</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
    <tabColor theme="7"/>
  </sheetPr>
  <dimension ref="A2:T34"/>
  <sheetViews>
    <sheetView showGridLines="0" zoomScale="83" zoomScaleNormal="83" workbookViewId="0">
      <selection activeCell="A37" sqref="A37:XFD72"/>
    </sheetView>
  </sheetViews>
  <sheetFormatPr defaultColWidth="8.88671875" defaultRowHeight="11.25"/>
  <cols>
    <col min="1" max="1" width="4.44140625" style="63" customWidth="1"/>
    <col min="2" max="2" width="13.44140625" style="63" customWidth="1"/>
    <col min="3" max="3" width="43.88671875" style="63" customWidth="1"/>
    <col min="4" max="7" width="8.88671875" style="63"/>
    <col min="8" max="8" width="10.88671875" style="63" bestFit="1" customWidth="1"/>
    <col min="9" max="9" width="10.109375" style="63" customWidth="1"/>
    <col min="10" max="11" width="9.109375" style="63" bestFit="1" customWidth="1"/>
    <col min="12" max="12" width="15.109375" style="63" customWidth="1"/>
    <col min="13" max="13" width="36.44140625" style="63" customWidth="1"/>
    <col min="14" max="16384" width="8.88671875" style="63"/>
  </cols>
  <sheetData>
    <row r="2" spans="1:20" ht="21" customHeight="1">
      <c r="B2" s="995" t="s">
        <v>1783</v>
      </c>
      <c r="L2" s="995" t="s">
        <v>1784</v>
      </c>
    </row>
    <row r="3" spans="1:20">
      <c r="B3" s="239"/>
      <c r="C3" s="979"/>
      <c r="D3" s="985"/>
      <c r="E3" s="985"/>
      <c r="F3" s="985"/>
      <c r="G3" s="985"/>
      <c r="H3" s="985"/>
      <c r="I3" s="985"/>
      <c r="J3" s="985"/>
      <c r="L3" s="239"/>
      <c r="M3" s="979"/>
      <c r="N3" s="985"/>
      <c r="O3" s="985"/>
      <c r="P3" s="985"/>
      <c r="Q3" s="985"/>
      <c r="R3" s="985"/>
      <c r="S3" s="985"/>
      <c r="T3" s="985"/>
    </row>
    <row r="4" spans="1:20">
      <c r="B4" s="986" t="s">
        <v>93</v>
      </c>
      <c r="C4" s="986" t="s">
        <v>1785</v>
      </c>
      <c r="D4" s="987" t="s">
        <v>141</v>
      </c>
      <c r="E4" s="987" t="s">
        <v>1786</v>
      </c>
      <c r="F4" s="987" t="s">
        <v>1450</v>
      </c>
      <c r="G4" s="987" t="s">
        <v>1417</v>
      </c>
      <c r="H4" s="987" t="s">
        <v>131</v>
      </c>
      <c r="I4" s="987" t="s">
        <v>1787</v>
      </c>
      <c r="J4" s="987" t="s">
        <v>1788</v>
      </c>
      <c r="L4" s="986" t="s">
        <v>93</v>
      </c>
      <c r="M4" s="986" t="s">
        <v>1785</v>
      </c>
      <c r="N4" s="987" t="s">
        <v>141</v>
      </c>
      <c r="O4" s="987" t="s">
        <v>1786</v>
      </c>
      <c r="P4" s="987" t="s">
        <v>1450</v>
      </c>
      <c r="Q4" s="987" t="s">
        <v>1417</v>
      </c>
      <c r="R4" s="987" t="s">
        <v>131</v>
      </c>
      <c r="S4" s="987" t="s">
        <v>1787</v>
      </c>
      <c r="T4" s="987" t="s">
        <v>1788</v>
      </c>
    </row>
    <row r="5" spans="1:20">
      <c r="A5" s="988">
        <v>1</v>
      </c>
      <c r="B5" s="989">
        <f>'GPC Data'!D22</f>
        <v>0</v>
      </c>
      <c r="C5" s="989" t="str">
        <f>'GPC Data'!E22</f>
        <v>Comp 1</v>
      </c>
      <c r="D5" s="961">
        <f>'GPC Data'!I56</f>
        <v>0</v>
      </c>
      <c r="E5" s="961">
        <f>'GPC Data'!J56</f>
        <v>0</v>
      </c>
      <c r="F5" s="961">
        <f>'GPC Data'!K56</f>
        <v>0</v>
      </c>
      <c r="G5" s="961">
        <f>'GPC Data'!L56</f>
        <v>0</v>
      </c>
      <c r="H5" s="961">
        <f>'GPC Data'!M56</f>
        <v>0</v>
      </c>
      <c r="I5" s="990">
        <f>'GPC Data'!N56</f>
        <v>0</v>
      </c>
      <c r="J5" s="990">
        <f>'GPC Data'!O56</f>
        <v>0</v>
      </c>
      <c r="L5" s="989">
        <f>B5</f>
        <v>0</v>
      </c>
      <c r="M5" s="989" t="str">
        <f t="shared" ref="M5:M34" si="0">C5</f>
        <v>Comp 1</v>
      </c>
      <c r="N5" s="961">
        <f>'GPC Data'!P56</f>
        <v>0</v>
      </c>
      <c r="O5" s="961">
        <f>'GPC Data'!Q56</f>
        <v>0</v>
      </c>
      <c r="P5" s="961">
        <f>'GPC Data'!R56</f>
        <v>0</v>
      </c>
      <c r="Q5" s="961">
        <f>'GPC Data'!S56</f>
        <v>0</v>
      </c>
      <c r="R5" s="961">
        <f>'GPC Data'!T56</f>
        <v>0</v>
      </c>
      <c r="S5" s="990">
        <f>'GPC Data'!U56</f>
        <v>0</v>
      </c>
      <c r="T5" s="990">
        <f>'GPC Data'!V56</f>
        <v>0</v>
      </c>
    </row>
    <row r="6" spans="1:20">
      <c r="A6" s="988">
        <v>2</v>
      </c>
      <c r="B6" s="63">
        <f>'GPC Data'!D23</f>
        <v>0</v>
      </c>
      <c r="C6" s="63" t="str">
        <f>'GPC Data'!E23</f>
        <v>Comp 2</v>
      </c>
      <c r="D6" s="966">
        <f>'GPC Data'!I57</f>
        <v>0</v>
      </c>
      <c r="E6" s="966">
        <f>'GPC Data'!J57</f>
        <v>0</v>
      </c>
      <c r="F6" s="966">
        <f>'GPC Data'!K57</f>
        <v>0</v>
      </c>
      <c r="G6" s="966">
        <f>'GPC Data'!L57</f>
        <v>0</v>
      </c>
      <c r="H6" s="966">
        <f>'GPC Data'!M57</f>
        <v>0</v>
      </c>
      <c r="I6" s="991">
        <f>'GPC Data'!N57</f>
        <v>0</v>
      </c>
      <c r="J6" s="991">
        <f>'GPC Data'!O57</f>
        <v>0</v>
      </c>
      <c r="L6" s="63">
        <f t="shared" ref="L6:L34" si="1">B6</f>
        <v>0</v>
      </c>
      <c r="M6" s="63" t="str">
        <f t="shared" si="0"/>
        <v>Comp 2</v>
      </c>
      <c r="N6" s="966">
        <f>'GPC Data'!P57</f>
        <v>0</v>
      </c>
      <c r="O6" s="966">
        <f>'GPC Data'!Q57</f>
        <v>0</v>
      </c>
      <c r="P6" s="966">
        <f>'GPC Data'!R57</f>
        <v>0</v>
      </c>
      <c r="Q6" s="966">
        <f>'GPC Data'!S57</f>
        <v>0</v>
      </c>
      <c r="R6" s="966">
        <f>'GPC Data'!T57</f>
        <v>0</v>
      </c>
      <c r="S6" s="991">
        <f>'GPC Data'!U57</f>
        <v>0</v>
      </c>
      <c r="T6" s="991">
        <f>'GPC Data'!V57</f>
        <v>0</v>
      </c>
    </row>
    <row r="7" spans="1:20">
      <c r="A7" s="988">
        <v>3</v>
      </c>
      <c r="B7" s="63">
        <f>'GPC Data'!D24</f>
        <v>0</v>
      </c>
      <c r="C7" s="63" t="str">
        <f>'GPC Data'!E24</f>
        <v>Comp 3</v>
      </c>
      <c r="D7" s="966">
        <f>'GPC Data'!I58</f>
        <v>0</v>
      </c>
      <c r="E7" s="966">
        <f>'GPC Data'!J58</f>
        <v>0</v>
      </c>
      <c r="F7" s="966">
        <f>'GPC Data'!K58</f>
        <v>0</v>
      </c>
      <c r="G7" s="966">
        <f>'GPC Data'!L58</f>
        <v>0</v>
      </c>
      <c r="H7" s="966">
        <f>'GPC Data'!M58</f>
        <v>0</v>
      </c>
      <c r="I7" s="991">
        <f>'GPC Data'!N58</f>
        <v>0</v>
      </c>
      <c r="J7" s="991">
        <f>'GPC Data'!O58</f>
        <v>0</v>
      </c>
      <c r="L7" s="63">
        <f t="shared" si="1"/>
        <v>0</v>
      </c>
      <c r="M7" s="63" t="str">
        <f t="shared" si="0"/>
        <v>Comp 3</v>
      </c>
      <c r="N7" s="966">
        <f>'GPC Data'!P58</f>
        <v>0</v>
      </c>
      <c r="O7" s="966">
        <f>'GPC Data'!Q58</f>
        <v>0</v>
      </c>
      <c r="P7" s="966">
        <f>'GPC Data'!R58</f>
        <v>0</v>
      </c>
      <c r="Q7" s="966">
        <f>'GPC Data'!S58</f>
        <v>0</v>
      </c>
      <c r="R7" s="966">
        <f>'GPC Data'!T58</f>
        <v>0</v>
      </c>
      <c r="S7" s="991">
        <f>'GPC Data'!U58</f>
        <v>0</v>
      </c>
      <c r="T7" s="991">
        <f>'GPC Data'!V58</f>
        <v>0</v>
      </c>
    </row>
    <row r="8" spans="1:20">
      <c r="A8" s="988">
        <v>4</v>
      </c>
      <c r="B8" s="63">
        <f>'GPC Data'!D25</f>
        <v>0</v>
      </c>
      <c r="C8" s="63" t="str">
        <f>'GPC Data'!E25</f>
        <v>Comp 4</v>
      </c>
      <c r="D8" s="966">
        <f>'GPC Data'!I59</f>
        <v>0</v>
      </c>
      <c r="E8" s="966">
        <f>'GPC Data'!J59</f>
        <v>0</v>
      </c>
      <c r="F8" s="966">
        <f>'GPC Data'!K59</f>
        <v>0</v>
      </c>
      <c r="G8" s="966">
        <f>'GPC Data'!L59</f>
        <v>0</v>
      </c>
      <c r="H8" s="966">
        <f>'GPC Data'!M59</f>
        <v>0</v>
      </c>
      <c r="I8" s="991">
        <f>'GPC Data'!N59</f>
        <v>0</v>
      </c>
      <c r="J8" s="991">
        <f>'GPC Data'!O59</f>
        <v>0</v>
      </c>
      <c r="L8" s="63">
        <f t="shared" si="1"/>
        <v>0</v>
      </c>
      <c r="M8" s="63" t="str">
        <f t="shared" si="0"/>
        <v>Comp 4</v>
      </c>
      <c r="N8" s="966">
        <f>'GPC Data'!P59</f>
        <v>0</v>
      </c>
      <c r="O8" s="966">
        <f>'GPC Data'!Q59</f>
        <v>0</v>
      </c>
      <c r="P8" s="966">
        <f>'GPC Data'!R59</f>
        <v>0</v>
      </c>
      <c r="Q8" s="966">
        <f>'GPC Data'!S59</f>
        <v>0</v>
      </c>
      <c r="R8" s="966">
        <f>'GPC Data'!T59</f>
        <v>0</v>
      </c>
      <c r="S8" s="991">
        <f>'GPC Data'!U59</f>
        <v>0</v>
      </c>
      <c r="T8" s="991">
        <f>'GPC Data'!V59</f>
        <v>0</v>
      </c>
    </row>
    <row r="9" spans="1:20">
      <c r="A9" s="988">
        <v>5</v>
      </c>
      <c r="B9" s="63">
        <f>'GPC Data'!D26</f>
        <v>0</v>
      </c>
      <c r="C9" s="63" t="str">
        <f>'GPC Data'!E26</f>
        <v>Comp 5</v>
      </c>
      <c r="D9" s="966">
        <f>'GPC Data'!I60</f>
        <v>0</v>
      </c>
      <c r="E9" s="966">
        <f>'GPC Data'!J60</f>
        <v>0</v>
      </c>
      <c r="F9" s="966">
        <f>'GPC Data'!K60</f>
        <v>0</v>
      </c>
      <c r="G9" s="966">
        <f>'GPC Data'!L60</f>
        <v>0</v>
      </c>
      <c r="H9" s="966">
        <f>'GPC Data'!M60</f>
        <v>0</v>
      </c>
      <c r="I9" s="991">
        <f>'GPC Data'!N60</f>
        <v>0</v>
      </c>
      <c r="J9" s="991">
        <f>'GPC Data'!O60</f>
        <v>0</v>
      </c>
      <c r="L9" s="63">
        <f t="shared" si="1"/>
        <v>0</v>
      </c>
      <c r="M9" s="63" t="str">
        <f t="shared" si="0"/>
        <v>Comp 5</v>
      </c>
      <c r="N9" s="966">
        <f>'GPC Data'!P60</f>
        <v>0</v>
      </c>
      <c r="O9" s="966">
        <f>'GPC Data'!Q60</f>
        <v>0</v>
      </c>
      <c r="P9" s="966">
        <f>'GPC Data'!R60</f>
        <v>0</v>
      </c>
      <c r="Q9" s="966">
        <f>'GPC Data'!S60</f>
        <v>0</v>
      </c>
      <c r="R9" s="966">
        <f>'GPC Data'!T60</f>
        <v>0</v>
      </c>
      <c r="S9" s="991">
        <f>'GPC Data'!U60</f>
        <v>0</v>
      </c>
      <c r="T9" s="991">
        <f>'GPC Data'!V60</f>
        <v>0</v>
      </c>
    </row>
    <row r="10" spans="1:20">
      <c r="A10" s="988">
        <v>6</v>
      </c>
      <c r="B10" s="63">
        <f>'GPC Data'!D27</f>
        <v>0</v>
      </c>
      <c r="C10" s="63" t="str">
        <f>'GPC Data'!E27</f>
        <v>Comp 6</v>
      </c>
      <c r="D10" s="966">
        <f>'GPC Data'!I61</f>
        <v>0</v>
      </c>
      <c r="E10" s="966">
        <f>'GPC Data'!J61</f>
        <v>0</v>
      </c>
      <c r="F10" s="966">
        <f>'GPC Data'!K61</f>
        <v>0</v>
      </c>
      <c r="G10" s="966">
        <f>'GPC Data'!L61</f>
        <v>0</v>
      </c>
      <c r="H10" s="966">
        <f>'GPC Data'!M61</f>
        <v>0</v>
      </c>
      <c r="I10" s="991">
        <f>'GPC Data'!N61</f>
        <v>0</v>
      </c>
      <c r="J10" s="991">
        <f>'GPC Data'!O61</f>
        <v>0</v>
      </c>
      <c r="L10" s="63">
        <f t="shared" si="1"/>
        <v>0</v>
      </c>
      <c r="M10" s="63" t="str">
        <f t="shared" si="0"/>
        <v>Comp 6</v>
      </c>
      <c r="N10" s="966">
        <f>'GPC Data'!P61</f>
        <v>0</v>
      </c>
      <c r="O10" s="966">
        <f>'GPC Data'!Q61</f>
        <v>0</v>
      </c>
      <c r="P10" s="966">
        <f>'GPC Data'!R61</f>
        <v>0</v>
      </c>
      <c r="Q10" s="966">
        <f>'GPC Data'!S61</f>
        <v>0</v>
      </c>
      <c r="R10" s="966">
        <f>'GPC Data'!T61</f>
        <v>0</v>
      </c>
      <c r="S10" s="991">
        <f>'GPC Data'!U61</f>
        <v>0</v>
      </c>
      <c r="T10" s="991">
        <f>'GPC Data'!V61</f>
        <v>0</v>
      </c>
    </row>
    <row r="11" spans="1:20">
      <c r="A11" s="988">
        <v>7</v>
      </c>
      <c r="B11" s="63">
        <f>'GPC Data'!D28</f>
        <v>0</v>
      </c>
      <c r="C11" s="63" t="str">
        <f>'GPC Data'!E28</f>
        <v>Comp 7</v>
      </c>
      <c r="D11" s="966">
        <f>'GPC Data'!I62</f>
        <v>0</v>
      </c>
      <c r="E11" s="966">
        <f>'GPC Data'!J62</f>
        <v>0</v>
      </c>
      <c r="F11" s="966">
        <f>'GPC Data'!K62</f>
        <v>0</v>
      </c>
      <c r="G11" s="966">
        <f>'GPC Data'!L62</f>
        <v>0</v>
      </c>
      <c r="H11" s="966">
        <f>'GPC Data'!M62</f>
        <v>0</v>
      </c>
      <c r="I11" s="991">
        <f>'GPC Data'!N62</f>
        <v>0</v>
      </c>
      <c r="J11" s="991">
        <f>'GPC Data'!O62</f>
        <v>0</v>
      </c>
      <c r="L11" s="63">
        <f t="shared" si="1"/>
        <v>0</v>
      </c>
      <c r="M11" s="63" t="str">
        <f t="shared" si="0"/>
        <v>Comp 7</v>
      </c>
      <c r="N11" s="966">
        <f>'GPC Data'!P62</f>
        <v>0</v>
      </c>
      <c r="O11" s="966">
        <f>'GPC Data'!Q62</f>
        <v>0</v>
      </c>
      <c r="P11" s="966">
        <f>'GPC Data'!R62</f>
        <v>0</v>
      </c>
      <c r="Q11" s="966">
        <f>'GPC Data'!S62</f>
        <v>0</v>
      </c>
      <c r="R11" s="966">
        <f>'GPC Data'!T62</f>
        <v>0</v>
      </c>
      <c r="S11" s="991">
        <f>'GPC Data'!U62</f>
        <v>0</v>
      </c>
      <c r="T11" s="991">
        <f>'GPC Data'!V62</f>
        <v>0</v>
      </c>
    </row>
    <row r="12" spans="1:20">
      <c r="A12" s="988">
        <v>8</v>
      </c>
      <c r="B12" s="63">
        <f>'GPC Data'!D29</f>
        <v>0</v>
      </c>
      <c r="C12" s="63" t="str">
        <f>'GPC Data'!E29</f>
        <v>Comp 8</v>
      </c>
      <c r="D12" s="966">
        <f>'GPC Data'!I63</f>
        <v>0</v>
      </c>
      <c r="E12" s="966">
        <f>'GPC Data'!J63</f>
        <v>0</v>
      </c>
      <c r="F12" s="966">
        <f>'GPC Data'!K63</f>
        <v>0</v>
      </c>
      <c r="G12" s="966">
        <f>'GPC Data'!L63</f>
        <v>0</v>
      </c>
      <c r="H12" s="966">
        <f>'GPC Data'!M63</f>
        <v>0</v>
      </c>
      <c r="I12" s="991">
        <f>'GPC Data'!N63</f>
        <v>0</v>
      </c>
      <c r="J12" s="991">
        <f>'GPC Data'!O63</f>
        <v>0</v>
      </c>
      <c r="L12" s="63">
        <f t="shared" si="1"/>
        <v>0</v>
      </c>
      <c r="M12" s="63" t="str">
        <f t="shared" si="0"/>
        <v>Comp 8</v>
      </c>
      <c r="N12" s="966">
        <f>'GPC Data'!P63</f>
        <v>0</v>
      </c>
      <c r="O12" s="966">
        <f>'GPC Data'!Q63</f>
        <v>0</v>
      </c>
      <c r="P12" s="966">
        <f>'GPC Data'!R63</f>
        <v>0</v>
      </c>
      <c r="Q12" s="966">
        <f>'GPC Data'!S63</f>
        <v>0</v>
      </c>
      <c r="R12" s="966">
        <f>'GPC Data'!T63</f>
        <v>0</v>
      </c>
      <c r="S12" s="991">
        <f>'GPC Data'!U63</f>
        <v>0</v>
      </c>
      <c r="T12" s="991">
        <f>'GPC Data'!V63</f>
        <v>0</v>
      </c>
    </row>
    <row r="13" spans="1:20">
      <c r="A13" s="988">
        <v>9</v>
      </c>
      <c r="B13" s="63">
        <f>'GPC Data'!D30</f>
        <v>0</v>
      </c>
      <c r="C13" s="63" t="str">
        <f>'GPC Data'!E30</f>
        <v>Comp 9</v>
      </c>
      <c r="D13" s="966">
        <f>'GPC Data'!I64</f>
        <v>0</v>
      </c>
      <c r="E13" s="966">
        <f>'GPC Data'!J64</f>
        <v>0</v>
      </c>
      <c r="F13" s="966">
        <f>'GPC Data'!K64</f>
        <v>0</v>
      </c>
      <c r="G13" s="966">
        <f>'GPC Data'!L64</f>
        <v>0</v>
      </c>
      <c r="H13" s="966">
        <f>'GPC Data'!M64</f>
        <v>0</v>
      </c>
      <c r="I13" s="991">
        <f>'GPC Data'!N64</f>
        <v>0</v>
      </c>
      <c r="J13" s="991">
        <f>'GPC Data'!O64</f>
        <v>0</v>
      </c>
      <c r="L13" s="63">
        <f t="shared" si="1"/>
        <v>0</v>
      </c>
      <c r="M13" s="63" t="str">
        <f t="shared" si="0"/>
        <v>Comp 9</v>
      </c>
      <c r="N13" s="966">
        <f>'GPC Data'!P64</f>
        <v>0</v>
      </c>
      <c r="O13" s="966">
        <f>'GPC Data'!Q64</f>
        <v>0</v>
      </c>
      <c r="P13" s="966">
        <f>'GPC Data'!R64</f>
        <v>0</v>
      </c>
      <c r="Q13" s="966">
        <f>'GPC Data'!S64</f>
        <v>0</v>
      </c>
      <c r="R13" s="966">
        <f>'GPC Data'!T64</f>
        <v>0</v>
      </c>
      <c r="S13" s="991">
        <f>'GPC Data'!U64</f>
        <v>0</v>
      </c>
      <c r="T13" s="991">
        <f>'GPC Data'!V64</f>
        <v>0</v>
      </c>
    </row>
    <row r="14" spans="1:20">
      <c r="A14" s="988">
        <v>10</v>
      </c>
      <c r="B14" s="63">
        <f>'GPC Data'!D31</f>
        <v>0</v>
      </c>
      <c r="C14" s="63" t="str">
        <f>'GPC Data'!E31</f>
        <v>Comp 10</v>
      </c>
      <c r="D14" s="966">
        <f>'GPC Data'!I65</f>
        <v>0</v>
      </c>
      <c r="E14" s="966">
        <f>'GPC Data'!J65</f>
        <v>0</v>
      </c>
      <c r="F14" s="966">
        <f>'GPC Data'!K65</f>
        <v>0</v>
      </c>
      <c r="G14" s="966">
        <f>'GPC Data'!L65</f>
        <v>0</v>
      </c>
      <c r="H14" s="966">
        <f>'GPC Data'!M65</f>
        <v>0</v>
      </c>
      <c r="I14" s="991">
        <f>'GPC Data'!N65</f>
        <v>0</v>
      </c>
      <c r="J14" s="991">
        <f>'GPC Data'!O65</f>
        <v>0</v>
      </c>
      <c r="L14" s="63">
        <f t="shared" si="1"/>
        <v>0</v>
      </c>
      <c r="M14" s="63" t="str">
        <f t="shared" si="0"/>
        <v>Comp 10</v>
      </c>
      <c r="N14" s="966">
        <f>'GPC Data'!P65</f>
        <v>0</v>
      </c>
      <c r="O14" s="966">
        <f>'GPC Data'!Q65</f>
        <v>0</v>
      </c>
      <c r="P14" s="966">
        <f>'GPC Data'!R65</f>
        <v>0</v>
      </c>
      <c r="Q14" s="966">
        <f>'GPC Data'!S65</f>
        <v>0</v>
      </c>
      <c r="R14" s="966">
        <f>'GPC Data'!T65</f>
        <v>0</v>
      </c>
      <c r="S14" s="991">
        <f>'GPC Data'!U65</f>
        <v>0</v>
      </c>
      <c r="T14" s="991">
        <f>'GPC Data'!V65</f>
        <v>0</v>
      </c>
    </row>
    <row r="15" spans="1:20">
      <c r="A15" s="988">
        <v>11</v>
      </c>
      <c r="B15" s="63">
        <f>'GPC Data'!D32</f>
        <v>0</v>
      </c>
      <c r="C15" s="63" t="str">
        <f>'GPC Data'!E32</f>
        <v>Comp 11</v>
      </c>
      <c r="D15" s="966">
        <f>'GPC Data'!I66</f>
        <v>0</v>
      </c>
      <c r="E15" s="966">
        <f>'GPC Data'!J66</f>
        <v>0</v>
      </c>
      <c r="F15" s="966">
        <f>'GPC Data'!K66</f>
        <v>0</v>
      </c>
      <c r="G15" s="966">
        <f>'GPC Data'!L66</f>
        <v>0</v>
      </c>
      <c r="H15" s="966">
        <f>'GPC Data'!M66</f>
        <v>0</v>
      </c>
      <c r="I15" s="991">
        <f>'GPC Data'!N66</f>
        <v>0</v>
      </c>
      <c r="J15" s="991">
        <f>'GPC Data'!O66</f>
        <v>0</v>
      </c>
      <c r="L15" s="63">
        <f t="shared" si="1"/>
        <v>0</v>
      </c>
      <c r="M15" s="63" t="str">
        <f t="shared" si="0"/>
        <v>Comp 11</v>
      </c>
      <c r="N15" s="966">
        <f>'GPC Data'!P66</f>
        <v>0</v>
      </c>
      <c r="O15" s="966">
        <f>'GPC Data'!Q66</f>
        <v>0</v>
      </c>
      <c r="P15" s="966">
        <f>'GPC Data'!R66</f>
        <v>0</v>
      </c>
      <c r="Q15" s="966">
        <f>'GPC Data'!S66</f>
        <v>0</v>
      </c>
      <c r="R15" s="966">
        <f>'GPC Data'!T66</f>
        <v>0</v>
      </c>
      <c r="S15" s="991">
        <f>'GPC Data'!U66</f>
        <v>0</v>
      </c>
      <c r="T15" s="991">
        <f>'GPC Data'!V66</f>
        <v>0</v>
      </c>
    </row>
    <row r="16" spans="1:20">
      <c r="A16" s="988">
        <v>12</v>
      </c>
      <c r="B16" s="63">
        <f>'GPC Data'!D33</f>
        <v>0</v>
      </c>
      <c r="C16" s="63" t="str">
        <f>'GPC Data'!E33</f>
        <v>Comp 12</v>
      </c>
      <c r="D16" s="966">
        <f>'GPC Data'!I67</f>
        <v>0</v>
      </c>
      <c r="E16" s="966">
        <f>'GPC Data'!J67</f>
        <v>0</v>
      </c>
      <c r="F16" s="966">
        <f>'GPC Data'!K67</f>
        <v>0</v>
      </c>
      <c r="G16" s="966">
        <f>'GPC Data'!L67</f>
        <v>0</v>
      </c>
      <c r="H16" s="966">
        <f>'GPC Data'!M67</f>
        <v>0</v>
      </c>
      <c r="I16" s="991">
        <f>'GPC Data'!N67</f>
        <v>0</v>
      </c>
      <c r="J16" s="991">
        <f>'GPC Data'!O67</f>
        <v>0</v>
      </c>
      <c r="L16" s="63">
        <f t="shared" si="1"/>
        <v>0</v>
      </c>
      <c r="M16" s="63" t="str">
        <f t="shared" si="0"/>
        <v>Comp 12</v>
      </c>
      <c r="N16" s="966">
        <f>'GPC Data'!P67</f>
        <v>0</v>
      </c>
      <c r="O16" s="966">
        <f>'GPC Data'!Q67</f>
        <v>0</v>
      </c>
      <c r="P16" s="966">
        <f>'GPC Data'!R67</f>
        <v>0</v>
      </c>
      <c r="Q16" s="966">
        <f>'GPC Data'!S67</f>
        <v>0</v>
      </c>
      <c r="R16" s="966">
        <f>'GPC Data'!T67</f>
        <v>0</v>
      </c>
      <c r="S16" s="991">
        <f>'GPC Data'!U67</f>
        <v>0</v>
      </c>
      <c r="T16" s="991">
        <f>'GPC Data'!V67</f>
        <v>0</v>
      </c>
    </row>
    <row r="17" spans="1:20">
      <c r="A17" s="988">
        <v>13</v>
      </c>
      <c r="B17" s="63">
        <f>'GPC Data'!D34</f>
        <v>0</v>
      </c>
      <c r="C17" s="63" t="str">
        <f>'GPC Data'!E34</f>
        <v>Comp 13</v>
      </c>
      <c r="D17" s="966">
        <f>'GPC Data'!I68</f>
        <v>0</v>
      </c>
      <c r="E17" s="966">
        <f>'GPC Data'!J68</f>
        <v>0</v>
      </c>
      <c r="F17" s="966">
        <f>'GPC Data'!K68</f>
        <v>0</v>
      </c>
      <c r="G17" s="966">
        <f>'GPC Data'!L68</f>
        <v>0</v>
      </c>
      <c r="H17" s="966">
        <f>'GPC Data'!M68</f>
        <v>0</v>
      </c>
      <c r="I17" s="991">
        <f>'GPC Data'!N68</f>
        <v>0</v>
      </c>
      <c r="J17" s="991">
        <f>'GPC Data'!O68</f>
        <v>0</v>
      </c>
      <c r="L17" s="63">
        <f t="shared" si="1"/>
        <v>0</v>
      </c>
      <c r="M17" s="63" t="str">
        <f t="shared" si="0"/>
        <v>Comp 13</v>
      </c>
      <c r="N17" s="966">
        <f>'GPC Data'!P68</f>
        <v>0</v>
      </c>
      <c r="O17" s="966">
        <f>'GPC Data'!Q68</f>
        <v>0</v>
      </c>
      <c r="P17" s="966">
        <f>'GPC Data'!R68</f>
        <v>0</v>
      </c>
      <c r="Q17" s="966">
        <f>'GPC Data'!S68</f>
        <v>0</v>
      </c>
      <c r="R17" s="966">
        <f>'GPC Data'!T68</f>
        <v>0</v>
      </c>
      <c r="S17" s="991">
        <f>'GPC Data'!U68</f>
        <v>0</v>
      </c>
      <c r="T17" s="991">
        <f>'GPC Data'!V68</f>
        <v>0</v>
      </c>
    </row>
    <row r="18" spans="1:20">
      <c r="A18" s="988">
        <v>14</v>
      </c>
      <c r="B18" s="63">
        <f>'GPC Data'!D35</f>
        <v>0</v>
      </c>
      <c r="C18" s="63" t="str">
        <f>'GPC Data'!E35</f>
        <v>Comp 14</v>
      </c>
      <c r="D18" s="966">
        <f>'GPC Data'!I69</f>
        <v>0</v>
      </c>
      <c r="E18" s="966">
        <f>'GPC Data'!J69</f>
        <v>0</v>
      </c>
      <c r="F18" s="966">
        <f>'GPC Data'!K69</f>
        <v>0</v>
      </c>
      <c r="G18" s="966">
        <f>'GPC Data'!L69</f>
        <v>0</v>
      </c>
      <c r="H18" s="966">
        <f>'GPC Data'!M69</f>
        <v>0</v>
      </c>
      <c r="I18" s="991">
        <f>'GPC Data'!N69</f>
        <v>0</v>
      </c>
      <c r="J18" s="991">
        <f>'GPC Data'!O69</f>
        <v>0</v>
      </c>
      <c r="L18" s="63">
        <f t="shared" si="1"/>
        <v>0</v>
      </c>
      <c r="M18" s="63" t="str">
        <f t="shared" si="0"/>
        <v>Comp 14</v>
      </c>
      <c r="N18" s="966">
        <f>'GPC Data'!P69</f>
        <v>0</v>
      </c>
      <c r="O18" s="966">
        <f>'GPC Data'!Q69</f>
        <v>0</v>
      </c>
      <c r="P18" s="966">
        <f>'GPC Data'!R69</f>
        <v>0</v>
      </c>
      <c r="Q18" s="966">
        <f>'GPC Data'!S69</f>
        <v>0</v>
      </c>
      <c r="R18" s="966">
        <f>'GPC Data'!T69</f>
        <v>0</v>
      </c>
      <c r="S18" s="991">
        <f>'GPC Data'!U69</f>
        <v>0</v>
      </c>
      <c r="T18" s="991">
        <f>'GPC Data'!V69</f>
        <v>0</v>
      </c>
    </row>
    <row r="19" spans="1:20">
      <c r="A19" s="988">
        <v>15</v>
      </c>
      <c r="B19" s="63">
        <f>'GPC Data'!D36</f>
        <v>0</v>
      </c>
      <c r="C19" s="63" t="str">
        <f>'GPC Data'!E36</f>
        <v>Comp 15</v>
      </c>
      <c r="D19" s="966">
        <f>'GPC Data'!I70</f>
        <v>0</v>
      </c>
      <c r="E19" s="966">
        <f>'GPC Data'!J70</f>
        <v>0</v>
      </c>
      <c r="F19" s="966">
        <f>'GPC Data'!K70</f>
        <v>0</v>
      </c>
      <c r="G19" s="966">
        <f>'GPC Data'!L70</f>
        <v>0</v>
      </c>
      <c r="H19" s="966">
        <f>'GPC Data'!M70</f>
        <v>0</v>
      </c>
      <c r="I19" s="991">
        <f>'GPC Data'!N70</f>
        <v>0</v>
      </c>
      <c r="J19" s="991">
        <f>'GPC Data'!O70</f>
        <v>0</v>
      </c>
      <c r="L19" s="63">
        <f t="shared" si="1"/>
        <v>0</v>
      </c>
      <c r="M19" s="63" t="str">
        <f t="shared" si="0"/>
        <v>Comp 15</v>
      </c>
      <c r="N19" s="966">
        <f>'GPC Data'!P70</f>
        <v>0</v>
      </c>
      <c r="O19" s="966">
        <f>'GPC Data'!Q70</f>
        <v>0</v>
      </c>
      <c r="P19" s="966">
        <f>'GPC Data'!R70</f>
        <v>0</v>
      </c>
      <c r="Q19" s="966">
        <f>'GPC Data'!S70</f>
        <v>0</v>
      </c>
      <c r="R19" s="966">
        <f>'GPC Data'!T70</f>
        <v>0</v>
      </c>
      <c r="S19" s="991">
        <f>'GPC Data'!U70</f>
        <v>0</v>
      </c>
      <c r="T19" s="991">
        <f>'GPC Data'!V70</f>
        <v>0</v>
      </c>
    </row>
    <row r="20" spans="1:20">
      <c r="A20" s="988">
        <v>16</v>
      </c>
      <c r="B20" s="63">
        <f>'GPC Data'!D37</f>
        <v>0</v>
      </c>
      <c r="C20" s="63" t="str">
        <f>'GPC Data'!E37</f>
        <v>Comp 16</v>
      </c>
      <c r="D20" s="966">
        <f>'GPC Data'!I71</f>
        <v>0</v>
      </c>
      <c r="E20" s="966">
        <f>'GPC Data'!J71</f>
        <v>0</v>
      </c>
      <c r="F20" s="966">
        <f>'GPC Data'!K71</f>
        <v>0</v>
      </c>
      <c r="G20" s="966">
        <f>'GPC Data'!L71</f>
        <v>0</v>
      </c>
      <c r="H20" s="966">
        <f>'GPC Data'!M71</f>
        <v>0</v>
      </c>
      <c r="I20" s="991">
        <f>'GPC Data'!N71</f>
        <v>0</v>
      </c>
      <c r="J20" s="991">
        <f>'GPC Data'!O71</f>
        <v>0</v>
      </c>
      <c r="L20" s="63">
        <f t="shared" si="1"/>
        <v>0</v>
      </c>
      <c r="M20" s="63" t="str">
        <f t="shared" si="0"/>
        <v>Comp 16</v>
      </c>
      <c r="N20" s="966">
        <f>'GPC Data'!P71</f>
        <v>0</v>
      </c>
      <c r="O20" s="966">
        <f>'GPC Data'!Q71</f>
        <v>0</v>
      </c>
      <c r="P20" s="966">
        <f>'GPC Data'!R71</f>
        <v>0</v>
      </c>
      <c r="Q20" s="966">
        <f>'GPC Data'!S71</f>
        <v>0</v>
      </c>
      <c r="R20" s="966">
        <f>'GPC Data'!T71</f>
        <v>0</v>
      </c>
      <c r="S20" s="991">
        <f>'GPC Data'!U71</f>
        <v>0</v>
      </c>
      <c r="T20" s="991">
        <f>'GPC Data'!V71</f>
        <v>0</v>
      </c>
    </row>
    <row r="21" spans="1:20">
      <c r="A21" s="988">
        <v>17</v>
      </c>
      <c r="B21" s="63">
        <f>'GPC Data'!D38</f>
        <v>0</v>
      </c>
      <c r="C21" s="63" t="str">
        <f>'GPC Data'!E38</f>
        <v>Comp 17</v>
      </c>
      <c r="D21" s="966">
        <f>'GPC Data'!I72</f>
        <v>0</v>
      </c>
      <c r="E21" s="966">
        <f>'GPC Data'!J72</f>
        <v>0</v>
      </c>
      <c r="F21" s="966">
        <f>'GPC Data'!K72</f>
        <v>0</v>
      </c>
      <c r="G21" s="966">
        <f>'GPC Data'!L72</f>
        <v>0</v>
      </c>
      <c r="H21" s="966">
        <f>'GPC Data'!M72</f>
        <v>0</v>
      </c>
      <c r="I21" s="991">
        <f>'GPC Data'!N72</f>
        <v>0</v>
      </c>
      <c r="J21" s="991">
        <f>'GPC Data'!O72</f>
        <v>0</v>
      </c>
      <c r="L21" s="63">
        <f t="shared" si="1"/>
        <v>0</v>
      </c>
      <c r="M21" s="63" t="str">
        <f t="shared" si="0"/>
        <v>Comp 17</v>
      </c>
      <c r="N21" s="966">
        <f>'GPC Data'!P72</f>
        <v>0</v>
      </c>
      <c r="O21" s="966">
        <f>'GPC Data'!Q72</f>
        <v>0</v>
      </c>
      <c r="P21" s="966">
        <f>'GPC Data'!R72</f>
        <v>0</v>
      </c>
      <c r="Q21" s="966">
        <f>'GPC Data'!S72</f>
        <v>0</v>
      </c>
      <c r="R21" s="966">
        <f>'GPC Data'!T72</f>
        <v>0</v>
      </c>
      <c r="S21" s="991">
        <f>'GPC Data'!U72</f>
        <v>0</v>
      </c>
      <c r="T21" s="991">
        <f>'GPC Data'!V72</f>
        <v>0</v>
      </c>
    </row>
    <row r="22" spans="1:20">
      <c r="A22" s="988">
        <v>18</v>
      </c>
      <c r="B22" s="63">
        <f>'GPC Data'!D39</f>
        <v>0</v>
      </c>
      <c r="C22" s="63" t="str">
        <f>'GPC Data'!E39</f>
        <v>Comp 18</v>
      </c>
      <c r="D22" s="966">
        <f>'GPC Data'!I73</f>
        <v>0</v>
      </c>
      <c r="E22" s="966">
        <f>'GPC Data'!J73</f>
        <v>0</v>
      </c>
      <c r="F22" s="966">
        <f>'GPC Data'!K73</f>
        <v>0</v>
      </c>
      <c r="G22" s="966">
        <f>'GPC Data'!L73</f>
        <v>0</v>
      </c>
      <c r="H22" s="966">
        <f>'GPC Data'!M73</f>
        <v>0</v>
      </c>
      <c r="I22" s="991">
        <f>'GPC Data'!N73</f>
        <v>0</v>
      </c>
      <c r="J22" s="991">
        <f>'GPC Data'!O73</f>
        <v>0</v>
      </c>
      <c r="L22" s="63">
        <f t="shared" si="1"/>
        <v>0</v>
      </c>
      <c r="M22" s="63" t="str">
        <f t="shared" si="0"/>
        <v>Comp 18</v>
      </c>
      <c r="N22" s="966">
        <f>'GPC Data'!P73</f>
        <v>0</v>
      </c>
      <c r="O22" s="966">
        <f>'GPC Data'!Q73</f>
        <v>0</v>
      </c>
      <c r="P22" s="966">
        <f>'GPC Data'!R73</f>
        <v>0</v>
      </c>
      <c r="Q22" s="966">
        <f>'GPC Data'!S73</f>
        <v>0</v>
      </c>
      <c r="R22" s="966">
        <f>'GPC Data'!T73</f>
        <v>0</v>
      </c>
      <c r="S22" s="991">
        <f>'GPC Data'!U73</f>
        <v>0</v>
      </c>
      <c r="T22" s="991">
        <f>'GPC Data'!V73</f>
        <v>0</v>
      </c>
    </row>
    <row r="23" spans="1:20">
      <c r="A23" s="988">
        <v>19</v>
      </c>
      <c r="B23" s="63">
        <f>'GPC Data'!D40</f>
        <v>0</v>
      </c>
      <c r="C23" s="63" t="str">
        <f>'GPC Data'!E40</f>
        <v>Comp 19</v>
      </c>
      <c r="D23" s="966">
        <f>'GPC Data'!I74</f>
        <v>0</v>
      </c>
      <c r="E23" s="966">
        <f>'GPC Data'!J74</f>
        <v>0</v>
      </c>
      <c r="F23" s="966">
        <f>'GPC Data'!K74</f>
        <v>0</v>
      </c>
      <c r="G23" s="966">
        <f>'GPC Data'!L74</f>
        <v>0</v>
      </c>
      <c r="H23" s="966">
        <f>'GPC Data'!M74</f>
        <v>0</v>
      </c>
      <c r="I23" s="991">
        <f>'GPC Data'!N74</f>
        <v>0</v>
      </c>
      <c r="J23" s="991">
        <f>'GPC Data'!O74</f>
        <v>0</v>
      </c>
      <c r="L23" s="63">
        <f t="shared" si="1"/>
        <v>0</v>
      </c>
      <c r="M23" s="63" t="str">
        <f t="shared" si="0"/>
        <v>Comp 19</v>
      </c>
      <c r="N23" s="966">
        <f>'GPC Data'!P74</f>
        <v>0</v>
      </c>
      <c r="O23" s="966">
        <f>'GPC Data'!Q74</f>
        <v>0</v>
      </c>
      <c r="P23" s="966">
        <f>'GPC Data'!R74</f>
        <v>0</v>
      </c>
      <c r="Q23" s="966">
        <f>'GPC Data'!S74</f>
        <v>0</v>
      </c>
      <c r="R23" s="966">
        <f>'GPC Data'!T74</f>
        <v>0</v>
      </c>
      <c r="S23" s="991">
        <f>'GPC Data'!U74</f>
        <v>0</v>
      </c>
      <c r="T23" s="991">
        <f>'GPC Data'!V74</f>
        <v>0</v>
      </c>
    </row>
    <row r="24" spans="1:20">
      <c r="A24" s="988">
        <v>20</v>
      </c>
      <c r="B24" s="63">
        <f>'GPC Data'!D41</f>
        <v>0</v>
      </c>
      <c r="C24" s="63" t="str">
        <f>'GPC Data'!E41</f>
        <v>Comp 20</v>
      </c>
      <c r="D24" s="966">
        <f>'GPC Data'!I75</f>
        <v>0</v>
      </c>
      <c r="E24" s="966">
        <f>'GPC Data'!J75</f>
        <v>0</v>
      </c>
      <c r="F24" s="966">
        <f>'GPC Data'!K75</f>
        <v>0</v>
      </c>
      <c r="G24" s="966">
        <f>'GPC Data'!L75</f>
        <v>0</v>
      </c>
      <c r="H24" s="966">
        <f>'GPC Data'!M75</f>
        <v>0</v>
      </c>
      <c r="I24" s="991">
        <f>'GPC Data'!N75</f>
        <v>0</v>
      </c>
      <c r="J24" s="991">
        <f>'GPC Data'!O75</f>
        <v>0</v>
      </c>
      <c r="L24" s="63">
        <f t="shared" si="1"/>
        <v>0</v>
      </c>
      <c r="M24" s="63" t="str">
        <f t="shared" si="0"/>
        <v>Comp 20</v>
      </c>
      <c r="N24" s="966">
        <f>'GPC Data'!P75</f>
        <v>0</v>
      </c>
      <c r="O24" s="966">
        <f>'GPC Data'!Q75</f>
        <v>0</v>
      </c>
      <c r="P24" s="966">
        <f>'GPC Data'!R75</f>
        <v>0</v>
      </c>
      <c r="Q24" s="966">
        <f>'GPC Data'!S75</f>
        <v>0</v>
      </c>
      <c r="R24" s="966">
        <f>'GPC Data'!T75</f>
        <v>0</v>
      </c>
      <c r="S24" s="991">
        <f>'GPC Data'!U75</f>
        <v>0</v>
      </c>
      <c r="T24" s="991">
        <f>'GPC Data'!V75</f>
        <v>0</v>
      </c>
    </row>
    <row r="25" spans="1:20">
      <c r="A25" s="988">
        <v>21</v>
      </c>
      <c r="B25" s="63">
        <f>'GPC Data'!D42</f>
        <v>0</v>
      </c>
      <c r="C25" s="63" t="str">
        <f>'GPC Data'!E42</f>
        <v>Comp 21</v>
      </c>
      <c r="D25" s="966">
        <f>'GPC Data'!I76</f>
        <v>0</v>
      </c>
      <c r="E25" s="966">
        <f>'GPC Data'!J76</f>
        <v>0</v>
      </c>
      <c r="F25" s="966">
        <f>'GPC Data'!K76</f>
        <v>0</v>
      </c>
      <c r="G25" s="966">
        <f>'GPC Data'!L76</f>
        <v>0</v>
      </c>
      <c r="H25" s="966">
        <f>'GPC Data'!M76</f>
        <v>0</v>
      </c>
      <c r="I25" s="991">
        <f>'GPC Data'!N76</f>
        <v>0</v>
      </c>
      <c r="J25" s="991">
        <f>'GPC Data'!O76</f>
        <v>0</v>
      </c>
      <c r="L25" s="63">
        <f t="shared" si="1"/>
        <v>0</v>
      </c>
      <c r="M25" s="63" t="str">
        <f t="shared" si="0"/>
        <v>Comp 21</v>
      </c>
      <c r="N25" s="966">
        <f>'GPC Data'!P76</f>
        <v>0</v>
      </c>
      <c r="O25" s="966">
        <f>'GPC Data'!Q76</f>
        <v>0</v>
      </c>
      <c r="P25" s="966">
        <f>'GPC Data'!R76</f>
        <v>0</v>
      </c>
      <c r="Q25" s="966">
        <f>'GPC Data'!S76</f>
        <v>0</v>
      </c>
      <c r="R25" s="966">
        <f>'GPC Data'!T76</f>
        <v>0</v>
      </c>
      <c r="S25" s="991">
        <f>'GPC Data'!U76</f>
        <v>0</v>
      </c>
      <c r="T25" s="991">
        <f>'GPC Data'!V76</f>
        <v>0</v>
      </c>
    </row>
    <row r="26" spans="1:20">
      <c r="A26" s="988">
        <v>22</v>
      </c>
      <c r="B26" s="63">
        <f>'GPC Data'!D43</f>
        <v>0</v>
      </c>
      <c r="C26" s="63" t="str">
        <f>'GPC Data'!E43</f>
        <v>Comp 22</v>
      </c>
      <c r="D26" s="966">
        <f>'GPC Data'!I77</f>
        <v>0</v>
      </c>
      <c r="E26" s="966">
        <f>'GPC Data'!J77</f>
        <v>0</v>
      </c>
      <c r="F26" s="966">
        <f>'GPC Data'!K77</f>
        <v>0</v>
      </c>
      <c r="G26" s="966">
        <f>'GPC Data'!L77</f>
        <v>0</v>
      </c>
      <c r="H26" s="966">
        <f>'GPC Data'!M77</f>
        <v>0</v>
      </c>
      <c r="I26" s="991">
        <f>'GPC Data'!N77</f>
        <v>0</v>
      </c>
      <c r="J26" s="991">
        <f>'GPC Data'!O77</f>
        <v>0</v>
      </c>
      <c r="L26" s="63">
        <f t="shared" si="1"/>
        <v>0</v>
      </c>
      <c r="M26" s="63" t="str">
        <f t="shared" si="0"/>
        <v>Comp 22</v>
      </c>
      <c r="N26" s="966">
        <f>'GPC Data'!P77</f>
        <v>0</v>
      </c>
      <c r="O26" s="966">
        <f>'GPC Data'!Q77</f>
        <v>0</v>
      </c>
      <c r="P26" s="966">
        <f>'GPC Data'!R77</f>
        <v>0</v>
      </c>
      <c r="Q26" s="966">
        <f>'GPC Data'!S77</f>
        <v>0</v>
      </c>
      <c r="R26" s="966">
        <f>'GPC Data'!T77</f>
        <v>0</v>
      </c>
      <c r="S26" s="991">
        <f>'GPC Data'!U77</f>
        <v>0</v>
      </c>
      <c r="T26" s="991">
        <f>'GPC Data'!V77</f>
        <v>0</v>
      </c>
    </row>
    <row r="27" spans="1:20">
      <c r="A27" s="988">
        <v>23</v>
      </c>
      <c r="B27" s="63">
        <f>'GPC Data'!D44</f>
        <v>0</v>
      </c>
      <c r="C27" s="63" t="str">
        <f>'GPC Data'!E44</f>
        <v>Comp 23</v>
      </c>
      <c r="D27" s="966">
        <f>'GPC Data'!I78</f>
        <v>0</v>
      </c>
      <c r="E27" s="966">
        <f>'GPC Data'!J78</f>
        <v>0</v>
      </c>
      <c r="F27" s="966">
        <f>'GPC Data'!K78</f>
        <v>0</v>
      </c>
      <c r="G27" s="966">
        <f>'GPC Data'!L78</f>
        <v>0</v>
      </c>
      <c r="H27" s="966">
        <f>'GPC Data'!M78</f>
        <v>0</v>
      </c>
      <c r="I27" s="991">
        <f>'GPC Data'!N78</f>
        <v>0</v>
      </c>
      <c r="J27" s="991">
        <f>'GPC Data'!O78</f>
        <v>0</v>
      </c>
      <c r="L27" s="63">
        <f t="shared" si="1"/>
        <v>0</v>
      </c>
      <c r="M27" s="63" t="str">
        <f t="shared" si="0"/>
        <v>Comp 23</v>
      </c>
      <c r="N27" s="966">
        <f>'GPC Data'!P78</f>
        <v>0</v>
      </c>
      <c r="O27" s="966">
        <f>'GPC Data'!Q78</f>
        <v>0</v>
      </c>
      <c r="P27" s="966">
        <f>'GPC Data'!R78</f>
        <v>0</v>
      </c>
      <c r="Q27" s="966">
        <f>'GPC Data'!S78</f>
        <v>0</v>
      </c>
      <c r="R27" s="966">
        <f>'GPC Data'!T78</f>
        <v>0</v>
      </c>
      <c r="S27" s="991">
        <f>'GPC Data'!U78</f>
        <v>0</v>
      </c>
      <c r="T27" s="991">
        <f>'GPC Data'!V78</f>
        <v>0</v>
      </c>
    </row>
    <row r="28" spans="1:20">
      <c r="A28" s="988">
        <v>24</v>
      </c>
      <c r="B28" s="63">
        <f>'GPC Data'!D45</f>
        <v>0</v>
      </c>
      <c r="C28" s="63" t="str">
        <f>'GPC Data'!E45</f>
        <v>Comp 24</v>
      </c>
      <c r="D28" s="966">
        <f>'GPC Data'!I79</f>
        <v>0</v>
      </c>
      <c r="E28" s="966">
        <f>'GPC Data'!J79</f>
        <v>0</v>
      </c>
      <c r="F28" s="966">
        <f>'GPC Data'!K79</f>
        <v>0</v>
      </c>
      <c r="G28" s="966">
        <f>'GPC Data'!L79</f>
        <v>0</v>
      </c>
      <c r="H28" s="966">
        <f>'GPC Data'!M79</f>
        <v>0</v>
      </c>
      <c r="I28" s="991">
        <f>'GPC Data'!N79</f>
        <v>0</v>
      </c>
      <c r="J28" s="991">
        <f>'GPC Data'!O79</f>
        <v>0</v>
      </c>
      <c r="L28" s="63">
        <f t="shared" si="1"/>
        <v>0</v>
      </c>
      <c r="M28" s="63" t="str">
        <f t="shared" si="0"/>
        <v>Comp 24</v>
      </c>
      <c r="N28" s="966">
        <f>'GPC Data'!P79</f>
        <v>0</v>
      </c>
      <c r="O28" s="966">
        <f>'GPC Data'!Q79</f>
        <v>0</v>
      </c>
      <c r="P28" s="966">
        <f>'GPC Data'!R79</f>
        <v>0</v>
      </c>
      <c r="Q28" s="966">
        <f>'GPC Data'!S79</f>
        <v>0</v>
      </c>
      <c r="R28" s="966">
        <f>'GPC Data'!T79</f>
        <v>0</v>
      </c>
      <c r="S28" s="991">
        <f>'GPC Data'!U79</f>
        <v>0</v>
      </c>
      <c r="T28" s="991">
        <f>'GPC Data'!V79</f>
        <v>0</v>
      </c>
    </row>
    <row r="29" spans="1:20">
      <c r="A29" s="988">
        <v>25</v>
      </c>
      <c r="B29" s="63">
        <f>'GPC Data'!D46</f>
        <v>0</v>
      </c>
      <c r="C29" s="63" t="str">
        <f>'GPC Data'!E46</f>
        <v>Comp 25</v>
      </c>
      <c r="D29" s="966">
        <f>'GPC Data'!I80</f>
        <v>0</v>
      </c>
      <c r="E29" s="966">
        <f>'GPC Data'!J80</f>
        <v>0</v>
      </c>
      <c r="F29" s="966">
        <f>'GPC Data'!K80</f>
        <v>0</v>
      </c>
      <c r="G29" s="966">
        <f>'GPC Data'!L80</f>
        <v>0</v>
      </c>
      <c r="H29" s="966">
        <f>'GPC Data'!M80</f>
        <v>0</v>
      </c>
      <c r="I29" s="991">
        <f>'GPC Data'!N80</f>
        <v>0</v>
      </c>
      <c r="J29" s="991">
        <f>'GPC Data'!O80</f>
        <v>0</v>
      </c>
      <c r="L29" s="63">
        <f t="shared" si="1"/>
        <v>0</v>
      </c>
      <c r="M29" s="63" t="str">
        <f t="shared" si="0"/>
        <v>Comp 25</v>
      </c>
      <c r="N29" s="966">
        <f>'GPC Data'!P80</f>
        <v>0</v>
      </c>
      <c r="O29" s="966">
        <f>'GPC Data'!Q80</f>
        <v>0</v>
      </c>
      <c r="P29" s="966">
        <f>'GPC Data'!R80</f>
        <v>0</v>
      </c>
      <c r="Q29" s="966">
        <f>'GPC Data'!S80</f>
        <v>0</v>
      </c>
      <c r="R29" s="966">
        <f>'GPC Data'!T80</f>
        <v>0</v>
      </c>
      <c r="S29" s="991">
        <f>'GPC Data'!U80</f>
        <v>0</v>
      </c>
      <c r="T29" s="991">
        <f>'GPC Data'!V80</f>
        <v>0</v>
      </c>
    </row>
    <row r="30" spans="1:20">
      <c r="A30" s="988">
        <v>26</v>
      </c>
      <c r="B30" s="63">
        <f>'GPC Data'!D47</f>
        <v>0</v>
      </c>
      <c r="C30" s="63" t="str">
        <f>'GPC Data'!E47</f>
        <v>Comp 26</v>
      </c>
      <c r="D30" s="966">
        <f>'GPC Data'!I81</f>
        <v>0</v>
      </c>
      <c r="E30" s="966">
        <f>'GPC Data'!J81</f>
        <v>0</v>
      </c>
      <c r="F30" s="966">
        <f>'GPC Data'!K81</f>
        <v>0</v>
      </c>
      <c r="G30" s="966">
        <f>'GPC Data'!L81</f>
        <v>0</v>
      </c>
      <c r="H30" s="966">
        <f>'GPC Data'!M81</f>
        <v>0</v>
      </c>
      <c r="I30" s="991">
        <f>'GPC Data'!N81</f>
        <v>0</v>
      </c>
      <c r="J30" s="991">
        <f>'GPC Data'!O81</f>
        <v>0</v>
      </c>
      <c r="L30" s="63">
        <f t="shared" si="1"/>
        <v>0</v>
      </c>
      <c r="M30" s="63" t="str">
        <f t="shared" si="0"/>
        <v>Comp 26</v>
      </c>
      <c r="N30" s="966">
        <f>'GPC Data'!P81</f>
        <v>0</v>
      </c>
      <c r="O30" s="966">
        <f>'GPC Data'!Q81</f>
        <v>0</v>
      </c>
      <c r="P30" s="966">
        <f>'GPC Data'!R81</f>
        <v>0</v>
      </c>
      <c r="Q30" s="966">
        <f>'GPC Data'!S81</f>
        <v>0</v>
      </c>
      <c r="R30" s="966">
        <f>'GPC Data'!T81</f>
        <v>0</v>
      </c>
      <c r="S30" s="991">
        <f>'GPC Data'!U81</f>
        <v>0</v>
      </c>
      <c r="T30" s="991">
        <f>'GPC Data'!V81</f>
        <v>0</v>
      </c>
    </row>
    <row r="31" spans="1:20">
      <c r="A31" s="988">
        <v>27</v>
      </c>
      <c r="B31" s="63">
        <f>'GPC Data'!D48</f>
        <v>0</v>
      </c>
      <c r="C31" s="63" t="str">
        <f>'GPC Data'!E48</f>
        <v>Comp 27</v>
      </c>
      <c r="D31" s="966">
        <f>'GPC Data'!I82</f>
        <v>0</v>
      </c>
      <c r="E31" s="966">
        <f>'GPC Data'!J82</f>
        <v>0</v>
      </c>
      <c r="F31" s="966">
        <f>'GPC Data'!K82</f>
        <v>0</v>
      </c>
      <c r="G31" s="966">
        <f>'GPC Data'!L82</f>
        <v>0</v>
      </c>
      <c r="H31" s="966">
        <f>'GPC Data'!M82</f>
        <v>0</v>
      </c>
      <c r="I31" s="991">
        <f>'GPC Data'!N82</f>
        <v>0</v>
      </c>
      <c r="J31" s="991">
        <f>'GPC Data'!O82</f>
        <v>0</v>
      </c>
      <c r="L31" s="63">
        <f t="shared" si="1"/>
        <v>0</v>
      </c>
      <c r="M31" s="63" t="str">
        <f t="shared" si="0"/>
        <v>Comp 27</v>
      </c>
      <c r="N31" s="966">
        <f>'GPC Data'!P82</f>
        <v>0</v>
      </c>
      <c r="O31" s="966">
        <f>'GPC Data'!Q82</f>
        <v>0</v>
      </c>
      <c r="P31" s="966">
        <f>'GPC Data'!R82</f>
        <v>0</v>
      </c>
      <c r="Q31" s="966">
        <f>'GPC Data'!S82</f>
        <v>0</v>
      </c>
      <c r="R31" s="966">
        <f>'GPC Data'!T82</f>
        <v>0</v>
      </c>
      <c r="S31" s="991">
        <f>'GPC Data'!U82</f>
        <v>0</v>
      </c>
      <c r="T31" s="991">
        <f>'GPC Data'!V82</f>
        <v>0</v>
      </c>
    </row>
    <row r="32" spans="1:20">
      <c r="A32" s="988">
        <v>28</v>
      </c>
      <c r="B32" s="63">
        <f>'GPC Data'!D49</f>
        <v>0</v>
      </c>
      <c r="C32" s="63" t="str">
        <f>'GPC Data'!E49</f>
        <v>Comp 28</v>
      </c>
      <c r="D32" s="966">
        <f>'GPC Data'!I83</f>
        <v>0</v>
      </c>
      <c r="E32" s="966">
        <f>'GPC Data'!J83</f>
        <v>0</v>
      </c>
      <c r="F32" s="966">
        <f>'GPC Data'!K83</f>
        <v>0</v>
      </c>
      <c r="G32" s="966">
        <f>'GPC Data'!L83</f>
        <v>0</v>
      </c>
      <c r="H32" s="966">
        <f>'GPC Data'!M83</f>
        <v>0</v>
      </c>
      <c r="I32" s="991">
        <f>'GPC Data'!N83</f>
        <v>0</v>
      </c>
      <c r="J32" s="991">
        <f>'GPC Data'!O83</f>
        <v>0</v>
      </c>
      <c r="L32" s="63">
        <f t="shared" si="1"/>
        <v>0</v>
      </c>
      <c r="M32" s="63" t="str">
        <f t="shared" si="0"/>
        <v>Comp 28</v>
      </c>
      <c r="N32" s="966">
        <f>'GPC Data'!P83</f>
        <v>0</v>
      </c>
      <c r="O32" s="966">
        <f>'GPC Data'!Q83</f>
        <v>0</v>
      </c>
      <c r="P32" s="966">
        <f>'GPC Data'!R83</f>
        <v>0</v>
      </c>
      <c r="Q32" s="966">
        <f>'GPC Data'!S83</f>
        <v>0</v>
      </c>
      <c r="R32" s="966">
        <f>'GPC Data'!T83</f>
        <v>0</v>
      </c>
      <c r="S32" s="991">
        <f>'GPC Data'!U83</f>
        <v>0</v>
      </c>
      <c r="T32" s="991">
        <f>'GPC Data'!V83</f>
        <v>0</v>
      </c>
    </row>
    <row r="33" spans="1:20">
      <c r="A33" s="988">
        <v>29</v>
      </c>
      <c r="B33" s="63">
        <f>'GPC Data'!D50</f>
        <v>0</v>
      </c>
      <c r="C33" s="63" t="str">
        <f>'GPC Data'!E50</f>
        <v>Comp 29</v>
      </c>
      <c r="D33" s="966">
        <f>'GPC Data'!I84</f>
        <v>0</v>
      </c>
      <c r="E33" s="966">
        <f>'GPC Data'!J84</f>
        <v>0</v>
      </c>
      <c r="F33" s="966">
        <f>'GPC Data'!K84</f>
        <v>0</v>
      </c>
      <c r="G33" s="966">
        <f>'GPC Data'!L84</f>
        <v>0</v>
      </c>
      <c r="H33" s="966">
        <f>'GPC Data'!M84</f>
        <v>0</v>
      </c>
      <c r="I33" s="991">
        <f>'GPC Data'!N84</f>
        <v>0</v>
      </c>
      <c r="J33" s="991">
        <f>'GPC Data'!O84</f>
        <v>0</v>
      </c>
      <c r="L33" s="63">
        <f t="shared" si="1"/>
        <v>0</v>
      </c>
      <c r="M33" s="63" t="str">
        <f t="shared" si="0"/>
        <v>Comp 29</v>
      </c>
      <c r="N33" s="966">
        <f>'GPC Data'!P84</f>
        <v>0</v>
      </c>
      <c r="O33" s="966">
        <f>'GPC Data'!Q84</f>
        <v>0</v>
      </c>
      <c r="P33" s="966">
        <f>'GPC Data'!R84</f>
        <v>0</v>
      </c>
      <c r="Q33" s="966">
        <f>'GPC Data'!S84</f>
        <v>0</v>
      </c>
      <c r="R33" s="966">
        <f>'GPC Data'!T84</f>
        <v>0</v>
      </c>
      <c r="S33" s="991">
        <f>'GPC Data'!U84</f>
        <v>0</v>
      </c>
      <c r="T33" s="991">
        <f>'GPC Data'!V84</f>
        <v>0</v>
      </c>
    </row>
    <row r="34" spans="1:20">
      <c r="A34" s="988">
        <v>30</v>
      </c>
      <c r="B34" s="992">
        <f>'GPC Data'!D51</f>
        <v>0</v>
      </c>
      <c r="C34" s="992" t="str">
        <f>'GPC Data'!E51</f>
        <v>Comp 30</v>
      </c>
      <c r="D34" s="993">
        <f>'GPC Data'!I85</f>
        <v>0</v>
      </c>
      <c r="E34" s="993">
        <f>'GPC Data'!J85</f>
        <v>0</v>
      </c>
      <c r="F34" s="993">
        <f>'GPC Data'!K85</f>
        <v>0</v>
      </c>
      <c r="G34" s="993">
        <f>'GPC Data'!L85</f>
        <v>0</v>
      </c>
      <c r="H34" s="993">
        <f>'GPC Data'!M85</f>
        <v>0</v>
      </c>
      <c r="I34" s="994">
        <f>'GPC Data'!N85</f>
        <v>0</v>
      </c>
      <c r="J34" s="994">
        <f>'GPC Data'!O85</f>
        <v>0</v>
      </c>
      <c r="L34" s="992">
        <f t="shared" si="1"/>
        <v>0</v>
      </c>
      <c r="M34" s="992" t="str">
        <f t="shared" si="0"/>
        <v>Comp 30</v>
      </c>
      <c r="N34" s="993">
        <f>'GPC Data'!P85</f>
        <v>0</v>
      </c>
      <c r="O34" s="993">
        <f>'GPC Data'!Q85</f>
        <v>0</v>
      </c>
      <c r="P34" s="993">
        <f>'GPC Data'!R85</f>
        <v>0</v>
      </c>
      <c r="Q34" s="993">
        <f>'GPC Data'!S85</f>
        <v>0</v>
      </c>
      <c r="R34" s="993">
        <f>'GPC Data'!T85</f>
        <v>0</v>
      </c>
      <c r="S34" s="994">
        <f>'GPC Data'!U85</f>
        <v>0</v>
      </c>
      <c r="T34" s="994">
        <f>'GPC Data'!V85</f>
        <v>0</v>
      </c>
    </row>
  </sheetData>
  <pageMargins left="0.7" right="0.7" top="0.75" bottom="0.75" header="0.3" footer="0.3"/>
  <pageSetup paperSize="9" orientation="portrait" r:id="rId1"/>
  <headerFooter>
    <oddHeader>&amp;R&amp;"Arial"&amp;8&amp;K000000Confidential&amp;1#</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tabColor theme="9" tint="-9.9978637043366805E-2"/>
  </sheetPr>
  <dimension ref="B1:K42"/>
  <sheetViews>
    <sheetView showGridLines="0" view="pageBreakPreview" zoomScale="90" zoomScaleNormal="75" zoomScaleSheetLayoutView="90" workbookViewId="0">
      <selection activeCell="H13" sqref="H13"/>
    </sheetView>
  </sheetViews>
  <sheetFormatPr defaultColWidth="8.88671875" defaultRowHeight="11.25" outlineLevelCol="1"/>
  <cols>
    <col min="1" max="1" width="4.109375" style="229" customWidth="1"/>
    <col min="2" max="2" width="2.88671875" style="229" customWidth="1"/>
    <col min="3" max="3" width="9.88671875" style="229" customWidth="1"/>
    <col min="4" max="6" width="9.88671875" style="229" hidden="1" customWidth="1" outlineLevel="1"/>
    <col min="7" max="7" width="9.88671875" style="229" customWidth="1" collapsed="1"/>
    <col min="8" max="8" width="93.88671875" style="229" customWidth="1"/>
    <col min="9" max="9" width="2.88671875" style="229" customWidth="1"/>
    <col min="10" max="10" width="6" style="977" bestFit="1" customWidth="1"/>
    <col min="11" max="11" width="8.88671875" style="977"/>
    <col min="12" max="16384" width="8.88671875" style="229"/>
  </cols>
  <sheetData>
    <row r="1" spans="2:10" s="392" customFormat="1">
      <c r="B1" s="960"/>
    </row>
    <row r="2" spans="2:10" s="407" customFormat="1">
      <c r="B2" s="505" t="str">
        <f>Inputs!B2</f>
        <v>Valify - UAE Valuation Services</v>
      </c>
      <c r="C2" s="393"/>
      <c r="D2" s="393"/>
      <c r="E2" s="393"/>
      <c r="F2" s="393"/>
      <c r="G2" s="393"/>
      <c r="H2" s="393"/>
      <c r="I2" s="741"/>
    </row>
    <row r="3" spans="2:10" s="407" customFormat="1">
      <c r="B3" s="742" t="str">
        <f>Inputs!$B$3</f>
        <v>Lazure Worldwide FZCO - Self Valuation using DCF Method, Transaction Multiples Method, &amp; Market Multiples Method as at September 30, 2024</v>
      </c>
      <c r="C3" s="506"/>
      <c r="D3" s="506"/>
      <c r="E3" s="506"/>
      <c r="F3" s="506"/>
      <c r="G3" s="506"/>
      <c r="H3" s="506"/>
      <c r="I3" s="745"/>
    </row>
    <row r="4" spans="2:10" s="407" customFormat="1">
      <c r="B4" s="925" t="s">
        <v>1468</v>
      </c>
      <c r="C4" s="508"/>
      <c r="D4" s="508"/>
      <c r="E4" s="508"/>
      <c r="F4" s="508"/>
      <c r="G4" s="508"/>
      <c r="H4" s="508"/>
      <c r="I4" s="509" t="str">
        <f>valuation.date.header</f>
        <v>Valuation Date:  September 30, 2024</v>
      </c>
    </row>
    <row r="5" spans="2:10">
      <c r="B5" s="927"/>
      <c r="C5" s="976"/>
      <c r="D5" s="976"/>
      <c r="E5" s="976"/>
      <c r="F5" s="976"/>
      <c r="G5" s="976"/>
      <c r="H5" s="976"/>
    </row>
    <row r="6" spans="2:10" ht="18" customHeight="1">
      <c r="C6" s="978" t="s">
        <v>1469</v>
      </c>
      <c r="J6" s="229"/>
    </row>
    <row r="7" spans="2:10" ht="26.1" customHeight="1">
      <c r="C7" s="979" t="s">
        <v>1470</v>
      </c>
      <c r="D7" s="979" t="s">
        <v>93</v>
      </c>
      <c r="E7" s="979" t="s">
        <v>95</v>
      </c>
      <c r="F7" s="979" t="s">
        <v>1471</v>
      </c>
      <c r="G7" s="979" t="s">
        <v>96</v>
      </c>
      <c r="H7" s="979" t="s">
        <v>1472</v>
      </c>
      <c r="J7" s="229"/>
    </row>
    <row r="8" spans="2:10">
      <c r="C8" s="980" t="str">
        <f>'GPC Data'!E22</f>
        <v>Comp 1</v>
      </c>
      <c r="D8" s="981" t="e">
        <f>#REF!</f>
        <v>#REF!</v>
      </c>
      <c r="E8" s="981" t="e">
        <f>#REF!</f>
        <v>#REF!</v>
      </c>
      <c r="F8" s="981" t="e">
        <f>#REF!</f>
        <v>#REF!</v>
      </c>
      <c r="G8" s="980">
        <f>'GPC Data'!H22</f>
        <v>0</v>
      </c>
      <c r="H8" s="982">
        <f>'GPC Data'!S22</f>
        <v>0</v>
      </c>
      <c r="J8" s="229"/>
    </row>
    <row r="9" spans="2:10">
      <c r="C9" s="980" t="str">
        <f>'GPC Data'!E23</f>
        <v>Comp 2</v>
      </c>
      <c r="D9" s="981" t="e">
        <f>#REF!</f>
        <v>#REF!</v>
      </c>
      <c r="E9" s="981" t="e">
        <f>#REF!</f>
        <v>#REF!</v>
      </c>
      <c r="F9" s="981" t="e">
        <f>#REF!</f>
        <v>#REF!</v>
      </c>
      <c r="G9" s="980">
        <f>'GPC Data'!H23</f>
        <v>0</v>
      </c>
      <c r="H9" s="982">
        <f>'GPC Data'!S23</f>
        <v>0</v>
      </c>
      <c r="J9" s="229"/>
    </row>
    <row r="10" spans="2:10">
      <c r="C10" s="980" t="str">
        <f>'GPC Data'!E24</f>
        <v>Comp 3</v>
      </c>
      <c r="D10" s="981" t="e">
        <f>#REF!</f>
        <v>#REF!</v>
      </c>
      <c r="E10" s="981" t="e">
        <f>#REF!</f>
        <v>#REF!</v>
      </c>
      <c r="F10" s="981" t="e">
        <f>#REF!</f>
        <v>#REF!</v>
      </c>
      <c r="G10" s="980">
        <f>'GPC Data'!H24</f>
        <v>0</v>
      </c>
      <c r="H10" s="982">
        <f>'GPC Data'!S24</f>
        <v>0</v>
      </c>
      <c r="J10" s="229"/>
    </row>
    <row r="11" spans="2:10" ht="12" customHeight="1">
      <c r="C11" s="980" t="str">
        <f>'GPC Data'!E25</f>
        <v>Comp 4</v>
      </c>
      <c r="D11" s="981" t="e">
        <f>#REF!</f>
        <v>#REF!</v>
      </c>
      <c r="E11" s="981" t="e">
        <f>#REF!</f>
        <v>#REF!</v>
      </c>
      <c r="F11" s="981" t="e">
        <f>#REF!</f>
        <v>#REF!</v>
      </c>
      <c r="G11" s="980">
        <f>'GPC Data'!H25</f>
        <v>0</v>
      </c>
      <c r="H11" s="982">
        <f>'GPC Data'!S25</f>
        <v>0</v>
      </c>
      <c r="J11" s="229"/>
    </row>
    <row r="12" spans="2:10" ht="12" customHeight="1">
      <c r="C12" s="980" t="str">
        <f>'GPC Data'!E26</f>
        <v>Comp 5</v>
      </c>
      <c r="D12" s="981" t="e">
        <f>#REF!</f>
        <v>#REF!</v>
      </c>
      <c r="E12" s="981" t="e">
        <f>#REF!</f>
        <v>#REF!</v>
      </c>
      <c r="F12" s="981" t="e">
        <f>#REF!</f>
        <v>#REF!</v>
      </c>
      <c r="G12" s="980">
        <f>'GPC Data'!H26</f>
        <v>0</v>
      </c>
      <c r="H12" s="982">
        <f>'GPC Data'!S26</f>
        <v>0</v>
      </c>
      <c r="J12" s="229"/>
    </row>
    <row r="13" spans="2:10" ht="12" customHeight="1">
      <c r="C13" s="980" t="str">
        <f>'GPC Data'!E27</f>
        <v>Comp 6</v>
      </c>
      <c r="D13" s="981" t="e">
        <f>#REF!</f>
        <v>#REF!</v>
      </c>
      <c r="E13" s="981" t="e">
        <f>#REF!</f>
        <v>#REF!</v>
      </c>
      <c r="F13" s="981" t="e">
        <f>#REF!</f>
        <v>#REF!</v>
      </c>
      <c r="G13" s="980">
        <f>'GPC Data'!H27</f>
        <v>0</v>
      </c>
      <c r="H13" s="982">
        <f>'GPC Data'!S27</f>
        <v>0</v>
      </c>
      <c r="J13" s="229"/>
    </row>
    <row r="14" spans="2:10" ht="12" customHeight="1">
      <c r="C14" s="980" t="str">
        <f>'GPC Data'!E28</f>
        <v>Comp 7</v>
      </c>
      <c r="D14" s="981" t="e">
        <f>#REF!</f>
        <v>#REF!</v>
      </c>
      <c r="E14" s="981" t="e">
        <f>#REF!</f>
        <v>#REF!</v>
      </c>
      <c r="F14" s="981" t="e">
        <f>#REF!</f>
        <v>#REF!</v>
      </c>
      <c r="G14" s="980">
        <f>'GPC Data'!H28</f>
        <v>0</v>
      </c>
      <c r="H14" s="982">
        <f>'GPC Data'!S28</f>
        <v>0</v>
      </c>
      <c r="J14" s="229"/>
    </row>
    <row r="15" spans="2:10" ht="12" customHeight="1">
      <c r="C15" s="980" t="str">
        <f>'GPC Data'!E29</f>
        <v>Comp 8</v>
      </c>
      <c r="D15" s="981" t="e">
        <f>#REF!</f>
        <v>#REF!</v>
      </c>
      <c r="E15" s="981" t="e">
        <f>#REF!</f>
        <v>#REF!</v>
      </c>
      <c r="F15" s="981" t="e">
        <f>#REF!</f>
        <v>#REF!</v>
      </c>
      <c r="G15" s="980">
        <f>'GPC Data'!H29</f>
        <v>0</v>
      </c>
      <c r="H15" s="982">
        <f>'GPC Data'!S29</f>
        <v>0</v>
      </c>
      <c r="J15" s="229"/>
    </row>
    <row r="16" spans="2:10" ht="12" customHeight="1">
      <c r="C16" s="980" t="str">
        <f>'GPC Data'!E30</f>
        <v>Comp 9</v>
      </c>
      <c r="D16" s="981" t="e">
        <f>#REF!</f>
        <v>#REF!</v>
      </c>
      <c r="E16" s="981" t="e">
        <f>#REF!</f>
        <v>#REF!</v>
      </c>
      <c r="F16" s="981" t="e">
        <f>#REF!</f>
        <v>#REF!</v>
      </c>
      <c r="G16" s="980">
        <f>'GPC Data'!H30</f>
        <v>0</v>
      </c>
      <c r="H16" s="982">
        <f>'GPC Data'!S30</f>
        <v>0</v>
      </c>
      <c r="J16" s="229"/>
    </row>
    <row r="17" spans="3:10" ht="12" customHeight="1">
      <c r="C17" s="980" t="str">
        <f>'GPC Data'!E31</f>
        <v>Comp 10</v>
      </c>
      <c r="D17" s="981" t="e">
        <f>#REF!</f>
        <v>#REF!</v>
      </c>
      <c r="E17" s="981" t="e">
        <f>#REF!</f>
        <v>#REF!</v>
      </c>
      <c r="F17" s="981" t="e">
        <f>#REF!</f>
        <v>#REF!</v>
      </c>
      <c r="G17" s="980">
        <f>'GPC Data'!H31</f>
        <v>0</v>
      </c>
      <c r="H17" s="982">
        <f>'GPC Data'!S31</f>
        <v>0</v>
      </c>
      <c r="J17" s="229"/>
    </row>
    <row r="18" spans="3:10" ht="12" customHeight="1">
      <c r="C18" s="980" t="str">
        <f>'GPC Data'!E32</f>
        <v>Comp 11</v>
      </c>
      <c r="D18" s="981" t="e">
        <f>#REF!</f>
        <v>#REF!</v>
      </c>
      <c r="E18" s="981" t="e">
        <f>#REF!</f>
        <v>#REF!</v>
      </c>
      <c r="F18" s="981" t="e">
        <f>#REF!</f>
        <v>#REF!</v>
      </c>
      <c r="G18" s="980">
        <f>'GPC Data'!H32</f>
        <v>0</v>
      </c>
      <c r="H18" s="982">
        <f>'GPC Data'!S32</f>
        <v>0</v>
      </c>
      <c r="J18" s="229"/>
    </row>
    <row r="19" spans="3:10" ht="12" customHeight="1">
      <c r="C19" s="980" t="str">
        <f>'GPC Data'!E33</f>
        <v>Comp 12</v>
      </c>
      <c r="D19" s="981" t="e">
        <f>#REF!</f>
        <v>#REF!</v>
      </c>
      <c r="E19" s="981" t="e">
        <f>#REF!</f>
        <v>#REF!</v>
      </c>
      <c r="F19" s="981" t="e">
        <f>#REF!</f>
        <v>#REF!</v>
      </c>
      <c r="G19" s="980">
        <f>'GPC Data'!H33</f>
        <v>0</v>
      </c>
      <c r="H19" s="982">
        <f>'GPC Data'!S33</f>
        <v>0</v>
      </c>
      <c r="J19" s="229"/>
    </row>
    <row r="20" spans="3:10" ht="12" customHeight="1">
      <c r="C20" s="980" t="str">
        <f>'GPC Data'!E34</f>
        <v>Comp 13</v>
      </c>
      <c r="D20" s="981" t="e">
        <f>#REF!</f>
        <v>#REF!</v>
      </c>
      <c r="E20" s="981" t="e">
        <f>#REF!</f>
        <v>#REF!</v>
      </c>
      <c r="F20" s="981" t="e">
        <f>#REF!</f>
        <v>#REF!</v>
      </c>
      <c r="G20" s="980">
        <f>'GPC Data'!H34</f>
        <v>0</v>
      </c>
      <c r="H20" s="982">
        <f>'GPC Data'!S34</f>
        <v>0</v>
      </c>
      <c r="J20" s="229"/>
    </row>
    <row r="21" spans="3:10" ht="12" customHeight="1">
      <c r="C21" s="980" t="str">
        <f>'GPC Data'!E35</f>
        <v>Comp 14</v>
      </c>
      <c r="D21" s="981" t="e">
        <f>#REF!</f>
        <v>#REF!</v>
      </c>
      <c r="E21" s="981" t="e">
        <f>#REF!</f>
        <v>#REF!</v>
      </c>
      <c r="F21" s="981" t="e">
        <f>#REF!</f>
        <v>#REF!</v>
      </c>
      <c r="G21" s="980">
        <f>'GPC Data'!H35</f>
        <v>0</v>
      </c>
      <c r="H21" s="982">
        <f>'GPC Data'!S35</f>
        <v>0</v>
      </c>
      <c r="J21" s="229"/>
    </row>
    <row r="22" spans="3:10" ht="12" customHeight="1">
      <c r="C22" s="980" t="str">
        <f>'GPC Data'!E36</f>
        <v>Comp 15</v>
      </c>
      <c r="D22" s="981" t="e">
        <f>#REF!</f>
        <v>#REF!</v>
      </c>
      <c r="E22" s="981" t="e">
        <f>#REF!</f>
        <v>#REF!</v>
      </c>
      <c r="F22" s="981" t="e">
        <f>#REF!</f>
        <v>#REF!</v>
      </c>
      <c r="G22" s="980">
        <f>'GPC Data'!H36</f>
        <v>0</v>
      </c>
      <c r="H22" s="982">
        <f>'GPC Data'!S36</f>
        <v>0</v>
      </c>
      <c r="J22" s="229"/>
    </row>
    <row r="23" spans="3:10" ht="12" customHeight="1">
      <c r="C23" s="980" t="str">
        <f>'GPC Data'!E37</f>
        <v>Comp 16</v>
      </c>
      <c r="D23" s="981" t="e">
        <f>#REF!</f>
        <v>#REF!</v>
      </c>
      <c r="E23" s="981" t="e">
        <f>#REF!</f>
        <v>#REF!</v>
      </c>
      <c r="F23" s="981" t="e">
        <f>#REF!</f>
        <v>#REF!</v>
      </c>
      <c r="G23" s="980">
        <f>'GPC Data'!H37</f>
        <v>0</v>
      </c>
      <c r="H23" s="982">
        <f>'GPC Data'!S37</f>
        <v>0</v>
      </c>
      <c r="J23" s="229"/>
    </row>
    <row r="24" spans="3:10" ht="12" customHeight="1">
      <c r="C24" s="980" t="str">
        <f>'GPC Data'!E38</f>
        <v>Comp 17</v>
      </c>
      <c r="D24" s="981" t="e">
        <f>#REF!</f>
        <v>#REF!</v>
      </c>
      <c r="E24" s="981" t="e">
        <f>#REF!</f>
        <v>#REF!</v>
      </c>
      <c r="F24" s="981" t="e">
        <f>#REF!</f>
        <v>#REF!</v>
      </c>
      <c r="G24" s="980">
        <f>'GPC Data'!H38</f>
        <v>0</v>
      </c>
      <c r="H24" s="982">
        <f>'GPC Data'!S38</f>
        <v>0</v>
      </c>
      <c r="J24" s="229"/>
    </row>
    <row r="25" spans="3:10" ht="12" customHeight="1">
      <c r="C25" s="980" t="str">
        <f>'GPC Data'!E39</f>
        <v>Comp 18</v>
      </c>
      <c r="D25" s="981" t="e">
        <f>#REF!</f>
        <v>#REF!</v>
      </c>
      <c r="E25" s="981" t="e">
        <f>#REF!</f>
        <v>#REF!</v>
      </c>
      <c r="F25" s="981" t="e">
        <f>#REF!</f>
        <v>#REF!</v>
      </c>
      <c r="G25" s="980">
        <f>'GPC Data'!H39</f>
        <v>0</v>
      </c>
      <c r="H25" s="982">
        <f>'GPC Data'!S39</f>
        <v>0</v>
      </c>
      <c r="J25" s="229"/>
    </row>
    <row r="26" spans="3:10" ht="12" customHeight="1">
      <c r="C26" s="980" t="str">
        <f>'GPC Data'!E40</f>
        <v>Comp 19</v>
      </c>
      <c r="D26" s="981" t="e">
        <f>#REF!</f>
        <v>#REF!</v>
      </c>
      <c r="E26" s="981" t="e">
        <f>#REF!</f>
        <v>#REF!</v>
      </c>
      <c r="F26" s="981" t="e">
        <f>#REF!</f>
        <v>#REF!</v>
      </c>
      <c r="G26" s="980">
        <f>'GPC Data'!H40</f>
        <v>0</v>
      </c>
      <c r="H26" s="982">
        <f>'GPC Data'!S40</f>
        <v>0</v>
      </c>
      <c r="J26" s="229"/>
    </row>
    <row r="27" spans="3:10" ht="12" customHeight="1">
      <c r="C27" s="980" t="str">
        <f>'GPC Data'!E41</f>
        <v>Comp 20</v>
      </c>
      <c r="D27" s="981" t="e">
        <f>#REF!</f>
        <v>#REF!</v>
      </c>
      <c r="E27" s="981" t="e">
        <f>#REF!</f>
        <v>#REF!</v>
      </c>
      <c r="F27" s="981" t="e">
        <f>#REF!</f>
        <v>#REF!</v>
      </c>
      <c r="G27" s="980">
        <f>'GPC Data'!H41</f>
        <v>0</v>
      </c>
      <c r="H27" s="982">
        <f>'GPC Data'!S41</f>
        <v>0</v>
      </c>
      <c r="J27" s="229"/>
    </row>
    <row r="28" spans="3:10" ht="12" customHeight="1">
      <c r="C28" s="980" t="str">
        <f>'GPC Data'!E42</f>
        <v>Comp 21</v>
      </c>
      <c r="D28" s="981" t="e">
        <f>#REF!</f>
        <v>#REF!</v>
      </c>
      <c r="E28" s="981" t="e">
        <f>#REF!</f>
        <v>#REF!</v>
      </c>
      <c r="F28" s="981" t="e">
        <f>#REF!</f>
        <v>#REF!</v>
      </c>
      <c r="G28" s="980">
        <f>'GPC Data'!H42</f>
        <v>0</v>
      </c>
      <c r="H28" s="982">
        <f>'GPC Data'!S42</f>
        <v>0</v>
      </c>
      <c r="J28" s="229"/>
    </row>
    <row r="29" spans="3:10" ht="12" customHeight="1">
      <c r="C29" s="980" t="str">
        <f>'GPC Data'!E43</f>
        <v>Comp 22</v>
      </c>
      <c r="D29" s="981" t="e">
        <f>#REF!</f>
        <v>#REF!</v>
      </c>
      <c r="E29" s="981" t="e">
        <f>#REF!</f>
        <v>#REF!</v>
      </c>
      <c r="F29" s="981" t="e">
        <f>#REF!</f>
        <v>#REF!</v>
      </c>
      <c r="G29" s="980">
        <f>'GPC Data'!H43</f>
        <v>0</v>
      </c>
      <c r="H29" s="982">
        <f>'GPC Data'!S43</f>
        <v>0</v>
      </c>
      <c r="J29" s="229"/>
    </row>
    <row r="30" spans="3:10" ht="12" customHeight="1">
      <c r="C30" s="980" t="str">
        <f>'GPC Data'!E44</f>
        <v>Comp 23</v>
      </c>
      <c r="D30" s="981" t="e">
        <f>#REF!</f>
        <v>#REF!</v>
      </c>
      <c r="E30" s="981" t="e">
        <f>#REF!</f>
        <v>#REF!</v>
      </c>
      <c r="F30" s="981" t="e">
        <f>#REF!</f>
        <v>#REF!</v>
      </c>
      <c r="G30" s="980">
        <f>'GPC Data'!H44</f>
        <v>0</v>
      </c>
      <c r="H30" s="982">
        <f>'GPC Data'!S44</f>
        <v>0</v>
      </c>
      <c r="J30" s="229"/>
    </row>
    <row r="31" spans="3:10" ht="12" customHeight="1">
      <c r="C31" s="980" t="str">
        <f>'GPC Data'!E45</f>
        <v>Comp 24</v>
      </c>
      <c r="D31" s="981" t="e">
        <f>#REF!</f>
        <v>#REF!</v>
      </c>
      <c r="E31" s="981" t="e">
        <f>#REF!</f>
        <v>#REF!</v>
      </c>
      <c r="F31" s="981" t="e">
        <f>#REF!</f>
        <v>#REF!</v>
      </c>
      <c r="G31" s="980">
        <f>'GPC Data'!H45</f>
        <v>0</v>
      </c>
      <c r="H31" s="982">
        <f>'GPC Data'!S45</f>
        <v>0</v>
      </c>
      <c r="J31" s="229"/>
    </row>
    <row r="32" spans="3:10" ht="12" customHeight="1">
      <c r="C32" s="980" t="str">
        <f>'GPC Data'!E46</f>
        <v>Comp 25</v>
      </c>
      <c r="D32" s="981" t="e">
        <f>#REF!</f>
        <v>#REF!</v>
      </c>
      <c r="E32" s="981" t="e">
        <f>#REF!</f>
        <v>#REF!</v>
      </c>
      <c r="F32" s="981" t="e">
        <f>#REF!</f>
        <v>#REF!</v>
      </c>
      <c r="G32" s="980">
        <f>'GPC Data'!H46</f>
        <v>0</v>
      </c>
      <c r="H32" s="982">
        <f>'GPC Data'!S46</f>
        <v>0</v>
      </c>
      <c r="J32" s="229"/>
    </row>
    <row r="33" spans="2:11" ht="12" customHeight="1">
      <c r="C33" s="980" t="str">
        <f>'GPC Data'!E47</f>
        <v>Comp 26</v>
      </c>
      <c r="D33" s="981" t="e">
        <f>#REF!</f>
        <v>#REF!</v>
      </c>
      <c r="E33" s="981" t="e">
        <f>#REF!</f>
        <v>#REF!</v>
      </c>
      <c r="F33" s="981" t="e">
        <f>#REF!</f>
        <v>#REF!</v>
      </c>
      <c r="G33" s="980">
        <f>'GPC Data'!H47</f>
        <v>0</v>
      </c>
      <c r="H33" s="982">
        <f>'GPC Data'!S47</f>
        <v>0</v>
      </c>
      <c r="J33" s="229"/>
    </row>
    <row r="34" spans="2:11" ht="12" customHeight="1">
      <c r="C34" s="980" t="str">
        <f>'GPC Data'!E48</f>
        <v>Comp 27</v>
      </c>
      <c r="D34" s="981" t="e">
        <f>#REF!</f>
        <v>#REF!</v>
      </c>
      <c r="E34" s="981" t="e">
        <f>#REF!</f>
        <v>#REF!</v>
      </c>
      <c r="F34" s="981" t="e">
        <f>#REF!</f>
        <v>#REF!</v>
      </c>
      <c r="G34" s="980">
        <f>'GPC Data'!H48</f>
        <v>0</v>
      </c>
      <c r="H34" s="982">
        <f>'GPC Data'!S48</f>
        <v>0</v>
      </c>
      <c r="J34" s="229"/>
    </row>
    <row r="35" spans="2:11" ht="12" customHeight="1">
      <c r="C35" s="980" t="str">
        <f>'GPC Data'!E49</f>
        <v>Comp 28</v>
      </c>
      <c r="D35" s="981" t="e">
        <f>#REF!</f>
        <v>#REF!</v>
      </c>
      <c r="E35" s="981" t="e">
        <f>#REF!</f>
        <v>#REF!</v>
      </c>
      <c r="F35" s="981" t="e">
        <f>#REF!</f>
        <v>#REF!</v>
      </c>
      <c r="G35" s="980">
        <f>'GPC Data'!H49</f>
        <v>0</v>
      </c>
      <c r="H35" s="982">
        <f>'GPC Data'!S49</f>
        <v>0</v>
      </c>
      <c r="J35" s="229"/>
    </row>
    <row r="36" spans="2:11" ht="12" customHeight="1">
      <c r="C36" s="980" t="str">
        <f>'GPC Data'!E50</f>
        <v>Comp 29</v>
      </c>
      <c r="D36" s="981" t="e">
        <f>#REF!</f>
        <v>#REF!</v>
      </c>
      <c r="E36" s="981" t="e">
        <f>#REF!</f>
        <v>#REF!</v>
      </c>
      <c r="F36" s="981" t="e">
        <f>#REF!</f>
        <v>#REF!</v>
      </c>
      <c r="G36" s="980">
        <f>'GPC Data'!H50</f>
        <v>0</v>
      </c>
      <c r="H36" s="982">
        <f>'GPC Data'!S50</f>
        <v>0</v>
      </c>
      <c r="J36" s="229"/>
    </row>
    <row r="37" spans="2:11" ht="12" customHeight="1">
      <c r="C37" s="980" t="str">
        <f>'GPC Data'!E51</f>
        <v>Comp 30</v>
      </c>
      <c r="D37" s="981" t="e">
        <f>#REF!</f>
        <v>#REF!</v>
      </c>
      <c r="E37" s="981" t="e">
        <f>#REF!</f>
        <v>#REF!</v>
      </c>
      <c r="F37" s="981" t="e">
        <f>#REF!</f>
        <v>#REF!</v>
      </c>
      <c r="G37" s="980">
        <f>'GPC Data'!H51</f>
        <v>0</v>
      </c>
      <c r="H37" s="982">
        <f>'GPC Data'!S51</f>
        <v>0</v>
      </c>
      <c r="J37" s="229"/>
    </row>
    <row r="38" spans="2:11">
      <c r="B38" s="251"/>
      <c r="C38" s="251"/>
      <c r="D38" s="251"/>
      <c r="E38" s="251"/>
      <c r="F38" s="251"/>
      <c r="G38" s="251"/>
      <c r="H38" s="251"/>
      <c r="I38" s="251"/>
    </row>
    <row r="39" spans="2:11" s="496" customFormat="1">
      <c r="B39" s="551"/>
      <c r="C39" s="551"/>
      <c r="D39" s="551"/>
      <c r="E39" s="551"/>
      <c r="F39" s="551"/>
      <c r="G39" s="551"/>
      <c r="H39" s="551"/>
      <c r="I39" s="551"/>
      <c r="J39" s="983"/>
      <c r="K39" s="983"/>
    </row>
    <row r="40" spans="2:11" s="496" customFormat="1">
      <c r="B40" s="551"/>
      <c r="C40" s="551"/>
      <c r="D40" s="551"/>
      <c r="E40" s="551"/>
      <c r="F40" s="551"/>
      <c r="G40" s="551"/>
      <c r="H40" s="551"/>
      <c r="I40" s="551"/>
      <c r="J40" s="983"/>
      <c r="K40" s="983"/>
    </row>
    <row r="41" spans="2:11" s="499" customFormat="1">
      <c r="B41" s="984"/>
      <c r="C41" s="950"/>
      <c r="D41" s="950"/>
      <c r="E41" s="950"/>
      <c r="F41" s="950"/>
      <c r="G41" s="950"/>
      <c r="H41" s="950"/>
      <c r="I41" s="950"/>
      <c r="J41" s="501"/>
      <c r="K41" s="501"/>
    </row>
    <row r="42" spans="2:11" s="499" customFormat="1">
      <c r="J42" s="501"/>
      <c r="K42" s="501"/>
    </row>
  </sheetData>
  <phoneticPr fontId="19" type="noConversion"/>
  <printOptions horizontalCentered="1"/>
  <pageMargins left="0.25" right="0.25" top="0.75" bottom="0.25" header="0.25" footer="0.25"/>
  <pageSetup scale="57" fitToHeight="5" orientation="portrait" r:id="rId1"/>
  <headerFooter alignWithMargins="0">
    <oddHeader>&amp;R&amp;"Arial"&amp;8&amp;K000000Confidential&amp;1#</oddHead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2:AS66"/>
  <sheetViews>
    <sheetView showGridLines="0" zoomScale="68" zoomScaleNormal="100" zoomScaleSheetLayoutView="80" workbookViewId="0">
      <selection activeCell="J18" sqref="J18"/>
    </sheetView>
  </sheetViews>
  <sheetFormatPr defaultColWidth="8.88671875" defaultRowHeight="11.25"/>
  <cols>
    <col min="1" max="1" width="2.21875" style="259" customWidth="1"/>
    <col min="2" max="2" width="2.88671875" style="259" customWidth="1"/>
    <col min="3" max="3" width="30.88671875" style="259" customWidth="1"/>
    <col min="4" max="4" width="7.88671875" style="259" customWidth="1"/>
    <col min="5" max="5" width="8.109375" style="259" customWidth="1"/>
    <col min="6" max="7" width="6.88671875" style="259" customWidth="1"/>
    <col min="8" max="14" width="9" style="259" customWidth="1"/>
    <col min="15" max="22" width="7.88671875" style="259" customWidth="1"/>
    <col min="23" max="30" width="7.44140625" style="259" customWidth="1"/>
    <col min="31" max="36" width="7.109375" style="259" customWidth="1"/>
    <col min="37" max="42" width="7.5546875" style="259" customWidth="1"/>
    <col min="43" max="43" width="2.88671875" style="259" customWidth="1"/>
    <col min="44" max="44" width="3.109375" style="259" customWidth="1"/>
    <col min="45" max="16384" width="8.88671875" style="259"/>
  </cols>
  <sheetData>
    <row r="2" spans="2:45" s="738" customFormat="1">
      <c r="B2" s="996" t="str">
        <f>Inputs!B2</f>
        <v>Valify - UAE Valuation Services</v>
      </c>
      <c r="C2" s="393"/>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740"/>
      <c r="AD2" s="740"/>
      <c r="AE2" s="740"/>
      <c r="AF2" s="740"/>
      <c r="AG2" s="740"/>
      <c r="AH2" s="740"/>
      <c r="AI2" s="740"/>
      <c r="AJ2" s="740"/>
      <c r="AK2" s="740"/>
      <c r="AL2" s="740"/>
      <c r="AM2" s="740"/>
      <c r="AN2" s="740"/>
      <c r="AO2" s="740"/>
      <c r="AP2" s="740"/>
      <c r="AQ2" s="741"/>
    </row>
    <row r="3" spans="2:45" s="738" customFormat="1">
      <c r="B3" s="997"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506"/>
      <c r="O3" s="506"/>
      <c r="P3" s="743"/>
      <c r="Q3" s="744"/>
      <c r="R3" s="744"/>
      <c r="S3" s="744"/>
      <c r="T3" s="506"/>
      <c r="U3" s="506"/>
      <c r="V3" s="506"/>
      <c r="W3" s="506"/>
      <c r="X3" s="506"/>
      <c r="Y3" s="506"/>
      <c r="Z3" s="506"/>
      <c r="AA3" s="506"/>
      <c r="AB3" s="506"/>
      <c r="AC3" s="503"/>
      <c r="AD3" s="503"/>
      <c r="AE3" s="503"/>
      <c r="AF3" s="503"/>
      <c r="AG3" s="503"/>
      <c r="AH3" s="503"/>
      <c r="AI3" s="503"/>
      <c r="AJ3" s="503"/>
      <c r="AK3" s="503"/>
      <c r="AL3" s="503"/>
      <c r="AM3" s="503"/>
      <c r="AN3" s="503"/>
      <c r="AO3" s="503"/>
      <c r="AP3" s="503"/>
      <c r="AQ3" s="745"/>
    </row>
    <row r="4" spans="2:45" s="746" customFormat="1">
      <c r="B4" s="997" t="s">
        <v>1473</v>
      </c>
      <c r="C4" s="506"/>
      <c r="D4" s="506"/>
      <c r="E4" s="506"/>
      <c r="F4" s="506"/>
      <c r="G4" s="506"/>
      <c r="H4" s="506"/>
      <c r="I4" s="506"/>
      <c r="J4" s="506"/>
      <c r="K4" s="506"/>
      <c r="L4" s="506"/>
      <c r="M4" s="506"/>
      <c r="N4" s="506"/>
      <c r="O4" s="506"/>
      <c r="P4" s="506"/>
      <c r="Q4" s="506"/>
      <c r="R4" s="506"/>
      <c r="S4" s="506"/>
      <c r="T4" s="506"/>
      <c r="U4" s="506"/>
      <c r="V4" s="506"/>
      <c r="W4" s="506"/>
      <c r="X4" s="506"/>
      <c r="Y4" s="506"/>
      <c r="Z4" s="506"/>
      <c r="AA4" s="506"/>
      <c r="AB4" s="506"/>
      <c r="AC4" s="503"/>
      <c r="AD4" s="503"/>
      <c r="AE4" s="503"/>
      <c r="AF4" s="503"/>
      <c r="AG4" s="503"/>
      <c r="AH4" s="503"/>
      <c r="AI4" s="503"/>
      <c r="AJ4" s="503"/>
      <c r="AK4" s="503"/>
      <c r="AL4" s="503"/>
      <c r="AM4" s="503"/>
      <c r="AN4" s="503"/>
      <c r="AO4" s="503"/>
      <c r="AP4" s="503"/>
      <c r="AQ4" s="503" t="str">
        <f>valuation.date.header</f>
        <v>Valuation Date:  September 30, 2024</v>
      </c>
    </row>
    <row r="5" spans="2:45" ht="5.0999999999999996" customHeight="1" thickBot="1">
      <c r="B5" s="1035"/>
      <c r="C5" s="1035"/>
      <c r="D5" s="1035"/>
      <c r="E5" s="1036"/>
      <c r="F5" s="1035"/>
      <c r="G5" s="1035"/>
      <c r="H5" s="1035"/>
      <c r="I5" s="1035"/>
      <c r="J5" s="1035"/>
      <c r="K5" s="1035"/>
      <c r="L5" s="1035"/>
      <c r="M5" s="1035"/>
      <c r="N5" s="1035"/>
      <c r="O5" s="1035"/>
      <c r="P5" s="1035"/>
      <c r="Q5" s="1035"/>
      <c r="R5" s="1035"/>
      <c r="S5" s="1035"/>
      <c r="T5" s="1035"/>
      <c r="U5" s="1035"/>
      <c r="V5" s="1035"/>
      <c r="W5" s="1035"/>
      <c r="X5" s="1035"/>
      <c r="Y5" s="1035"/>
      <c r="Z5" s="1035"/>
      <c r="AA5" s="1035"/>
      <c r="AB5" s="1035"/>
      <c r="AC5" s="1035"/>
      <c r="AD5" s="1035"/>
      <c r="AE5" s="1035"/>
      <c r="AF5" s="1035"/>
      <c r="AG5" s="1035"/>
      <c r="AH5" s="1035"/>
      <c r="AI5" s="1035"/>
      <c r="AJ5" s="1035"/>
      <c r="AK5" s="1035"/>
      <c r="AL5" s="1035"/>
      <c r="AM5" s="1035"/>
      <c r="AN5" s="1035"/>
      <c r="AO5" s="1035"/>
      <c r="AP5" s="1035"/>
      <c r="AQ5" s="1037"/>
    </row>
    <row r="6" spans="2:45">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row>
    <row r="7" spans="2:45">
      <c r="B7" s="258"/>
      <c r="C7" s="1038"/>
      <c r="D7" s="1038"/>
      <c r="E7" s="1038"/>
      <c r="F7" s="1835" t="s">
        <v>1474</v>
      </c>
      <c r="G7" s="1835"/>
      <c r="H7" s="1835" t="s">
        <v>1475</v>
      </c>
      <c r="I7" s="1835"/>
      <c r="J7" s="1835"/>
      <c r="K7" s="1835"/>
      <c r="L7" s="1835"/>
      <c r="M7" s="1835"/>
      <c r="N7" s="1835"/>
      <c r="O7" s="1835" t="s">
        <v>1476</v>
      </c>
      <c r="P7" s="1835"/>
      <c r="Q7" s="1835"/>
      <c r="R7" s="1835"/>
      <c r="S7" s="1835"/>
      <c r="T7" s="1835"/>
      <c r="U7" s="1835"/>
      <c r="V7" s="1835"/>
      <c r="W7" s="1835" t="s">
        <v>1477</v>
      </c>
      <c r="X7" s="1835"/>
      <c r="Y7" s="1835"/>
      <c r="Z7" s="1835"/>
      <c r="AA7" s="1835"/>
      <c r="AB7" s="1835"/>
      <c r="AC7" s="1835"/>
      <c r="AD7" s="1835"/>
      <c r="AE7" s="1835" t="s">
        <v>1478</v>
      </c>
      <c r="AF7" s="1835"/>
      <c r="AG7" s="1835"/>
      <c r="AH7" s="1835" t="s">
        <v>1479</v>
      </c>
      <c r="AI7" s="1835"/>
      <c r="AJ7" s="1835"/>
      <c r="AK7" s="1835" t="s">
        <v>1480</v>
      </c>
      <c r="AL7" s="1835"/>
      <c r="AM7" s="1835"/>
      <c r="AN7" s="1835" t="s">
        <v>1481</v>
      </c>
      <c r="AO7" s="1835"/>
      <c r="AP7" s="1835"/>
    </row>
    <row r="8" spans="2:45" ht="47.1" customHeight="1">
      <c r="C8" s="1039" t="s">
        <v>94</v>
      </c>
      <c r="D8" s="1040" t="s">
        <v>1427</v>
      </c>
      <c r="E8" s="1040" t="s">
        <v>1445</v>
      </c>
      <c r="F8" s="758" t="s">
        <v>1482</v>
      </c>
      <c r="G8" s="758" t="s">
        <v>1483</v>
      </c>
      <c r="H8" s="758" t="s">
        <v>1484</v>
      </c>
      <c r="I8" s="758" t="s">
        <v>1485</v>
      </c>
      <c r="J8" s="758" t="s">
        <v>1486</v>
      </c>
      <c r="K8" s="758" t="s">
        <v>1487</v>
      </c>
      <c r="L8" s="758" t="s">
        <v>1488</v>
      </c>
      <c r="M8" s="758" t="s">
        <v>1489</v>
      </c>
      <c r="N8" s="758" t="s">
        <v>1490</v>
      </c>
      <c r="O8" s="758" t="s">
        <v>1491</v>
      </c>
      <c r="P8" s="758" t="s">
        <v>1492</v>
      </c>
      <c r="Q8" s="1041" t="s">
        <v>1493</v>
      </c>
      <c r="R8" s="1041" t="s">
        <v>1455</v>
      </c>
      <c r="S8" s="758" t="s">
        <v>1494</v>
      </c>
      <c r="T8" s="1041" t="s">
        <v>1388</v>
      </c>
      <c r="U8" s="758" t="s">
        <v>1495</v>
      </c>
      <c r="V8" s="1041" t="s">
        <v>1496</v>
      </c>
      <c r="W8" s="1041" t="s">
        <v>1497</v>
      </c>
      <c r="X8" s="1041" t="s">
        <v>1498</v>
      </c>
      <c r="Y8" s="1041" t="s">
        <v>1499</v>
      </c>
      <c r="Z8" s="1041" t="s">
        <v>1500</v>
      </c>
      <c r="AA8" s="1041" t="s">
        <v>1407</v>
      </c>
      <c r="AB8" s="1041" t="s">
        <v>1408</v>
      </c>
      <c r="AC8" s="1041" t="s">
        <v>1501</v>
      </c>
      <c r="AD8" s="1041" t="s">
        <v>1502</v>
      </c>
      <c r="AE8" s="1041" t="s">
        <v>1503</v>
      </c>
      <c r="AF8" s="1041" t="s">
        <v>1504</v>
      </c>
      <c r="AG8" s="1041" t="s">
        <v>1505</v>
      </c>
      <c r="AH8" s="1041" t="s">
        <v>1503</v>
      </c>
      <c r="AI8" s="1041" t="s">
        <v>1504</v>
      </c>
      <c r="AJ8" s="1041" t="s">
        <v>1505</v>
      </c>
      <c r="AK8" s="1041" t="s">
        <v>1503</v>
      </c>
      <c r="AL8" s="1041" t="s">
        <v>1504</v>
      </c>
      <c r="AM8" s="1041" t="s">
        <v>1505</v>
      </c>
      <c r="AN8" s="1041" t="s">
        <v>1503</v>
      </c>
      <c r="AO8" s="1041" t="s">
        <v>1504</v>
      </c>
      <c r="AP8" s="1041" t="s">
        <v>1505</v>
      </c>
    </row>
    <row r="9" spans="2:45">
      <c r="B9" s="257"/>
      <c r="C9" s="998" t="str">
        <f>client.name.long</f>
        <v>Hazel Lighting India</v>
      </c>
      <c r="D9" s="541"/>
      <c r="E9" s="999"/>
      <c r="F9" s="1000"/>
      <c r="G9" s="1001"/>
      <c r="H9" s="1000"/>
      <c r="I9" s="1001"/>
      <c r="J9" s="1001"/>
      <c r="K9" s="1001"/>
      <c r="L9" s="1001"/>
      <c r="M9" s="1001"/>
      <c r="N9" s="1001"/>
      <c r="O9" s="1000"/>
      <c r="P9" s="1001"/>
      <c r="Q9" s="1002"/>
      <c r="R9" s="1003"/>
      <c r="S9" s="1001"/>
      <c r="T9" s="1002"/>
      <c r="U9" s="1001"/>
      <c r="V9" s="1002"/>
      <c r="W9" s="1004"/>
      <c r="X9" s="1003"/>
      <c r="Y9" s="1003"/>
      <c r="Z9" s="1003"/>
      <c r="AA9" s="1003"/>
      <c r="AB9" s="1003"/>
      <c r="AC9" s="1003"/>
      <c r="AD9" s="1003"/>
      <c r="AE9" s="1004"/>
      <c r="AF9" s="1003"/>
      <c r="AG9" s="1003"/>
      <c r="AH9" s="1004"/>
      <c r="AI9" s="1003"/>
      <c r="AJ9" s="1003"/>
      <c r="AK9" s="1004"/>
      <c r="AL9" s="1003"/>
      <c r="AM9" s="1003"/>
      <c r="AN9" s="1004"/>
      <c r="AO9" s="1003"/>
      <c r="AP9" s="1003"/>
    </row>
    <row r="10" spans="2:45" ht="12" thickBot="1">
      <c r="B10" s="257"/>
      <c r="C10" s="998"/>
      <c r="D10" s="541"/>
      <c r="E10" s="999"/>
      <c r="F10" s="1000"/>
      <c r="G10" s="1001"/>
      <c r="H10" s="1000"/>
      <c r="I10" s="1001"/>
      <c r="J10" s="1001"/>
      <c r="K10" s="1001"/>
      <c r="L10" s="1001"/>
      <c r="M10" s="1001"/>
      <c r="N10" s="1001"/>
      <c r="O10" s="1000"/>
      <c r="P10" s="1001"/>
      <c r="Q10" s="1002"/>
      <c r="R10" s="1003"/>
      <c r="S10" s="1001"/>
      <c r="T10" s="1002"/>
      <c r="U10" s="1001"/>
      <c r="V10" s="1002"/>
      <c r="W10" s="1004"/>
      <c r="X10" s="1003"/>
      <c r="Y10" s="1003"/>
      <c r="Z10" s="1003"/>
      <c r="AA10" s="1003"/>
      <c r="AB10" s="1003"/>
      <c r="AC10" s="1003"/>
      <c r="AD10" s="1003"/>
      <c r="AE10" s="1004"/>
      <c r="AF10" s="1003"/>
      <c r="AG10" s="1003"/>
      <c r="AH10" s="1004"/>
      <c r="AI10" s="1003"/>
      <c r="AJ10" s="1003"/>
      <c r="AK10" s="1004"/>
      <c r="AL10" s="1003"/>
      <c r="AM10" s="1003"/>
      <c r="AN10" s="1004"/>
      <c r="AO10" s="1003"/>
      <c r="AP10" s="1003"/>
      <c r="AS10" s="516" t="s">
        <v>1395</v>
      </c>
    </row>
    <row r="11" spans="2:45" ht="12" thickBot="1">
      <c r="B11" s="1005">
        <v>1</v>
      </c>
      <c r="C11" s="1006" t="str">
        <f>'GPC Data'!E22</f>
        <v>Comp 1</v>
      </c>
      <c r="D11" s="1007">
        <f>'GPC Data'!D22</f>
        <v>0</v>
      </c>
      <c r="E11" s="1008">
        <f>Multiples!E9</f>
        <v>0</v>
      </c>
      <c r="F11" s="1009">
        <f>'GPC Data'!F226</f>
        <v>0</v>
      </c>
      <c r="G11" s="1010">
        <f>'GPC Data'!G226</f>
        <v>0</v>
      </c>
      <c r="H11" s="1009">
        <f>'GPC Data'!H226</f>
        <v>0</v>
      </c>
      <c r="I11" s="1010">
        <f>'GPC Data'!I226</f>
        <v>0</v>
      </c>
      <c r="J11" s="1011">
        <f>'GPC Data'!J226</f>
        <v>0</v>
      </c>
      <c r="K11" s="1011">
        <f>'GPC Data'!K226</f>
        <v>0</v>
      </c>
      <c r="L11" s="1011">
        <f>'GPC Data'!L226</f>
        <v>0</v>
      </c>
      <c r="M11" s="1011">
        <f>'GPC Data'!M226</f>
        <v>0</v>
      </c>
      <c r="N11" s="1010">
        <f>'GPC Data'!N226</f>
        <v>0</v>
      </c>
      <c r="O11" s="1009">
        <f>'GPC Data'!O226</f>
        <v>0</v>
      </c>
      <c r="P11" s="1010">
        <f>'GPC Data'!P226</f>
        <v>0</v>
      </c>
      <c r="Q11" s="1012">
        <f>'GPC Data'!Q226</f>
        <v>0</v>
      </c>
      <c r="R11" s="1013">
        <f>'GPC Data'!R226</f>
        <v>0</v>
      </c>
      <c r="S11" s="1011">
        <f>'GPC Data'!S226</f>
        <v>0</v>
      </c>
      <c r="T11" s="1014">
        <f>'GPC Data'!T226</f>
        <v>0</v>
      </c>
      <c r="U11" s="1011">
        <f>'GPC Data'!U226</f>
        <v>0</v>
      </c>
      <c r="V11" s="1014">
        <f>'GPC Data'!V226</f>
        <v>0</v>
      </c>
      <c r="W11" s="1015">
        <f>'GPC Data'!W226</f>
        <v>0</v>
      </c>
      <c r="X11" s="1016">
        <f>'GPC Data'!X226</f>
        <v>0</v>
      </c>
      <c r="Y11" s="1016">
        <f>'GPC Data'!Y226</f>
        <v>0</v>
      </c>
      <c r="Z11" s="1016">
        <f>'GPC Data'!Z226</f>
        <v>0</v>
      </c>
      <c r="AA11" s="1013">
        <f>'GPC Data'!AA226</f>
        <v>0</v>
      </c>
      <c r="AB11" s="1013">
        <f>'GPC Data'!AB226</f>
        <v>0</v>
      </c>
      <c r="AC11" s="1013">
        <f>'GPC Data'!AC226</f>
        <v>0</v>
      </c>
      <c r="AD11" s="1013">
        <f>'GPC Data'!AD226</f>
        <v>0</v>
      </c>
      <c r="AE11" s="1017">
        <f>'GPC Data'!AE226</f>
        <v>0</v>
      </c>
      <c r="AF11" s="1013">
        <f>'GPC Data'!AF226</f>
        <v>0</v>
      </c>
      <c r="AG11" s="1013">
        <f>'GPC Data'!AG226</f>
        <v>0</v>
      </c>
      <c r="AH11" s="1017">
        <f>'GPC Data'!AH226</f>
        <v>0</v>
      </c>
      <c r="AI11" s="1013">
        <f>'GPC Data'!AI226</f>
        <v>0</v>
      </c>
      <c r="AJ11" s="1013">
        <f>'GPC Data'!AJ226</f>
        <v>0</v>
      </c>
      <c r="AK11" s="1017">
        <f>'GPC Data'!AK226</f>
        <v>0</v>
      </c>
      <c r="AL11" s="1013">
        <f>'GPC Data'!AL226</f>
        <v>0</v>
      </c>
      <c r="AM11" s="1013">
        <f>'GPC Data'!AM226</f>
        <v>0</v>
      </c>
      <c r="AN11" s="1017">
        <f>'GPC Data'!AN226</f>
        <v>0</v>
      </c>
      <c r="AO11" s="1013">
        <f>'GPC Data'!AO226</f>
        <v>0</v>
      </c>
      <c r="AP11" s="1013">
        <f>'GPC Data'!AP226</f>
        <v>0</v>
      </c>
      <c r="AS11" s="443" t="s">
        <v>1359</v>
      </c>
    </row>
    <row r="12" spans="2:45" ht="12" thickBot="1">
      <c r="B12" s="1018">
        <f>B11+1</f>
        <v>2</v>
      </c>
      <c r="C12" s="1006" t="str">
        <f>'GPC Data'!E23</f>
        <v>Comp 2</v>
      </c>
      <c r="D12" s="1007">
        <f>'GPC Data'!D23</f>
        <v>0</v>
      </c>
      <c r="E12" s="1008">
        <f>Multiples!E10</f>
        <v>0</v>
      </c>
      <c r="F12" s="1009">
        <f>'GPC Data'!F227</f>
        <v>0</v>
      </c>
      <c r="G12" s="1010">
        <f>'GPC Data'!G227</f>
        <v>0</v>
      </c>
      <c r="H12" s="1009">
        <f>'GPC Data'!H227</f>
        <v>0</v>
      </c>
      <c r="I12" s="1010">
        <f>'GPC Data'!I227</f>
        <v>0</v>
      </c>
      <c r="J12" s="1011">
        <f>'GPC Data'!J227</f>
        <v>0</v>
      </c>
      <c r="K12" s="1011">
        <f>'GPC Data'!K227</f>
        <v>0</v>
      </c>
      <c r="L12" s="1011">
        <f>'GPC Data'!L227</f>
        <v>0</v>
      </c>
      <c r="M12" s="1011">
        <f>'GPC Data'!M227</f>
        <v>0</v>
      </c>
      <c r="N12" s="1010">
        <f>'GPC Data'!N227</f>
        <v>0</v>
      </c>
      <c r="O12" s="1009">
        <f>'GPC Data'!O227</f>
        <v>0</v>
      </c>
      <c r="P12" s="1010">
        <f>'GPC Data'!P227</f>
        <v>0</v>
      </c>
      <c r="Q12" s="1012">
        <f>'GPC Data'!Q227</f>
        <v>0</v>
      </c>
      <c r="R12" s="1013">
        <f>'GPC Data'!R227</f>
        <v>0</v>
      </c>
      <c r="S12" s="1011">
        <f>'GPC Data'!S227</f>
        <v>0</v>
      </c>
      <c r="T12" s="1014">
        <f>'GPC Data'!T227</f>
        <v>0</v>
      </c>
      <c r="U12" s="1011">
        <f>'GPC Data'!U227</f>
        <v>0</v>
      </c>
      <c r="V12" s="1014">
        <f>'GPC Data'!V227</f>
        <v>0</v>
      </c>
      <c r="W12" s="1015">
        <f>'GPC Data'!W227</f>
        <v>0</v>
      </c>
      <c r="X12" s="1016">
        <f>'GPC Data'!X227</f>
        <v>0</v>
      </c>
      <c r="Y12" s="1016">
        <f>'GPC Data'!Y227</f>
        <v>0</v>
      </c>
      <c r="Z12" s="1016">
        <f>'GPC Data'!Z227</f>
        <v>0</v>
      </c>
      <c r="AA12" s="1013">
        <f>'GPC Data'!AA227</f>
        <v>0</v>
      </c>
      <c r="AB12" s="1013">
        <f>'GPC Data'!AB227</f>
        <v>0</v>
      </c>
      <c r="AC12" s="1013">
        <f>'GPC Data'!AC227</f>
        <v>0</v>
      </c>
      <c r="AD12" s="1013">
        <f>'GPC Data'!AD227</f>
        <v>0</v>
      </c>
      <c r="AE12" s="1017">
        <f>'GPC Data'!AE227</f>
        <v>0</v>
      </c>
      <c r="AF12" s="1013">
        <f>'GPC Data'!AF227</f>
        <v>0</v>
      </c>
      <c r="AG12" s="1013">
        <f>'GPC Data'!AG227</f>
        <v>0</v>
      </c>
      <c r="AH12" s="1017">
        <f>'GPC Data'!AH227</f>
        <v>0</v>
      </c>
      <c r="AI12" s="1013">
        <f>'GPC Data'!AI227</f>
        <v>0</v>
      </c>
      <c r="AJ12" s="1013">
        <f>'GPC Data'!AJ227</f>
        <v>0</v>
      </c>
      <c r="AK12" s="1017">
        <f>'GPC Data'!AK227</f>
        <v>0</v>
      </c>
      <c r="AL12" s="1013">
        <f>'GPC Data'!AL227</f>
        <v>0</v>
      </c>
      <c r="AM12" s="1013">
        <f>'GPC Data'!AM227</f>
        <v>0</v>
      </c>
      <c r="AN12" s="1017">
        <f>'GPC Data'!AN227</f>
        <v>0</v>
      </c>
      <c r="AO12" s="1013">
        <f>'GPC Data'!AO227</f>
        <v>0</v>
      </c>
      <c r="AP12" s="1013">
        <f>'GPC Data'!AP227</f>
        <v>0</v>
      </c>
      <c r="AS12" s="443" t="s">
        <v>1359</v>
      </c>
    </row>
    <row r="13" spans="2:45" ht="12" thickBot="1">
      <c r="B13" s="1018">
        <f t="shared" ref="B13:B39" si="0">B12+1</f>
        <v>3</v>
      </c>
      <c r="C13" s="1006" t="str">
        <f>'GPC Data'!E24</f>
        <v>Comp 3</v>
      </c>
      <c r="D13" s="1007">
        <f>'GPC Data'!D24</f>
        <v>0</v>
      </c>
      <c r="E13" s="1008">
        <f>Multiples!E11</f>
        <v>0</v>
      </c>
      <c r="F13" s="1009">
        <f>'GPC Data'!F228</f>
        <v>0</v>
      </c>
      <c r="G13" s="1010">
        <f>'GPC Data'!G228</f>
        <v>0</v>
      </c>
      <c r="H13" s="1009">
        <f>'GPC Data'!H228</f>
        <v>0</v>
      </c>
      <c r="I13" s="1010">
        <f>'GPC Data'!I228</f>
        <v>0</v>
      </c>
      <c r="J13" s="1011">
        <f>'GPC Data'!J228</f>
        <v>0</v>
      </c>
      <c r="K13" s="1011">
        <f>'GPC Data'!K228</f>
        <v>0</v>
      </c>
      <c r="L13" s="1011">
        <f>'GPC Data'!L228</f>
        <v>0</v>
      </c>
      <c r="M13" s="1011">
        <f>'GPC Data'!M228</f>
        <v>0</v>
      </c>
      <c r="N13" s="1010">
        <f>'GPC Data'!N228</f>
        <v>0</v>
      </c>
      <c r="O13" s="1009">
        <f>'GPC Data'!O228</f>
        <v>0</v>
      </c>
      <c r="P13" s="1010">
        <f>'GPC Data'!P228</f>
        <v>0</v>
      </c>
      <c r="Q13" s="1012">
        <f>'GPC Data'!Q228</f>
        <v>0</v>
      </c>
      <c r="R13" s="1013">
        <f>'GPC Data'!R228</f>
        <v>0</v>
      </c>
      <c r="S13" s="1011">
        <f>'GPC Data'!S228</f>
        <v>0</v>
      </c>
      <c r="T13" s="1014">
        <f>'GPC Data'!T228</f>
        <v>0</v>
      </c>
      <c r="U13" s="1011">
        <f>'GPC Data'!U228</f>
        <v>0</v>
      </c>
      <c r="V13" s="1014">
        <f>'GPC Data'!V228</f>
        <v>0</v>
      </c>
      <c r="W13" s="1015">
        <f>'GPC Data'!W228</f>
        <v>0</v>
      </c>
      <c r="X13" s="1016">
        <f>'GPC Data'!X228</f>
        <v>0</v>
      </c>
      <c r="Y13" s="1016">
        <f>'GPC Data'!Y228</f>
        <v>0</v>
      </c>
      <c r="Z13" s="1016">
        <f>'GPC Data'!Z228</f>
        <v>0</v>
      </c>
      <c r="AA13" s="1013">
        <f>'GPC Data'!AA228</f>
        <v>0</v>
      </c>
      <c r="AB13" s="1013">
        <f>'GPC Data'!AB228</f>
        <v>0</v>
      </c>
      <c r="AC13" s="1013">
        <f>'GPC Data'!AC228</f>
        <v>0</v>
      </c>
      <c r="AD13" s="1013">
        <f>'GPC Data'!AD228</f>
        <v>0</v>
      </c>
      <c r="AE13" s="1017">
        <f>'GPC Data'!AE228</f>
        <v>0</v>
      </c>
      <c r="AF13" s="1013">
        <f>'GPC Data'!AF228</f>
        <v>0</v>
      </c>
      <c r="AG13" s="1013">
        <f>'GPC Data'!AG228</f>
        <v>0</v>
      </c>
      <c r="AH13" s="1017">
        <f>'GPC Data'!AH228</f>
        <v>0</v>
      </c>
      <c r="AI13" s="1013">
        <f>'GPC Data'!AI228</f>
        <v>0</v>
      </c>
      <c r="AJ13" s="1013">
        <f>'GPC Data'!AJ228</f>
        <v>0</v>
      </c>
      <c r="AK13" s="1017">
        <f>'GPC Data'!AK228</f>
        <v>0</v>
      </c>
      <c r="AL13" s="1013">
        <f>'GPC Data'!AL228</f>
        <v>0</v>
      </c>
      <c r="AM13" s="1013">
        <f>'GPC Data'!AM228</f>
        <v>0</v>
      </c>
      <c r="AN13" s="1017">
        <f>'GPC Data'!AN228</f>
        <v>0</v>
      </c>
      <c r="AO13" s="1013">
        <f>'GPC Data'!AO228</f>
        <v>0</v>
      </c>
      <c r="AP13" s="1013">
        <f>'GPC Data'!AP228</f>
        <v>0</v>
      </c>
      <c r="AS13" s="443" t="s">
        <v>1359</v>
      </c>
    </row>
    <row r="14" spans="2:45" s="258" customFormat="1" ht="12" thickBot="1">
      <c r="B14" s="1018">
        <f t="shared" si="0"/>
        <v>4</v>
      </c>
      <c r="C14" s="1006" t="str">
        <f>'GPC Data'!E25</f>
        <v>Comp 4</v>
      </c>
      <c r="D14" s="1007">
        <f>'GPC Data'!D25</f>
        <v>0</v>
      </c>
      <c r="E14" s="1008">
        <f>Multiples!E12</f>
        <v>0</v>
      </c>
      <c r="F14" s="1009">
        <f>'GPC Data'!F229</f>
        <v>0</v>
      </c>
      <c r="G14" s="1010">
        <f>'GPC Data'!G229</f>
        <v>0</v>
      </c>
      <c r="H14" s="1009">
        <f>'GPC Data'!H229</f>
        <v>0</v>
      </c>
      <c r="I14" s="1010">
        <f>'GPC Data'!I229</f>
        <v>0</v>
      </c>
      <c r="J14" s="1011">
        <f>'GPC Data'!J229</f>
        <v>0</v>
      </c>
      <c r="K14" s="1011">
        <f>'GPC Data'!K229</f>
        <v>0</v>
      </c>
      <c r="L14" s="1011">
        <f>'GPC Data'!L229</f>
        <v>0</v>
      </c>
      <c r="M14" s="1011">
        <f>'GPC Data'!M229</f>
        <v>0</v>
      </c>
      <c r="N14" s="1010">
        <f>'GPC Data'!N229</f>
        <v>0</v>
      </c>
      <c r="O14" s="1009">
        <f>'GPC Data'!O229</f>
        <v>0</v>
      </c>
      <c r="P14" s="1010">
        <f>'GPC Data'!P229</f>
        <v>0</v>
      </c>
      <c r="Q14" s="1012">
        <f>'GPC Data'!Q229</f>
        <v>0</v>
      </c>
      <c r="R14" s="1013">
        <f>'GPC Data'!R229</f>
        <v>0</v>
      </c>
      <c r="S14" s="1011">
        <f>'GPC Data'!S229</f>
        <v>0</v>
      </c>
      <c r="T14" s="1014">
        <f>'GPC Data'!T229</f>
        <v>0</v>
      </c>
      <c r="U14" s="1011">
        <f>'GPC Data'!U229</f>
        <v>0</v>
      </c>
      <c r="V14" s="1014">
        <f>'GPC Data'!V229</f>
        <v>0</v>
      </c>
      <c r="W14" s="1015">
        <f>'GPC Data'!W229</f>
        <v>0</v>
      </c>
      <c r="X14" s="1016">
        <f>'GPC Data'!X229</f>
        <v>0</v>
      </c>
      <c r="Y14" s="1016">
        <f>'GPC Data'!Y229</f>
        <v>0</v>
      </c>
      <c r="Z14" s="1016">
        <f>'GPC Data'!Z229</f>
        <v>0</v>
      </c>
      <c r="AA14" s="1013">
        <f>'GPC Data'!AA229</f>
        <v>0</v>
      </c>
      <c r="AB14" s="1013">
        <f>'GPC Data'!AB229</f>
        <v>0</v>
      </c>
      <c r="AC14" s="1013">
        <f>'GPC Data'!AC229</f>
        <v>0</v>
      </c>
      <c r="AD14" s="1013">
        <f>'GPC Data'!AD229</f>
        <v>0</v>
      </c>
      <c r="AE14" s="1017">
        <f>'GPC Data'!AE229</f>
        <v>0</v>
      </c>
      <c r="AF14" s="1013">
        <f>'GPC Data'!AF229</f>
        <v>0</v>
      </c>
      <c r="AG14" s="1013">
        <f>'GPC Data'!AG229</f>
        <v>0</v>
      </c>
      <c r="AH14" s="1017">
        <f>'GPC Data'!AH229</f>
        <v>0</v>
      </c>
      <c r="AI14" s="1013">
        <f>'GPC Data'!AI229</f>
        <v>0</v>
      </c>
      <c r="AJ14" s="1013">
        <f>'GPC Data'!AJ229</f>
        <v>0</v>
      </c>
      <c r="AK14" s="1017">
        <f>'GPC Data'!AK229</f>
        <v>0</v>
      </c>
      <c r="AL14" s="1013">
        <f>'GPC Data'!AL229</f>
        <v>0</v>
      </c>
      <c r="AM14" s="1013">
        <f>'GPC Data'!AM229</f>
        <v>0</v>
      </c>
      <c r="AN14" s="1017">
        <f>'GPC Data'!AN229</f>
        <v>0</v>
      </c>
      <c r="AO14" s="1013">
        <f>'GPC Data'!AO229</f>
        <v>0</v>
      </c>
      <c r="AP14" s="1013">
        <f>'GPC Data'!AP229</f>
        <v>0</v>
      </c>
      <c r="AS14" s="443" t="s">
        <v>1359</v>
      </c>
    </row>
    <row r="15" spans="2:45" ht="12" thickBot="1">
      <c r="B15" s="1018">
        <f t="shared" si="0"/>
        <v>5</v>
      </c>
      <c r="C15" s="1006" t="str">
        <f>'GPC Data'!E26</f>
        <v>Comp 5</v>
      </c>
      <c r="D15" s="1007">
        <f>'GPC Data'!D26</f>
        <v>0</v>
      </c>
      <c r="E15" s="1008">
        <f>Multiples!E13</f>
        <v>0</v>
      </c>
      <c r="F15" s="1009">
        <f>'GPC Data'!F230</f>
        <v>0</v>
      </c>
      <c r="G15" s="1010">
        <f>'GPC Data'!G230</f>
        <v>0</v>
      </c>
      <c r="H15" s="1009">
        <f>'GPC Data'!H230</f>
        <v>0</v>
      </c>
      <c r="I15" s="1010">
        <f>'GPC Data'!I230</f>
        <v>0</v>
      </c>
      <c r="J15" s="1011">
        <f>'GPC Data'!J230</f>
        <v>0</v>
      </c>
      <c r="K15" s="1011">
        <f>'GPC Data'!K230</f>
        <v>0</v>
      </c>
      <c r="L15" s="1011">
        <f>'GPC Data'!L230</f>
        <v>0</v>
      </c>
      <c r="M15" s="1011">
        <f>'GPC Data'!M230</f>
        <v>0</v>
      </c>
      <c r="N15" s="1010">
        <f>'GPC Data'!N230</f>
        <v>0</v>
      </c>
      <c r="O15" s="1009">
        <f>'GPC Data'!O230</f>
        <v>0</v>
      </c>
      <c r="P15" s="1010">
        <f>'GPC Data'!P230</f>
        <v>0</v>
      </c>
      <c r="Q15" s="1012">
        <f>'GPC Data'!Q230</f>
        <v>0</v>
      </c>
      <c r="R15" s="1013">
        <f>'GPC Data'!R230</f>
        <v>0</v>
      </c>
      <c r="S15" s="1011">
        <f>'GPC Data'!S230</f>
        <v>0</v>
      </c>
      <c r="T15" s="1014">
        <f>'GPC Data'!T230</f>
        <v>0</v>
      </c>
      <c r="U15" s="1011">
        <f>'GPC Data'!U230</f>
        <v>0</v>
      </c>
      <c r="V15" s="1014">
        <f>'GPC Data'!V230</f>
        <v>0</v>
      </c>
      <c r="W15" s="1015">
        <f>'GPC Data'!W230</f>
        <v>0</v>
      </c>
      <c r="X15" s="1016">
        <f>'GPC Data'!X230</f>
        <v>0</v>
      </c>
      <c r="Y15" s="1016">
        <f>'GPC Data'!Y230</f>
        <v>0</v>
      </c>
      <c r="Z15" s="1016">
        <f>'GPC Data'!Z230</f>
        <v>0</v>
      </c>
      <c r="AA15" s="1013">
        <f>'GPC Data'!AA230</f>
        <v>0</v>
      </c>
      <c r="AB15" s="1013">
        <f>'GPC Data'!AB230</f>
        <v>0</v>
      </c>
      <c r="AC15" s="1013">
        <f>'GPC Data'!AC230</f>
        <v>0</v>
      </c>
      <c r="AD15" s="1013">
        <f>'GPC Data'!AD230</f>
        <v>0</v>
      </c>
      <c r="AE15" s="1017">
        <f>'GPC Data'!AE230</f>
        <v>0</v>
      </c>
      <c r="AF15" s="1013">
        <f>'GPC Data'!AF230</f>
        <v>0</v>
      </c>
      <c r="AG15" s="1013">
        <f>'GPC Data'!AG230</f>
        <v>0</v>
      </c>
      <c r="AH15" s="1017">
        <f>'GPC Data'!AH230</f>
        <v>0</v>
      </c>
      <c r="AI15" s="1013">
        <f>'GPC Data'!AI230</f>
        <v>0</v>
      </c>
      <c r="AJ15" s="1013">
        <f>'GPC Data'!AJ230</f>
        <v>0</v>
      </c>
      <c r="AK15" s="1017">
        <f>'GPC Data'!AK230</f>
        <v>0</v>
      </c>
      <c r="AL15" s="1013">
        <f>'GPC Data'!AL230</f>
        <v>0</v>
      </c>
      <c r="AM15" s="1013">
        <f>'GPC Data'!AM230</f>
        <v>0</v>
      </c>
      <c r="AN15" s="1017">
        <f>'GPC Data'!AN230</f>
        <v>0</v>
      </c>
      <c r="AO15" s="1013">
        <f>'GPC Data'!AO230</f>
        <v>0</v>
      </c>
      <c r="AP15" s="1013">
        <f>'GPC Data'!AP230</f>
        <v>0</v>
      </c>
      <c r="AS15" s="443" t="s">
        <v>1359</v>
      </c>
    </row>
    <row r="16" spans="2:45" ht="12" thickBot="1">
      <c r="B16" s="1018">
        <f t="shared" si="0"/>
        <v>6</v>
      </c>
      <c r="C16" s="1006" t="str">
        <f>'GPC Data'!E27</f>
        <v>Comp 6</v>
      </c>
      <c r="D16" s="1007">
        <f>'GPC Data'!D27</f>
        <v>0</v>
      </c>
      <c r="E16" s="1008">
        <f>Multiples!E14</f>
        <v>0</v>
      </c>
      <c r="F16" s="1009">
        <f>'GPC Data'!F231</f>
        <v>0</v>
      </c>
      <c r="G16" s="1010">
        <f>'GPC Data'!G231</f>
        <v>0</v>
      </c>
      <c r="H16" s="1009">
        <f>'GPC Data'!H231</f>
        <v>0</v>
      </c>
      <c r="I16" s="1010">
        <f>'GPC Data'!I231</f>
        <v>0</v>
      </c>
      <c r="J16" s="1011">
        <f>'GPC Data'!J231</f>
        <v>0</v>
      </c>
      <c r="K16" s="1011">
        <f>'GPC Data'!K231</f>
        <v>0</v>
      </c>
      <c r="L16" s="1011">
        <f>'GPC Data'!L231</f>
        <v>0</v>
      </c>
      <c r="M16" s="1011">
        <f>'GPC Data'!M231</f>
        <v>0</v>
      </c>
      <c r="N16" s="1010">
        <f>'GPC Data'!N231</f>
        <v>0</v>
      </c>
      <c r="O16" s="1009">
        <f>'GPC Data'!O231</f>
        <v>0</v>
      </c>
      <c r="P16" s="1010">
        <f>'GPC Data'!P231</f>
        <v>0</v>
      </c>
      <c r="Q16" s="1012">
        <f>'GPC Data'!Q231</f>
        <v>0</v>
      </c>
      <c r="R16" s="1013">
        <f>'GPC Data'!R231</f>
        <v>0</v>
      </c>
      <c r="S16" s="1011">
        <f>'GPC Data'!S231</f>
        <v>0</v>
      </c>
      <c r="T16" s="1014">
        <f>'GPC Data'!T231</f>
        <v>0</v>
      </c>
      <c r="U16" s="1011">
        <f>'GPC Data'!U231</f>
        <v>0</v>
      </c>
      <c r="V16" s="1014">
        <f>'GPC Data'!V231</f>
        <v>0</v>
      </c>
      <c r="W16" s="1015">
        <f>'GPC Data'!W231</f>
        <v>0</v>
      </c>
      <c r="X16" s="1016">
        <f>'GPC Data'!X231</f>
        <v>0</v>
      </c>
      <c r="Y16" s="1016">
        <f>'GPC Data'!Y231</f>
        <v>0</v>
      </c>
      <c r="Z16" s="1016">
        <f>'GPC Data'!Z231</f>
        <v>0</v>
      </c>
      <c r="AA16" s="1013">
        <f>'GPC Data'!AA231</f>
        <v>0</v>
      </c>
      <c r="AB16" s="1013">
        <f>'GPC Data'!AB231</f>
        <v>0</v>
      </c>
      <c r="AC16" s="1013">
        <f>'GPC Data'!AC231</f>
        <v>0</v>
      </c>
      <c r="AD16" s="1013">
        <f>'GPC Data'!AD231</f>
        <v>0</v>
      </c>
      <c r="AE16" s="1017">
        <f>'GPC Data'!AE231</f>
        <v>0</v>
      </c>
      <c r="AF16" s="1013">
        <f>'GPC Data'!AF231</f>
        <v>0</v>
      </c>
      <c r="AG16" s="1013">
        <f>'GPC Data'!AG231</f>
        <v>0</v>
      </c>
      <c r="AH16" s="1017">
        <f>'GPC Data'!AH231</f>
        <v>0</v>
      </c>
      <c r="AI16" s="1013">
        <f>'GPC Data'!AI231</f>
        <v>0</v>
      </c>
      <c r="AJ16" s="1013">
        <f>'GPC Data'!AJ231</f>
        <v>0</v>
      </c>
      <c r="AK16" s="1017">
        <f>'GPC Data'!AK231</f>
        <v>0</v>
      </c>
      <c r="AL16" s="1013">
        <f>'GPC Data'!AL231</f>
        <v>0</v>
      </c>
      <c r="AM16" s="1013">
        <f>'GPC Data'!AM231</f>
        <v>0</v>
      </c>
      <c r="AN16" s="1017">
        <f>'GPC Data'!AN231</f>
        <v>0</v>
      </c>
      <c r="AO16" s="1013">
        <f>'GPC Data'!AO231</f>
        <v>0</v>
      </c>
      <c r="AP16" s="1013">
        <f>'GPC Data'!AP231</f>
        <v>0</v>
      </c>
      <c r="AS16" s="443" t="s">
        <v>1359</v>
      </c>
    </row>
    <row r="17" spans="2:45" ht="12" thickBot="1">
      <c r="B17" s="1018">
        <f t="shared" si="0"/>
        <v>7</v>
      </c>
      <c r="C17" s="1006" t="str">
        <f>'GPC Data'!E28</f>
        <v>Comp 7</v>
      </c>
      <c r="D17" s="1007">
        <f>'GPC Data'!D28</f>
        <v>0</v>
      </c>
      <c r="E17" s="1008">
        <f>Multiples!E15</f>
        <v>0</v>
      </c>
      <c r="F17" s="1009">
        <f>'GPC Data'!F232</f>
        <v>0</v>
      </c>
      <c r="G17" s="1010">
        <f>'GPC Data'!G232</f>
        <v>0</v>
      </c>
      <c r="H17" s="1009">
        <f>'GPC Data'!H232</f>
        <v>0</v>
      </c>
      <c r="I17" s="1010">
        <f>'GPC Data'!I232</f>
        <v>0</v>
      </c>
      <c r="J17" s="1011">
        <f>'GPC Data'!J232</f>
        <v>0</v>
      </c>
      <c r="K17" s="1011">
        <f>'GPC Data'!K232</f>
        <v>0</v>
      </c>
      <c r="L17" s="1011">
        <f>'GPC Data'!L232</f>
        <v>0</v>
      </c>
      <c r="M17" s="1011">
        <f>'GPC Data'!M232</f>
        <v>0</v>
      </c>
      <c r="N17" s="1010">
        <f>'GPC Data'!N232</f>
        <v>0</v>
      </c>
      <c r="O17" s="1009">
        <f>'GPC Data'!O232</f>
        <v>0</v>
      </c>
      <c r="P17" s="1010">
        <f>'GPC Data'!P232</f>
        <v>0</v>
      </c>
      <c r="Q17" s="1012">
        <f>'GPC Data'!Q232</f>
        <v>0</v>
      </c>
      <c r="R17" s="1013">
        <f>'GPC Data'!R232</f>
        <v>0</v>
      </c>
      <c r="S17" s="1011">
        <f>'GPC Data'!S232</f>
        <v>0</v>
      </c>
      <c r="T17" s="1014">
        <f>'GPC Data'!T232</f>
        <v>0</v>
      </c>
      <c r="U17" s="1011">
        <f>'GPC Data'!U232</f>
        <v>0</v>
      </c>
      <c r="V17" s="1014">
        <f>'GPC Data'!V232</f>
        <v>0</v>
      </c>
      <c r="W17" s="1015">
        <f>'GPC Data'!W232</f>
        <v>0</v>
      </c>
      <c r="X17" s="1016">
        <f>'GPC Data'!X232</f>
        <v>0</v>
      </c>
      <c r="Y17" s="1016">
        <f>'GPC Data'!Y232</f>
        <v>0</v>
      </c>
      <c r="Z17" s="1016">
        <f>'GPC Data'!Z232</f>
        <v>0</v>
      </c>
      <c r="AA17" s="1013">
        <f>'GPC Data'!AA232</f>
        <v>0</v>
      </c>
      <c r="AB17" s="1013">
        <f>'GPC Data'!AB232</f>
        <v>0</v>
      </c>
      <c r="AC17" s="1013">
        <f>'GPC Data'!AC232</f>
        <v>0</v>
      </c>
      <c r="AD17" s="1013">
        <f>'GPC Data'!AD232</f>
        <v>0</v>
      </c>
      <c r="AE17" s="1017">
        <f>'GPC Data'!AE232</f>
        <v>0</v>
      </c>
      <c r="AF17" s="1013">
        <f>'GPC Data'!AF232</f>
        <v>0</v>
      </c>
      <c r="AG17" s="1013">
        <f>'GPC Data'!AG232</f>
        <v>0</v>
      </c>
      <c r="AH17" s="1017">
        <f>'GPC Data'!AH232</f>
        <v>0</v>
      </c>
      <c r="AI17" s="1013">
        <f>'GPC Data'!AI232</f>
        <v>0</v>
      </c>
      <c r="AJ17" s="1013">
        <f>'GPC Data'!AJ232</f>
        <v>0</v>
      </c>
      <c r="AK17" s="1017">
        <f>'GPC Data'!AK232</f>
        <v>0</v>
      </c>
      <c r="AL17" s="1013">
        <f>'GPC Data'!AL232</f>
        <v>0</v>
      </c>
      <c r="AM17" s="1013">
        <f>'GPC Data'!AM232</f>
        <v>0</v>
      </c>
      <c r="AN17" s="1017">
        <f>'GPC Data'!AN232</f>
        <v>0</v>
      </c>
      <c r="AO17" s="1013">
        <f>'GPC Data'!AO232</f>
        <v>0</v>
      </c>
      <c r="AP17" s="1013">
        <f>'GPC Data'!AP232</f>
        <v>0</v>
      </c>
      <c r="AS17" s="443" t="s">
        <v>1359</v>
      </c>
    </row>
    <row r="18" spans="2:45" ht="12" thickBot="1">
      <c r="B18" s="1018">
        <f t="shared" si="0"/>
        <v>8</v>
      </c>
      <c r="C18" s="1006" t="str">
        <f>'GPC Data'!E29</f>
        <v>Comp 8</v>
      </c>
      <c r="D18" s="1007">
        <f>'GPC Data'!D29</f>
        <v>0</v>
      </c>
      <c r="E18" s="1008">
        <f>Multiples!E16</f>
        <v>0</v>
      </c>
      <c r="F18" s="1009">
        <f>'GPC Data'!F233</f>
        <v>0</v>
      </c>
      <c r="G18" s="1010">
        <f>'GPC Data'!G233</f>
        <v>0</v>
      </c>
      <c r="H18" s="1009">
        <f>'GPC Data'!H233</f>
        <v>0</v>
      </c>
      <c r="I18" s="1010">
        <f>'GPC Data'!I233</f>
        <v>0</v>
      </c>
      <c r="J18" s="1011">
        <f>'GPC Data'!J233</f>
        <v>0</v>
      </c>
      <c r="K18" s="1011">
        <f>'GPC Data'!K233</f>
        <v>0</v>
      </c>
      <c r="L18" s="1011">
        <f>'GPC Data'!L233</f>
        <v>0</v>
      </c>
      <c r="M18" s="1011">
        <f>'GPC Data'!M233</f>
        <v>0</v>
      </c>
      <c r="N18" s="1010">
        <f>'GPC Data'!N233</f>
        <v>0</v>
      </c>
      <c r="O18" s="1009">
        <f>'GPC Data'!O233</f>
        <v>0</v>
      </c>
      <c r="P18" s="1010">
        <f>'GPC Data'!P233</f>
        <v>0</v>
      </c>
      <c r="Q18" s="1012">
        <f>'GPC Data'!Q233</f>
        <v>0</v>
      </c>
      <c r="R18" s="1013">
        <f>'GPC Data'!R233</f>
        <v>0</v>
      </c>
      <c r="S18" s="1011">
        <f>'GPC Data'!S233</f>
        <v>0</v>
      </c>
      <c r="T18" s="1014">
        <f>'GPC Data'!T233</f>
        <v>0</v>
      </c>
      <c r="U18" s="1011">
        <f>'GPC Data'!U233</f>
        <v>0</v>
      </c>
      <c r="V18" s="1014">
        <f>'GPC Data'!V233</f>
        <v>0</v>
      </c>
      <c r="W18" s="1015">
        <f>'GPC Data'!W233</f>
        <v>0</v>
      </c>
      <c r="X18" s="1016">
        <f>'GPC Data'!X233</f>
        <v>0</v>
      </c>
      <c r="Y18" s="1016">
        <f>'GPC Data'!Y233</f>
        <v>0</v>
      </c>
      <c r="Z18" s="1016">
        <f>'GPC Data'!Z233</f>
        <v>0</v>
      </c>
      <c r="AA18" s="1013">
        <f>'GPC Data'!AA233</f>
        <v>0</v>
      </c>
      <c r="AB18" s="1013">
        <f>'GPC Data'!AB233</f>
        <v>0</v>
      </c>
      <c r="AC18" s="1013">
        <f>'GPC Data'!AC233</f>
        <v>0</v>
      </c>
      <c r="AD18" s="1013">
        <f>'GPC Data'!AD233</f>
        <v>0</v>
      </c>
      <c r="AE18" s="1017">
        <f>'GPC Data'!AE233</f>
        <v>0</v>
      </c>
      <c r="AF18" s="1013">
        <f>'GPC Data'!AF233</f>
        <v>0</v>
      </c>
      <c r="AG18" s="1013">
        <f>'GPC Data'!AG233</f>
        <v>0</v>
      </c>
      <c r="AH18" s="1017">
        <f>'GPC Data'!AH233</f>
        <v>0</v>
      </c>
      <c r="AI18" s="1013">
        <f>'GPC Data'!AI233</f>
        <v>0</v>
      </c>
      <c r="AJ18" s="1013">
        <f>'GPC Data'!AJ233</f>
        <v>0</v>
      </c>
      <c r="AK18" s="1017">
        <f>'GPC Data'!AK233</f>
        <v>0</v>
      </c>
      <c r="AL18" s="1013">
        <f>'GPC Data'!AL233</f>
        <v>0</v>
      </c>
      <c r="AM18" s="1013">
        <f>'GPC Data'!AM233</f>
        <v>0</v>
      </c>
      <c r="AN18" s="1017">
        <f>'GPC Data'!AN233</f>
        <v>0</v>
      </c>
      <c r="AO18" s="1013">
        <f>'GPC Data'!AO233</f>
        <v>0</v>
      </c>
      <c r="AP18" s="1013">
        <f>'GPC Data'!AP233</f>
        <v>0</v>
      </c>
      <c r="AS18" s="443" t="s">
        <v>1359</v>
      </c>
    </row>
    <row r="19" spans="2:45" ht="12" thickBot="1">
      <c r="B19" s="1018">
        <f t="shared" si="0"/>
        <v>9</v>
      </c>
      <c r="C19" s="1006" t="str">
        <f>'GPC Data'!E30</f>
        <v>Comp 9</v>
      </c>
      <c r="D19" s="1007">
        <f>'GPC Data'!D30</f>
        <v>0</v>
      </c>
      <c r="E19" s="1008">
        <f>Multiples!E17</f>
        <v>0</v>
      </c>
      <c r="F19" s="1009">
        <f>'GPC Data'!F234</f>
        <v>0</v>
      </c>
      <c r="G19" s="1010">
        <f>'GPC Data'!G234</f>
        <v>0</v>
      </c>
      <c r="H19" s="1009">
        <f>'GPC Data'!H234</f>
        <v>0</v>
      </c>
      <c r="I19" s="1010">
        <f>'GPC Data'!I234</f>
        <v>0</v>
      </c>
      <c r="J19" s="1011">
        <f>'GPC Data'!J234</f>
        <v>0</v>
      </c>
      <c r="K19" s="1011">
        <f>'GPC Data'!K234</f>
        <v>0</v>
      </c>
      <c r="L19" s="1011">
        <f>'GPC Data'!L234</f>
        <v>0</v>
      </c>
      <c r="M19" s="1011">
        <f>'GPC Data'!M234</f>
        <v>0</v>
      </c>
      <c r="N19" s="1010">
        <f>'GPC Data'!N234</f>
        <v>0</v>
      </c>
      <c r="O19" s="1009">
        <f>'GPC Data'!O234</f>
        <v>0</v>
      </c>
      <c r="P19" s="1010">
        <f>'GPC Data'!P234</f>
        <v>0</v>
      </c>
      <c r="Q19" s="1012">
        <f>'GPC Data'!Q234</f>
        <v>0</v>
      </c>
      <c r="R19" s="1013">
        <f>'GPC Data'!R234</f>
        <v>0</v>
      </c>
      <c r="S19" s="1011">
        <f>'GPC Data'!S234</f>
        <v>0</v>
      </c>
      <c r="T19" s="1014">
        <f>'GPC Data'!T234</f>
        <v>0</v>
      </c>
      <c r="U19" s="1011">
        <f>'GPC Data'!U234</f>
        <v>0</v>
      </c>
      <c r="V19" s="1014">
        <f>'GPC Data'!V234</f>
        <v>0</v>
      </c>
      <c r="W19" s="1015">
        <f>'GPC Data'!W234</f>
        <v>0</v>
      </c>
      <c r="X19" s="1016">
        <f>'GPC Data'!X234</f>
        <v>0</v>
      </c>
      <c r="Y19" s="1016">
        <f>'GPC Data'!Y234</f>
        <v>0</v>
      </c>
      <c r="Z19" s="1016">
        <f>'GPC Data'!Z234</f>
        <v>0</v>
      </c>
      <c r="AA19" s="1013">
        <f>'GPC Data'!AA234</f>
        <v>0</v>
      </c>
      <c r="AB19" s="1013">
        <f>'GPC Data'!AB234</f>
        <v>0</v>
      </c>
      <c r="AC19" s="1013">
        <f>'GPC Data'!AC234</f>
        <v>0</v>
      </c>
      <c r="AD19" s="1013">
        <f>'GPC Data'!AD234</f>
        <v>0</v>
      </c>
      <c r="AE19" s="1017">
        <f>'GPC Data'!AE234</f>
        <v>0</v>
      </c>
      <c r="AF19" s="1013">
        <f>'GPC Data'!AF234</f>
        <v>0</v>
      </c>
      <c r="AG19" s="1013">
        <f>'GPC Data'!AG234</f>
        <v>0</v>
      </c>
      <c r="AH19" s="1017">
        <f>'GPC Data'!AH234</f>
        <v>0</v>
      </c>
      <c r="AI19" s="1013">
        <f>'GPC Data'!AI234</f>
        <v>0</v>
      </c>
      <c r="AJ19" s="1013">
        <f>'GPC Data'!AJ234</f>
        <v>0</v>
      </c>
      <c r="AK19" s="1017">
        <f>'GPC Data'!AK234</f>
        <v>0</v>
      </c>
      <c r="AL19" s="1013">
        <f>'GPC Data'!AL234</f>
        <v>0</v>
      </c>
      <c r="AM19" s="1013">
        <f>'GPC Data'!AM234</f>
        <v>0</v>
      </c>
      <c r="AN19" s="1017">
        <f>'GPC Data'!AN234</f>
        <v>0</v>
      </c>
      <c r="AO19" s="1013">
        <f>'GPC Data'!AO234</f>
        <v>0</v>
      </c>
      <c r="AP19" s="1013">
        <f>'GPC Data'!AP234</f>
        <v>0</v>
      </c>
      <c r="AS19" s="443" t="s">
        <v>1359</v>
      </c>
    </row>
    <row r="20" spans="2:45" ht="12" thickBot="1">
      <c r="B20" s="1018">
        <f t="shared" si="0"/>
        <v>10</v>
      </c>
      <c r="C20" s="1006" t="str">
        <f>'GPC Data'!E31</f>
        <v>Comp 10</v>
      </c>
      <c r="D20" s="1007">
        <f>'GPC Data'!D31</f>
        <v>0</v>
      </c>
      <c r="E20" s="1008">
        <f>Multiples!E18</f>
        <v>0</v>
      </c>
      <c r="F20" s="1009">
        <f>'GPC Data'!F235</f>
        <v>0</v>
      </c>
      <c r="G20" s="1010">
        <f>'GPC Data'!G235</f>
        <v>0</v>
      </c>
      <c r="H20" s="1009">
        <f>'GPC Data'!H235</f>
        <v>0</v>
      </c>
      <c r="I20" s="1010">
        <f>'GPC Data'!I235</f>
        <v>0</v>
      </c>
      <c r="J20" s="1011">
        <f>'GPC Data'!J235</f>
        <v>0</v>
      </c>
      <c r="K20" s="1011">
        <f>'GPC Data'!K235</f>
        <v>0</v>
      </c>
      <c r="L20" s="1011">
        <f>'GPC Data'!L235</f>
        <v>0</v>
      </c>
      <c r="M20" s="1011">
        <f>'GPC Data'!M235</f>
        <v>0</v>
      </c>
      <c r="N20" s="1010">
        <f>'GPC Data'!N235</f>
        <v>0</v>
      </c>
      <c r="O20" s="1009">
        <f>'GPC Data'!O235</f>
        <v>0</v>
      </c>
      <c r="P20" s="1010">
        <f>'GPC Data'!P235</f>
        <v>0</v>
      </c>
      <c r="Q20" s="1012">
        <f>'GPC Data'!Q235</f>
        <v>0</v>
      </c>
      <c r="R20" s="1013">
        <f>'GPC Data'!R235</f>
        <v>0</v>
      </c>
      <c r="S20" s="1011">
        <f>'GPC Data'!S235</f>
        <v>0</v>
      </c>
      <c r="T20" s="1014">
        <f>'GPC Data'!T235</f>
        <v>0</v>
      </c>
      <c r="U20" s="1011">
        <f>'GPC Data'!U235</f>
        <v>0</v>
      </c>
      <c r="V20" s="1014">
        <f>'GPC Data'!V235</f>
        <v>0</v>
      </c>
      <c r="W20" s="1015">
        <f>'GPC Data'!W235</f>
        <v>0</v>
      </c>
      <c r="X20" s="1016">
        <f>'GPC Data'!X235</f>
        <v>0</v>
      </c>
      <c r="Y20" s="1016">
        <f>'GPC Data'!Y235</f>
        <v>0</v>
      </c>
      <c r="Z20" s="1016">
        <f>'GPC Data'!Z235</f>
        <v>0</v>
      </c>
      <c r="AA20" s="1013">
        <f>'GPC Data'!AA235</f>
        <v>0</v>
      </c>
      <c r="AB20" s="1013">
        <f>'GPC Data'!AB235</f>
        <v>0</v>
      </c>
      <c r="AC20" s="1013">
        <f>'GPC Data'!AC235</f>
        <v>0</v>
      </c>
      <c r="AD20" s="1013">
        <f>'GPC Data'!AD235</f>
        <v>0</v>
      </c>
      <c r="AE20" s="1017">
        <f>'GPC Data'!AE235</f>
        <v>0</v>
      </c>
      <c r="AF20" s="1013">
        <f>'GPC Data'!AF235</f>
        <v>0</v>
      </c>
      <c r="AG20" s="1013">
        <f>'GPC Data'!AG235</f>
        <v>0</v>
      </c>
      <c r="AH20" s="1017">
        <f>'GPC Data'!AH235</f>
        <v>0</v>
      </c>
      <c r="AI20" s="1013">
        <f>'GPC Data'!AI235</f>
        <v>0</v>
      </c>
      <c r="AJ20" s="1013">
        <f>'GPC Data'!AJ235</f>
        <v>0</v>
      </c>
      <c r="AK20" s="1017">
        <f>'GPC Data'!AK235</f>
        <v>0</v>
      </c>
      <c r="AL20" s="1013">
        <f>'GPC Data'!AL235</f>
        <v>0</v>
      </c>
      <c r="AM20" s="1013">
        <f>'GPC Data'!AM235</f>
        <v>0</v>
      </c>
      <c r="AN20" s="1017">
        <f>'GPC Data'!AN235</f>
        <v>0</v>
      </c>
      <c r="AO20" s="1013">
        <f>'GPC Data'!AO235</f>
        <v>0</v>
      </c>
      <c r="AP20" s="1013">
        <f>'GPC Data'!AP235</f>
        <v>0</v>
      </c>
      <c r="AS20" s="443" t="s">
        <v>1359</v>
      </c>
    </row>
    <row r="21" spans="2:45" ht="12" thickBot="1">
      <c r="B21" s="1018">
        <f t="shared" si="0"/>
        <v>11</v>
      </c>
      <c r="C21" s="1006" t="str">
        <f>'GPC Data'!E32</f>
        <v>Comp 11</v>
      </c>
      <c r="D21" s="1007">
        <f>'GPC Data'!D32</f>
        <v>0</v>
      </c>
      <c r="E21" s="1008" t="e">
        <f>Multiples!#REF!</f>
        <v>#REF!</v>
      </c>
      <c r="F21" s="1009">
        <f>'GPC Data'!F236</f>
        <v>0</v>
      </c>
      <c r="G21" s="1010">
        <f>'GPC Data'!G236</f>
        <v>0</v>
      </c>
      <c r="H21" s="1009">
        <f>'GPC Data'!H236</f>
        <v>0</v>
      </c>
      <c r="I21" s="1010">
        <f>'GPC Data'!I236</f>
        <v>0</v>
      </c>
      <c r="J21" s="1011">
        <f>'GPC Data'!J236</f>
        <v>0</v>
      </c>
      <c r="K21" s="1011">
        <f>'GPC Data'!K236</f>
        <v>0</v>
      </c>
      <c r="L21" s="1011">
        <f>'GPC Data'!L236</f>
        <v>0</v>
      </c>
      <c r="M21" s="1011">
        <f>'GPC Data'!M236</f>
        <v>0</v>
      </c>
      <c r="N21" s="1010">
        <f>'GPC Data'!N236</f>
        <v>0</v>
      </c>
      <c r="O21" s="1009">
        <f>'GPC Data'!O236</f>
        <v>0</v>
      </c>
      <c r="P21" s="1010">
        <f>'GPC Data'!P236</f>
        <v>0</v>
      </c>
      <c r="Q21" s="1012">
        <f>'GPC Data'!Q236</f>
        <v>0</v>
      </c>
      <c r="R21" s="1013">
        <f>'GPC Data'!R236</f>
        <v>0</v>
      </c>
      <c r="S21" s="1011">
        <f>'GPC Data'!S236</f>
        <v>0</v>
      </c>
      <c r="T21" s="1014">
        <f>'GPC Data'!T236</f>
        <v>0</v>
      </c>
      <c r="U21" s="1011">
        <f>'GPC Data'!U236</f>
        <v>0</v>
      </c>
      <c r="V21" s="1014">
        <f>'GPC Data'!V236</f>
        <v>0</v>
      </c>
      <c r="W21" s="1015">
        <f>'GPC Data'!W236</f>
        <v>0</v>
      </c>
      <c r="X21" s="1016">
        <f>'GPC Data'!X236</f>
        <v>0</v>
      </c>
      <c r="Y21" s="1016">
        <f>'GPC Data'!Y236</f>
        <v>0</v>
      </c>
      <c r="Z21" s="1016">
        <f>'GPC Data'!Z236</f>
        <v>0</v>
      </c>
      <c r="AA21" s="1013">
        <f>'GPC Data'!AA236</f>
        <v>0</v>
      </c>
      <c r="AB21" s="1013">
        <f>'GPC Data'!AB236</f>
        <v>0</v>
      </c>
      <c r="AC21" s="1013">
        <f>'GPC Data'!AC236</f>
        <v>0</v>
      </c>
      <c r="AD21" s="1013">
        <f>'GPC Data'!AD236</f>
        <v>0</v>
      </c>
      <c r="AE21" s="1017">
        <f>'GPC Data'!AE236</f>
        <v>0</v>
      </c>
      <c r="AF21" s="1013">
        <f>'GPC Data'!AF236</f>
        <v>0</v>
      </c>
      <c r="AG21" s="1013">
        <f>'GPC Data'!AG236</f>
        <v>0</v>
      </c>
      <c r="AH21" s="1017">
        <f>'GPC Data'!AH236</f>
        <v>0</v>
      </c>
      <c r="AI21" s="1013">
        <f>'GPC Data'!AI236</f>
        <v>0</v>
      </c>
      <c r="AJ21" s="1013">
        <f>'GPC Data'!AJ236</f>
        <v>0</v>
      </c>
      <c r="AK21" s="1017">
        <f>'GPC Data'!AK236</f>
        <v>0</v>
      </c>
      <c r="AL21" s="1013">
        <f>'GPC Data'!AL236</f>
        <v>0</v>
      </c>
      <c r="AM21" s="1013">
        <f>'GPC Data'!AM236</f>
        <v>0</v>
      </c>
      <c r="AN21" s="1017">
        <f>'GPC Data'!AN236</f>
        <v>0</v>
      </c>
      <c r="AO21" s="1013">
        <f>'GPC Data'!AO236</f>
        <v>0</v>
      </c>
      <c r="AP21" s="1013">
        <f>'GPC Data'!AP236</f>
        <v>0</v>
      </c>
      <c r="AS21" s="443" t="s">
        <v>106</v>
      </c>
    </row>
    <row r="22" spans="2:45" ht="12" thickBot="1">
      <c r="B22" s="1018">
        <f t="shared" si="0"/>
        <v>12</v>
      </c>
      <c r="C22" s="1006" t="str">
        <f>'GPC Data'!E33</f>
        <v>Comp 12</v>
      </c>
      <c r="D22" s="1007">
        <f>'GPC Data'!D33</f>
        <v>0</v>
      </c>
      <c r="E22" s="1008" t="e">
        <f>Multiples!#REF!</f>
        <v>#REF!</v>
      </c>
      <c r="F22" s="1009">
        <f>'GPC Data'!F237</f>
        <v>0</v>
      </c>
      <c r="G22" s="1010">
        <f>'GPC Data'!G237</f>
        <v>0</v>
      </c>
      <c r="H22" s="1009">
        <f>'GPC Data'!H237</f>
        <v>0</v>
      </c>
      <c r="I22" s="1010">
        <f>'GPC Data'!I237</f>
        <v>0</v>
      </c>
      <c r="J22" s="1011">
        <f>'GPC Data'!J237</f>
        <v>0</v>
      </c>
      <c r="K22" s="1011">
        <f>'GPC Data'!K237</f>
        <v>0</v>
      </c>
      <c r="L22" s="1011">
        <f>'GPC Data'!L237</f>
        <v>0</v>
      </c>
      <c r="M22" s="1011">
        <f>'GPC Data'!M237</f>
        <v>0</v>
      </c>
      <c r="N22" s="1010">
        <f>'GPC Data'!N237</f>
        <v>0</v>
      </c>
      <c r="O22" s="1009">
        <f>'GPC Data'!O237</f>
        <v>0</v>
      </c>
      <c r="P22" s="1010">
        <f>'GPC Data'!P237</f>
        <v>0</v>
      </c>
      <c r="Q22" s="1012">
        <f>'GPC Data'!Q237</f>
        <v>0</v>
      </c>
      <c r="R22" s="1013">
        <f>'GPC Data'!R237</f>
        <v>0</v>
      </c>
      <c r="S22" s="1011">
        <f>'GPC Data'!S237</f>
        <v>0</v>
      </c>
      <c r="T22" s="1014">
        <f>'GPC Data'!T237</f>
        <v>0</v>
      </c>
      <c r="U22" s="1011">
        <f>'GPC Data'!U237</f>
        <v>0</v>
      </c>
      <c r="V22" s="1014">
        <f>'GPC Data'!V237</f>
        <v>0</v>
      </c>
      <c r="W22" s="1015">
        <f>'GPC Data'!W237</f>
        <v>0</v>
      </c>
      <c r="X22" s="1016">
        <f>'GPC Data'!X237</f>
        <v>0</v>
      </c>
      <c r="Y22" s="1016">
        <f>'GPC Data'!Y237</f>
        <v>0</v>
      </c>
      <c r="Z22" s="1016">
        <f>'GPC Data'!Z237</f>
        <v>0</v>
      </c>
      <c r="AA22" s="1013">
        <f>'GPC Data'!AA237</f>
        <v>0</v>
      </c>
      <c r="AB22" s="1013">
        <f>'GPC Data'!AB237</f>
        <v>0</v>
      </c>
      <c r="AC22" s="1013">
        <f>'GPC Data'!AC237</f>
        <v>0</v>
      </c>
      <c r="AD22" s="1013">
        <f>'GPC Data'!AD237</f>
        <v>0</v>
      </c>
      <c r="AE22" s="1017">
        <f>'GPC Data'!AE237</f>
        <v>0</v>
      </c>
      <c r="AF22" s="1013">
        <f>'GPC Data'!AF237</f>
        <v>0</v>
      </c>
      <c r="AG22" s="1013">
        <f>'GPC Data'!AG237</f>
        <v>0</v>
      </c>
      <c r="AH22" s="1017">
        <f>'GPC Data'!AH237</f>
        <v>0</v>
      </c>
      <c r="AI22" s="1013">
        <f>'GPC Data'!AI237</f>
        <v>0</v>
      </c>
      <c r="AJ22" s="1013">
        <f>'GPC Data'!AJ237</f>
        <v>0</v>
      </c>
      <c r="AK22" s="1017">
        <f>'GPC Data'!AK237</f>
        <v>0</v>
      </c>
      <c r="AL22" s="1013">
        <f>'GPC Data'!AL237</f>
        <v>0</v>
      </c>
      <c r="AM22" s="1013">
        <f>'GPC Data'!AM237</f>
        <v>0</v>
      </c>
      <c r="AN22" s="1017">
        <f>'GPC Data'!AN237</f>
        <v>0</v>
      </c>
      <c r="AO22" s="1013">
        <f>'GPC Data'!AO237</f>
        <v>0</v>
      </c>
      <c r="AP22" s="1013">
        <f>'GPC Data'!AP237</f>
        <v>0</v>
      </c>
      <c r="AS22" s="443" t="s">
        <v>106</v>
      </c>
    </row>
    <row r="23" spans="2:45" ht="12" thickBot="1">
      <c r="B23" s="1018">
        <f t="shared" si="0"/>
        <v>13</v>
      </c>
      <c r="C23" s="1006" t="str">
        <f>'GPC Data'!E34</f>
        <v>Comp 13</v>
      </c>
      <c r="D23" s="1007">
        <f>'GPC Data'!D34</f>
        <v>0</v>
      </c>
      <c r="E23" s="1008" t="e">
        <f>Multiples!#REF!</f>
        <v>#REF!</v>
      </c>
      <c r="F23" s="1009">
        <f>'GPC Data'!F238</f>
        <v>0</v>
      </c>
      <c r="G23" s="1010">
        <f>'GPC Data'!G238</f>
        <v>0</v>
      </c>
      <c r="H23" s="1009">
        <f>'GPC Data'!H238</f>
        <v>0</v>
      </c>
      <c r="I23" s="1010">
        <f>'GPC Data'!I238</f>
        <v>0</v>
      </c>
      <c r="J23" s="1011">
        <f>'GPC Data'!J238</f>
        <v>0</v>
      </c>
      <c r="K23" s="1011">
        <f>'GPC Data'!K238</f>
        <v>0</v>
      </c>
      <c r="L23" s="1011">
        <f>'GPC Data'!L238</f>
        <v>0</v>
      </c>
      <c r="M23" s="1011">
        <f>'GPC Data'!M238</f>
        <v>0</v>
      </c>
      <c r="N23" s="1010">
        <f>'GPC Data'!N238</f>
        <v>0</v>
      </c>
      <c r="O23" s="1009">
        <f>'GPC Data'!O238</f>
        <v>0</v>
      </c>
      <c r="P23" s="1010">
        <f>'GPC Data'!P238</f>
        <v>0</v>
      </c>
      <c r="Q23" s="1012">
        <f>'GPC Data'!Q238</f>
        <v>0</v>
      </c>
      <c r="R23" s="1013">
        <f>'GPC Data'!R238</f>
        <v>0</v>
      </c>
      <c r="S23" s="1011">
        <f>'GPC Data'!S238</f>
        <v>0</v>
      </c>
      <c r="T23" s="1014">
        <f>'GPC Data'!T238</f>
        <v>0</v>
      </c>
      <c r="U23" s="1011">
        <f>'GPC Data'!U238</f>
        <v>0</v>
      </c>
      <c r="V23" s="1014">
        <f>'GPC Data'!V238</f>
        <v>0</v>
      </c>
      <c r="W23" s="1015">
        <f>'GPC Data'!W238</f>
        <v>0</v>
      </c>
      <c r="X23" s="1016">
        <f>'GPC Data'!X238</f>
        <v>0</v>
      </c>
      <c r="Y23" s="1016">
        <f>'GPC Data'!Y238</f>
        <v>0</v>
      </c>
      <c r="Z23" s="1016">
        <f>'GPC Data'!Z238</f>
        <v>0</v>
      </c>
      <c r="AA23" s="1013">
        <f>'GPC Data'!AA238</f>
        <v>0</v>
      </c>
      <c r="AB23" s="1013">
        <f>'GPC Data'!AB238</f>
        <v>0</v>
      </c>
      <c r="AC23" s="1013">
        <f>'GPC Data'!AC238</f>
        <v>0</v>
      </c>
      <c r="AD23" s="1013">
        <f>'GPC Data'!AD238</f>
        <v>0</v>
      </c>
      <c r="AE23" s="1017">
        <f>'GPC Data'!AE238</f>
        <v>0</v>
      </c>
      <c r="AF23" s="1013">
        <f>'GPC Data'!AF238</f>
        <v>0</v>
      </c>
      <c r="AG23" s="1013">
        <f>'GPC Data'!AG238</f>
        <v>0</v>
      </c>
      <c r="AH23" s="1017">
        <f>'GPC Data'!AH238</f>
        <v>0</v>
      </c>
      <c r="AI23" s="1013">
        <f>'GPC Data'!AI238</f>
        <v>0</v>
      </c>
      <c r="AJ23" s="1013">
        <f>'GPC Data'!AJ238</f>
        <v>0</v>
      </c>
      <c r="AK23" s="1017">
        <f>'GPC Data'!AK238</f>
        <v>0</v>
      </c>
      <c r="AL23" s="1013">
        <f>'GPC Data'!AL238</f>
        <v>0</v>
      </c>
      <c r="AM23" s="1013">
        <f>'GPC Data'!AM238</f>
        <v>0</v>
      </c>
      <c r="AN23" s="1017">
        <f>'GPC Data'!AN238</f>
        <v>0</v>
      </c>
      <c r="AO23" s="1013">
        <f>'GPC Data'!AO238</f>
        <v>0</v>
      </c>
      <c r="AP23" s="1013">
        <f>'GPC Data'!AP238</f>
        <v>0</v>
      </c>
      <c r="AS23" s="443" t="s">
        <v>106</v>
      </c>
    </row>
    <row r="24" spans="2:45" ht="12" thickBot="1">
      <c r="B24" s="1018">
        <f t="shared" si="0"/>
        <v>14</v>
      </c>
      <c r="C24" s="1006" t="str">
        <f>'GPC Data'!E35</f>
        <v>Comp 14</v>
      </c>
      <c r="D24" s="1007">
        <f>'GPC Data'!D35</f>
        <v>0</v>
      </c>
      <c r="E24" s="1008" t="e">
        <f>Multiples!#REF!</f>
        <v>#REF!</v>
      </c>
      <c r="F24" s="1009">
        <f>'GPC Data'!F239</f>
        <v>0</v>
      </c>
      <c r="G24" s="1010">
        <f>'GPC Data'!G239</f>
        <v>0</v>
      </c>
      <c r="H24" s="1009">
        <f>'GPC Data'!H239</f>
        <v>0</v>
      </c>
      <c r="I24" s="1010">
        <f>'GPC Data'!I239</f>
        <v>0</v>
      </c>
      <c r="J24" s="1011">
        <f>'GPC Data'!J239</f>
        <v>0</v>
      </c>
      <c r="K24" s="1011">
        <f>'GPC Data'!K239</f>
        <v>0</v>
      </c>
      <c r="L24" s="1011">
        <f>'GPC Data'!L239</f>
        <v>0</v>
      </c>
      <c r="M24" s="1011">
        <f>'GPC Data'!M239</f>
        <v>0</v>
      </c>
      <c r="N24" s="1010">
        <f>'GPC Data'!N239</f>
        <v>0</v>
      </c>
      <c r="O24" s="1009">
        <f>'GPC Data'!O239</f>
        <v>0</v>
      </c>
      <c r="P24" s="1010">
        <f>'GPC Data'!P239</f>
        <v>0</v>
      </c>
      <c r="Q24" s="1012">
        <f>'GPC Data'!Q239</f>
        <v>0</v>
      </c>
      <c r="R24" s="1013">
        <f>'GPC Data'!R239</f>
        <v>0</v>
      </c>
      <c r="S24" s="1011">
        <f>'GPC Data'!S239</f>
        <v>0</v>
      </c>
      <c r="T24" s="1014">
        <f>'GPC Data'!T239</f>
        <v>0</v>
      </c>
      <c r="U24" s="1011">
        <f>'GPC Data'!U239</f>
        <v>0</v>
      </c>
      <c r="V24" s="1014">
        <f>'GPC Data'!V239</f>
        <v>0</v>
      </c>
      <c r="W24" s="1015">
        <f>'GPC Data'!W239</f>
        <v>0</v>
      </c>
      <c r="X24" s="1016">
        <f>'GPC Data'!X239</f>
        <v>0</v>
      </c>
      <c r="Y24" s="1016">
        <f>'GPC Data'!Y239</f>
        <v>0</v>
      </c>
      <c r="Z24" s="1016">
        <f>'GPC Data'!Z239</f>
        <v>0</v>
      </c>
      <c r="AA24" s="1013">
        <f>'GPC Data'!AA239</f>
        <v>0</v>
      </c>
      <c r="AB24" s="1013">
        <f>'GPC Data'!AB239</f>
        <v>0</v>
      </c>
      <c r="AC24" s="1013">
        <f>'GPC Data'!AC239</f>
        <v>0</v>
      </c>
      <c r="AD24" s="1013">
        <f>'GPC Data'!AD239</f>
        <v>0</v>
      </c>
      <c r="AE24" s="1017">
        <f>'GPC Data'!AE239</f>
        <v>0</v>
      </c>
      <c r="AF24" s="1013">
        <f>'GPC Data'!AF239</f>
        <v>0</v>
      </c>
      <c r="AG24" s="1013">
        <f>'GPC Data'!AG239</f>
        <v>0</v>
      </c>
      <c r="AH24" s="1017">
        <f>'GPC Data'!AH239</f>
        <v>0</v>
      </c>
      <c r="AI24" s="1013">
        <f>'GPC Data'!AI239</f>
        <v>0</v>
      </c>
      <c r="AJ24" s="1013">
        <f>'GPC Data'!AJ239</f>
        <v>0</v>
      </c>
      <c r="AK24" s="1017">
        <f>'GPC Data'!AK239</f>
        <v>0</v>
      </c>
      <c r="AL24" s="1013">
        <f>'GPC Data'!AL239</f>
        <v>0</v>
      </c>
      <c r="AM24" s="1013">
        <f>'GPC Data'!AM239</f>
        <v>0</v>
      </c>
      <c r="AN24" s="1017">
        <f>'GPC Data'!AN239</f>
        <v>0</v>
      </c>
      <c r="AO24" s="1013">
        <f>'GPC Data'!AO239</f>
        <v>0</v>
      </c>
      <c r="AP24" s="1013">
        <f>'GPC Data'!AP239</f>
        <v>0</v>
      </c>
      <c r="AS24" s="443" t="s">
        <v>106</v>
      </c>
    </row>
    <row r="25" spans="2:45" ht="12" thickBot="1">
      <c r="B25" s="1018">
        <f t="shared" si="0"/>
        <v>15</v>
      </c>
      <c r="C25" s="1006" t="str">
        <f>'GPC Data'!E36</f>
        <v>Comp 15</v>
      </c>
      <c r="D25" s="1007">
        <f>'GPC Data'!D36</f>
        <v>0</v>
      </c>
      <c r="E25" s="1008" t="e">
        <f>Multiples!#REF!</f>
        <v>#REF!</v>
      </c>
      <c r="F25" s="1009">
        <f>'GPC Data'!F240</f>
        <v>0</v>
      </c>
      <c r="G25" s="1010">
        <f>'GPC Data'!G240</f>
        <v>0</v>
      </c>
      <c r="H25" s="1009">
        <f>'GPC Data'!H240</f>
        <v>0</v>
      </c>
      <c r="I25" s="1010">
        <f>'GPC Data'!I240</f>
        <v>0</v>
      </c>
      <c r="J25" s="1011">
        <f>'GPC Data'!J240</f>
        <v>0</v>
      </c>
      <c r="K25" s="1011">
        <f>'GPC Data'!K240</f>
        <v>0</v>
      </c>
      <c r="L25" s="1011">
        <f>'GPC Data'!L240</f>
        <v>0</v>
      </c>
      <c r="M25" s="1011">
        <f>'GPC Data'!M240</f>
        <v>0</v>
      </c>
      <c r="N25" s="1010">
        <f>'GPC Data'!N240</f>
        <v>0</v>
      </c>
      <c r="O25" s="1009">
        <f>'GPC Data'!O240</f>
        <v>0</v>
      </c>
      <c r="P25" s="1010">
        <f>'GPC Data'!P240</f>
        <v>0</v>
      </c>
      <c r="Q25" s="1012">
        <f>'GPC Data'!Q240</f>
        <v>0</v>
      </c>
      <c r="R25" s="1013">
        <f>'GPC Data'!R240</f>
        <v>0</v>
      </c>
      <c r="S25" s="1011">
        <f>'GPC Data'!S240</f>
        <v>0</v>
      </c>
      <c r="T25" s="1014">
        <f>'GPC Data'!T240</f>
        <v>0</v>
      </c>
      <c r="U25" s="1011">
        <f>'GPC Data'!U240</f>
        <v>0</v>
      </c>
      <c r="V25" s="1014">
        <f>'GPC Data'!V240</f>
        <v>0</v>
      </c>
      <c r="W25" s="1015">
        <f>'GPC Data'!W240</f>
        <v>0</v>
      </c>
      <c r="X25" s="1016">
        <f>'GPC Data'!X240</f>
        <v>0</v>
      </c>
      <c r="Y25" s="1016">
        <f>'GPC Data'!Y240</f>
        <v>0</v>
      </c>
      <c r="Z25" s="1016">
        <f>'GPC Data'!Z240</f>
        <v>0</v>
      </c>
      <c r="AA25" s="1013">
        <f>'GPC Data'!AA240</f>
        <v>0</v>
      </c>
      <c r="AB25" s="1013">
        <f>'GPC Data'!AB240</f>
        <v>0</v>
      </c>
      <c r="AC25" s="1013">
        <f>'GPC Data'!AC240</f>
        <v>0</v>
      </c>
      <c r="AD25" s="1013">
        <f>'GPC Data'!AD240</f>
        <v>0</v>
      </c>
      <c r="AE25" s="1017">
        <f>'GPC Data'!AE240</f>
        <v>0</v>
      </c>
      <c r="AF25" s="1013">
        <f>'GPC Data'!AF240</f>
        <v>0</v>
      </c>
      <c r="AG25" s="1013">
        <f>'GPC Data'!AG240</f>
        <v>0</v>
      </c>
      <c r="AH25" s="1017">
        <f>'GPC Data'!AH240</f>
        <v>0</v>
      </c>
      <c r="AI25" s="1013">
        <f>'GPC Data'!AI240</f>
        <v>0</v>
      </c>
      <c r="AJ25" s="1013">
        <f>'GPC Data'!AJ240</f>
        <v>0</v>
      </c>
      <c r="AK25" s="1017">
        <f>'GPC Data'!AK240</f>
        <v>0</v>
      </c>
      <c r="AL25" s="1013">
        <f>'GPC Data'!AL240</f>
        <v>0</v>
      </c>
      <c r="AM25" s="1013">
        <f>'GPC Data'!AM240</f>
        <v>0</v>
      </c>
      <c r="AN25" s="1017">
        <f>'GPC Data'!AN240</f>
        <v>0</v>
      </c>
      <c r="AO25" s="1013">
        <f>'GPC Data'!AO240</f>
        <v>0</v>
      </c>
      <c r="AP25" s="1013">
        <f>'GPC Data'!AP240</f>
        <v>0</v>
      </c>
      <c r="AS25" s="443" t="s">
        <v>106</v>
      </c>
    </row>
    <row r="26" spans="2:45" ht="12" thickBot="1">
      <c r="B26" s="1018">
        <f t="shared" si="0"/>
        <v>16</v>
      </c>
      <c r="C26" s="1006" t="str">
        <f>'GPC Data'!E37</f>
        <v>Comp 16</v>
      </c>
      <c r="D26" s="1007">
        <f>'GPC Data'!D37</f>
        <v>0</v>
      </c>
      <c r="E26" s="1008" t="e">
        <f>Multiples!#REF!</f>
        <v>#REF!</v>
      </c>
      <c r="F26" s="1009">
        <f>'GPC Data'!F241</f>
        <v>0</v>
      </c>
      <c r="G26" s="1010">
        <f>'GPC Data'!G241</f>
        <v>0</v>
      </c>
      <c r="H26" s="1009">
        <f>'GPC Data'!H241</f>
        <v>0</v>
      </c>
      <c r="I26" s="1010">
        <f>'GPC Data'!I241</f>
        <v>0</v>
      </c>
      <c r="J26" s="1011">
        <f>'GPC Data'!J241</f>
        <v>0</v>
      </c>
      <c r="K26" s="1011">
        <f>'GPC Data'!K241</f>
        <v>0</v>
      </c>
      <c r="L26" s="1011">
        <f>'GPC Data'!L241</f>
        <v>0</v>
      </c>
      <c r="M26" s="1011">
        <f>'GPC Data'!M241</f>
        <v>0</v>
      </c>
      <c r="N26" s="1010">
        <f>'GPC Data'!N241</f>
        <v>0</v>
      </c>
      <c r="O26" s="1009">
        <f>'GPC Data'!O241</f>
        <v>0</v>
      </c>
      <c r="P26" s="1010">
        <f>'GPC Data'!P241</f>
        <v>0</v>
      </c>
      <c r="Q26" s="1012">
        <f>'GPC Data'!Q241</f>
        <v>0</v>
      </c>
      <c r="R26" s="1013">
        <f>'GPC Data'!R241</f>
        <v>0</v>
      </c>
      <c r="S26" s="1011">
        <f>'GPC Data'!S241</f>
        <v>0</v>
      </c>
      <c r="T26" s="1014">
        <f>'GPC Data'!T241</f>
        <v>0</v>
      </c>
      <c r="U26" s="1011">
        <f>'GPC Data'!U241</f>
        <v>0</v>
      </c>
      <c r="V26" s="1014">
        <f>'GPC Data'!V241</f>
        <v>0</v>
      </c>
      <c r="W26" s="1015">
        <f>'GPC Data'!W241</f>
        <v>0</v>
      </c>
      <c r="X26" s="1016">
        <f>'GPC Data'!X241</f>
        <v>0</v>
      </c>
      <c r="Y26" s="1016">
        <f>'GPC Data'!Y241</f>
        <v>0</v>
      </c>
      <c r="Z26" s="1016">
        <f>'GPC Data'!Z241</f>
        <v>0</v>
      </c>
      <c r="AA26" s="1013">
        <f>'GPC Data'!AA241</f>
        <v>0</v>
      </c>
      <c r="AB26" s="1013">
        <f>'GPC Data'!AB241</f>
        <v>0</v>
      </c>
      <c r="AC26" s="1013">
        <f>'GPC Data'!AC241</f>
        <v>0</v>
      </c>
      <c r="AD26" s="1013">
        <f>'GPC Data'!AD241</f>
        <v>0</v>
      </c>
      <c r="AE26" s="1017">
        <f>'GPC Data'!AE241</f>
        <v>0</v>
      </c>
      <c r="AF26" s="1013">
        <f>'GPC Data'!AF241</f>
        <v>0</v>
      </c>
      <c r="AG26" s="1013">
        <f>'GPC Data'!AG241</f>
        <v>0</v>
      </c>
      <c r="AH26" s="1017">
        <f>'GPC Data'!AH241</f>
        <v>0</v>
      </c>
      <c r="AI26" s="1013">
        <f>'GPC Data'!AI241</f>
        <v>0</v>
      </c>
      <c r="AJ26" s="1013">
        <f>'GPC Data'!AJ241</f>
        <v>0</v>
      </c>
      <c r="AK26" s="1017">
        <f>'GPC Data'!AK241</f>
        <v>0</v>
      </c>
      <c r="AL26" s="1013">
        <f>'GPC Data'!AL241</f>
        <v>0</v>
      </c>
      <c r="AM26" s="1013">
        <f>'GPC Data'!AM241</f>
        <v>0</v>
      </c>
      <c r="AN26" s="1017">
        <f>'GPC Data'!AN241</f>
        <v>0</v>
      </c>
      <c r="AO26" s="1013">
        <f>'GPC Data'!AO241</f>
        <v>0</v>
      </c>
      <c r="AP26" s="1013">
        <f>'GPC Data'!AP241</f>
        <v>0</v>
      </c>
      <c r="AS26" s="443" t="s">
        <v>106</v>
      </c>
    </row>
    <row r="27" spans="2:45" ht="12" thickBot="1">
      <c r="B27" s="1018">
        <f t="shared" si="0"/>
        <v>17</v>
      </c>
      <c r="C27" s="1006" t="str">
        <f>'GPC Data'!E38</f>
        <v>Comp 17</v>
      </c>
      <c r="D27" s="1007">
        <f>'GPC Data'!D38</f>
        <v>0</v>
      </c>
      <c r="E27" s="1008" t="e">
        <f>Multiples!#REF!</f>
        <v>#REF!</v>
      </c>
      <c r="F27" s="1009">
        <f>'GPC Data'!F242</f>
        <v>0</v>
      </c>
      <c r="G27" s="1010">
        <f>'GPC Data'!G242</f>
        <v>0</v>
      </c>
      <c r="H27" s="1009">
        <f>'GPC Data'!H242</f>
        <v>0</v>
      </c>
      <c r="I27" s="1010">
        <f>'GPC Data'!I242</f>
        <v>0</v>
      </c>
      <c r="J27" s="1011">
        <f>'GPC Data'!J242</f>
        <v>0</v>
      </c>
      <c r="K27" s="1011">
        <f>'GPC Data'!K242</f>
        <v>0</v>
      </c>
      <c r="L27" s="1011">
        <f>'GPC Data'!L242</f>
        <v>0</v>
      </c>
      <c r="M27" s="1011">
        <f>'GPC Data'!M242</f>
        <v>0</v>
      </c>
      <c r="N27" s="1010">
        <f>'GPC Data'!N242</f>
        <v>0</v>
      </c>
      <c r="O27" s="1009">
        <f>'GPC Data'!O242</f>
        <v>0</v>
      </c>
      <c r="P27" s="1010">
        <f>'GPC Data'!P242</f>
        <v>0</v>
      </c>
      <c r="Q27" s="1012">
        <f>'GPC Data'!Q242</f>
        <v>0</v>
      </c>
      <c r="R27" s="1013">
        <f>'GPC Data'!R242</f>
        <v>0</v>
      </c>
      <c r="S27" s="1011">
        <f>'GPC Data'!S242</f>
        <v>0</v>
      </c>
      <c r="T27" s="1014">
        <f>'GPC Data'!T242</f>
        <v>0</v>
      </c>
      <c r="U27" s="1011">
        <f>'GPC Data'!U242</f>
        <v>0</v>
      </c>
      <c r="V27" s="1014">
        <f>'GPC Data'!V242</f>
        <v>0</v>
      </c>
      <c r="W27" s="1015">
        <f>'GPC Data'!W242</f>
        <v>0</v>
      </c>
      <c r="X27" s="1016">
        <f>'GPC Data'!X242</f>
        <v>0</v>
      </c>
      <c r="Y27" s="1016">
        <f>'GPC Data'!Y242</f>
        <v>0</v>
      </c>
      <c r="Z27" s="1016">
        <f>'GPC Data'!Z242</f>
        <v>0</v>
      </c>
      <c r="AA27" s="1013">
        <f>'GPC Data'!AA242</f>
        <v>0</v>
      </c>
      <c r="AB27" s="1013">
        <f>'GPC Data'!AB242</f>
        <v>0</v>
      </c>
      <c r="AC27" s="1013">
        <f>'GPC Data'!AC242</f>
        <v>0</v>
      </c>
      <c r="AD27" s="1013">
        <f>'GPC Data'!AD242</f>
        <v>0</v>
      </c>
      <c r="AE27" s="1017">
        <f>'GPC Data'!AE242</f>
        <v>0</v>
      </c>
      <c r="AF27" s="1013">
        <f>'GPC Data'!AF242</f>
        <v>0</v>
      </c>
      <c r="AG27" s="1013">
        <f>'GPC Data'!AG242</f>
        <v>0</v>
      </c>
      <c r="AH27" s="1017">
        <f>'GPC Data'!AH242</f>
        <v>0</v>
      </c>
      <c r="AI27" s="1013">
        <f>'GPC Data'!AI242</f>
        <v>0</v>
      </c>
      <c r="AJ27" s="1013">
        <f>'GPC Data'!AJ242</f>
        <v>0</v>
      </c>
      <c r="AK27" s="1017">
        <f>'GPC Data'!AK242</f>
        <v>0</v>
      </c>
      <c r="AL27" s="1013">
        <f>'GPC Data'!AL242</f>
        <v>0</v>
      </c>
      <c r="AM27" s="1013">
        <f>'GPC Data'!AM242</f>
        <v>0</v>
      </c>
      <c r="AN27" s="1017">
        <f>'GPC Data'!AN242</f>
        <v>0</v>
      </c>
      <c r="AO27" s="1013">
        <f>'GPC Data'!AO242</f>
        <v>0</v>
      </c>
      <c r="AP27" s="1013">
        <f>'GPC Data'!AP242</f>
        <v>0</v>
      </c>
      <c r="AS27" s="443" t="s">
        <v>106</v>
      </c>
    </row>
    <row r="28" spans="2:45" ht="12" thickBot="1">
      <c r="B28" s="1018">
        <f t="shared" si="0"/>
        <v>18</v>
      </c>
      <c r="C28" s="1006" t="str">
        <f>'GPC Data'!E39</f>
        <v>Comp 18</v>
      </c>
      <c r="D28" s="1007">
        <f>'GPC Data'!D39</f>
        <v>0</v>
      </c>
      <c r="E28" s="1008" t="e">
        <f>Multiples!#REF!</f>
        <v>#REF!</v>
      </c>
      <c r="F28" s="1009">
        <f>'GPC Data'!F243</f>
        <v>0</v>
      </c>
      <c r="G28" s="1010">
        <f>'GPC Data'!G243</f>
        <v>0</v>
      </c>
      <c r="H28" s="1009">
        <f>'GPC Data'!H243</f>
        <v>0</v>
      </c>
      <c r="I28" s="1010">
        <f>'GPC Data'!I243</f>
        <v>0</v>
      </c>
      <c r="J28" s="1011">
        <f>'GPC Data'!J243</f>
        <v>0</v>
      </c>
      <c r="K28" s="1011">
        <f>'GPC Data'!K243</f>
        <v>0</v>
      </c>
      <c r="L28" s="1011">
        <f>'GPC Data'!L243</f>
        <v>0</v>
      </c>
      <c r="M28" s="1011">
        <f>'GPC Data'!M243</f>
        <v>0</v>
      </c>
      <c r="N28" s="1010">
        <f>'GPC Data'!N243</f>
        <v>0</v>
      </c>
      <c r="O28" s="1009">
        <f>'GPC Data'!O243</f>
        <v>0</v>
      </c>
      <c r="P28" s="1010">
        <f>'GPC Data'!P243</f>
        <v>0</v>
      </c>
      <c r="Q28" s="1012">
        <f>'GPC Data'!Q243</f>
        <v>0</v>
      </c>
      <c r="R28" s="1013">
        <f>'GPC Data'!R243</f>
        <v>0</v>
      </c>
      <c r="S28" s="1011">
        <f>'GPC Data'!S243</f>
        <v>0</v>
      </c>
      <c r="T28" s="1014">
        <f>'GPC Data'!T243</f>
        <v>0</v>
      </c>
      <c r="U28" s="1011">
        <f>'GPC Data'!U243</f>
        <v>0</v>
      </c>
      <c r="V28" s="1014">
        <f>'GPC Data'!V243</f>
        <v>0</v>
      </c>
      <c r="W28" s="1015">
        <f>'GPC Data'!W243</f>
        <v>0</v>
      </c>
      <c r="X28" s="1016">
        <f>'GPC Data'!X243</f>
        <v>0</v>
      </c>
      <c r="Y28" s="1016">
        <f>'GPC Data'!Y243</f>
        <v>0</v>
      </c>
      <c r="Z28" s="1016">
        <f>'GPC Data'!Z243</f>
        <v>0</v>
      </c>
      <c r="AA28" s="1013">
        <f>'GPC Data'!AA243</f>
        <v>0</v>
      </c>
      <c r="AB28" s="1013">
        <f>'GPC Data'!AB243</f>
        <v>0</v>
      </c>
      <c r="AC28" s="1013">
        <f>'GPC Data'!AC243</f>
        <v>0</v>
      </c>
      <c r="AD28" s="1013">
        <f>'GPC Data'!AD243</f>
        <v>0</v>
      </c>
      <c r="AE28" s="1017">
        <f>'GPC Data'!AE243</f>
        <v>0</v>
      </c>
      <c r="AF28" s="1013">
        <f>'GPC Data'!AF243</f>
        <v>0</v>
      </c>
      <c r="AG28" s="1013">
        <f>'GPC Data'!AG243</f>
        <v>0</v>
      </c>
      <c r="AH28" s="1017">
        <f>'GPC Data'!AH243</f>
        <v>0</v>
      </c>
      <c r="AI28" s="1013">
        <f>'GPC Data'!AI243</f>
        <v>0</v>
      </c>
      <c r="AJ28" s="1013">
        <f>'GPC Data'!AJ243</f>
        <v>0</v>
      </c>
      <c r="AK28" s="1017">
        <f>'GPC Data'!AK243</f>
        <v>0</v>
      </c>
      <c r="AL28" s="1013">
        <f>'GPC Data'!AL243</f>
        <v>0</v>
      </c>
      <c r="AM28" s="1013">
        <f>'GPC Data'!AM243</f>
        <v>0</v>
      </c>
      <c r="AN28" s="1017">
        <f>'GPC Data'!AN243</f>
        <v>0</v>
      </c>
      <c r="AO28" s="1013">
        <f>'GPC Data'!AO243</f>
        <v>0</v>
      </c>
      <c r="AP28" s="1013">
        <f>'GPC Data'!AP243</f>
        <v>0</v>
      </c>
      <c r="AS28" s="443" t="s">
        <v>106</v>
      </c>
    </row>
    <row r="29" spans="2:45" ht="12" thickBot="1">
      <c r="B29" s="1018">
        <f t="shared" si="0"/>
        <v>19</v>
      </c>
      <c r="C29" s="1006" t="str">
        <f>'GPC Data'!E40</f>
        <v>Comp 19</v>
      </c>
      <c r="D29" s="1007">
        <f>'GPC Data'!D40</f>
        <v>0</v>
      </c>
      <c r="E29" s="1008" t="e">
        <f>Multiples!#REF!</f>
        <v>#REF!</v>
      </c>
      <c r="F29" s="1009">
        <f>'GPC Data'!F244</f>
        <v>0</v>
      </c>
      <c r="G29" s="1010">
        <f>'GPC Data'!G244</f>
        <v>0</v>
      </c>
      <c r="H29" s="1009">
        <f>'GPC Data'!H244</f>
        <v>0</v>
      </c>
      <c r="I29" s="1010">
        <f>'GPC Data'!I244</f>
        <v>0</v>
      </c>
      <c r="J29" s="1011">
        <f>'GPC Data'!J244</f>
        <v>0</v>
      </c>
      <c r="K29" s="1011">
        <f>'GPC Data'!K244</f>
        <v>0</v>
      </c>
      <c r="L29" s="1011">
        <f>'GPC Data'!L244</f>
        <v>0</v>
      </c>
      <c r="M29" s="1011">
        <f>'GPC Data'!M244</f>
        <v>0</v>
      </c>
      <c r="N29" s="1010">
        <f>'GPC Data'!N244</f>
        <v>0</v>
      </c>
      <c r="O29" s="1009">
        <f>'GPC Data'!O244</f>
        <v>0</v>
      </c>
      <c r="P29" s="1010">
        <f>'GPC Data'!P244</f>
        <v>0</v>
      </c>
      <c r="Q29" s="1012">
        <f>'GPC Data'!Q244</f>
        <v>0</v>
      </c>
      <c r="R29" s="1013">
        <f>'GPC Data'!R244</f>
        <v>0</v>
      </c>
      <c r="S29" s="1011">
        <f>'GPC Data'!S244</f>
        <v>0</v>
      </c>
      <c r="T29" s="1014">
        <f>'GPC Data'!T244</f>
        <v>0</v>
      </c>
      <c r="U29" s="1011">
        <f>'GPC Data'!U244</f>
        <v>0</v>
      </c>
      <c r="V29" s="1014">
        <f>'GPC Data'!V244</f>
        <v>0</v>
      </c>
      <c r="W29" s="1015">
        <f>'GPC Data'!W244</f>
        <v>0</v>
      </c>
      <c r="X29" s="1016">
        <f>'GPC Data'!X244</f>
        <v>0</v>
      </c>
      <c r="Y29" s="1016">
        <f>'GPC Data'!Y244</f>
        <v>0</v>
      </c>
      <c r="Z29" s="1016">
        <f>'GPC Data'!Z244</f>
        <v>0</v>
      </c>
      <c r="AA29" s="1013">
        <f>'GPC Data'!AA244</f>
        <v>0</v>
      </c>
      <c r="AB29" s="1013">
        <f>'GPC Data'!AB244</f>
        <v>0</v>
      </c>
      <c r="AC29" s="1013">
        <f>'GPC Data'!AC244</f>
        <v>0</v>
      </c>
      <c r="AD29" s="1013">
        <f>'GPC Data'!AD244</f>
        <v>0</v>
      </c>
      <c r="AE29" s="1017">
        <f>'GPC Data'!AE244</f>
        <v>0</v>
      </c>
      <c r="AF29" s="1013">
        <f>'GPC Data'!AF244</f>
        <v>0</v>
      </c>
      <c r="AG29" s="1013">
        <f>'GPC Data'!AG244</f>
        <v>0</v>
      </c>
      <c r="AH29" s="1017">
        <f>'GPC Data'!AH244</f>
        <v>0</v>
      </c>
      <c r="AI29" s="1013">
        <f>'GPC Data'!AI244</f>
        <v>0</v>
      </c>
      <c r="AJ29" s="1013">
        <f>'GPC Data'!AJ244</f>
        <v>0</v>
      </c>
      <c r="AK29" s="1017">
        <f>'GPC Data'!AK244</f>
        <v>0</v>
      </c>
      <c r="AL29" s="1013">
        <f>'GPC Data'!AL244</f>
        <v>0</v>
      </c>
      <c r="AM29" s="1013">
        <f>'GPC Data'!AM244</f>
        <v>0</v>
      </c>
      <c r="AN29" s="1017">
        <f>'GPC Data'!AN244</f>
        <v>0</v>
      </c>
      <c r="AO29" s="1013">
        <f>'GPC Data'!AO244</f>
        <v>0</v>
      </c>
      <c r="AP29" s="1013">
        <f>'GPC Data'!AP244</f>
        <v>0</v>
      </c>
      <c r="AS29" s="443" t="s">
        <v>106</v>
      </c>
    </row>
    <row r="30" spans="2:45" ht="12" thickBot="1">
      <c r="B30" s="1018">
        <f t="shared" si="0"/>
        <v>20</v>
      </c>
      <c r="C30" s="1006" t="str">
        <f>'GPC Data'!E41</f>
        <v>Comp 20</v>
      </c>
      <c r="D30" s="1007">
        <f>'GPC Data'!D41</f>
        <v>0</v>
      </c>
      <c r="E30" s="1008" t="e">
        <f>Multiples!#REF!</f>
        <v>#REF!</v>
      </c>
      <c r="F30" s="1009">
        <f>'GPC Data'!F245</f>
        <v>0</v>
      </c>
      <c r="G30" s="1010">
        <f>'GPC Data'!G245</f>
        <v>0</v>
      </c>
      <c r="H30" s="1009">
        <f>'GPC Data'!H245</f>
        <v>0</v>
      </c>
      <c r="I30" s="1010">
        <f>'GPC Data'!I245</f>
        <v>0</v>
      </c>
      <c r="J30" s="1011">
        <f>'GPC Data'!J245</f>
        <v>0</v>
      </c>
      <c r="K30" s="1011">
        <f>'GPC Data'!K245</f>
        <v>0</v>
      </c>
      <c r="L30" s="1011">
        <f>'GPC Data'!L245</f>
        <v>0</v>
      </c>
      <c r="M30" s="1011">
        <f>'GPC Data'!M245</f>
        <v>0</v>
      </c>
      <c r="N30" s="1010">
        <f>'GPC Data'!N245</f>
        <v>0</v>
      </c>
      <c r="O30" s="1009">
        <f>'GPC Data'!O245</f>
        <v>0</v>
      </c>
      <c r="P30" s="1010">
        <f>'GPC Data'!P245</f>
        <v>0</v>
      </c>
      <c r="Q30" s="1012">
        <f>'GPC Data'!Q245</f>
        <v>0</v>
      </c>
      <c r="R30" s="1013">
        <f>'GPC Data'!R245</f>
        <v>0</v>
      </c>
      <c r="S30" s="1011">
        <f>'GPC Data'!S245</f>
        <v>0</v>
      </c>
      <c r="T30" s="1014">
        <f>'GPC Data'!T245</f>
        <v>0</v>
      </c>
      <c r="U30" s="1011">
        <f>'GPC Data'!U245</f>
        <v>0</v>
      </c>
      <c r="V30" s="1014">
        <f>'GPC Data'!V245</f>
        <v>0</v>
      </c>
      <c r="W30" s="1015">
        <f>'GPC Data'!W245</f>
        <v>0</v>
      </c>
      <c r="X30" s="1016">
        <f>'GPC Data'!X245</f>
        <v>0</v>
      </c>
      <c r="Y30" s="1016">
        <f>'GPC Data'!Y245</f>
        <v>0</v>
      </c>
      <c r="Z30" s="1016">
        <f>'GPC Data'!Z245</f>
        <v>0</v>
      </c>
      <c r="AA30" s="1013">
        <f>'GPC Data'!AA245</f>
        <v>0</v>
      </c>
      <c r="AB30" s="1013">
        <f>'GPC Data'!AB245</f>
        <v>0</v>
      </c>
      <c r="AC30" s="1013">
        <f>'GPC Data'!AC245</f>
        <v>0</v>
      </c>
      <c r="AD30" s="1013">
        <f>'GPC Data'!AD245</f>
        <v>0</v>
      </c>
      <c r="AE30" s="1017">
        <f>'GPC Data'!AE245</f>
        <v>0</v>
      </c>
      <c r="AF30" s="1013">
        <f>'GPC Data'!AF245</f>
        <v>0</v>
      </c>
      <c r="AG30" s="1013">
        <f>'GPC Data'!AG245</f>
        <v>0</v>
      </c>
      <c r="AH30" s="1017">
        <f>'GPC Data'!AH245</f>
        <v>0</v>
      </c>
      <c r="AI30" s="1013">
        <f>'GPC Data'!AI245</f>
        <v>0</v>
      </c>
      <c r="AJ30" s="1013">
        <f>'GPC Data'!AJ245</f>
        <v>0</v>
      </c>
      <c r="AK30" s="1017">
        <f>'GPC Data'!AK245</f>
        <v>0</v>
      </c>
      <c r="AL30" s="1013">
        <f>'GPC Data'!AL245</f>
        <v>0</v>
      </c>
      <c r="AM30" s="1013">
        <f>'GPC Data'!AM245</f>
        <v>0</v>
      </c>
      <c r="AN30" s="1017">
        <f>'GPC Data'!AN245</f>
        <v>0</v>
      </c>
      <c r="AO30" s="1013">
        <f>'GPC Data'!AO245</f>
        <v>0</v>
      </c>
      <c r="AP30" s="1013">
        <f>'GPC Data'!AP245</f>
        <v>0</v>
      </c>
      <c r="AS30" s="443" t="s">
        <v>106</v>
      </c>
    </row>
    <row r="31" spans="2:45" ht="12" thickBot="1">
      <c r="B31" s="1018">
        <f t="shared" si="0"/>
        <v>21</v>
      </c>
      <c r="C31" s="1006" t="str">
        <f>'GPC Data'!E42</f>
        <v>Comp 21</v>
      </c>
      <c r="D31" s="1007">
        <f>'GPC Data'!D42</f>
        <v>0</v>
      </c>
      <c r="E31" s="1008" t="e">
        <f>Multiples!#REF!</f>
        <v>#REF!</v>
      </c>
      <c r="F31" s="1009">
        <f>'GPC Data'!F246</f>
        <v>0</v>
      </c>
      <c r="G31" s="1010">
        <f>'GPC Data'!G246</f>
        <v>0</v>
      </c>
      <c r="H31" s="1009">
        <f>'GPC Data'!H246</f>
        <v>0</v>
      </c>
      <c r="I31" s="1010">
        <f>'GPC Data'!I246</f>
        <v>0</v>
      </c>
      <c r="J31" s="1011">
        <f>'GPC Data'!J246</f>
        <v>0</v>
      </c>
      <c r="K31" s="1011">
        <f>'GPC Data'!K246</f>
        <v>0</v>
      </c>
      <c r="L31" s="1011">
        <f>'GPC Data'!L246</f>
        <v>0</v>
      </c>
      <c r="M31" s="1011">
        <f>'GPC Data'!M246</f>
        <v>0</v>
      </c>
      <c r="N31" s="1010">
        <f>'GPC Data'!N246</f>
        <v>0</v>
      </c>
      <c r="O31" s="1009">
        <f>'GPC Data'!O246</f>
        <v>0</v>
      </c>
      <c r="P31" s="1010">
        <f>'GPC Data'!P246</f>
        <v>0</v>
      </c>
      <c r="Q31" s="1012">
        <f>'GPC Data'!Q246</f>
        <v>0</v>
      </c>
      <c r="R31" s="1013">
        <f>'GPC Data'!R246</f>
        <v>0</v>
      </c>
      <c r="S31" s="1011">
        <f>'GPC Data'!S246</f>
        <v>0</v>
      </c>
      <c r="T31" s="1014">
        <f>'GPC Data'!T246</f>
        <v>0</v>
      </c>
      <c r="U31" s="1011">
        <f>'GPC Data'!U246</f>
        <v>0</v>
      </c>
      <c r="V31" s="1014">
        <f>'GPC Data'!V246</f>
        <v>0</v>
      </c>
      <c r="W31" s="1015">
        <f>'GPC Data'!W246</f>
        <v>0</v>
      </c>
      <c r="X31" s="1016">
        <f>'GPC Data'!X246</f>
        <v>0</v>
      </c>
      <c r="Y31" s="1016">
        <f>'GPC Data'!Y246</f>
        <v>0</v>
      </c>
      <c r="Z31" s="1016">
        <f>'GPC Data'!Z246</f>
        <v>0</v>
      </c>
      <c r="AA31" s="1013">
        <f>'GPC Data'!AA246</f>
        <v>0</v>
      </c>
      <c r="AB31" s="1013">
        <f>'GPC Data'!AB246</f>
        <v>0</v>
      </c>
      <c r="AC31" s="1013">
        <f>'GPC Data'!AC246</f>
        <v>0</v>
      </c>
      <c r="AD31" s="1013">
        <f>'GPC Data'!AD246</f>
        <v>0</v>
      </c>
      <c r="AE31" s="1017">
        <f>'GPC Data'!AE246</f>
        <v>0</v>
      </c>
      <c r="AF31" s="1013">
        <f>'GPC Data'!AF246</f>
        <v>0</v>
      </c>
      <c r="AG31" s="1013">
        <f>'GPC Data'!AG246</f>
        <v>0</v>
      </c>
      <c r="AH31" s="1017">
        <f>'GPC Data'!AH246</f>
        <v>0</v>
      </c>
      <c r="AI31" s="1013">
        <f>'GPC Data'!AI246</f>
        <v>0</v>
      </c>
      <c r="AJ31" s="1013">
        <f>'GPC Data'!AJ246</f>
        <v>0</v>
      </c>
      <c r="AK31" s="1017">
        <f>'GPC Data'!AK246</f>
        <v>0</v>
      </c>
      <c r="AL31" s="1013">
        <f>'GPC Data'!AL246</f>
        <v>0</v>
      </c>
      <c r="AM31" s="1013">
        <f>'GPC Data'!AM246</f>
        <v>0</v>
      </c>
      <c r="AN31" s="1017">
        <f>'GPC Data'!AN246</f>
        <v>0</v>
      </c>
      <c r="AO31" s="1013">
        <f>'GPC Data'!AO246</f>
        <v>0</v>
      </c>
      <c r="AP31" s="1013">
        <f>'GPC Data'!AP246</f>
        <v>0</v>
      </c>
      <c r="AS31" s="443" t="s">
        <v>106</v>
      </c>
    </row>
    <row r="32" spans="2:45" ht="12" thickBot="1">
      <c r="B32" s="1018">
        <f t="shared" si="0"/>
        <v>22</v>
      </c>
      <c r="C32" s="1006" t="str">
        <f>'GPC Data'!E43</f>
        <v>Comp 22</v>
      </c>
      <c r="D32" s="1007">
        <f>'GPC Data'!D43</f>
        <v>0</v>
      </c>
      <c r="E32" s="1008" t="e">
        <f>Multiples!#REF!</f>
        <v>#REF!</v>
      </c>
      <c r="F32" s="1009">
        <f>'GPC Data'!F247</f>
        <v>0</v>
      </c>
      <c r="G32" s="1010">
        <f>'GPC Data'!G247</f>
        <v>0</v>
      </c>
      <c r="H32" s="1009">
        <f>'GPC Data'!H247</f>
        <v>0</v>
      </c>
      <c r="I32" s="1010">
        <f>'GPC Data'!I247</f>
        <v>0</v>
      </c>
      <c r="J32" s="1011">
        <f>'GPC Data'!J247</f>
        <v>0</v>
      </c>
      <c r="K32" s="1011">
        <f>'GPC Data'!K247</f>
        <v>0</v>
      </c>
      <c r="L32" s="1011">
        <f>'GPC Data'!L247</f>
        <v>0</v>
      </c>
      <c r="M32" s="1011">
        <f>'GPC Data'!M247</f>
        <v>0</v>
      </c>
      <c r="N32" s="1010">
        <f>'GPC Data'!N247</f>
        <v>0</v>
      </c>
      <c r="O32" s="1009">
        <f>'GPC Data'!O247</f>
        <v>0</v>
      </c>
      <c r="P32" s="1010">
        <f>'GPC Data'!P247</f>
        <v>0</v>
      </c>
      <c r="Q32" s="1012">
        <f>'GPC Data'!Q247</f>
        <v>0</v>
      </c>
      <c r="R32" s="1013">
        <f>'GPC Data'!R247</f>
        <v>0</v>
      </c>
      <c r="S32" s="1011">
        <f>'GPC Data'!S247</f>
        <v>0</v>
      </c>
      <c r="T32" s="1014">
        <f>'GPC Data'!T247</f>
        <v>0</v>
      </c>
      <c r="U32" s="1011">
        <f>'GPC Data'!U247</f>
        <v>0</v>
      </c>
      <c r="V32" s="1014">
        <f>'GPC Data'!V247</f>
        <v>0</v>
      </c>
      <c r="W32" s="1015">
        <f>'GPC Data'!W247</f>
        <v>0</v>
      </c>
      <c r="X32" s="1016">
        <f>'GPC Data'!X247</f>
        <v>0</v>
      </c>
      <c r="Y32" s="1016">
        <f>'GPC Data'!Y247</f>
        <v>0</v>
      </c>
      <c r="Z32" s="1016">
        <f>'GPC Data'!Z247</f>
        <v>0</v>
      </c>
      <c r="AA32" s="1013">
        <f>'GPC Data'!AA247</f>
        <v>0</v>
      </c>
      <c r="AB32" s="1013">
        <f>'GPC Data'!AB247</f>
        <v>0</v>
      </c>
      <c r="AC32" s="1013">
        <f>'GPC Data'!AC247</f>
        <v>0</v>
      </c>
      <c r="AD32" s="1013">
        <f>'GPC Data'!AD247</f>
        <v>0</v>
      </c>
      <c r="AE32" s="1017">
        <f>'GPC Data'!AE247</f>
        <v>0</v>
      </c>
      <c r="AF32" s="1013">
        <f>'GPC Data'!AF247</f>
        <v>0</v>
      </c>
      <c r="AG32" s="1013">
        <f>'GPC Data'!AG247</f>
        <v>0</v>
      </c>
      <c r="AH32" s="1017">
        <f>'GPC Data'!AH247</f>
        <v>0</v>
      </c>
      <c r="AI32" s="1013">
        <f>'GPC Data'!AI247</f>
        <v>0</v>
      </c>
      <c r="AJ32" s="1013">
        <f>'GPC Data'!AJ247</f>
        <v>0</v>
      </c>
      <c r="AK32" s="1017">
        <f>'GPC Data'!AK247</f>
        <v>0</v>
      </c>
      <c r="AL32" s="1013">
        <f>'GPC Data'!AL247</f>
        <v>0</v>
      </c>
      <c r="AM32" s="1013">
        <f>'GPC Data'!AM247</f>
        <v>0</v>
      </c>
      <c r="AN32" s="1017">
        <f>'GPC Data'!AN247</f>
        <v>0</v>
      </c>
      <c r="AO32" s="1013">
        <f>'GPC Data'!AO247</f>
        <v>0</v>
      </c>
      <c r="AP32" s="1013">
        <f>'GPC Data'!AP247</f>
        <v>0</v>
      </c>
      <c r="AS32" s="443" t="s">
        <v>106</v>
      </c>
    </row>
    <row r="33" spans="2:45" ht="12" thickBot="1">
      <c r="B33" s="1018">
        <f t="shared" si="0"/>
        <v>23</v>
      </c>
      <c r="C33" s="1006" t="str">
        <f>'GPC Data'!E44</f>
        <v>Comp 23</v>
      </c>
      <c r="D33" s="1007">
        <f>'GPC Data'!D44</f>
        <v>0</v>
      </c>
      <c r="E33" s="1008" t="e">
        <f>Multiples!#REF!</f>
        <v>#REF!</v>
      </c>
      <c r="F33" s="1009">
        <f>'GPC Data'!F248</f>
        <v>0</v>
      </c>
      <c r="G33" s="1010">
        <f>'GPC Data'!G248</f>
        <v>0</v>
      </c>
      <c r="H33" s="1009">
        <f>'GPC Data'!H248</f>
        <v>0</v>
      </c>
      <c r="I33" s="1010">
        <f>'GPC Data'!I248</f>
        <v>0</v>
      </c>
      <c r="J33" s="1011">
        <f>'GPC Data'!J248</f>
        <v>0</v>
      </c>
      <c r="K33" s="1011">
        <f>'GPC Data'!K248</f>
        <v>0</v>
      </c>
      <c r="L33" s="1011">
        <f>'GPC Data'!L248</f>
        <v>0</v>
      </c>
      <c r="M33" s="1011">
        <f>'GPC Data'!M248</f>
        <v>0</v>
      </c>
      <c r="N33" s="1010">
        <f>'GPC Data'!N248</f>
        <v>0</v>
      </c>
      <c r="O33" s="1009">
        <f>'GPC Data'!O248</f>
        <v>0</v>
      </c>
      <c r="P33" s="1010">
        <f>'GPC Data'!P248</f>
        <v>0</v>
      </c>
      <c r="Q33" s="1012">
        <f>'GPC Data'!Q248</f>
        <v>0</v>
      </c>
      <c r="R33" s="1013">
        <f>'GPC Data'!R248</f>
        <v>0</v>
      </c>
      <c r="S33" s="1011">
        <f>'GPC Data'!S248</f>
        <v>0</v>
      </c>
      <c r="T33" s="1014">
        <f>'GPC Data'!T248</f>
        <v>0</v>
      </c>
      <c r="U33" s="1011">
        <f>'GPC Data'!U248</f>
        <v>0</v>
      </c>
      <c r="V33" s="1014">
        <f>'GPC Data'!V248</f>
        <v>0</v>
      </c>
      <c r="W33" s="1015">
        <f>'GPC Data'!W248</f>
        <v>0</v>
      </c>
      <c r="X33" s="1016">
        <f>'GPC Data'!X248</f>
        <v>0</v>
      </c>
      <c r="Y33" s="1016">
        <f>'GPC Data'!Y248</f>
        <v>0</v>
      </c>
      <c r="Z33" s="1016">
        <f>'GPC Data'!Z248</f>
        <v>0</v>
      </c>
      <c r="AA33" s="1013">
        <f>'GPC Data'!AA248</f>
        <v>0</v>
      </c>
      <c r="AB33" s="1013">
        <f>'GPC Data'!AB248</f>
        <v>0</v>
      </c>
      <c r="AC33" s="1013">
        <f>'GPC Data'!AC248</f>
        <v>0</v>
      </c>
      <c r="AD33" s="1013">
        <f>'GPC Data'!AD248</f>
        <v>0</v>
      </c>
      <c r="AE33" s="1017">
        <f>'GPC Data'!AE248</f>
        <v>0</v>
      </c>
      <c r="AF33" s="1013">
        <f>'GPC Data'!AF248</f>
        <v>0</v>
      </c>
      <c r="AG33" s="1013">
        <f>'GPC Data'!AG248</f>
        <v>0</v>
      </c>
      <c r="AH33" s="1017">
        <f>'GPC Data'!AH248</f>
        <v>0</v>
      </c>
      <c r="AI33" s="1013">
        <f>'GPC Data'!AI248</f>
        <v>0</v>
      </c>
      <c r="AJ33" s="1013">
        <f>'GPC Data'!AJ248</f>
        <v>0</v>
      </c>
      <c r="AK33" s="1017">
        <f>'GPC Data'!AK248</f>
        <v>0</v>
      </c>
      <c r="AL33" s="1013">
        <f>'GPC Data'!AL248</f>
        <v>0</v>
      </c>
      <c r="AM33" s="1013">
        <f>'GPC Data'!AM248</f>
        <v>0</v>
      </c>
      <c r="AN33" s="1017">
        <f>'GPC Data'!AN248</f>
        <v>0</v>
      </c>
      <c r="AO33" s="1013">
        <f>'GPC Data'!AO248</f>
        <v>0</v>
      </c>
      <c r="AP33" s="1013">
        <f>'GPC Data'!AP248</f>
        <v>0</v>
      </c>
      <c r="AS33" s="443" t="s">
        <v>106</v>
      </c>
    </row>
    <row r="34" spans="2:45" ht="12" thickBot="1">
      <c r="B34" s="1018">
        <f t="shared" si="0"/>
        <v>24</v>
      </c>
      <c r="C34" s="1006" t="str">
        <f>'GPC Data'!E45</f>
        <v>Comp 24</v>
      </c>
      <c r="D34" s="1007">
        <f>'GPC Data'!D45</f>
        <v>0</v>
      </c>
      <c r="E34" s="1008" t="e">
        <f>Multiples!#REF!</f>
        <v>#REF!</v>
      </c>
      <c r="F34" s="1009">
        <f>'GPC Data'!F249</f>
        <v>0</v>
      </c>
      <c r="G34" s="1010">
        <f>'GPC Data'!G249</f>
        <v>0</v>
      </c>
      <c r="H34" s="1009">
        <f>'GPC Data'!H249</f>
        <v>0</v>
      </c>
      <c r="I34" s="1010">
        <f>'GPC Data'!I249</f>
        <v>0</v>
      </c>
      <c r="J34" s="1011">
        <f>'GPC Data'!J249</f>
        <v>0</v>
      </c>
      <c r="K34" s="1011">
        <f>'GPC Data'!K249</f>
        <v>0</v>
      </c>
      <c r="L34" s="1011">
        <f>'GPC Data'!L249</f>
        <v>0</v>
      </c>
      <c r="M34" s="1011">
        <f>'GPC Data'!M249</f>
        <v>0</v>
      </c>
      <c r="N34" s="1010">
        <f>'GPC Data'!N249</f>
        <v>0</v>
      </c>
      <c r="O34" s="1009">
        <f>'GPC Data'!O249</f>
        <v>0</v>
      </c>
      <c r="P34" s="1010">
        <f>'GPC Data'!P249</f>
        <v>0</v>
      </c>
      <c r="Q34" s="1012">
        <f>'GPC Data'!Q249</f>
        <v>0</v>
      </c>
      <c r="R34" s="1013">
        <f>'GPC Data'!R249</f>
        <v>0</v>
      </c>
      <c r="S34" s="1011">
        <f>'GPC Data'!S249</f>
        <v>0</v>
      </c>
      <c r="T34" s="1014">
        <f>'GPC Data'!T249</f>
        <v>0</v>
      </c>
      <c r="U34" s="1011">
        <f>'GPC Data'!U249</f>
        <v>0</v>
      </c>
      <c r="V34" s="1014">
        <f>'GPC Data'!V249</f>
        <v>0</v>
      </c>
      <c r="W34" s="1015">
        <f>'GPC Data'!W249</f>
        <v>0</v>
      </c>
      <c r="X34" s="1016">
        <f>'GPC Data'!X249</f>
        <v>0</v>
      </c>
      <c r="Y34" s="1016">
        <f>'GPC Data'!Y249</f>
        <v>0</v>
      </c>
      <c r="Z34" s="1016">
        <f>'GPC Data'!Z249</f>
        <v>0</v>
      </c>
      <c r="AA34" s="1013">
        <f>'GPC Data'!AA249</f>
        <v>0</v>
      </c>
      <c r="AB34" s="1013">
        <f>'GPC Data'!AB249</f>
        <v>0</v>
      </c>
      <c r="AC34" s="1013">
        <f>'GPC Data'!AC249</f>
        <v>0</v>
      </c>
      <c r="AD34" s="1013">
        <f>'GPC Data'!AD249</f>
        <v>0</v>
      </c>
      <c r="AE34" s="1017">
        <f>'GPC Data'!AE249</f>
        <v>0</v>
      </c>
      <c r="AF34" s="1013">
        <f>'GPC Data'!AF249</f>
        <v>0</v>
      </c>
      <c r="AG34" s="1013">
        <f>'GPC Data'!AG249</f>
        <v>0</v>
      </c>
      <c r="AH34" s="1017">
        <f>'GPC Data'!AH249</f>
        <v>0</v>
      </c>
      <c r="AI34" s="1013">
        <f>'GPC Data'!AI249</f>
        <v>0</v>
      </c>
      <c r="AJ34" s="1013">
        <f>'GPC Data'!AJ249</f>
        <v>0</v>
      </c>
      <c r="AK34" s="1017">
        <f>'GPC Data'!AK249</f>
        <v>0</v>
      </c>
      <c r="AL34" s="1013">
        <f>'GPC Data'!AL249</f>
        <v>0</v>
      </c>
      <c r="AM34" s="1013">
        <f>'GPC Data'!AM249</f>
        <v>0</v>
      </c>
      <c r="AN34" s="1017">
        <f>'GPC Data'!AN249</f>
        <v>0</v>
      </c>
      <c r="AO34" s="1013">
        <f>'GPC Data'!AO249</f>
        <v>0</v>
      </c>
      <c r="AP34" s="1013">
        <f>'GPC Data'!AP249</f>
        <v>0</v>
      </c>
      <c r="AS34" s="443" t="s">
        <v>106</v>
      </c>
    </row>
    <row r="35" spans="2:45" ht="12" thickBot="1">
      <c r="B35" s="1018">
        <f t="shared" si="0"/>
        <v>25</v>
      </c>
      <c r="C35" s="1006" t="str">
        <f>'GPC Data'!E46</f>
        <v>Comp 25</v>
      </c>
      <c r="D35" s="1007">
        <f>'GPC Data'!D46</f>
        <v>0</v>
      </c>
      <c r="E35" s="1008" t="e">
        <f>Multiples!#REF!</f>
        <v>#REF!</v>
      </c>
      <c r="F35" s="1009">
        <f>'GPC Data'!F250</f>
        <v>0</v>
      </c>
      <c r="G35" s="1010">
        <f>'GPC Data'!G250</f>
        <v>0</v>
      </c>
      <c r="H35" s="1009">
        <f>'GPC Data'!H250</f>
        <v>0</v>
      </c>
      <c r="I35" s="1010">
        <f>'GPC Data'!I250</f>
        <v>0</v>
      </c>
      <c r="J35" s="1011">
        <f>'GPC Data'!J250</f>
        <v>0</v>
      </c>
      <c r="K35" s="1011">
        <f>'GPC Data'!K250</f>
        <v>0</v>
      </c>
      <c r="L35" s="1011">
        <f>'GPC Data'!L250</f>
        <v>0</v>
      </c>
      <c r="M35" s="1011">
        <f>'GPC Data'!M250</f>
        <v>0</v>
      </c>
      <c r="N35" s="1010">
        <f>'GPC Data'!N250</f>
        <v>0</v>
      </c>
      <c r="O35" s="1009">
        <f>'GPC Data'!O250</f>
        <v>0</v>
      </c>
      <c r="P35" s="1010">
        <f>'GPC Data'!P250</f>
        <v>0</v>
      </c>
      <c r="Q35" s="1012">
        <f>'GPC Data'!Q250</f>
        <v>0</v>
      </c>
      <c r="R35" s="1013">
        <f>'GPC Data'!R250</f>
        <v>0</v>
      </c>
      <c r="S35" s="1011">
        <f>'GPC Data'!S250</f>
        <v>0</v>
      </c>
      <c r="T35" s="1014">
        <f>'GPC Data'!T250</f>
        <v>0</v>
      </c>
      <c r="U35" s="1011">
        <f>'GPC Data'!U250</f>
        <v>0</v>
      </c>
      <c r="V35" s="1014">
        <f>'GPC Data'!V250</f>
        <v>0</v>
      </c>
      <c r="W35" s="1015">
        <f>'GPC Data'!W250</f>
        <v>0</v>
      </c>
      <c r="X35" s="1016">
        <f>'GPC Data'!X250</f>
        <v>0</v>
      </c>
      <c r="Y35" s="1016">
        <f>'GPC Data'!Y250</f>
        <v>0</v>
      </c>
      <c r="Z35" s="1016">
        <f>'GPC Data'!Z250</f>
        <v>0</v>
      </c>
      <c r="AA35" s="1013">
        <f>'GPC Data'!AA250</f>
        <v>0</v>
      </c>
      <c r="AB35" s="1013">
        <f>'GPC Data'!AB250</f>
        <v>0</v>
      </c>
      <c r="AC35" s="1013">
        <f>'GPC Data'!AC250</f>
        <v>0</v>
      </c>
      <c r="AD35" s="1013">
        <f>'GPC Data'!AD250</f>
        <v>0</v>
      </c>
      <c r="AE35" s="1017">
        <f>'GPC Data'!AE250</f>
        <v>0</v>
      </c>
      <c r="AF35" s="1013">
        <f>'GPC Data'!AF250</f>
        <v>0</v>
      </c>
      <c r="AG35" s="1013">
        <f>'GPC Data'!AG250</f>
        <v>0</v>
      </c>
      <c r="AH35" s="1017">
        <f>'GPC Data'!AH250</f>
        <v>0</v>
      </c>
      <c r="AI35" s="1013">
        <f>'GPC Data'!AI250</f>
        <v>0</v>
      </c>
      <c r="AJ35" s="1013">
        <f>'GPC Data'!AJ250</f>
        <v>0</v>
      </c>
      <c r="AK35" s="1017">
        <f>'GPC Data'!AK250</f>
        <v>0</v>
      </c>
      <c r="AL35" s="1013">
        <f>'GPC Data'!AL250</f>
        <v>0</v>
      </c>
      <c r="AM35" s="1013">
        <f>'GPC Data'!AM250</f>
        <v>0</v>
      </c>
      <c r="AN35" s="1017">
        <f>'GPC Data'!AN250</f>
        <v>0</v>
      </c>
      <c r="AO35" s="1013">
        <f>'GPC Data'!AO250</f>
        <v>0</v>
      </c>
      <c r="AP35" s="1013">
        <f>'GPC Data'!AP250</f>
        <v>0</v>
      </c>
      <c r="AS35" s="443" t="s">
        <v>106</v>
      </c>
    </row>
    <row r="36" spans="2:45" ht="12" thickBot="1">
      <c r="B36" s="1018">
        <f t="shared" si="0"/>
        <v>26</v>
      </c>
      <c r="C36" s="1006" t="str">
        <f>'GPC Data'!E47</f>
        <v>Comp 26</v>
      </c>
      <c r="D36" s="1007">
        <f>'GPC Data'!D47</f>
        <v>0</v>
      </c>
      <c r="E36" s="1008" t="e">
        <f>Multiples!#REF!</f>
        <v>#REF!</v>
      </c>
      <c r="F36" s="1009">
        <f>'GPC Data'!F251</f>
        <v>0</v>
      </c>
      <c r="G36" s="1010">
        <f>'GPC Data'!G251</f>
        <v>0</v>
      </c>
      <c r="H36" s="1009">
        <f>'GPC Data'!H251</f>
        <v>0</v>
      </c>
      <c r="I36" s="1010">
        <f>'GPC Data'!I251</f>
        <v>0</v>
      </c>
      <c r="J36" s="1011">
        <f>'GPC Data'!J251</f>
        <v>0</v>
      </c>
      <c r="K36" s="1011">
        <f>'GPC Data'!K251</f>
        <v>0</v>
      </c>
      <c r="L36" s="1011">
        <f>'GPC Data'!L251</f>
        <v>0</v>
      </c>
      <c r="M36" s="1011">
        <f>'GPC Data'!M251</f>
        <v>0</v>
      </c>
      <c r="N36" s="1010">
        <f>'GPC Data'!N251</f>
        <v>0</v>
      </c>
      <c r="O36" s="1009">
        <f>'GPC Data'!O251</f>
        <v>0</v>
      </c>
      <c r="P36" s="1010">
        <f>'GPC Data'!P251</f>
        <v>0</v>
      </c>
      <c r="Q36" s="1012">
        <f>'GPC Data'!Q251</f>
        <v>0</v>
      </c>
      <c r="R36" s="1013">
        <f>'GPC Data'!R251</f>
        <v>0</v>
      </c>
      <c r="S36" s="1011">
        <f>'GPC Data'!S251</f>
        <v>0</v>
      </c>
      <c r="T36" s="1014">
        <f>'GPC Data'!T251</f>
        <v>0</v>
      </c>
      <c r="U36" s="1011">
        <f>'GPC Data'!U251</f>
        <v>0</v>
      </c>
      <c r="V36" s="1014">
        <f>'GPC Data'!V251</f>
        <v>0</v>
      </c>
      <c r="W36" s="1015">
        <f>'GPC Data'!W251</f>
        <v>0</v>
      </c>
      <c r="X36" s="1016">
        <f>'GPC Data'!X251</f>
        <v>0</v>
      </c>
      <c r="Y36" s="1016">
        <f>'GPC Data'!Y251</f>
        <v>0</v>
      </c>
      <c r="Z36" s="1016">
        <f>'GPC Data'!Z251</f>
        <v>0</v>
      </c>
      <c r="AA36" s="1013">
        <f>'GPC Data'!AA251</f>
        <v>0</v>
      </c>
      <c r="AB36" s="1013">
        <f>'GPC Data'!AB251</f>
        <v>0</v>
      </c>
      <c r="AC36" s="1013">
        <f>'GPC Data'!AC251</f>
        <v>0</v>
      </c>
      <c r="AD36" s="1013">
        <f>'GPC Data'!AD251</f>
        <v>0</v>
      </c>
      <c r="AE36" s="1017">
        <f>'GPC Data'!AE251</f>
        <v>0</v>
      </c>
      <c r="AF36" s="1013">
        <f>'GPC Data'!AF251</f>
        <v>0</v>
      </c>
      <c r="AG36" s="1013">
        <f>'GPC Data'!AG251</f>
        <v>0</v>
      </c>
      <c r="AH36" s="1017">
        <f>'GPC Data'!AH251</f>
        <v>0</v>
      </c>
      <c r="AI36" s="1013">
        <f>'GPC Data'!AI251</f>
        <v>0</v>
      </c>
      <c r="AJ36" s="1013">
        <f>'GPC Data'!AJ251</f>
        <v>0</v>
      </c>
      <c r="AK36" s="1017">
        <f>'GPC Data'!AK251</f>
        <v>0</v>
      </c>
      <c r="AL36" s="1013">
        <f>'GPC Data'!AL251</f>
        <v>0</v>
      </c>
      <c r="AM36" s="1013">
        <f>'GPC Data'!AM251</f>
        <v>0</v>
      </c>
      <c r="AN36" s="1017">
        <f>'GPC Data'!AN251</f>
        <v>0</v>
      </c>
      <c r="AO36" s="1013">
        <f>'GPC Data'!AO251</f>
        <v>0</v>
      </c>
      <c r="AP36" s="1013">
        <f>'GPC Data'!AP251</f>
        <v>0</v>
      </c>
      <c r="AS36" s="443" t="s">
        <v>106</v>
      </c>
    </row>
    <row r="37" spans="2:45" ht="12" thickBot="1">
      <c r="B37" s="1018">
        <f t="shared" si="0"/>
        <v>27</v>
      </c>
      <c r="C37" s="1006" t="str">
        <f>'GPC Data'!E48</f>
        <v>Comp 27</v>
      </c>
      <c r="D37" s="1007">
        <f>'GPC Data'!D48</f>
        <v>0</v>
      </c>
      <c r="E37" s="1008" t="e">
        <f>Multiples!#REF!</f>
        <v>#REF!</v>
      </c>
      <c r="F37" s="1009">
        <f>'GPC Data'!F252</f>
        <v>0</v>
      </c>
      <c r="G37" s="1010">
        <f>'GPC Data'!G252</f>
        <v>0</v>
      </c>
      <c r="H37" s="1009">
        <f>'GPC Data'!H252</f>
        <v>0</v>
      </c>
      <c r="I37" s="1010">
        <f>'GPC Data'!I252</f>
        <v>0</v>
      </c>
      <c r="J37" s="1011">
        <f>'GPC Data'!J252</f>
        <v>0</v>
      </c>
      <c r="K37" s="1011">
        <f>'GPC Data'!K252</f>
        <v>0</v>
      </c>
      <c r="L37" s="1011">
        <f>'GPC Data'!L252</f>
        <v>0</v>
      </c>
      <c r="M37" s="1011">
        <f>'GPC Data'!M252</f>
        <v>0</v>
      </c>
      <c r="N37" s="1010">
        <f>'GPC Data'!N252</f>
        <v>0</v>
      </c>
      <c r="O37" s="1009">
        <f>'GPC Data'!O252</f>
        <v>0</v>
      </c>
      <c r="P37" s="1010">
        <f>'GPC Data'!P252</f>
        <v>0</v>
      </c>
      <c r="Q37" s="1012">
        <f>'GPC Data'!Q252</f>
        <v>0</v>
      </c>
      <c r="R37" s="1013">
        <f>'GPC Data'!R252</f>
        <v>0</v>
      </c>
      <c r="S37" s="1011">
        <f>'GPC Data'!S252</f>
        <v>0</v>
      </c>
      <c r="T37" s="1014">
        <f>'GPC Data'!T252</f>
        <v>0</v>
      </c>
      <c r="U37" s="1011">
        <f>'GPC Data'!U252</f>
        <v>0</v>
      </c>
      <c r="V37" s="1014">
        <f>'GPC Data'!V252</f>
        <v>0</v>
      </c>
      <c r="W37" s="1015">
        <f>'GPC Data'!W252</f>
        <v>0</v>
      </c>
      <c r="X37" s="1016">
        <f>'GPC Data'!X252</f>
        <v>0</v>
      </c>
      <c r="Y37" s="1016">
        <f>'GPC Data'!Y252</f>
        <v>0</v>
      </c>
      <c r="Z37" s="1016">
        <f>'GPC Data'!Z252</f>
        <v>0</v>
      </c>
      <c r="AA37" s="1013">
        <f>'GPC Data'!AA252</f>
        <v>0</v>
      </c>
      <c r="AB37" s="1013">
        <f>'GPC Data'!AB252</f>
        <v>0</v>
      </c>
      <c r="AC37" s="1013">
        <f>'GPC Data'!AC252</f>
        <v>0</v>
      </c>
      <c r="AD37" s="1013">
        <f>'GPC Data'!AD252</f>
        <v>0</v>
      </c>
      <c r="AE37" s="1017">
        <f>'GPC Data'!AE252</f>
        <v>0</v>
      </c>
      <c r="AF37" s="1013">
        <f>'GPC Data'!AF252</f>
        <v>0</v>
      </c>
      <c r="AG37" s="1013">
        <f>'GPC Data'!AG252</f>
        <v>0</v>
      </c>
      <c r="AH37" s="1017">
        <f>'GPC Data'!AH252</f>
        <v>0</v>
      </c>
      <c r="AI37" s="1013">
        <f>'GPC Data'!AI252</f>
        <v>0</v>
      </c>
      <c r="AJ37" s="1013">
        <f>'GPC Data'!AJ252</f>
        <v>0</v>
      </c>
      <c r="AK37" s="1017">
        <f>'GPC Data'!AK252</f>
        <v>0</v>
      </c>
      <c r="AL37" s="1013">
        <f>'GPC Data'!AL252</f>
        <v>0</v>
      </c>
      <c r="AM37" s="1013">
        <f>'GPC Data'!AM252</f>
        <v>0</v>
      </c>
      <c r="AN37" s="1017">
        <f>'GPC Data'!AN252</f>
        <v>0</v>
      </c>
      <c r="AO37" s="1013">
        <f>'GPC Data'!AO252</f>
        <v>0</v>
      </c>
      <c r="AP37" s="1013">
        <f>'GPC Data'!AP252</f>
        <v>0</v>
      </c>
      <c r="AS37" s="443" t="s">
        <v>106</v>
      </c>
    </row>
    <row r="38" spans="2:45" ht="12" thickBot="1">
      <c r="B38" s="1018">
        <f t="shared" si="0"/>
        <v>28</v>
      </c>
      <c r="C38" s="1006" t="str">
        <f>'GPC Data'!E49</f>
        <v>Comp 28</v>
      </c>
      <c r="D38" s="1007">
        <f>'GPC Data'!D49</f>
        <v>0</v>
      </c>
      <c r="E38" s="1008" t="e">
        <f>Multiples!#REF!</f>
        <v>#REF!</v>
      </c>
      <c r="F38" s="1009">
        <f>'GPC Data'!F253</f>
        <v>0</v>
      </c>
      <c r="G38" s="1010">
        <f>'GPC Data'!G253</f>
        <v>0</v>
      </c>
      <c r="H38" s="1009">
        <f>'GPC Data'!H253</f>
        <v>0</v>
      </c>
      <c r="I38" s="1010">
        <f>'GPC Data'!I253</f>
        <v>0</v>
      </c>
      <c r="J38" s="1011">
        <f>'GPC Data'!J253</f>
        <v>0</v>
      </c>
      <c r="K38" s="1011">
        <f>'GPC Data'!K253</f>
        <v>0</v>
      </c>
      <c r="L38" s="1011">
        <f>'GPC Data'!L253</f>
        <v>0</v>
      </c>
      <c r="M38" s="1011">
        <f>'GPC Data'!M253</f>
        <v>0</v>
      </c>
      <c r="N38" s="1010">
        <f>'GPC Data'!N253</f>
        <v>0</v>
      </c>
      <c r="O38" s="1009">
        <f>'GPC Data'!O253</f>
        <v>0</v>
      </c>
      <c r="P38" s="1010">
        <f>'GPC Data'!P253</f>
        <v>0</v>
      </c>
      <c r="Q38" s="1012">
        <f>'GPC Data'!Q253</f>
        <v>0</v>
      </c>
      <c r="R38" s="1013">
        <f>'GPC Data'!R253</f>
        <v>0</v>
      </c>
      <c r="S38" s="1011">
        <f>'GPC Data'!S253</f>
        <v>0</v>
      </c>
      <c r="T38" s="1014">
        <f>'GPC Data'!T253</f>
        <v>0</v>
      </c>
      <c r="U38" s="1011">
        <f>'GPC Data'!U253</f>
        <v>0</v>
      </c>
      <c r="V38" s="1014">
        <f>'GPC Data'!V253</f>
        <v>0</v>
      </c>
      <c r="W38" s="1015">
        <f>'GPC Data'!W253</f>
        <v>0</v>
      </c>
      <c r="X38" s="1016">
        <f>'GPC Data'!X253</f>
        <v>0</v>
      </c>
      <c r="Y38" s="1016">
        <f>'GPC Data'!Y253</f>
        <v>0</v>
      </c>
      <c r="Z38" s="1016">
        <f>'GPC Data'!Z253</f>
        <v>0</v>
      </c>
      <c r="AA38" s="1013">
        <f>'GPC Data'!AA253</f>
        <v>0</v>
      </c>
      <c r="AB38" s="1013">
        <f>'GPC Data'!AB253</f>
        <v>0</v>
      </c>
      <c r="AC38" s="1013">
        <f>'GPC Data'!AC253</f>
        <v>0</v>
      </c>
      <c r="AD38" s="1013">
        <f>'GPC Data'!AD253</f>
        <v>0</v>
      </c>
      <c r="AE38" s="1017">
        <f>'GPC Data'!AE253</f>
        <v>0</v>
      </c>
      <c r="AF38" s="1013">
        <f>'GPC Data'!AF253</f>
        <v>0</v>
      </c>
      <c r="AG38" s="1013">
        <f>'GPC Data'!AG253</f>
        <v>0</v>
      </c>
      <c r="AH38" s="1017">
        <f>'GPC Data'!AH253</f>
        <v>0</v>
      </c>
      <c r="AI38" s="1013">
        <f>'GPC Data'!AI253</f>
        <v>0</v>
      </c>
      <c r="AJ38" s="1013">
        <f>'GPC Data'!AJ253</f>
        <v>0</v>
      </c>
      <c r="AK38" s="1017">
        <f>'GPC Data'!AK253</f>
        <v>0</v>
      </c>
      <c r="AL38" s="1013">
        <f>'GPC Data'!AL253</f>
        <v>0</v>
      </c>
      <c r="AM38" s="1013">
        <f>'GPC Data'!AM253</f>
        <v>0</v>
      </c>
      <c r="AN38" s="1017">
        <f>'GPC Data'!AN253</f>
        <v>0</v>
      </c>
      <c r="AO38" s="1013">
        <f>'GPC Data'!AO253</f>
        <v>0</v>
      </c>
      <c r="AP38" s="1013">
        <f>'GPC Data'!AP253</f>
        <v>0</v>
      </c>
      <c r="AS38" s="443" t="s">
        <v>106</v>
      </c>
    </row>
    <row r="39" spans="2:45" ht="12" thickBot="1">
      <c r="B39" s="1018">
        <f t="shared" si="0"/>
        <v>29</v>
      </c>
      <c r="C39" s="1006" t="str">
        <f>'GPC Data'!E50</f>
        <v>Comp 29</v>
      </c>
      <c r="D39" s="1007">
        <f>'GPC Data'!D50</f>
        <v>0</v>
      </c>
      <c r="E39" s="1008" t="e">
        <f>Multiples!#REF!</f>
        <v>#REF!</v>
      </c>
      <c r="F39" s="1009">
        <f>'GPC Data'!F254</f>
        <v>0</v>
      </c>
      <c r="G39" s="1010">
        <f>'GPC Data'!G254</f>
        <v>0</v>
      </c>
      <c r="H39" s="1009">
        <f>'GPC Data'!H254</f>
        <v>0</v>
      </c>
      <c r="I39" s="1010">
        <f>'GPC Data'!I254</f>
        <v>0</v>
      </c>
      <c r="J39" s="1011">
        <f>'GPC Data'!J254</f>
        <v>0</v>
      </c>
      <c r="K39" s="1011">
        <f>'GPC Data'!K254</f>
        <v>0</v>
      </c>
      <c r="L39" s="1011">
        <f>'GPC Data'!L254</f>
        <v>0</v>
      </c>
      <c r="M39" s="1011">
        <f>'GPC Data'!M254</f>
        <v>0</v>
      </c>
      <c r="N39" s="1010">
        <f>'GPC Data'!N254</f>
        <v>0</v>
      </c>
      <c r="O39" s="1009">
        <f>'GPC Data'!O254</f>
        <v>0</v>
      </c>
      <c r="P39" s="1010">
        <f>'GPC Data'!P254</f>
        <v>0</v>
      </c>
      <c r="Q39" s="1012">
        <f>'GPC Data'!Q254</f>
        <v>0</v>
      </c>
      <c r="R39" s="1013">
        <f>'GPC Data'!R254</f>
        <v>0</v>
      </c>
      <c r="S39" s="1011">
        <f>'GPC Data'!S254</f>
        <v>0</v>
      </c>
      <c r="T39" s="1014">
        <f>'GPC Data'!T254</f>
        <v>0</v>
      </c>
      <c r="U39" s="1011">
        <f>'GPC Data'!U254</f>
        <v>0</v>
      </c>
      <c r="V39" s="1014">
        <f>'GPC Data'!V254</f>
        <v>0</v>
      </c>
      <c r="W39" s="1015">
        <f>'GPC Data'!W254</f>
        <v>0</v>
      </c>
      <c r="X39" s="1016">
        <f>'GPC Data'!X254</f>
        <v>0</v>
      </c>
      <c r="Y39" s="1016">
        <f>'GPC Data'!Y254</f>
        <v>0</v>
      </c>
      <c r="Z39" s="1016">
        <f>'GPC Data'!Z254</f>
        <v>0</v>
      </c>
      <c r="AA39" s="1013">
        <f>'GPC Data'!AA254</f>
        <v>0</v>
      </c>
      <c r="AB39" s="1013">
        <f>'GPC Data'!AB254</f>
        <v>0</v>
      </c>
      <c r="AC39" s="1013">
        <f>'GPC Data'!AC254</f>
        <v>0</v>
      </c>
      <c r="AD39" s="1013">
        <f>'GPC Data'!AD254</f>
        <v>0</v>
      </c>
      <c r="AE39" s="1017">
        <f>'GPC Data'!AE254</f>
        <v>0</v>
      </c>
      <c r="AF39" s="1013">
        <f>'GPC Data'!AF254</f>
        <v>0</v>
      </c>
      <c r="AG39" s="1013">
        <f>'GPC Data'!AG254</f>
        <v>0</v>
      </c>
      <c r="AH39" s="1017">
        <f>'GPC Data'!AH254</f>
        <v>0</v>
      </c>
      <c r="AI39" s="1013">
        <f>'GPC Data'!AI254</f>
        <v>0</v>
      </c>
      <c r="AJ39" s="1013">
        <f>'GPC Data'!AJ254</f>
        <v>0</v>
      </c>
      <c r="AK39" s="1017">
        <f>'GPC Data'!AK254</f>
        <v>0</v>
      </c>
      <c r="AL39" s="1013">
        <f>'GPC Data'!AL254</f>
        <v>0</v>
      </c>
      <c r="AM39" s="1013">
        <f>'GPC Data'!AM254</f>
        <v>0</v>
      </c>
      <c r="AN39" s="1017">
        <f>'GPC Data'!AN254</f>
        <v>0</v>
      </c>
      <c r="AO39" s="1013">
        <f>'GPC Data'!AO254</f>
        <v>0</v>
      </c>
      <c r="AP39" s="1013">
        <f>'GPC Data'!AP254</f>
        <v>0</v>
      </c>
      <c r="AS39" s="443" t="s">
        <v>106</v>
      </c>
    </row>
    <row r="40" spans="2:45" ht="12" thickBot="1">
      <c r="B40" s="1018">
        <f>B19+1</f>
        <v>10</v>
      </c>
      <c r="C40" s="1006" t="str">
        <f>'GPC Data'!E51</f>
        <v>Comp 30</v>
      </c>
      <c r="D40" s="1007">
        <f>'GPC Data'!D51</f>
        <v>0</v>
      </c>
      <c r="E40" s="1008" t="e">
        <f>Multiples!#REF!</f>
        <v>#REF!</v>
      </c>
      <c r="F40" s="1009">
        <f>'GPC Data'!F255</f>
        <v>0</v>
      </c>
      <c r="G40" s="1010">
        <f>'GPC Data'!G255</f>
        <v>0</v>
      </c>
      <c r="H40" s="1009">
        <f>'GPC Data'!H255</f>
        <v>0</v>
      </c>
      <c r="I40" s="1010">
        <f>'GPC Data'!I255</f>
        <v>0</v>
      </c>
      <c r="J40" s="1011">
        <f>'GPC Data'!J255</f>
        <v>0</v>
      </c>
      <c r="K40" s="1011">
        <f>'GPC Data'!K255</f>
        <v>0</v>
      </c>
      <c r="L40" s="1011">
        <f>'GPC Data'!L255</f>
        <v>0</v>
      </c>
      <c r="M40" s="1011">
        <f>'GPC Data'!M255</f>
        <v>0</v>
      </c>
      <c r="N40" s="1010">
        <f>'GPC Data'!N255</f>
        <v>0</v>
      </c>
      <c r="O40" s="1009">
        <f>'GPC Data'!O255</f>
        <v>0</v>
      </c>
      <c r="P40" s="1010">
        <f>'GPC Data'!P255</f>
        <v>0</v>
      </c>
      <c r="Q40" s="1012">
        <f>'GPC Data'!Q255</f>
        <v>0</v>
      </c>
      <c r="R40" s="1013">
        <f>'GPC Data'!R255</f>
        <v>0</v>
      </c>
      <c r="S40" s="1011">
        <f>'GPC Data'!S255</f>
        <v>0</v>
      </c>
      <c r="T40" s="1014">
        <f>'GPC Data'!T255</f>
        <v>0</v>
      </c>
      <c r="U40" s="1011">
        <f>'GPC Data'!U255</f>
        <v>0</v>
      </c>
      <c r="V40" s="1014">
        <f>'GPC Data'!V255</f>
        <v>0</v>
      </c>
      <c r="W40" s="1015">
        <f>'GPC Data'!W255</f>
        <v>0</v>
      </c>
      <c r="X40" s="1016">
        <f>'GPC Data'!X255</f>
        <v>0</v>
      </c>
      <c r="Y40" s="1016">
        <f>'GPC Data'!Y255</f>
        <v>0</v>
      </c>
      <c r="Z40" s="1016">
        <f>'GPC Data'!Z255</f>
        <v>0</v>
      </c>
      <c r="AA40" s="1013">
        <f>'GPC Data'!AA255</f>
        <v>0</v>
      </c>
      <c r="AB40" s="1013">
        <f>'GPC Data'!AB255</f>
        <v>0</v>
      </c>
      <c r="AC40" s="1013">
        <f>'GPC Data'!AC255</f>
        <v>0</v>
      </c>
      <c r="AD40" s="1013">
        <f>'GPC Data'!AD255</f>
        <v>0</v>
      </c>
      <c r="AE40" s="1017">
        <f>'GPC Data'!AE255</f>
        <v>0</v>
      </c>
      <c r="AF40" s="1013">
        <f>'GPC Data'!AF255</f>
        <v>0</v>
      </c>
      <c r="AG40" s="1013">
        <f>'GPC Data'!AG255</f>
        <v>0</v>
      </c>
      <c r="AH40" s="1017">
        <f>'GPC Data'!AH255</f>
        <v>0</v>
      </c>
      <c r="AI40" s="1013">
        <f>'GPC Data'!AI255</f>
        <v>0</v>
      </c>
      <c r="AJ40" s="1013">
        <f>'GPC Data'!AJ255</f>
        <v>0</v>
      </c>
      <c r="AK40" s="1017">
        <f>'GPC Data'!AK255</f>
        <v>0</v>
      </c>
      <c r="AL40" s="1013">
        <f>'GPC Data'!AL255</f>
        <v>0</v>
      </c>
      <c r="AM40" s="1013">
        <f>'GPC Data'!AM255</f>
        <v>0</v>
      </c>
      <c r="AN40" s="1017">
        <f>'GPC Data'!AN255</f>
        <v>0</v>
      </c>
      <c r="AO40" s="1013">
        <f>'GPC Data'!AO255</f>
        <v>0</v>
      </c>
      <c r="AP40" s="1013">
        <f>'GPC Data'!AP255</f>
        <v>0</v>
      </c>
      <c r="AS40" s="443" t="s">
        <v>106</v>
      </c>
    </row>
    <row r="41" spans="2:45">
      <c r="C41" s="910" t="str">
        <f>"As of "&amp;TEXT(valuation.date,"d mmmm yyy")&amp;"."&amp;" Historical information for the selected guideline public companies provided  by market data providers."</f>
        <v>As of 30 September 2024. Historical information for the selected guideline public companies provided  by market data providers.</v>
      </c>
      <c r="D41" s="1019"/>
      <c r="E41" s="1008"/>
      <c r="F41" s="1020"/>
      <c r="G41" s="1020"/>
      <c r="H41" s="1020"/>
      <c r="I41" s="1020"/>
      <c r="J41" s="1020"/>
      <c r="K41" s="1020"/>
      <c r="L41" s="1020"/>
      <c r="M41" s="1020"/>
      <c r="N41" s="1020"/>
      <c r="O41" s="1020"/>
      <c r="P41" s="1020"/>
      <c r="Q41" s="1021"/>
      <c r="R41" s="1022"/>
      <c r="S41" s="1020"/>
      <c r="T41" s="1021"/>
      <c r="U41" s="1020"/>
      <c r="V41" s="1021"/>
      <c r="W41" s="1022"/>
      <c r="X41" s="1022"/>
      <c r="Y41" s="1022"/>
      <c r="Z41" s="1022"/>
      <c r="AA41" s="1022"/>
      <c r="AB41" s="1022"/>
      <c r="AC41" s="1022"/>
      <c r="AD41" s="1022"/>
      <c r="AE41" s="1022"/>
      <c r="AF41" s="1022"/>
      <c r="AG41" s="1022"/>
      <c r="AH41" s="1022"/>
      <c r="AI41" s="1022"/>
      <c r="AJ41" s="1022"/>
      <c r="AK41" s="1022"/>
      <c r="AL41" s="1022"/>
      <c r="AM41" s="1022"/>
      <c r="AN41" s="1022"/>
      <c r="AO41" s="1022"/>
      <c r="AP41" s="1022"/>
    </row>
    <row r="42" spans="2:45">
      <c r="C42" s="910"/>
      <c r="D42" s="1019"/>
      <c r="E42" s="1008"/>
      <c r="F42" s="1020"/>
      <c r="G42" s="1020"/>
      <c r="H42" s="1020"/>
      <c r="I42" s="1020"/>
      <c r="J42" s="1020"/>
      <c r="K42" s="1020"/>
      <c r="L42" s="1020"/>
      <c r="M42" s="1020"/>
      <c r="N42" s="1020"/>
      <c r="O42" s="1020"/>
      <c r="P42" s="1020"/>
      <c r="Q42" s="1021"/>
      <c r="R42" s="1022"/>
      <c r="S42" s="1020"/>
      <c r="T42" s="1021"/>
      <c r="U42" s="1020"/>
      <c r="V42" s="1021"/>
      <c r="W42" s="1022"/>
      <c r="X42" s="1022"/>
      <c r="Y42" s="1022"/>
      <c r="Z42" s="1022"/>
      <c r="AA42" s="1022"/>
      <c r="AB42" s="1022"/>
      <c r="AC42" s="1022"/>
      <c r="AD42" s="1022"/>
      <c r="AE42" s="1022"/>
      <c r="AF42" s="1022"/>
      <c r="AG42" s="1022"/>
      <c r="AH42" s="1022"/>
      <c r="AI42" s="1022"/>
      <c r="AJ42" s="1022"/>
      <c r="AK42" s="1022"/>
      <c r="AL42" s="1022"/>
      <c r="AM42" s="1022"/>
      <c r="AN42" s="1022"/>
      <c r="AO42" s="1022"/>
      <c r="AP42" s="1022"/>
    </row>
    <row r="43" spans="2:45">
      <c r="B43" s="257"/>
      <c r="E43" s="786" t="s">
        <v>209</v>
      </c>
      <c r="F43" s="1023">
        <f t="shared" ref="F43:AP43" si="1">IFERROR(MAX(F11:F40),"")</f>
        <v>0</v>
      </c>
      <c r="G43" s="1023">
        <f t="shared" si="1"/>
        <v>0</v>
      </c>
      <c r="H43" s="1023">
        <f t="shared" si="1"/>
        <v>0</v>
      </c>
      <c r="I43" s="1023">
        <f t="shared" si="1"/>
        <v>0</v>
      </c>
      <c r="J43" s="1023">
        <f t="shared" si="1"/>
        <v>0</v>
      </c>
      <c r="K43" s="1023">
        <f t="shared" si="1"/>
        <v>0</v>
      </c>
      <c r="L43" s="1023">
        <f t="shared" si="1"/>
        <v>0</v>
      </c>
      <c r="M43" s="1023">
        <f t="shared" si="1"/>
        <v>0</v>
      </c>
      <c r="N43" s="1023">
        <f t="shared" si="1"/>
        <v>0</v>
      </c>
      <c r="O43" s="1023">
        <f t="shared" si="1"/>
        <v>0</v>
      </c>
      <c r="P43" s="1023">
        <f t="shared" si="1"/>
        <v>0</v>
      </c>
      <c r="Q43" s="1023">
        <f t="shared" si="1"/>
        <v>0</v>
      </c>
      <c r="R43" s="913">
        <f t="shared" si="1"/>
        <v>0</v>
      </c>
      <c r="S43" s="1023">
        <f t="shared" si="1"/>
        <v>0</v>
      </c>
      <c r="T43" s="1023">
        <f t="shared" si="1"/>
        <v>0</v>
      </c>
      <c r="U43" s="1023">
        <f t="shared" si="1"/>
        <v>0</v>
      </c>
      <c r="V43" s="1023">
        <f t="shared" si="1"/>
        <v>0</v>
      </c>
      <c r="W43" s="913">
        <f t="shared" si="1"/>
        <v>0</v>
      </c>
      <c r="X43" s="913">
        <f t="shared" si="1"/>
        <v>0</v>
      </c>
      <c r="Y43" s="913">
        <f t="shared" si="1"/>
        <v>0</v>
      </c>
      <c r="Z43" s="913">
        <f t="shared" si="1"/>
        <v>0</v>
      </c>
      <c r="AA43" s="913">
        <f t="shared" si="1"/>
        <v>0</v>
      </c>
      <c r="AB43" s="913">
        <f t="shared" si="1"/>
        <v>0</v>
      </c>
      <c r="AC43" s="913">
        <f t="shared" si="1"/>
        <v>0</v>
      </c>
      <c r="AD43" s="913">
        <f t="shared" si="1"/>
        <v>0</v>
      </c>
      <c r="AE43" s="913">
        <f t="shared" si="1"/>
        <v>0</v>
      </c>
      <c r="AF43" s="913">
        <f t="shared" si="1"/>
        <v>0</v>
      </c>
      <c r="AG43" s="913">
        <f t="shared" si="1"/>
        <v>0</v>
      </c>
      <c r="AH43" s="913">
        <f t="shared" si="1"/>
        <v>0</v>
      </c>
      <c r="AI43" s="913">
        <f t="shared" si="1"/>
        <v>0</v>
      </c>
      <c r="AJ43" s="913">
        <f t="shared" si="1"/>
        <v>0</v>
      </c>
      <c r="AK43" s="913">
        <f t="shared" si="1"/>
        <v>0</v>
      </c>
      <c r="AL43" s="913">
        <f t="shared" si="1"/>
        <v>0</v>
      </c>
      <c r="AM43" s="913">
        <f t="shared" si="1"/>
        <v>0</v>
      </c>
      <c r="AN43" s="913">
        <f t="shared" si="1"/>
        <v>0</v>
      </c>
      <c r="AO43" s="913">
        <f t="shared" si="1"/>
        <v>0</v>
      </c>
      <c r="AP43" s="913">
        <f t="shared" si="1"/>
        <v>0</v>
      </c>
    </row>
    <row r="44" spans="2:45">
      <c r="B44" s="257"/>
      <c r="E44" s="792" t="s">
        <v>1419</v>
      </c>
      <c r="F44" s="1024">
        <f t="shared" ref="F44:AP44" si="2">IFERROR(QUARTILE(F11:F40,3),"")</f>
        <v>0</v>
      </c>
      <c r="G44" s="1024">
        <f t="shared" si="2"/>
        <v>0</v>
      </c>
      <c r="H44" s="1024">
        <f t="shared" si="2"/>
        <v>0</v>
      </c>
      <c r="I44" s="1024">
        <f t="shared" si="2"/>
        <v>0</v>
      </c>
      <c r="J44" s="1024">
        <f t="shared" si="2"/>
        <v>0</v>
      </c>
      <c r="K44" s="1024">
        <f t="shared" si="2"/>
        <v>0</v>
      </c>
      <c r="L44" s="1024">
        <f t="shared" si="2"/>
        <v>0</v>
      </c>
      <c r="M44" s="1024">
        <f t="shared" si="2"/>
        <v>0</v>
      </c>
      <c r="N44" s="1024">
        <f t="shared" si="2"/>
        <v>0</v>
      </c>
      <c r="O44" s="1024">
        <f t="shared" si="2"/>
        <v>0</v>
      </c>
      <c r="P44" s="1024">
        <f t="shared" si="2"/>
        <v>0</v>
      </c>
      <c r="Q44" s="1024">
        <f t="shared" si="2"/>
        <v>0</v>
      </c>
      <c r="R44" s="915">
        <f t="shared" si="2"/>
        <v>0</v>
      </c>
      <c r="S44" s="1024">
        <f t="shared" si="2"/>
        <v>0</v>
      </c>
      <c r="T44" s="1024">
        <f t="shared" si="2"/>
        <v>0</v>
      </c>
      <c r="U44" s="1024">
        <f t="shared" si="2"/>
        <v>0</v>
      </c>
      <c r="V44" s="1024">
        <f t="shared" si="2"/>
        <v>0</v>
      </c>
      <c r="W44" s="915">
        <f t="shared" si="2"/>
        <v>0</v>
      </c>
      <c r="X44" s="915">
        <f t="shared" si="2"/>
        <v>0</v>
      </c>
      <c r="Y44" s="915">
        <f t="shared" si="2"/>
        <v>0</v>
      </c>
      <c r="Z44" s="915">
        <f t="shared" si="2"/>
        <v>0</v>
      </c>
      <c r="AA44" s="915">
        <f t="shared" si="2"/>
        <v>0</v>
      </c>
      <c r="AB44" s="915">
        <f t="shared" si="2"/>
        <v>0</v>
      </c>
      <c r="AC44" s="915">
        <f t="shared" si="2"/>
        <v>0</v>
      </c>
      <c r="AD44" s="915">
        <f t="shared" si="2"/>
        <v>0</v>
      </c>
      <c r="AE44" s="915">
        <f t="shared" si="2"/>
        <v>0</v>
      </c>
      <c r="AF44" s="915">
        <f t="shared" si="2"/>
        <v>0</v>
      </c>
      <c r="AG44" s="915">
        <f t="shared" si="2"/>
        <v>0</v>
      </c>
      <c r="AH44" s="915">
        <f t="shared" si="2"/>
        <v>0</v>
      </c>
      <c r="AI44" s="915">
        <f t="shared" si="2"/>
        <v>0</v>
      </c>
      <c r="AJ44" s="915">
        <f t="shared" si="2"/>
        <v>0</v>
      </c>
      <c r="AK44" s="915">
        <f t="shared" si="2"/>
        <v>0</v>
      </c>
      <c r="AL44" s="915">
        <f t="shared" si="2"/>
        <v>0</v>
      </c>
      <c r="AM44" s="915">
        <f t="shared" si="2"/>
        <v>0</v>
      </c>
      <c r="AN44" s="915">
        <f t="shared" si="2"/>
        <v>0</v>
      </c>
      <c r="AO44" s="915">
        <f t="shared" si="2"/>
        <v>0</v>
      </c>
      <c r="AP44" s="915">
        <f t="shared" si="2"/>
        <v>0</v>
      </c>
    </row>
    <row r="45" spans="2:45">
      <c r="B45" s="257"/>
      <c r="E45" s="792" t="s">
        <v>1369</v>
      </c>
      <c r="F45" s="1024">
        <f t="shared" ref="F45:AP45" si="3">IFERROR(AVERAGE(F11:F40),"")</f>
        <v>0</v>
      </c>
      <c r="G45" s="1024">
        <f t="shared" si="3"/>
        <v>0</v>
      </c>
      <c r="H45" s="1024">
        <f t="shared" si="3"/>
        <v>0</v>
      </c>
      <c r="I45" s="1024">
        <f>IFERROR(AVERAGE(I11:I40),"")</f>
        <v>0</v>
      </c>
      <c r="J45" s="1024">
        <f t="shared" si="3"/>
        <v>0</v>
      </c>
      <c r="K45" s="1024">
        <f t="shared" si="3"/>
        <v>0</v>
      </c>
      <c r="L45" s="1024">
        <f t="shared" si="3"/>
        <v>0</v>
      </c>
      <c r="M45" s="1024">
        <f t="shared" si="3"/>
        <v>0</v>
      </c>
      <c r="N45" s="1024">
        <f t="shared" si="3"/>
        <v>0</v>
      </c>
      <c r="O45" s="1024">
        <f t="shared" si="3"/>
        <v>0</v>
      </c>
      <c r="P45" s="1024">
        <f t="shared" si="3"/>
        <v>0</v>
      </c>
      <c r="Q45" s="1024">
        <f t="shared" si="3"/>
        <v>0</v>
      </c>
      <c r="R45" s="915">
        <f t="shared" si="3"/>
        <v>0</v>
      </c>
      <c r="S45" s="1024">
        <f t="shared" si="3"/>
        <v>0</v>
      </c>
      <c r="T45" s="1024">
        <f t="shared" si="3"/>
        <v>0</v>
      </c>
      <c r="U45" s="1024">
        <f t="shared" si="3"/>
        <v>0</v>
      </c>
      <c r="V45" s="1024">
        <f t="shared" si="3"/>
        <v>0</v>
      </c>
      <c r="W45" s="915">
        <f t="shared" si="3"/>
        <v>0</v>
      </c>
      <c r="X45" s="915">
        <f t="shared" si="3"/>
        <v>0</v>
      </c>
      <c r="Y45" s="915">
        <f t="shared" si="3"/>
        <v>0</v>
      </c>
      <c r="Z45" s="915">
        <f t="shared" si="3"/>
        <v>0</v>
      </c>
      <c r="AA45" s="915">
        <f t="shared" si="3"/>
        <v>0</v>
      </c>
      <c r="AB45" s="915">
        <f t="shared" si="3"/>
        <v>0</v>
      </c>
      <c r="AC45" s="915">
        <f t="shared" si="3"/>
        <v>0</v>
      </c>
      <c r="AD45" s="915">
        <f t="shared" si="3"/>
        <v>0</v>
      </c>
      <c r="AE45" s="915">
        <f t="shared" si="3"/>
        <v>0</v>
      </c>
      <c r="AF45" s="915">
        <f t="shared" si="3"/>
        <v>0</v>
      </c>
      <c r="AG45" s="915">
        <f t="shared" si="3"/>
        <v>0</v>
      </c>
      <c r="AH45" s="915">
        <f t="shared" si="3"/>
        <v>0</v>
      </c>
      <c r="AI45" s="915">
        <f t="shared" si="3"/>
        <v>0</v>
      </c>
      <c r="AJ45" s="915">
        <f t="shared" si="3"/>
        <v>0</v>
      </c>
      <c r="AK45" s="915">
        <f t="shared" si="3"/>
        <v>0</v>
      </c>
      <c r="AL45" s="915">
        <f t="shared" si="3"/>
        <v>0</v>
      </c>
      <c r="AM45" s="915">
        <f t="shared" si="3"/>
        <v>0</v>
      </c>
      <c r="AN45" s="915">
        <f t="shared" si="3"/>
        <v>0</v>
      </c>
      <c r="AO45" s="915">
        <f t="shared" si="3"/>
        <v>0</v>
      </c>
      <c r="AP45" s="915">
        <f t="shared" si="3"/>
        <v>0</v>
      </c>
    </row>
    <row r="46" spans="2:45">
      <c r="B46" s="257"/>
      <c r="E46" s="798" t="s">
        <v>1370</v>
      </c>
      <c r="F46" s="1025">
        <f t="shared" ref="F46:AP46" si="4">IFERROR(MEDIAN(F11:F40),"")</f>
        <v>0</v>
      </c>
      <c r="G46" s="1025">
        <f t="shared" si="4"/>
        <v>0</v>
      </c>
      <c r="H46" s="1025">
        <f t="shared" si="4"/>
        <v>0</v>
      </c>
      <c r="I46" s="1025">
        <f t="shared" si="4"/>
        <v>0</v>
      </c>
      <c r="J46" s="1025">
        <f t="shared" si="4"/>
        <v>0</v>
      </c>
      <c r="K46" s="1025">
        <f t="shared" si="4"/>
        <v>0</v>
      </c>
      <c r="L46" s="1025">
        <f t="shared" si="4"/>
        <v>0</v>
      </c>
      <c r="M46" s="1025">
        <f t="shared" si="4"/>
        <v>0</v>
      </c>
      <c r="N46" s="1025">
        <f t="shared" si="4"/>
        <v>0</v>
      </c>
      <c r="O46" s="1025">
        <f t="shared" si="4"/>
        <v>0</v>
      </c>
      <c r="P46" s="1025">
        <f t="shared" si="4"/>
        <v>0</v>
      </c>
      <c r="Q46" s="1025">
        <f t="shared" si="4"/>
        <v>0</v>
      </c>
      <c r="R46" s="877">
        <f t="shared" si="4"/>
        <v>0</v>
      </c>
      <c r="S46" s="1025">
        <f t="shared" si="4"/>
        <v>0</v>
      </c>
      <c r="T46" s="1025">
        <f t="shared" si="4"/>
        <v>0</v>
      </c>
      <c r="U46" s="1025">
        <f t="shared" si="4"/>
        <v>0</v>
      </c>
      <c r="V46" s="1025">
        <f t="shared" si="4"/>
        <v>0</v>
      </c>
      <c r="W46" s="877">
        <f t="shared" si="4"/>
        <v>0</v>
      </c>
      <c r="X46" s="877">
        <f t="shared" si="4"/>
        <v>0</v>
      </c>
      <c r="Y46" s="877">
        <f t="shared" si="4"/>
        <v>0</v>
      </c>
      <c r="Z46" s="877">
        <f t="shared" si="4"/>
        <v>0</v>
      </c>
      <c r="AA46" s="877">
        <f t="shared" si="4"/>
        <v>0</v>
      </c>
      <c r="AB46" s="877">
        <f t="shared" si="4"/>
        <v>0</v>
      </c>
      <c r="AC46" s="877">
        <f t="shared" si="4"/>
        <v>0</v>
      </c>
      <c r="AD46" s="877">
        <f t="shared" si="4"/>
        <v>0</v>
      </c>
      <c r="AE46" s="877">
        <f t="shared" si="4"/>
        <v>0</v>
      </c>
      <c r="AF46" s="877">
        <f t="shared" si="4"/>
        <v>0</v>
      </c>
      <c r="AG46" s="877">
        <f t="shared" si="4"/>
        <v>0</v>
      </c>
      <c r="AH46" s="877">
        <f t="shared" si="4"/>
        <v>0</v>
      </c>
      <c r="AI46" s="877">
        <f t="shared" si="4"/>
        <v>0</v>
      </c>
      <c r="AJ46" s="877">
        <f t="shared" si="4"/>
        <v>0</v>
      </c>
      <c r="AK46" s="877">
        <f t="shared" si="4"/>
        <v>0</v>
      </c>
      <c r="AL46" s="877">
        <f t="shared" si="4"/>
        <v>0</v>
      </c>
      <c r="AM46" s="877">
        <f t="shared" si="4"/>
        <v>0</v>
      </c>
      <c r="AN46" s="877">
        <f t="shared" si="4"/>
        <v>0</v>
      </c>
      <c r="AO46" s="877">
        <f t="shared" si="4"/>
        <v>0</v>
      </c>
      <c r="AP46" s="877">
        <f t="shared" si="4"/>
        <v>0</v>
      </c>
    </row>
    <row r="47" spans="2:45">
      <c r="B47" s="257"/>
      <c r="E47" s="792" t="s">
        <v>1420</v>
      </c>
      <c r="F47" s="1024">
        <f t="shared" ref="F47:AP47" si="5">IFERROR(QUARTILE(F11:F40,1),"")</f>
        <v>0</v>
      </c>
      <c r="G47" s="1024">
        <f t="shared" si="5"/>
        <v>0</v>
      </c>
      <c r="H47" s="1024">
        <f t="shared" si="5"/>
        <v>0</v>
      </c>
      <c r="I47" s="1024">
        <f t="shared" si="5"/>
        <v>0</v>
      </c>
      <c r="J47" s="1024">
        <f t="shared" si="5"/>
        <v>0</v>
      </c>
      <c r="K47" s="1024">
        <f t="shared" si="5"/>
        <v>0</v>
      </c>
      <c r="L47" s="1024">
        <f t="shared" si="5"/>
        <v>0</v>
      </c>
      <c r="M47" s="1024">
        <f t="shared" si="5"/>
        <v>0</v>
      </c>
      <c r="N47" s="1024">
        <f t="shared" si="5"/>
        <v>0</v>
      </c>
      <c r="O47" s="1024">
        <f t="shared" si="5"/>
        <v>0</v>
      </c>
      <c r="P47" s="1024">
        <f t="shared" si="5"/>
        <v>0</v>
      </c>
      <c r="Q47" s="1024">
        <f t="shared" si="5"/>
        <v>0</v>
      </c>
      <c r="R47" s="915">
        <f t="shared" si="5"/>
        <v>0</v>
      </c>
      <c r="S47" s="1024">
        <f t="shared" si="5"/>
        <v>0</v>
      </c>
      <c r="T47" s="1024">
        <f t="shared" si="5"/>
        <v>0</v>
      </c>
      <c r="U47" s="1024">
        <f t="shared" si="5"/>
        <v>0</v>
      </c>
      <c r="V47" s="1024">
        <f t="shared" si="5"/>
        <v>0</v>
      </c>
      <c r="W47" s="915">
        <f t="shared" si="5"/>
        <v>0</v>
      </c>
      <c r="X47" s="915">
        <f t="shared" si="5"/>
        <v>0</v>
      </c>
      <c r="Y47" s="915">
        <f t="shared" si="5"/>
        <v>0</v>
      </c>
      <c r="Z47" s="915">
        <f t="shared" si="5"/>
        <v>0</v>
      </c>
      <c r="AA47" s="915">
        <f t="shared" si="5"/>
        <v>0</v>
      </c>
      <c r="AB47" s="915">
        <f t="shared" si="5"/>
        <v>0</v>
      </c>
      <c r="AC47" s="915">
        <f t="shared" si="5"/>
        <v>0</v>
      </c>
      <c r="AD47" s="915">
        <f t="shared" si="5"/>
        <v>0</v>
      </c>
      <c r="AE47" s="915">
        <f t="shared" si="5"/>
        <v>0</v>
      </c>
      <c r="AF47" s="915">
        <f t="shared" si="5"/>
        <v>0</v>
      </c>
      <c r="AG47" s="915">
        <f t="shared" si="5"/>
        <v>0</v>
      </c>
      <c r="AH47" s="915">
        <f t="shared" si="5"/>
        <v>0</v>
      </c>
      <c r="AI47" s="915">
        <f t="shared" si="5"/>
        <v>0</v>
      </c>
      <c r="AJ47" s="915">
        <f t="shared" si="5"/>
        <v>0</v>
      </c>
      <c r="AK47" s="915">
        <f t="shared" si="5"/>
        <v>0</v>
      </c>
      <c r="AL47" s="915">
        <f t="shared" si="5"/>
        <v>0</v>
      </c>
      <c r="AM47" s="915">
        <f t="shared" si="5"/>
        <v>0</v>
      </c>
      <c r="AN47" s="915">
        <f t="shared" si="5"/>
        <v>0</v>
      </c>
      <c r="AO47" s="915">
        <f t="shared" si="5"/>
        <v>0</v>
      </c>
      <c r="AP47" s="915">
        <f t="shared" si="5"/>
        <v>0</v>
      </c>
    </row>
    <row r="48" spans="2:45" s="1026" customFormat="1">
      <c r="C48" s="1027"/>
      <c r="E48" s="803" t="s">
        <v>208</v>
      </c>
      <c r="F48" s="1028">
        <f t="shared" ref="F48:AP48" si="6">IFERROR(MIN(F11:F40),"")</f>
        <v>0</v>
      </c>
      <c r="G48" s="1028">
        <f t="shared" si="6"/>
        <v>0</v>
      </c>
      <c r="H48" s="1028">
        <f t="shared" si="6"/>
        <v>0</v>
      </c>
      <c r="I48" s="1028">
        <f t="shared" si="6"/>
        <v>0</v>
      </c>
      <c r="J48" s="1028">
        <f t="shared" si="6"/>
        <v>0</v>
      </c>
      <c r="K48" s="1028">
        <f t="shared" si="6"/>
        <v>0</v>
      </c>
      <c r="L48" s="1028">
        <f t="shared" si="6"/>
        <v>0</v>
      </c>
      <c r="M48" s="1028">
        <f t="shared" si="6"/>
        <v>0</v>
      </c>
      <c r="N48" s="1028">
        <f t="shared" si="6"/>
        <v>0</v>
      </c>
      <c r="O48" s="1028">
        <f t="shared" si="6"/>
        <v>0</v>
      </c>
      <c r="P48" s="1028">
        <f t="shared" si="6"/>
        <v>0</v>
      </c>
      <c r="Q48" s="1028">
        <f t="shared" si="6"/>
        <v>0</v>
      </c>
      <c r="R48" s="917">
        <f t="shared" si="6"/>
        <v>0</v>
      </c>
      <c r="S48" s="1028">
        <f t="shared" si="6"/>
        <v>0</v>
      </c>
      <c r="T48" s="1028">
        <f t="shared" si="6"/>
        <v>0</v>
      </c>
      <c r="U48" s="1028">
        <f t="shared" si="6"/>
        <v>0</v>
      </c>
      <c r="V48" s="1028">
        <f t="shared" si="6"/>
        <v>0</v>
      </c>
      <c r="W48" s="917">
        <f t="shared" si="6"/>
        <v>0</v>
      </c>
      <c r="X48" s="917">
        <f t="shared" si="6"/>
        <v>0</v>
      </c>
      <c r="Y48" s="917">
        <f t="shared" si="6"/>
        <v>0</v>
      </c>
      <c r="Z48" s="917">
        <f t="shared" si="6"/>
        <v>0</v>
      </c>
      <c r="AA48" s="917">
        <f t="shared" si="6"/>
        <v>0</v>
      </c>
      <c r="AB48" s="917">
        <f t="shared" si="6"/>
        <v>0</v>
      </c>
      <c r="AC48" s="917">
        <f t="shared" si="6"/>
        <v>0</v>
      </c>
      <c r="AD48" s="917">
        <f t="shared" si="6"/>
        <v>0</v>
      </c>
      <c r="AE48" s="917">
        <f t="shared" si="6"/>
        <v>0</v>
      </c>
      <c r="AF48" s="917">
        <f t="shared" si="6"/>
        <v>0</v>
      </c>
      <c r="AG48" s="917">
        <f t="shared" si="6"/>
        <v>0</v>
      </c>
      <c r="AH48" s="917">
        <f t="shared" si="6"/>
        <v>0</v>
      </c>
      <c r="AI48" s="917">
        <f t="shared" si="6"/>
        <v>0</v>
      </c>
      <c r="AJ48" s="917">
        <f t="shared" si="6"/>
        <v>0</v>
      </c>
      <c r="AK48" s="917">
        <f t="shared" si="6"/>
        <v>0</v>
      </c>
      <c r="AL48" s="917">
        <f t="shared" si="6"/>
        <v>0</v>
      </c>
      <c r="AM48" s="917">
        <f t="shared" si="6"/>
        <v>0</v>
      </c>
      <c r="AN48" s="917">
        <f t="shared" si="6"/>
        <v>0</v>
      </c>
      <c r="AO48" s="917">
        <f t="shared" si="6"/>
        <v>0</v>
      </c>
      <c r="AP48" s="917">
        <f t="shared" si="6"/>
        <v>0</v>
      </c>
    </row>
    <row r="49" spans="2:43">
      <c r="B49" s="258"/>
      <c r="C49" s="1029"/>
      <c r="D49" s="258"/>
      <c r="E49" s="258"/>
      <c r="F49" s="258"/>
      <c r="G49" s="258"/>
      <c r="H49" s="258"/>
      <c r="I49" s="258"/>
      <c r="J49" s="258"/>
      <c r="K49" s="258"/>
      <c r="L49" s="258"/>
      <c r="M49" s="258"/>
      <c r="N49" s="258"/>
      <c r="O49" s="258"/>
      <c r="P49" s="258"/>
      <c r="Q49" s="258"/>
      <c r="R49" s="258"/>
      <c r="S49" s="258"/>
      <c r="T49" s="258"/>
      <c r="U49" s="258"/>
      <c r="V49" s="258"/>
      <c r="W49" s="258"/>
      <c r="X49" s="258"/>
      <c r="Y49" s="258"/>
      <c r="Z49" s="258"/>
      <c r="AA49" s="258"/>
      <c r="AB49" s="258"/>
      <c r="AC49" s="258"/>
      <c r="AD49" s="258"/>
      <c r="AE49" s="258"/>
      <c r="AF49" s="258"/>
      <c r="AG49" s="258"/>
      <c r="AH49" s="258"/>
      <c r="AI49" s="258"/>
      <c r="AJ49" s="258"/>
      <c r="AK49" s="258"/>
      <c r="AL49" s="258"/>
      <c r="AM49" s="258"/>
      <c r="AN49" s="258"/>
      <c r="AO49" s="258"/>
      <c r="AP49" s="258"/>
      <c r="AQ49" s="258"/>
    </row>
    <row r="50" spans="2:43" s="1033" customFormat="1">
      <c r="B50" s="1030"/>
      <c r="C50" s="1031"/>
      <c r="D50" s="1030"/>
      <c r="E50" s="466" t="s">
        <v>1371</v>
      </c>
      <c r="F50" s="1032"/>
      <c r="G50" s="1030"/>
      <c r="H50" s="1030"/>
      <c r="I50" s="1030"/>
      <c r="J50" s="1030"/>
      <c r="K50" s="1030"/>
      <c r="L50" s="1030"/>
      <c r="M50" s="1030"/>
      <c r="N50" s="1030"/>
      <c r="O50" s="1030"/>
      <c r="P50" s="1030"/>
      <c r="Q50" s="1030"/>
      <c r="R50" s="1030"/>
      <c r="S50" s="1030"/>
      <c r="T50" s="1030"/>
      <c r="U50" s="1030"/>
      <c r="V50" s="1030"/>
      <c r="W50" s="1030"/>
      <c r="X50" s="1030"/>
      <c r="Y50" s="1030"/>
      <c r="Z50" s="1030"/>
      <c r="AA50" s="1030"/>
      <c r="AB50" s="1030"/>
      <c r="AC50" s="1030"/>
      <c r="AD50" s="1030"/>
      <c r="AE50" s="1030"/>
      <c r="AF50" s="1030"/>
      <c r="AG50" s="1030"/>
      <c r="AH50" s="1030"/>
      <c r="AI50" s="1030"/>
      <c r="AJ50" s="1030"/>
      <c r="AK50" s="1030"/>
      <c r="AL50" s="1030"/>
      <c r="AM50" s="1030"/>
      <c r="AN50" s="1030"/>
      <c r="AO50" s="1030"/>
      <c r="AP50" s="1030"/>
      <c r="AQ50" s="1030"/>
    </row>
    <row r="51" spans="2:43">
      <c r="C51" s="1034"/>
      <c r="E51" s="786" t="s">
        <v>209</v>
      </c>
      <c r="F51" s="1023">
        <f t="array" ref="F51">IFERROR(MAX(IF($AS$11:$AS$40="No",F11:F40)),"")</f>
        <v>0</v>
      </c>
      <c r="G51" s="1023">
        <f t="array" ref="G51">IFERROR(MAX(IF($AS$11:$AS$40="No",G11:G40)),"")</f>
        <v>0</v>
      </c>
      <c r="H51" s="1023">
        <f t="array" ref="H51">IFERROR(MAX(IF($AS$11:$AS$40="No",H11:H40)),"")</f>
        <v>0</v>
      </c>
      <c r="I51" s="1023">
        <f t="array" ref="I51">IFERROR(MAX(IF($AS$11:$AS$40="No",I11:I40)),"")</f>
        <v>0</v>
      </c>
      <c r="J51" s="1023">
        <f t="array" ref="J51">IFERROR(MAX(IF($AS$11:$AS$40="No",J11:J40)),"")</f>
        <v>0</v>
      </c>
      <c r="K51" s="1023">
        <f t="array" ref="K51">IFERROR(MAX(IF($AS$11:$AS$40="No",K11:K40)),"")</f>
        <v>0</v>
      </c>
      <c r="L51" s="1023">
        <f t="array" ref="L51">IFERROR(MAX(IF($AS$11:$AS$40="No",L11:L40)),"")</f>
        <v>0</v>
      </c>
      <c r="M51" s="1023">
        <f t="array" ref="M51">IFERROR(MAX(IF($AS$11:$AS$40="No",M11:M40)),"")</f>
        <v>0</v>
      </c>
      <c r="N51" s="1023">
        <f t="array" ref="N51">IFERROR(MAX(IF($AS$11:$AS$40="No",N11:N40)),"")</f>
        <v>0</v>
      </c>
      <c r="O51" s="1023">
        <f t="array" ref="O51">IFERROR(MAX(IF($AS$11:$AS$40="No",O11:O40)),"")</f>
        <v>0</v>
      </c>
      <c r="P51" s="1023">
        <f t="array" ref="P51">IFERROR(MAX(IF($AS$11:$AS$40="No",P11:P40)),"")</f>
        <v>0</v>
      </c>
      <c r="Q51" s="1023">
        <f t="array" ref="Q51">IFERROR(MAX(IF($AS$11:$AS$40="No",Q11:Q40)),"")</f>
        <v>0</v>
      </c>
      <c r="R51" s="913">
        <f t="array" ref="R51">IFERROR(MAX(IF($AS$11:$AS$40="No",R11:R40)),"")</f>
        <v>0</v>
      </c>
      <c r="S51" s="1023">
        <f t="array" ref="S51">IFERROR(MAX(IF($AS$11:$AS$40="No",S11:S40)),"")</f>
        <v>0</v>
      </c>
      <c r="T51" s="1023">
        <f t="array" ref="T51">IFERROR(MAX(IF($AS$11:$AS$40="No",T11:T40)),"")</f>
        <v>0</v>
      </c>
      <c r="U51" s="1023">
        <f t="array" ref="U51">IFERROR(MAX(IF($AS$11:$AS$40="No",U11:U40)),"")</f>
        <v>0</v>
      </c>
      <c r="V51" s="1023">
        <f t="array" ref="V51">IFERROR(MAX(IF($AS$11:$AS$40="No",V11:V40)),"")</f>
        <v>0</v>
      </c>
      <c r="W51" s="913">
        <f t="array" ref="W51">IFERROR(MAX(IF($AS$11:$AS$40="No",W11:W40)),"")</f>
        <v>0</v>
      </c>
      <c r="X51" s="913">
        <f t="array" ref="X51">IFERROR(MAX(IF($AS$11:$AS$40="No",X11:X40)),"")</f>
        <v>0</v>
      </c>
      <c r="Y51" s="913">
        <f t="array" ref="Y51">IFERROR(MAX(IF($AS$11:$AS$40="No",Y11:Y40)),"")</f>
        <v>0</v>
      </c>
      <c r="Z51" s="913">
        <f t="array" ref="Z51">IFERROR(MAX(IF($AS$11:$AS$40="No",Z11:Z40)),"")</f>
        <v>0</v>
      </c>
      <c r="AA51" s="913">
        <f t="array" ref="AA51">IFERROR(MAX(IF($AS$11:$AS$40="No",AA11:AA40)),"")</f>
        <v>0</v>
      </c>
      <c r="AB51" s="913">
        <f t="array" ref="AB51">IFERROR(MAX(IF($AS$11:$AS$40="No",AB11:AB40)),"")</f>
        <v>0</v>
      </c>
      <c r="AC51" s="913">
        <f t="array" ref="AC51">IFERROR(MAX(IF($AS$11:$AS$40="No",AC11:AC40)),"")</f>
        <v>0</v>
      </c>
      <c r="AD51" s="913">
        <f t="array" ref="AD51">IFERROR(MAX(IF($AS$11:$AS$40="No",AD11:AD40)),"")</f>
        <v>0</v>
      </c>
      <c r="AE51" s="913">
        <f t="array" ref="AE51">IFERROR(MAX(IF($AS$11:$AS$40="No",AE11:AE40)),"")</f>
        <v>0</v>
      </c>
      <c r="AF51" s="913">
        <f t="array" ref="AF51">IFERROR(MAX(IF($AS$11:$AS$40="No",AF11:AF40)),"")</f>
        <v>0</v>
      </c>
      <c r="AG51" s="913">
        <f t="array" ref="AG51">IFERROR(MAX(IF($AS$11:$AS$40="No",AG11:AG40)),"")</f>
        <v>0</v>
      </c>
      <c r="AH51" s="913">
        <f t="array" ref="AH51">IFERROR(MAX(IF($AS$11:$AS$40="No",AH11:AH40)),"")</f>
        <v>0</v>
      </c>
      <c r="AI51" s="913">
        <f t="array" ref="AI51">IFERROR(MAX(IF($AS$11:$AS$40="No",AI11:AI40)),"")</f>
        <v>0</v>
      </c>
      <c r="AJ51" s="913">
        <f t="array" ref="AJ51">IFERROR(MAX(IF($AS$11:$AS$40="No",AJ11:AJ40)),"")</f>
        <v>0</v>
      </c>
      <c r="AK51" s="913">
        <f t="array" ref="AK51">IFERROR(MAX(IF($AS$11:$AS$40="No",AK11:AK40)),"")</f>
        <v>0</v>
      </c>
      <c r="AL51" s="913">
        <f t="array" ref="AL51">IFERROR(MAX(IF($AS$11:$AS$40="No",AL11:AL40)),"")</f>
        <v>0</v>
      </c>
      <c r="AM51" s="913">
        <f t="array" ref="AM51">IFERROR(MAX(IF($AS$11:$AS$40="No",AM11:AM40)),"")</f>
        <v>0</v>
      </c>
      <c r="AN51" s="913">
        <f t="array" ref="AN51">IFERROR(MAX(IF($AS$11:$AS$40="No",AN11:AN40)),"")</f>
        <v>0</v>
      </c>
      <c r="AO51" s="913">
        <f t="array" ref="AO51">IFERROR(MAX(IF($AS$11:$AS$40="No",AO11:AO40)),"")</f>
        <v>0</v>
      </c>
      <c r="AP51" s="913">
        <f t="array" ref="AP51">IFERROR(MAX(IF($AS$11:$AS$40="No",AP11:AP40)),"")</f>
        <v>0</v>
      </c>
    </row>
    <row r="52" spans="2:43">
      <c r="C52" s="1034"/>
      <c r="E52" s="792" t="s">
        <v>1419</v>
      </c>
      <c r="F52" s="1024">
        <f t="array" ref="F52">IFERROR(PERCENTILE(IF($AS$11:$AS$40="No",F11:F40),0.75),"")</f>
        <v>0</v>
      </c>
      <c r="G52" s="1024">
        <f t="array" ref="G52">IFERROR(PERCENTILE(IF($AS$11:$AS$40="No",G11:G40),0.75),"")</f>
        <v>0</v>
      </c>
      <c r="H52" s="1024">
        <f t="array" ref="H52">IFERROR(PERCENTILE(IF($AS$11:$AS$40="No",H11:H40),0.75),"")</f>
        <v>0</v>
      </c>
      <c r="I52" s="1024">
        <f t="array" ref="I52">IFERROR(PERCENTILE(IF($AS$11:$AS$40="No",I11:I40),0.75),"")</f>
        <v>0</v>
      </c>
      <c r="J52" s="1024">
        <f t="array" ref="J52">IFERROR(PERCENTILE(IF($AS$11:$AS$40="No",J11:J40),0.75),"")</f>
        <v>0</v>
      </c>
      <c r="K52" s="1024">
        <f t="array" ref="K52">IFERROR(PERCENTILE(IF($AS$11:$AS$40="No",K11:K40),0.75),"")</f>
        <v>0</v>
      </c>
      <c r="L52" s="1024">
        <f t="array" ref="L52">IFERROR(PERCENTILE(IF($AS$11:$AS$40="No",L11:L40),0.75),"")</f>
        <v>0</v>
      </c>
      <c r="M52" s="1024">
        <f t="array" ref="M52">IFERROR(PERCENTILE(IF($AS$11:$AS$40="No",M11:M40),0.75),"")</f>
        <v>0</v>
      </c>
      <c r="N52" s="1024">
        <f t="array" ref="N52">IFERROR(PERCENTILE(IF($AS$11:$AS$40="No",N11:N40),0.75),"")</f>
        <v>0</v>
      </c>
      <c r="O52" s="1024">
        <f t="array" ref="O52">IFERROR(PERCENTILE(IF($AS$11:$AS$40="No",O11:O40),0.75),"")</f>
        <v>0</v>
      </c>
      <c r="P52" s="1024">
        <f t="array" ref="P52">IFERROR(PERCENTILE(IF($AS$11:$AS$40="No",P11:P40),0.75),"")</f>
        <v>0</v>
      </c>
      <c r="Q52" s="1024">
        <f t="array" ref="Q52">IFERROR(PERCENTILE(IF($AS$11:$AS$40="No",Q11:Q40),0.75),"")</f>
        <v>0</v>
      </c>
      <c r="R52" s="915">
        <f t="array" ref="R52">IFERROR(PERCENTILE(IF($AS$11:$AS$40="No",R11:R40),0.75),"")</f>
        <v>0</v>
      </c>
      <c r="S52" s="1024">
        <f t="array" ref="S52">IFERROR(PERCENTILE(IF($AS$11:$AS$40="No",S11:S40),0.75),"")</f>
        <v>0</v>
      </c>
      <c r="T52" s="1024" cm="1">
        <f t="array" ref="T52">IFERROR(PERCENTILE(IF($AS$11:$AS$40="No",T11:T40),0.75),"")</f>
        <v>0</v>
      </c>
      <c r="U52" s="1024">
        <f t="array" ref="U52">IFERROR(PERCENTILE(IF($AS$11:$AS$40="No",U11:U40),0.75),"")</f>
        <v>0</v>
      </c>
      <c r="V52" s="1024">
        <f t="array" ref="V52">IFERROR(PERCENTILE(IF($AS$11:$AS$40="No",V11:V40),0.75),"")</f>
        <v>0</v>
      </c>
      <c r="W52" s="915">
        <f t="array" ref="W52">IFERROR(PERCENTILE(IF($AS$11:$AS$40="No",W11:W40),0.75),"")</f>
        <v>0</v>
      </c>
      <c r="X52" s="915">
        <f t="array" ref="X52">IFERROR(PERCENTILE(IF($AS$11:$AS$40="No",X11:X40),0.75),"")</f>
        <v>0</v>
      </c>
      <c r="Y52" s="915">
        <f t="array" ref="Y52">IFERROR(PERCENTILE(IF($AS$11:$AS$40="No",Y11:Y40),0.75),"")</f>
        <v>0</v>
      </c>
      <c r="Z52" s="915">
        <f t="array" ref="Z52">IFERROR(PERCENTILE(IF($AS$11:$AS$40="No",Z11:Z40),0.75),"")</f>
        <v>0</v>
      </c>
      <c r="AA52" s="915">
        <f t="array" ref="AA52">IFERROR(PERCENTILE(IF($AS$11:$AS$40="No",AA11:AA40),0.75),"")</f>
        <v>0</v>
      </c>
      <c r="AB52" s="915">
        <f t="array" ref="AB52">IFERROR(PERCENTILE(IF($AS$11:$AS$40="No",AB11:AB40),0.75),"")</f>
        <v>0</v>
      </c>
      <c r="AC52" s="915">
        <f t="array" ref="AC52">IFERROR(PERCENTILE(IF($AS$11:$AS$40="No",AC11:AC40),0.75),"")</f>
        <v>0</v>
      </c>
      <c r="AD52" s="915">
        <f t="array" ref="AD52">IFERROR(PERCENTILE(IF($AS$11:$AS$40="No",AD11:AD40),0.75),"")</f>
        <v>0</v>
      </c>
      <c r="AE52" s="915">
        <f t="array" ref="AE52">IFERROR(PERCENTILE(IF($AS$11:$AS$40="No",AE11:AE40),0.75),"")</f>
        <v>0</v>
      </c>
      <c r="AF52" s="915">
        <f t="array" ref="AF52">IFERROR(PERCENTILE(IF($AS$11:$AS$40="No",AF11:AF40),0.75),"")</f>
        <v>0</v>
      </c>
      <c r="AG52" s="915">
        <f t="array" ref="AG52">IFERROR(PERCENTILE(IF($AS$11:$AS$40="No",AG11:AG40),0.75),"")</f>
        <v>0</v>
      </c>
      <c r="AH52" s="915">
        <f t="array" ref="AH52">IFERROR(PERCENTILE(IF($AS$11:$AS$40="No",AH11:AH40),0.75),"")</f>
        <v>0</v>
      </c>
      <c r="AI52" s="915">
        <f t="array" ref="AI52">IFERROR(PERCENTILE(IF($AS$11:$AS$40="No",AI11:AI40),0.75),"")</f>
        <v>0</v>
      </c>
      <c r="AJ52" s="915">
        <f t="array" ref="AJ52">IFERROR(PERCENTILE(IF($AS$11:$AS$40="No",AJ11:AJ40),0.75),"")</f>
        <v>0</v>
      </c>
      <c r="AK52" s="915">
        <f t="array" ref="AK52">IFERROR(PERCENTILE(IF($AS$11:$AS$40="No",AK11:AK40),0.75),"")</f>
        <v>0</v>
      </c>
      <c r="AL52" s="915">
        <f t="array" ref="AL52">IFERROR(PERCENTILE(IF($AS$11:$AS$40="No",AL11:AL40),0.75),"")</f>
        <v>0</v>
      </c>
      <c r="AM52" s="915">
        <f t="array" ref="AM52">IFERROR(PERCENTILE(IF($AS$11:$AS$40="No",AM11:AM40),0.75),"")</f>
        <v>0</v>
      </c>
      <c r="AN52" s="915">
        <f t="array" ref="AN52">IFERROR(PERCENTILE(IF($AS$11:$AS$40="No",AN11:AN40),0.75),"")</f>
        <v>0</v>
      </c>
      <c r="AO52" s="915">
        <f t="array" ref="AO52">IFERROR(PERCENTILE(IF($AS$11:$AS$40="No",AO11:AO40),0.75),"")</f>
        <v>0</v>
      </c>
      <c r="AP52" s="915">
        <f t="array" ref="AP52">IFERROR(PERCENTILE(IF($AS$11:$AS$40="No",AP11:AP40),0.75),"")</f>
        <v>0</v>
      </c>
    </row>
    <row r="53" spans="2:43">
      <c r="C53" s="1034"/>
      <c r="E53" s="792" t="s">
        <v>1369</v>
      </c>
      <c r="F53" s="1024">
        <f t="array" ref="F53">IFERROR(AVERAGEIF($AS$11:$AS$40,"No",F11:F40),"")</f>
        <v>0</v>
      </c>
      <c r="G53" s="1024">
        <f t="array" ref="G53">IFERROR(AVERAGEIF($AS$11:$AS$40,"No",G11:G40),"")</f>
        <v>0</v>
      </c>
      <c r="H53" s="1024">
        <f t="array" ref="H53">IFERROR(AVERAGEIF($AS$11:$AS$40,"No",H11:H40),"")</f>
        <v>0</v>
      </c>
      <c r="I53" s="1024">
        <f t="array" ref="I53">IFERROR(AVERAGEIF($AS$11:$AS$40,"No",I11:I40),"")</f>
        <v>0</v>
      </c>
      <c r="J53" s="1024">
        <f t="array" ref="J53">IFERROR(AVERAGEIF($AS$11:$AS$40,"No",J11:J40),"")</f>
        <v>0</v>
      </c>
      <c r="K53" s="1024">
        <f t="array" ref="K53">IFERROR(AVERAGEIF($AS$11:$AS$40,"No",K11:K40),"")</f>
        <v>0</v>
      </c>
      <c r="L53" s="1024">
        <f t="array" ref="L53">IFERROR(AVERAGEIF($AS$11:$AS$40,"No",L11:L40),"")</f>
        <v>0</v>
      </c>
      <c r="M53" s="1024">
        <f t="array" ref="M53">IFERROR(AVERAGEIF($AS$11:$AS$40,"No",M11:M40),"")</f>
        <v>0</v>
      </c>
      <c r="N53" s="1024">
        <f t="array" ref="N53">IFERROR(AVERAGEIF($AS$11:$AS$40,"No",N11:N40),"")</f>
        <v>0</v>
      </c>
      <c r="O53" s="1024">
        <f t="array" ref="O53">IFERROR(AVERAGEIF($AS$11:$AS$40,"No",O11:O40),"")</f>
        <v>0</v>
      </c>
      <c r="P53" s="1024">
        <f t="array" ref="P53">IFERROR(AVERAGEIF($AS$11:$AS$40,"No",P11:P40),"")</f>
        <v>0</v>
      </c>
      <c r="Q53" s="1024">
        <f t="array" ref="Q53">IFERROR(AVERAGEIF($AS$11:$AS$40,"No",Q11:Q40),"")</f>
        <v>0</v>
      </c>
      <c r="R53" s="915">
        <f t="array" ref="R53">IFERROR(AVERAGEIF($AS$11:$AS$40,"No",R11:R40),"")</f>
        <v>0</v>
      </c>
      <c r="S53" s="1024">
        <f t="array" ref="S53">IFERROR(AVERAGEIF($AS$11:$AS$40,"No",S11:S40),"")</f>
        <v>0</v>
      </c>
      <c r="T53" s="1024">
        <f t="array" ref="T53">IFERROR(AVERAGEIF($AS$11:$AS$40,"No",T11:T40),"")</f>
        <v>0</v>
      </c>
      <c r="U53" s="1024">
        <f t="array" ref="U53">IFERROR(AVERAGEIF($AS$11:$AS$40,"No",U11:U40),"")</f>
        <v>0</v>
      </c>
      <c r="V53" s="1024">
        <f t="array" ref="V53">IFERROR(AVERAGEIF($AS$11:$AS$40,"No",V11:V40),"")</f>
        <v>0</v>
      </c>
      <c r="W53" s="915">
        <f t="array" ref="W53">IFERROR(AVERAGEIF($AS$11:$AS$40,"No",W11:W40),"")</f>
        <v>0</v>
      </c>
      <c r="X53" s="915">
        <f t="array" ref="X53">IFERROR(AVERAGEIF($AS$11:$AS$40,"No",X11:X40),"")</f>
        <v>0</v>
      </c>
      <c r="Y53" s="915">
        <f t="array" ref="Y53">IFERROR(AVERAGEIF($AS$11:$AS$40,"No",Y11:Y40),"")</f>
        <v>0</v>
      </c>
      <c r="Z53" s="915">
        <f t="array" ref="Z53">IFERROR(AVERAGEIF($AS$11:$AS$40,"No",Z11:Z40),"")</f>
        <v>0</v>
      </c>
      <c r="AA53" s="915">
        <f t="array" ref="AA53">IFERROR(AVERAGEIF($AS$11:$AS$40,"No",AA11:AA40),"")</f>
        <v>0</v>
      </c>
      <c r="AB53" s="915">
        <f t="array" ref="AB53">IFERROR(AVERAGEIF($AS$11:$AS$40,"No",AB11:AB40),"")</f>
        <v>0</v>
      </c>
      <c r="AC53" s="915">
        <f t="array" ref="AC53">IFERROR(AVERAGEIF($AS$11:$AS$40,"No",AC11:AC40),"")</f>
        <v>0</v>
      </c>
      <c r="AD53" s="915">
        <f t="array" ref="AD53">IFERROR(AVERAGEIF($AS$11:$AS$40,"No",AD11:AD40),"")</f>
        <v>0</v>
      </c>
      <c r="AE53" s="915">
        <f t="array" ref="AE53">IFERROR(AVERAGEIF($AS$11:$AS$40,"No",AE11:AE40),"")</f>
        <v>0</v>
      </c>
      <c r="AF53" s="915">
        <f t="array" ref="AF53">IFERROR(AVERAGEIF($AS$11:$AS$40,"No",AF11:AF40),"")</f>
        <v>0</v>
      </c>
      <c r="AG53" s="915">
        <f t="array" ref="AG53">IFERROR(AVERAGEIF($AS$11:$AS$40,"No",AG11:AG40),"")</f>
        <v>0</v>
      </c>
      <c r="AH53" s="915">
        <f t="array" ref="AH53">IFERROR(AVERAGEIF($AS$11:$AS$40,"No",AH11:AH40),"")</f>
        <v>0</v>
      </c>
      <c r="AI53" s="915">
        <f t="array" ref="AI53">IFERROR(AVERAGEIF($AS$11:$AS$40,"No",AI11:AI40),"")</f>
        <v>0</v>
      </c>
      <c r="AJ53" s="915">
        <f t="array" ref="AJ53">IFERROR(AVERAGEIF($AS$11:$AS$40,"No",AJ11:AJ40),"")</f>
        <v>0</v>
      </c>
      <c r="AK53" s="915">
        <f t="array" ref="AK53">IFERROR(AVERAGEIF($AS$11:$AS$40,"No",AK11:AK40),"")</f>
        <v>0</v>
      </c>
      <c r="AL53" s="915">
        <f t="array" ref="AL53">IFERROR(AVERAGEIF($AS$11:$AS$40,"No",AL11:AL40),"")</f>
        <v>0</v>
      </c>
      <c r="AM53" s="915">
        <f t="array" ref="AM53">IFERROR(AVERAGEIF($AS$11:$AS$40,"No",AM11:AM40),"")</f>
        <v>0</v>
      </c>
      <c r="AN53" s="915">
        <f t="array" ref="AN53">IFERROR(AVERAGEIF($AS$11:$AS$40,"No",AN11:AN40),"")</f>
        <v>0</v>
      </c>
      <c r="AO53" s="915">
        <f t="array" ref="AO53">IFERROR(AVERAGEIF($AS$11:$AS$40,"No",AO11:AO40),"")</f>
        <v>0</v>
      </c>
      <c r="AP53" s="915">
        <f t="array" ref="AP53">IFERROR(AVERAGEIF($AS$11:$AS$40,"No",AP11:AP40),"")</f>
        <v>0</v>
      </c>
    </row>
    <row r="54" spans="2:43">
      <c r="C54" s="1034"/>
      <c r="E54" s="798" t="s">
        <v>1370</v>
      </c>
      <c r="F54" s="1025">
        <f t="array" ref="F54">IFERROR(MEDIAN(IF($AS$11:$AS$40="No",F11:F40)),"")</f>
        <v>0</v>
      </c>
      <c r="G54" s="1025">
        <f t="array" ref="G54">IFERROR(MEDIAN(IF($AS$11:$AS$40="No",G11:G40)),"")</f>
        <v>0</v>
      </c>
      <c r="H54" s="1025">
        <f t="array" ref="H54">IFERROR(MEDIAN(IF($AS$11:$AS$40="No",H11:H40)),"")</f>
        <v>0</v>
      </c>
      <c r="I54" s="1025">
        <f t="array" ref="I54">IFERROR(MEDIAN(IF($AS$11:$AS$40="No",I11:I40)),"")</f>
        <v>0</v>
      </c>
      <c r="J54" s="1025">
        <f t="array" ref="J54">IFERROR(MEDIAN(IF($AS$11:$AS$40="No",J11:J40)),"")</f>
        <v>0</v>
      </c>
      <c r="K54" s="1025">
        <f t="array" ref="K54">IFERROR(MEDIAN(IF($AS$11:$AS$40="No",K11:K40)),"")</f>
        <v>0</v>
      </c>
      <c r="L54" s="1025">
        <f t="array" ref="L54">IFERROR(MEDIAN(IF($AS$11:$AS$40="No",L11:L40)),"")</f>
        <v>0</v>
      </c>
      <c r="M54" s="1025">
        <f t="array" ref="M54">IFERROR(MEDIAN(IF($AS$11:$AS$40="No",M11:M40)),"")</f>
        <v>0</v>
      </c>
      <c r="N54" s="1025">
        <f t="array" ref="N54">IFERROR(MEDIAN(IF($AS$11:$AS$40="No",N11:N40)),"")</f>
        <v>0</v>
      </c>
      <c r="O54" s="1025">
        <f t="array" ref="O54">IFERROR(MEDIAN(IF($AS$11:$AS$40="No",O11:O40)),"")</f>
        <v>0</v>
      </c>
      <c r="P54" s="1025">
        <f t="array" ref="P54">IFERROR(MEDIAN(IF($AS$11:$AS$40="No",P11:P40)),"")</f>
        <v>0</v>
      </c>
      <c r="Q54" s="1025">
        <f t="array" ref="Q54">IFERROR(MEDIAN(IF($AS$11:$AS$40="No",Q11:Q40)),"")</f>
        <v>0</v>
      </c>
      <c r="R54" s="877">
        <f t="array" ref="R54">IFERROR(MEDIAN(IF($AS$11:$AS$40="No",R11:R40)),"")</f>
        <v>0</v>
      </c>
      <c r="S54" s="1025">
        <f t="array" ref="S54">IFERROR(MEDIAN(IF($AS$11:$AS$40="No",S11:S40)),"")</f>
        <v>0</v>
      </c>
      <c r="T54" s="1025">
        <f t="array" ref="T54">IFERROR(MEDIAN(IF($AS$11:$AS$40="No",T11:T40)),"")</f>
        <v>0</v>
      </c>
      <c r="U54" s="1025">
        <f t="array" ref="U54">IFERROR(MEDIAN(IF($AS$11:$AS$40="No",U11:U40)),"")</f>
        <v>0</v>
      </c>
      <c r="V54" s="1025">
        <f t="array" ref="V54">IFERROR(MEDIAN(IF($AS$11:$AS$40="No",V11:V40)),"")</f>
        <v>0</v>
      </c>
      <c r="W54" s="877">
        <f t="array" ref="W54">IFERROR(MEDIAN(IF($AS$11:$AS$40="No",W11:W40)),"")</f>
        <v>0</v>
      </c>
      <c r="X54" s="877">
        <f t="array" ref="X54">IFERROR(MEDIAN(IF($AS$11:$AS$40="No",X11:X40)),"")</f>
        <v>0</v>
      </c>
      <c r="Y54" s="877">
        <f t="array" ref="Y54">IFERROR(MEDIAN(IF($AS$11:$AS$40="No",Y11:Y40)),"")</f>
        <v>0</v>
      </c>
      <c r="Z54" s="877">
        <f t="array" ref="Z54">IFERROR(MEDIAN(IF($AS$11:$AS$40="No",Z11:Z40)),"")</f>
        <v>0</v>
      </c>
      <c r="AA54" s="877">
        <f t="array" ref="AA54">IFERROR(MEDIAN(IF($AS$11:$AS$40="No",AA11:AA40)),"")</f>
        <v>0</v>
      </c>
      <c r="AB54" s="877">
        <f t="array" ref="AB54">IFERROR(MEDIAN(IF($AS$11:$AS$40="No",AB11:AB40)),"")</f>
        <v>0</v>
      </c>
      <c r="AC54" s="877">
        <f t="array" ref="AC54">IFERROR(MEDIAN(IF($AS$11:$AS$40="No",AC11:AC40)),"")</f>
        <v>0</v>
      </c>
      <c r="AD54" s="877">
        <f t="array" ref="AD54">IFERROR(MEDIAN(IF($AS$11:$AS$40="No",AD11:AD40)),"")</f>
        <v>0</v>
      </c>
      <c r="AE54" s="877">
        <f t="array" ref="AE54">IFERROR(MEDIAN(IF($AS$11:$AS$40="No",AE11:AE40)),"")</f>
        <v>0</v>
      </c>
      <c r="AF54" s="877">
        <f t="array" ref="AF54">IFERROR(MEDIAN(IF($AS$11:$AS$40="No",AF11:AF40)),"")</f>
        <v>0</v>
      </c>
      <c r="AG54" s="877">
        <f t="array" ref="AG54">IFERROR(MEDIAN(IF($AS$11:$AS$40="No",AG11:AG40)),"")</f>
        <v>0</v>
      </c>
      <c r="AH54" s="877">
        <f t="array" ref="AH54">IFERROR(MEDIAN(IF($AS$11:$AS$40="No",AH11:AH40)),"")</f>
        <v>0</v>
      </c>
      <c r="AI54" s="877">
        <f t="array" ref="AI54">IFERROR(MEDIAN(IF($AS$11:$AS$40="No",AI11:AI40)),"")</f>
        <v>0</v>
      </c>
      <c r="AJ54" s="877">
        <f t="array" ref="AJ54">IFERROR(MEDIAN(IF($AS$11:$AS$40="No",AJ11:AJ40)),"")</f>
        <v>0</v>
      </c>
      <c r="AK54" s="877">
        <f t="array" ref="AK54">IFERROR(MEDIAN(IF($AS$11:$AS$40="No",AK11:AK40)),"")</f>
        <v>0</v>
      </c>
      <c r="AL54" s="877">
        <f t="array" ref="AL54">IFERROR(MEDIAN(IF($AS$11:$AS$40="No",AL11:AL40)),"")</f>
        <v>0</v>
      </c>
      <c r="AM54" s="877">
        <f t="array" ref="AM54">IFERROR(MEDIAN(IF($AS$11:$AS$40="No",AM11:AM40)),"")</f>
        <v>0</v>
      </c>
      <c r="AN54" s="877">
        <f t="array" ref="AN54">IFERROR(MEDIAN(IF($AS$11:$AS$40="No",AN11:AN40)),"")</f>
        <v>0</v>
      </c>
      <c r="AO54" s="877">
        <f t="array" ref="AO54">IFERROR(MEDIAN(IF($AS$11:$AS$40="No",AO11:AO40)),"")</f>
        <v>0</v>
      </c>
      <c r="AP54" s="877">
        <f t="array" ref="AP54">IFERROR(MEDIAN(IF($AS$11:$AS$40="No",AP11:AP40)),"")</f>
        <v>0</v>
      </c>
    </row>
    <row r="55" spans="2:43">
      <c r="C55" s="1034"/>
      <c r="E55" s="792" t="s">
        <v>1420</v>
      </c>
      <c r="F55" s="1024">
        <f t="array" ref="F55">IFERROR(PERCENTILE(IF($AS$11:$AS$40="No",F11:F40),0.25),"")</f>
        <v>0</v>
      </c>
      <c r="G55" s="1024">
        <f t="array" ref="G55">IFERROR(PERCENTILE(IF($AS$11:$AS$40="No",G11:G40),0.25),"")</f>
        <v>0</v>
      </c>
      <c r="H55" s="1024">
        <f t="array" ref="H55">IFERROR(PERCENTILE(IF($AS$11:$AS$40="No",H11:H40),0.25),"")</f>
        <v>0</v>
      </c>
      <c r="I55" s="1024">
        <f t="array" ref="I55">IFERROR(PERCENTILE(IF($AS$11:$AS$40="No",I11:I40),0.25),"")</f>
        <v>0</v>
      </c>
      <c r="J55" s="1024">
        <f t="array" ref="J55">IFERROR(PERCENTILE(IF($AS$11:$AS$40="No",J11:J40),0.25),"")</f>
        <v>0</v>
      </c>
      <c r="K55" s="1024">
        <f t="array" ref="K55">IFERROR(PERCENTILE(IF($AS$11:$AS$40="No",K11:K40),0.25),"")</f>
        <v>0</v>
      </c>
      <c r="L55" s="1024">
        <f t="array" ref="L55">IFERROR(PERCENTILE(IF($AS$11:$AS$40="No",L11:L40),0.25),"")</f>
        <v>0</v>
      </c>
      <c r="M55" s="1024">
        <f t="array" ref="M55">IFERROR(PERCENTILE(IF($AS$11:$AS$40="No",M11:M40),0.25),"")</f>
        <v>0</v>
      </c>
      <c r="N55" s="1024">
        <f t="array" ref="N55">IFERROR(PERCENTILE(IF($AS$11:$AS$40="No",N11:N40),0.25),"")</f>
        <v>0</v>
      </c>
      <c r="O55" s="1024">
        <f t="array" ref="O55">IFERROR(PERCENTILE(IF($AS$11:$AS$40="No",O11:O40),0.25),"")</f>
        <v>0</v>
      </c>
      <c r="P55" s="1024">
        <f t="array" ref="P55">IFERROR(PERCENTILE(IF($AS$11:$AS$40="No",P11:P40),0.25),"")</f>
        <v>0</v>
      </c>
      <c r="Q55" s="1024">
        <f t="array" ref="Q55">IFERROR(PERCENTILE(IF($AS$11:$AS$40="No",Q11:Q40),0.25),"")</f>
        <v>0</v>
      </c>
      <c r="R55" s="915">
        <f t="array" ref="R55">IFERROR(PERCENTILE(IF($AS$11:$AS$40="No",R11:R40),0.25),"")</f>
        <v>0</v>
      </c>
      <c r="S55" s="1024">
        <f t="array" ref="S55">IFERROR(PERCENTILE(IF($AS$11:$AS$40="No",S11:S40),0.25),"")</f>
        <v>0</v>
      </c>
      <c r="T55" s="1024">
        <f t="array" ref="T55">IFERROR(PERCENTILE(IF($AS$11:$AS$40="No",T11:T40),0.25),"")</f>
        <v>0</v>
      </c>
      <c r="U55" s="1024">
        <f t="array" ref="U55">IFERROR(PERCENTILE(IF($AS$11:$AS$40="No",U11:U40),0.25),"")</f>
        <v>0</v>
      </c>
      <c r="V55" s="1024">
        <f t="array" ref="V55">IFERROR(PERCENTILE(IF($AS$11:$AS$40="No",V11:V40),0.25),"")</f>
        <v>0</v>
      </c>
      <c r="W55" s="915">
        <f t="array" ref="W55">IFERROR(PERCENTILE(IF($AS$11:$AS$40="No",W11:W40),0.25),"")</f>
        <v>0</v>
      </c>
      <c r="X55" s="915">
        <f t="array" ref="X55">IFERROR(PERCENTILE(IF($AS$11:$AS$40="No",X11:X40),0.25),"")</f>
        <v>0</v>
      </c>
      <c r="Y55" s="915">
        <f t="array" ref="Y55">IFERROR(PERCENTILE(IF($AS$11:$AS$40="No",Y11:Y40),0.25),"")</f>
        <v>0</v>
      </c>
      <c r="Z55" s="915">
        <f t="array" ref="Z55">IFERROR(PERCENTILE(IF($AS$11:$AS$40="No",Z11:Z40),0.25),"")</f>
        <v>0</v>
      </c>
      <c r="AA55" s="915">
        <f t="array" ref="AA55">IFERROR(PERCENTILE(IF($AS$11:$AS$40="No",AA11:AA40),0.25),"")</f>
        <v>0</v>
      </c>
      <c r="AB55" s="915">
        <f t="array" ref="AB55">IFERROR(PERCENTILE(IF($AS$11:$AS$40="No",AB11:AB40),0.25),"")</f>
        <v>0</v>
      </c>
      <c r="AC55" s="915">
        <f t="array" ref="AC55">IFERROR(PERCENTILE(IF($AS$11:$AS$40="No",AC11:AC40),0.25),"")</f>
        <v>0</v>
      </c>
      <c r="AD55" s="915">
        <f t="array" ref="AD55">IFERROR(PERCENTILE(IF($AS$11:$AS$40="No",AD11:AD40),0.25),"")</f>
        <v>0</v>
      </c>
      <c r="AE55" s="915">
        <f t="array" ref="AE55">IFERROR(PERCENTILE(IF($AS$11:$AS$40="No",AE11:AE40),0.25),"")</f>
        <v>0</v>
      </c>
      <c r="AF55" s="915">
        <f t="array" ref="AF55">IFERROR(PERCENTILE(IF($AS$11:$AS$40="No",AF11:AF40),0.25),"")</f>
        <v>0</v>
      </c>
      <c r="AG55" s="915">
        <f t="array" ref="AG55">IFERROR(PERCENTILE(IF($AS$11:$AS$40="No",AG11:AG40),0.25),"")</f>
        <v>0</v>
      </c>
      <c r="AH55" s="915">
        <f t="array" ref="AH55">IFERROR(PERCENTILE(IF($AS$11:$AS$40="No",AH11:AH40),0.25),"")</f>
        <v>0</v>
      </c>
      <c r="AI55" s="915">
        <f t="array" ref="AI55">IFERROR(PERCENTILE(IF($AS$11:$AS$40="No",AI11:AI40),0.25),"")</f>
        <v>0</v>
      </c>
      <c r="AJ55" s="915">
        <f t="array" ref="AJ55">IFERROR(PERCENTILE(IF($AS$11:$AS$40="No",AJ11:AJ40),0.25),"")</f>
        <v>0</v>
      </c>
      <c r="AK55" s="915">
        <f t="array" ref="AK55">IFERROR(PERCENTILE(IF($AS$11:$AS$40="No",AK11:AK40),0.25),"")</f>
        <v>0</v>
      </c>
      <c r="AL55" s="915">
        <f t="array" ref="AL55">IFERROR(PERCENTILE(IF($AS$11:$AS$40="No",AL11:AL40),0.25),"")</f>
        <v>0</v>
      </c>
      <c r="AM55" s="915">
        <f t="array" ref="AM55">IFERROR(PERCENTILE(IF($AS$11:$AS$40="No",AM11:AM40),0.25),"")</f>
        <v>0</v>
      </c>
      <c r="AN55" s="915">
        <f t="array" ref="AN55">IFERROR(PERCENTILE(IF($AS$11:$AS$40="No",AN11:AN40),0.25),"")</f>
        <v>0</v>
      </c>
      <c r="AO55" s="915">
        <f t="array" ref="AO55">IFERROR(PERCENTILE(IF($AS$11:$AS$40="No",AO11:AO40),0.25),"")</f>
        <v>0</v>
      </c>
      <c r="AP55" s="915">
        <f t="array" ref="AP55">IFERROR(PERCENTILE(IF($AS$11:$AS$40="No",AP11:AP40),0.25),"")</f>
        <v>0</v>
      </c>
    </row>
    <row r="56" spans="2:43">
      <c r="C56" s="1034"/>
      <c r="E56" s="803" t="s">
        <v>208</v>
      </c>
      <c r="F56" s="1028">
        <f t="array" ref="F56">IFERROR(MIN(IF($AS$11:$AS$40="No",F11:F40)),"")</f>
        <v>0</v>
      </c>
      <c r="G56" s="1028">
        <f t="array" ref="G56">IFERROR(MIN(IF($AS$11:$AS$40="No",G11:G40)),"")</f>
        <v>0</v>
      </c>
      <c r="H56" s="1028">
        <f t="array" ref="H56">IFERROR(MIN(IF($AS$11:$AS$40="No",H11:H40)),"")</f>
        <v>0</v>
      </c>
      <c r="I56" s="1028">
        <f t="array" ref="I56">IFERROR(MIN(IF($AS$11:$AS$40="No",I11:I40)),"")</f>
        <v>0</v>
      </c>
      <c r="J56" s="1028">
        <f t="array" ref="J56">IFERROR(MIN(IF($AS$11:$AS$40="No",J11:J40)),"")</f>
        <v>0</v>
      </c>
      <c r="K56" s="1028">
        <f t="array" ref="K56">IFERROR(MIN(IF($AS$11:$AS$40="No",K11:K40)),"")</f>
        <v>0</v>
      </c>
      <c r="L56" s="1028">
        <f t="array" ref="L56">IFERROR(MIN(IF($AS$11:$AS$40="No",L11:L40)),"")</f>
        <v>0</v>
      </c>
      <c r="M56" s="1028">
        <f t="array" ref="M56">IFERROR(MIN(IF($AS$11:$AS$40="No",M11:M40)),"")</f>
        <v>0</v>
      </c>
      <c r="N56" s="1028">
        <f t="array" ref="N56">IFERROR(MIN(IF($AS$11:$AS$40="No",N11:N40)),"")</f>
        <v>0</v>
      </c>
      <c r="O56" s="1028">
        <f t="array" ref="O56">IFERROR(MIN(IF($AS$11:$AS$40="No",O11:O40)),"")</f>
        <v>0</v>
      </c>
      <c r="P56" s="1028">
        <f t="array" ref="P56">IFERROR(MIN(IF($AS$11:$AS$40="No",P11:P40)),"")</f>
        <v>0</v>
      </c>
      <c r="Q56" s="1028">
        <f t="array" ref="Q56">IFERROR(MIN(IF($AS$11:$AS$40="No",Q11:Q40)),"")</f>
        <v>0</v>
      </c>
      <c r="R56" s="917">
        <f t="array" ref="R56">IFERROR(MIN(IF($AS$11:$AS$40="No",R11:R40)),"")</f>
        <v>0</v>
      </c>
      <c r="S56" s="1028">
        <f t="array" ref="S56">IFERROR(MIN(IF($AS$11:$AS$40="No",S11:S40)),"")</f>
        <v>0</v>
      </c>
      <c r="T56" s="1028">
        <f t="array" ref="T56">IFERROR(MIN(IF($AS$11:$AS$40="No",T11:T40)),"")</f>
        <v>0</v>
      </c>
      <c r="U56" s="1028">
        <f t="array" ref="U56">IFERROR(MIN(IF($AS$11:$AS$40="No",U11:U40)),"")</f>
        <v>0</v>
      </c>
      <c r="V56" s="1028">
        <f t="array" ref="V56">IFERROR(MIN(IF($AS$11:$AS$40="No",V11:V40)),"")</f>
        <v>0</v>
      </c>
      <c r="W56" s="917">
        <f t="array" ref="W56">IFERROR(MIN(IF($AS$11:$AS$40="No",W11:W40)),"")</f>
        <v>0</v>
      </c>
      <c r="X56" s="917">
        <f t="array" ref="X56">IFERROR(MIN(IF($AS$11:$AS$40="No",X11:X40)),"")</f>
        <v>0</v>
      </c>
      <c r="Y56" s="917">
        <f t="array" ref="Y56">IFERROR(MIN(IF($AS$11:$AS$40="No",Y11:Y40)),"")</f>
        <v>0</v>
      </c>
      <c r="Z56" s="917">
        <f t="array" ref="Z56">IFERROR(MIN(IF($AS$11:$AS$40="No",Z11:Z40)),"")</f>
        <v>0</v>
      </c>
      <c r="AA56" s="917">
        <f t="array" ref="AA56">IFERROR(MIN(IF($AS$11:$AS$40="No",AA11:AA40)),"")</f>
        <v>0</v>
      </c>
      <c r="AB56" s="917">
        <f t="array" ref="AB56">IFERROR(MIN(IF($AS$11:$AS$40="No",AB11:AB40)),"")</f>
        <v>0</v>
      </c>
      <c r="AC56" s="917">
        <f t="array" ref="AC56">IFERROR(MIN(IF($AS$11:$AS$40="No",AC11:AC40)),"")</f>
        <v>0</v>
      </c>
      <c r="AD56" s="917">
        <f t="array" ref="AD56">IFERROR(MIN(IF($AS$11:$AS$40="No",AD11:AD40)),"")</f>
        <v>0</v>
      </c>
      <c r="AE56" s="917">
        <f t="array" ref="AE56">IFERROR(MIN(IF($AS$11:$AS$40="No",AE11:AE40)),"")</f>
        <v>0</v>
      </c>
      <c r="AF56" s="917">
        <f t="array" ref="AF56">IFERROR(MIN(IF($AS$11:$AS$40="No",AF11:AF40)),"")</f>
        <v>0</v>
      </c>
      <c r="AG56" s="917">
        <f t="array" ref="AG56">IFERROR(MIN(IF($AS$11:$AS$40="No",AG11:AG40)),"")</f>
        <v>0</v>
      </c>
      <c r="AH56" s="917">
        <f t="array" ref="AH56">IFERROR(MIN(IF($AS$11:$AS$40="No",AH11:AH40)),"")</f>
        <v>0</v>
      </c>
      <c r="AI56" s="917">
        <f t="array" ref="AI56">IFERROR(MIN(IF($AS$11:$AS$40="No",AI11:AI40)),"")</f>
        <v>0</v>
      </c>
      <c r="AJ56" s="917">
        <f t="array" ref="AJ56">IFERROR(MIN(IF($AS$11:$AS$40="No",AJ11:AJ40)),"")</f>
        <v>0</v>
      </c>
      <c r="AK56" s="917">
        <f t="array" ref="AK56">IFERROR(MIN(IF($AS$11:$AS$40="No",AK11:AK40)),"")</f>
        <v>0</v>
      </c>
      <c r="AL56" s="917">
        <f t="array" ref="AL56">IFERROR(MIN(IF($AS$11:$AS$40="No",AL11:AL40)),"")</f>
        <v>0</v>
      </c>
      <c r="AM56" s="917">
        <f t="array" ref="AM56">IFERROR(MIN(IF($AS$11:$AS$40="No",AM11:AM40)),"")</f>
        <v>0</v>
      </c>
      <c r="AN56" s="917">
        <f t="array" ref="AN56">IFERROR(MIN(IF($AS$11:$AS$40="No",AN11:AN40)),"")</f>
        <v>0</v>
      </c>
      <c r="AO56" s="917">
        <f t="array" ref="AO56">IFERROR(MIN(IF($AS$11:$AS$40="No",AO11:AO40)),"")</f>
        <v>0</v>
      </c>
      <c r="AP56" s="917">
        <f t="array" ref="AP56">IFERROR(MIN(IF($AS$11:$AS$40="No",AP11:AP40)),"")</f>
        <v>0</v>
      </c>
    </row>
    <row r="57" spans="2:43">
      <c r="C57" s="1034"/>
    </row>
    <row r="58" spans="2:43">
      <c r="C58" s="1034"/>
    </row>
    <row r="59" spans="2:43">
      <c r="C59" s="1034"/>
    </row>
    <row r="60" spans="2:43">
      <c r="C60" s="1034"/>
    </row>
    <row r="61" spans="2:43">
      <c r="C61" s="1034"/>
    </row>
    <row r="62" spans="2:43">
      <c r="C62" s="1034"/>
    </row>
    <row r="63" spans="2:43">
      <c r="C63" s="1034"/>
    </row>
    <row r="64" spans="2:43">
      <c r="C64" s="1034"/>
    </row>
    <row r="65" spans="3:3">
      <c r="C65" s="1034"/>
    </row>
    <row r="66" spans="3:3">
      <c r="C66" s="1034"/>
    </row>
  </sheetData>
  <mergeCells count="8">
    <mergeCell ref="AK7:AM7"/>
    <mergeCell ref="AN7:AP7"/>
    <mergeCell ref="F7:G7"/>
    <mergeCell ref="H7:N7"/>
    <mergeCell ref="O7:V7"/>
    <mergeCell ref="W7:AD7"/>
    <mergeCell ref="AE7:AG7"/>
    <mergeCell ref="AH7:AJ7"/>
  </mergeCells>
  <dataValidations count="1">
    <dataValidation type="list" allowBlank="1" showInputMessage="1" showErrorMessage="1" sqref="AS11:AS40" xr:uid="{AE12F88F-BCED-421C-9046-772A21566A36}">
      <formula1>"Yes, No"</formula1>
    </dataValidation>
  </dataValidations>
  <printOptions horizontalCentered="1"/>
  <pageMargins left="0.25" right="0.25" top="0.75" bottom="0.25" header="0.25" footer="0.25"/>
  <pageSetup scale="30" orientation="landscape" horizontalDpi="300" verticalDpi="300" r:id="rId1"/>
  <headerFooter alignWithMargins="0">
    <oddHeader>&amp;R&amp;"Arial"&amp;8&amp;K000000Confidential&amp;1#</oddHeader>
  </headerFooter>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A713-6A30-4568-8E7D-D59B90538CE4}">
  <sheetPr>
    <tabColor theme="1"/>
  </sheetPr>
  <dimension ref="A1:H30"/>
  <sheetViews>
    <sheetView showGridLines="0" workbookViewId="0">
      <selection activeCell="B5" sqref="B4:H5"/>
    </sheetView>
  </sheetViews>
  <sheetFormatPr defaultColWidth="0" defaultRowHeight="0" customHeight="1" zeroHeight="1"/>
  <cols>
    <col min="1" max="1" width="2.33203125" style="63" customWidth="1"/>
    <col min="2" max="8" width="8.6640625" style="63" customWidth="1"/>
    <col min="9" max="16384" width="8.6640625" style="63" hidden="1"/>
  </cols>
  <sheetData>
    <row r="1" spans="2:8" ht="11.25"/>
    <row r="2" spans="2:8" ht="11.25">
      <c r="B2" s="62" t="s">
        <v>2224</v>
      </c>
    </row>
    <row r="3" spans="2:8" ht="11.25">
      <c r="B3" s="64" t="str">
        <f>Inputs!$B$3</f>
        <v>Lazure Worldwide FZCO - Self Valuation using DCF Method, Transaction Multiples Method, &amp; Market Multiples Method as at September 30, 2024</v>
      </c>
    </row>
    <row r="4" spans="2:8" ht="11.25">
      <c r="B4" s="101" t="s">
        <v>2091</v>
      </c>
    </row>
    <row r="5" spans="2:8" ht="5.0999999999999996" customHeight="1" thickBot="1">
      <c r="B5" s="1042"/>
      <c r="C5" s="1043"/>
      <c r="D5" s="1043"/>
      <c r="E5" s="1043"/>
      <c r="F5" s="1043"/>
      <c r="G5" s="1043"/>
      <c r="H5" s="1043"/>
    </row>
    <row r="6" spans="2:8" ht="11.25"/>
    <row r="7" spans="2:8" ht="11.25">
      <c r="B7" s="62" t="s">
        <v>2090</v>
      </c>
    </row>
    <row r="8" spans="2:8" ht="11.25"/>
    <row r="9" spans="2:8" ht="11.25"/>
    <row r="10" spans="2:8" ht="11.25"/>
    <row r="11" spans="2:8" ht="11.25"/>
    <row r="12" spans="2:8" ht="11.25"/>
    <row r="13" spans="2:8" ht="11.25"/>
    <row r="14" spans="2:8" ht="11.25"/>
    <row r="15" spans="2:8" ht="11.25"/>
    <row r="16" spans="2:8" ht="11.25" hidden="1"/>
    <row r="17" ht="11.25" hidden="1"/>
    <row r="18" ht="11.25" hidden="1"/>
    <row r="19" ht="11.25" hidden="1"/>
    <row r="20" ht="11.25" hidden="1"/>
    <row r="21" ht="11.25" hidden="1"/>
    <row r="22" ht="11.25" hidden="1"/>
    <row r="23" ht="11.25" hidden="1"/>
    <row r="24" ht="11.25" hidden="1"/>
    <row r="25" ht="11.25" hidden="1"/>
    <row r="26" ht="11.25" hidden="1"/>
    <row r="27" ht="11.25" hidden="1"/>
    <row r="28" ht="11.25" hidden="1"/>
    <row r="29" ht="11.25" hidden="1"/>
    <row r="30" ht="11.25" hidden="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31D6-927C-4673-A138-766C5B8C6EB1}">
  <sheetPr>
    <tabColor theme="1" tint="0.499984740745262"/>
  </sheetPr>
  <dimension ref="A1:R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defaultColWidth="0" defaultRowHeight="11.25" outlineLevelRow="1"/>
  <cols>
    <col min="1" max="1" width="2.6640625" style="63" customWidth="1"/>
    <col min="2" max="4" width="8.6640625" style="63" customWidth="1"/>
    <col min="5" max="5" width="0" style="63" hidden="1" customWidth="1"/>
    <col min="6" max="6" width="10.109375" style="63" bestFit="1" customWidth="1"/>
    <col min="7" max="10" width="6.109375" style="63" bestFit="1" customWidth="1"/>
    <col min="11" max="11" width="8.6640625" style="63" customWidth="1"/>
    <col min="12" max="18" width="0" style="63" hidden="1" customWidth="1"/>
    <col min="19" max="16384" width="8.6640625" style="63" hidden="1"/>
  </cols>
  <sheetData>
    <row r="1" spans="1:10">
      <c r="H1" s="1852" t="s">
        <v>2178</v>
      </c>
      <c r="I1" s="1852"/>
      <c r="J1" s="1852"/>
    </row>
    <row r="2" spans="1:10">
      <c r="A2" s="1044"/>
      <c r="B2" s="1045" t="s">
        <v>2163</v>
      </c>
      <c r="E2" s="1046"/>
      <c r="F2" s="69" t="s">
        <v>1865</v>
      </c>
      <c r="G2" s="69" t="str">
        <f>IS!H7</f>
        <v>FY21</v>
      </c>
      <c r="H2" s="69" t="str">
        <f>IS!I7</f>
        <v>FY22</v>
      </c>
      <c r="I2" s="69" t="str">
        <f>IS!J7</f>
        <v>FY23</v>
      </c>
      <c r="J2" s="69" t="str">
        <f>IS!K7</f>
        <v>YTD24</v>
      </c>
    </row>
    <row r="3" spans="1:10">
      <c r="A3" s="1047"/>
      <c r="B3" s="1047"/>
      <c r="E3" s="1046"/>
      <c r="F3" s="68"/>
      <c r="G3" s="69" t="str">
        <f>IS!H8</f>
        <v>Actual</v>
      </c>
      <c r="H3" s="69" t="str">
        <f>IS!I8</f>
        <v>Actual</v>
      </c>
      <c r="I3" s="69" t="str">
        <f>IS!J8</f>
        <v>Actual</v>
      </c>
      <c r="J3" s="69" t="str">
        <f>IS!K8</f>
        <v>Actual</v>
      </c>
    </row>
    <row r="4" spans="1:10">
      <c r="A4" s="1048" t="s">
        <v>2176</v>
      </c>
      <c r="B4" s="93"/>
      <c r="C4" s="1049"/>
      <c r="D4" s="1049"/>
      <c r="E4" s="1049"/>
      <c r="F4" s="1049"/>
      <c r="G4" s="94"/>
      <c r="H4" s="94"/>
      <c r="I4" s="94"/>
      <c r="J4" s="94"/>
    </row>
    <row r="5" spans="1:10">
      <c r="B5" s="232"/>
      <c r="C5" s="229"/>
      <c r="D5" s="229"/>
      <c r="E5" s="229"/>
      <c r="F5" s="229"/>
      <c r="G5" s="229"/>
      <c r="H5" s="229"/>
      <c r="I5" s="229"/>
      <c r="J5" s="229"/>
    </row>
    <row r="6" spans="1:10" hidden="1" outlineLevel="1">
      <c r="B6" s="232" t="s">
        <v>1561</v>
      </c>
      <c r="C6" s="229"/>
      <c r="D6" s="229"/>
      <c r="E6" s="229"/>
      <c r="F6" s="229"/>
      <c r="G6" s="229"/>
      <c r="H6" s="229"/>
      <c r="I6" s="229"/>
      <c r="J6" s="229"/>
    </row>
    <row r="7" spans="1:10" hidden="1" outlineLevel="1">
      <c r="B7" s="229"/>
      <c r="C7" s="229" t="s">
        <v>2164</v>
      </c>
      <c r="D7" s="229"/>
      <c r="E7" s="229"/>
      <c r="F7" s="229"/>
      <c r="G7" s="198">
        <v>90000</v>
      </c>
      <c r="H7" s="198">
        <v>90000</v>
      </c>
      <c r="I7" s="198">
        <v>90000</v>
      </c>
      <c r="J7" s="198">
        <v>90000</v>
      </c>
    </row>
    <row r="8" spans="1:10" hidden="1" outlineLevel="1">
      <c r="B8" s="229"/>
      <c r="C8" s="229" t="s">
        <v>2165</v>
      </c>
      <c r="D8" s="229"/>
      <c r="E8" s="229"/>
      <c r="F8" s="229"/>
      <c r="G8" s="198">
        <v>40000</v>
      </c>
      <c r="H8" s="198">
        <v>40000</v>
      </c>
      <c r="I8" s="198">
        <v>40000</v>
      </c>
      <c r="J8" s="198">
        <v>40000</v>
      </c>
    </row>
    <row r="9" spans="1:10" hidden="1" outlineLevel="1">
      <c r="B9" s="229"/>
      <c r="C9" s="229" t="s">
        <v>2166</v>
      </c>
      <c r="D9" s="229"/>
      <c r="E9" s="229"/>
      <c r="F9" s="229"/>
      <c r="G9" s="198">
        <v>10000</v>
      </c>
      <c r="H9" s="198">
        <v>10000</v>
      </c>
      <c r="I9" s="198">
        <v>10000</v>
      </c>
      <c r="J9" s="198">
        <v>10000</v>
      </c>
    </row>
    <row r="10" spans="1:10" hidden="1" outlineLevel="1">
      <c r="B10" s="229"/>
      <c r="C10" s="229" t="s">
        <v>2167</v>
      </c>
      <c r="D10" s="229"/>
      <c r="E10" s="229"/>
      <c r="F10" s="229"/>
      <c r="G10" s="198">
        <v>22500</v>
      </c>
      <c r="H10" s="198">
        <v>22500</v>
      </c>
      <c r="I10" s="198">
        <v>22500</v>
      </c>
      <c r="J10" s="198">
        <v>22500</v>
      </c>
    </row>
    <row r="11" spans="1:10" hidden="1" outlineLevel="1">
      <c r="B11" s="229"/>
      <c r="C11" s="229" t="s">
        <v>2168</v>
      </c>
      <c r="D11" s="229"/>
      <c r="E11" s="229"/>
      <c r="F11" s="229"/>
      <c r="G11" s="198">
        <v>0</v>
      </c>
      <c r="H11" s="198">
        <v>0</v>
      </c>
      <c r="I11" s="198">
        <v>0</v>
      </c>
      <c r="J11" s="198">
        <v>0</v>
      </c>
    </row>
    <row r="12" spans="1:10" hidden="1" outlineLevel="1">
      <c r="B12" s="229"/>
      <c r="C12" s="229" t="s">
        <v>2169</v>
      </c>
      <c r="D12" s="229"/>
      <c r="E12" s="229"/>
      <c r="F12" s="229"/>
      <c r="G12" s="198">
        <v>0</v>
      </c>
      <c r="H12" s="198">
        <v>0</v>
      </c>
      <c r="I12" s="198">
        <v>0</v>
      </c>
      <c r="J12" s="198">
        <v>0</v>
      </c>
    </row>
    <row r="13" spans="1:10" hidden="1" outlineLevel="1">
      <c r="B13" s="229"/>
      <c r="C13" s="229" t="s">
        <v>2170</v>
      </c>
      <c r="D13" s="229"/>
      <c r="E13" s="229"/>
      <c r="F13" s="229"/>
      <c r="G13" s="198">
        <v>0</v>
      </c>
      <c r="H13" s="198">
        <v>0</v>
      </c>
      <c r="I13" s="198">
        <v>0</v>
      </c>
      <c r="J13" s="198">
        <v>0</v>
      </c>
    </row>
    <row r="14" spans="1:10" hidden="1" outlineLevel="1">
      <c r="B14" s="229"/>
      <c r="C14" s="229" t="s">
        <v>2171</v>
      </c>
      <c r="D14" s="229"/>
      <c r="E14" s="229"/>
      <c r="F14" s="229"/>
      <c r="G14" s="198">
        <v>0</v>
      </c>
      <c r="H14" s="198">
        <v>0</v>
      </c>
      <c r="I14" s="198">
        <v>0</v>
      </c>
      <c r="J14" s="198">
        <v>0</v>
      </c>
    </row>
    <row r="15" spans="1:10" hidden="1" outlineLevel="1">
      <c r="B15" s="229"/>
      <c r="C15" s="229" t="s">
        <v>2172</v>
      </c>
      <c r="D15" s="229"/>
      <c r="E15" s="229"/>
      <c r="F15" s="229"/>
      <c r="G15" s="198">
        <v>0</v>
      </c>
      <c r="H15" s="198">
        <v>0</v>
      </c>
      <c r="I15" s="198">
        <v>0</v>
      </c>
      <c r="J15" s="198">
        <v>0</v>
      </c>
    </row>
    <row r="16" spans="1:10" hidden="1" outlineLevel="1">
      <c r="B16" s="229"/>
      <c r="C16" s="229" t="s">
        <v>2173</v>
      </c>
      <c r="D16" s="229"/>
      <c r="E16" s="229"/>
      <c r="F16" s="229"/>
      <c r="G16" s="198">
        <v>0</v>
      </c>
      <c r="H16" s="198">
        <v>0</v>
      </c>
      <c r="I16" s="198">
        <v>0</v>
      </c>
      <c r="J16" s="198">
        <v>0</v>
      </c>
    </row>
    <row r="17" spans="2:10" hidden="1" outlineLevel="1">
      <c r="B17" s="229"/>
      <c r="C17" s="229" t="s">
        <v>2174</v>
      </c>
      <c r="D17" s="229"/>
      <c r="E17" s="229"/>
      <c r="F17" s="229"/>
      <c r="G17" s="198">
        <v>0</v>
      </c>
      <c r="H17" s="198">
        <v>0</v>
      </c>
      <c r="I17" s="198">
        <v>0</v>
      </c>
      <c r="J17" s="198">
        <v>0</v>
      </c>
    </row>
    <row r="18" spans="2:10" hidden="1" outlineLevel="1">
      <c r="B18" s="229"/>
      <c r="C18" s="229" t="s">
        <v>2175</v>
      </c>
      <c r="D18" s="229"/>
      <c r="E18" s="229"/>
      <c r="F18" s="229"/>
      <c r="G18" s="198">
        <v>0</v>
      </c>
      <c r="H18" s="198">
        <v>0</v>
      </c>
      <c r="I18" s="198">
        <v>0</v>
      </c>
      <c r="J18" s="198">
        <v>0</v>
      </c>
    </row>
    <row r="19" spans="2:10" collapsed="1">
      <c r="B19" s="239" t="s">
        <v>2046</v>
      </c>
      <c r="C19" s="239"/>
      <c r="D19" s="239"/>
      <c r="E19" s="239"/>
      <c r="F19" s="239"/>
      <c r="G19" s="240">
        <v>162500</v>
      </c>
      <c r="H19" s="240">
        <v>162500</v>
      </c>
      <c r="I19" s="240">
        <v>162500</v>
      </c>
      <c r="J19" s="240">
        <v>162500</v>
      </c>
    </row>
    <row r="20" spans="2:10" hidden="1" outlineLevel="1">
      <c r="B20" s="229"/>
      <c r="C20" s="229"/>
      <c r="D20" s="229"/>
      <c r="E20" s="229"/>
      <c r="F20" s="229"/>
      <c r="G20" s="229"/>
      <c r="H20" s="229"/>
      <c r="I20" s="229"/>
      <c r="J20" s="229"/>
    </row>
    <row r="21" spans="2:10" hidden="1" outlineLevel="1">
      <c r="B21" s="232" t="s">
        <v>1562</v>
      </c>
      <c r="C21" s="229"/>
      <c r="D21" s="229"/>
      <c r="E21" s="229"/>
      <c r="F21" s="229"/>
      <c r="G21" s="229"/>
      <c r="H21" s="229"/>
      <c r="I21" s="229"/>
      <c r="J21" s="229"/>
    </row>
    <row r="22" spans="2:10" hidden="1" outlineLevel="1">
      <c r="B22" s="229"/>
      <c r="C22" s="229" t="s">
        <v>2164</v>
      </c>
      <c r="D22" s="229"/>
      <c r="E22" s="229"/>
      <c r="F22" s="229"/>
      <c r="G22" s="198">
        <v>72000</v>
      </c>
      <c r="H22" s="198">
        <v>72000</v>
      </c>
      <c r="I22" s="198">
        <v>72000</v>
      </c>
      <c r="J22" s="198">
        <v>72000</v>
      </c>
    </row>
    <row r="23" spans="2:10" hidden="1" outlineLevel="1">
      <c r="B23" s="229"/>
      <c r="C23" s="229" t="s">
        <v>2165</v>
      </c>
      <c r="D23" s="229"/>
      <c r="E23" s="229"/>
      <c r="F23" s="229"/>
      <c r="G23" s="198">
        <v>24000</v>
      </c>
      <c r="H23" s="198">
        <v>24000</v>
      </c>
      <c r="I23" s="198">
        <v>24000</v>
      </c>
      <c r="J23" s="198">
        <v>24000</v>
      </c>
    </row>
    <row r="24" spans="2:10" hidden="1" outlineLevel="1">
      <c r="B24" s="229"/>
      <c r="C24" s="229" t="s">
        <v>2166</v>
      </c>
      <c r="D24" s="229"/>
      <c r="E24" s="229"/>
      <c r="F24" s="229"/>
      <c r="G24" s="198">
        <v>5500</v>
      </c>
      <c r="H24" s="198">
        <v>5500</v>
      </c>
      <c r="I24" s="198">
        <v>5500</v>
      </c>
      <c r="J24" s="198">
        <v>5500</v>
      </c>
    </row>
    <row r="25" spans="2:10" hidden="1" outlineLevel="1">
      <c r="B25" s="229"/>
      <c r="C25" s="229" t="s">
        <v>2167</v>
      </c>
      <c r="D25" s="229"/>
      <c r="E25" s="229"/>
      <c r="F25" s="229"/>
      <c r="G25" s="198">
        <v>17100</v>
      </c>
      <c r="H25" s="198">
        <v>17100</v>
      </c>
      <c r="I25" s="198">
        <v>17100</v>
      </c>
      <c r="J25" s="198">
        <v>17100</v>
      </c>
    </row>
    <row r="26" spans="2:10" hidden="1" outlineLevel="1">
      <c r="B26" s="229"/>
      <c r="C26" s="229" t="s">
        <v>2168</v>
      </c>
      <c r="D26" s="229"/>
      <c r="E26" s="229"/>
      <c r="F26" s="229"/>
      <c r="G26" s="198">
        <v>0</v>
      </c>
      <c r="H26" s="198">
        <v>0</v>
      </c>
      <c r="I26" s="198">
        <v>0</v>
      </c>
      <c r="J26" s="198">
        <v>0</v>
      </c>
    </row>
    <row r="27" spans="2:10" hidden="1" outlineLevel="1">
      <c r="B27" s="229"/>
      <c r="C27" s="229" t="s">
        <v>2169</v>
      </c>
      <c r="D27" s="229"/>
      <c r="E27" s="229"/>
      <c r="F27" s="229"/>
      <c r="G27" s="198">
        <v>0</v>
      </c>
      <c r="H27" s="198">
        <v>0</v>
      </c>
      <c r="I27" s="198">
        <v>0</v>
      </c>
      <c r="J27" s="198">
        <v>0</v>
      </c>
    </row>
    <row r="28" spans="2:10" hidden="1" outlineLevel="1">
      <c r="B28" s="229"/>
      <c r="C28" s="229" t="s">
        <v>2170</v>
      </c>
      <c r="D28" s="229"/>
      <c r="E28" s="229"/>
      <c r="F28" s="229"/>
      <c r="G28" s="198">
        <v>0</v>
      </c>
      <c r="H28" s="198">
        <v>0</v>
      </c>
      <c r="I28" s="198">
        <v>0</v>
      </c>
      <c r="J28" s="198">
        <v>0</v>
      </c>
    </row>
    <row r="29" spans="2:10" hidden="1" outlineLevel="1">
      <c r="B29" s="229"/>
      <c r="C29" s="229" t="s">
        <v>2171</v>
      </c>
      <c r="D29" s="229"/>
      <c r="E29" s="229"/>
      <c r="F29" s="229"/>
      <c r="G29" s="198">
        <v>0</v>
      </c>
      <c r="H29" s="198">
        <v>0</v>
      </c>
      <c r="I29" s="198">
        <v>0</v>
      </c>
      <c r="J29" s="198">
        <v>0</v>
      </c>
    </row>
    <row r="30" spans="2:10" hidden="1" outlineLevel="1">
      <c r="B30" s="229"/>
      <c r="C30" s="229" t="s">
        <v>2172</v>
      </c>
      <c r="D30" s="229"/>
      <c r="E30" s="229"/>
      <c r="F30" s="229"/>
      <c r="G30" s="198">
        <v>0</v>
      </c>
      <c r="H30" s="198">
        <v>0</v>
      </c>
      <c r="I30" s="198">
        <v>0</v>
      </c>
      <c r="J30" s="198">
        <v>0</v>
      </c>
    </row>
    <row r="31" spans="2:10" hidden="1" outlineLevel="1">
      <c r="B31" s="229"/>
      <c r="C31" s="229" t="s">
        <v>2173</v>
      </c>
      <c r="D31" s="229"/>
      <c r="E31" s="229"/>
      <c r="F31" s="229"/>
      <c r="G31" s="198">
        <v>0</v>
      </c>
      <c r="H31" s="198">
        <v>0</v>
      </c>
      <c r="I31" s="198">
        <v>0</v>
      </c>
      <c r="J31" s="198">
        <v>0</v>
      </c>
    </row>
    <row r="32" spans="2:10" hidden="1" outlineLevel="1">
      <c r="B32" s="229"/>
      <c r="C32" s="229" t="s">
        <v>2174</v>
      </c>
      <c r="D32" s="229"/>
      <c r="E32" s="229"/>
      <c r="F32" s="229"/>
      <c r="G32" s="198">
        <v>0</v>
      </c>
      <c r="H32" s="198">
        <v>0</v>
      </c>
      <c r="I32" s="198">
        <v>0</v>
      </c>
      <c r="J32" s="198">
        <v>0</v>
      </c>
    </row>
    <row r="33" spans="2:10" hidden="1" outlineLevel="1">
      <c r="B33" s="229"/>
      <c r="C33" s="229" t="s">
        <v>2175</v>
      </c>
      <c r="D33" s="229"/>
      <c r="E33" s="229"/>
      <c r="F33" s="229"/>
      <c r="G33" s="198">
        <v>0</v>
      </c>
      <c r="H33" s="198">
        <v>0</v>
      </c>
      <c r="I33" s="198">
        <v>0</v>
      </c>
      <c r="J33" s="198">
        <v>0</v>
      </c>
    </row>
    <row r="34" spans="2:10" collapsed="1">
      <c r="B34" s="241" t="s">
        <v>2047</v>
      </c>
      <c r="C34" s="241"/>
      <c r="D34" s="241"/>
      <c r="E34" s="241"/>
      <c r="F34" s="241"/>
      <c r="G34" s="242">
        <v>-118600</v>
      </c>
      <c r="H34" s="242">
        <v>-118600</v>
      </c>
      <c r="I34" s="242">
        <v>-118600</v>
      </c>
      <c r="J34" s="242">
        <v>-118600</v>
      </c>
    </row>
    <row r="35" spans="2:10">
      <c r="B35" s="229"/>
      <c r="C35" s="229"/>
      <c r="D35" s="229"/>
      <c r="E35" s="229"/>
      <c r="F35" s="229"/>
      <c r="G35" s="229"/>
      <c r="H35" s="229"/>
      <c r="I35" s="229"/>
      <c r="J35" s="229"/>
    </row>
    <row r="36" spans="2:10">
      <c r="B36" s="232" t="s">
        <v>226</v>
      </c>
      <c r="C36" s="232"/>
      <c r="D36" s="232"/>
      <c r="E36" s="232"/>
      <c r="F36" s="232"/>
      <c r="G36" s="243">
        <v>43900</v>
      </c>
      <c r="H36" s="243">
        <v>43900</v>
      </c>
      <c r="I36" s="243">
        <v>43900</v>
      </c>
      <c r="J36" s="243">
        <v>43900</v>
      </c>
    </row>
    <row r="37" spans="2:10">
      <c r="B37" s="229"/>
      <c r="C37" s="229"/>
      <c r="D37" s="229"/>
      <c r="E37" s="229"/>
      <c r="F37" s="229"/>
      <c r="G37" s="229"/>
      <c r="H37" s="229"/>
      <c r="I37" s="229"/>
      <c r="J37" s="229"/>
    </row>
    <row r="38" spans="2:10">
      <c r="B38" s="232" t="s">
        <v>1563</v>
      </c>
      <c r="C38" s="229"/>
      <c r="D38" s="229"/>
      <c r="E38" s="229"/>
      <c r="F38" s="229"/>
      <c r="G38" s="229"/>
      <c r="H38" s="229"/>
      <c r="I38" s="229"/>
      <c r="J38" s="229"/>
    </row>
    <row r="39" spans="2:10">
      <c r="B39" s="232"/>
      <c r="C39" s="229" t="s">
        <v>1822</v>
      </c>
      <c r="D39" s="229"/>
      <c r="E39" s="229"/>
      <c r="F39" s="229"/>
      <c r="G39" s="198">
        <v>-25859</v>
      </c>
      <c r="H39" s="198">
        <v>-25859</v>
      </c>
      <c r="I39" s="198">
        <v>-430250</v>
      </c>
      <c r="J39" s="198">
        <v>-430250</v>
      </c>
    </row>
    <row r="40" spans="2:10">
      <c r="B40" s="232"/>
      <c r="C40" s="229" t="s">
        <v>1823</v>
      </c>
      <c r="D40" s="229"/>
      <c r="E40" s="229"/>
      <c r="F40" s="229"/>
      <c r="G40" s="198">
        <v>0</v>
      </c>
      <c r="H40" s="198">
        <v>0</v>
      </c>
      <c r="I40" s="198">
        <v>-39764</v>
      </c>
      <c r="J40" s="198">
        <v>-39764</v>
      </c>
    </row>
    <row r="41" spans="2:10">
      <c r="B41" s="232"/>
      <c r="C41" s="229" t="s">
        <v>1824</v>
      </c>
      <c r="D41" s="229"/>
      <c r="E41" s="229"/>
      <c r="F41" s="229"/>
      <c r="G41" s="198">
        <v>-57731</v>
      </c>
      <c r="H41" s="198">
        <v>-57731</v>
      </c>
      <c r="I41" s="198">
        <v>-83433</v>
      </c>
      <c r="J41" s="198">
        <v>-83433</v>
      </c>
    </row>
    <row r="42" spans="2:10">
      <c r="B42" s="232"/>
      <c r="C42" s="229" t="s">
        <v>1825</v>
      </c>
      <c r="D42" s="229"/>
      <c r="E42" s="229"/>
      <c r="F42" s="229"/>
      <c r="G42" s="198">
        <v>-46928</v>
      </c>
      <c r="H42" s="198">
        <v>-46928</v>
      </c>
      <c r="I42" s="198">
        <v>-98038</v>
      </c>
      <c r="J42" s="198">
        <v>-98038</v>
      </c>
    </row>
    <row r="43" spans="2:10">
      <c r="B43" s="229"/>
      <c r="C43" s="229" t="s">
        <v>1826</v>
      </c>
      <c r="D43" s="229"/>
      <c r="E43" s="229"/>
      <c r="F43" s="229"/>
      <c r="G43" s="198">
        <v>-34136</v>
      </c>
      <c r="H43" s="198">
        <v>-34136</v>
      </c>
      <c r="I43" s="198">
        <v>-38142</v>
      </c>
      <c r="J43" s="198">
        <v>-38142</v>
      </c>
    </row>
    <row r="44" spans="2:10">
      <c r="B44" s="229"/>
      <c r="C44" s="229" t="s">
        <v>1827</v>
      </c>
      <c r="D44" s="229"/>
      <c r="E44" s="229"/>
      <c r="F44" s="229"/>
      <c r="G44" s="198">
        <v>-10725</v>
      </c>
      <c r="H44" s="198">
        <v>-10725</v>
      </c>
      <c r="I44" s="198">
        <v>-33816</v>
      </c>
      <c r="J44" s="198">
        <v>-33816</v>
      </c>
    </row>
    <row r="45" spans="2:10">
      <c r="B45" s="229"/>
      <c r="C45" s="229" t="s">
        <v>1828</v>
      </c>
      <c r="D45" s="229"/>
      <c r="E45" s="229"/>
      <c r="F45" s="229"/>
      <c r="G45" s="198">
        <v>-22605</v>
      </c>
      <c r="H45" s="198">
        <v>-22605</v>
      </c>
      <c r="I45" s="198">
        <v>-70843</v>
      </c>
      <c r="J45" s="198">
        <v>-70843</v>
      </c>
    </row>
    <row r="46" spans="2:10">
      <c r="B46" s="244" t="s">
        <v>1564</v>
      </c>
      <c r="C46" s="244"/>
      <c r="D46" s="244"/>
      <c r="E46" s="244"/>
      <c r="F46" s="244"/>
      <c r="G46" s="245">
        <v>-197984</v>
      </c>
      <c r="H46" s="245">
        <v>-197984</v>
      </c>
      <c r="I46" s="245">
        <v>-794286</v>
      </c>
      <c r="J46" s="245">
        <v>-794286</v>
      </c>
    </row>
    <row r="47" spans="2:10">
      <c r="B47" s="229"/>
      <c r="C47" s="229"/>
      <c r="D47" s="229"/>
      <c r="E47" s="229"/>
      <c r="F47" s="229"/>
      <c r="G47" s="229"/>
      <c r="H47" s="229"/>
      <c r="I47" s="229"/>
      <c r="J47" s="229"/>
    </row>
    <row r="48" spans="2:10">
      <c r="B48" s="232" t="s">
        <v>2049</v>
      </c>
      <c r="C48" s="232"/>
      <c r="D48" s="232"/>
      <c r="E48" s="232"/>
      <c r="F48" s="232"/>
      <c r="G48" s="243">
        <v>-154084</v>
      </c>
      <c r="H48" s="243">
        <v>-154084</v>
      </c>
      <c r="I48" s="243">
        <v>-750386</v>
      </c>
      <c r="J48" s="243">
        <v>-750386</v>
      </c>
    </row>
    <row r="49" spans="2:10">
      <c r="B49" s="229"/>
      <c r="C49" s="229" t="s">
        <v>97</v>
      </c>
      <c r="D49" s="229"/>
      <c r="E49" s="229"/>
      <c r="F49" s="229"/>
      <c r="G49" s="229"/>
      <c r="H49" s="229"/>
      <c r="I49" s="229"/>
      <c r="J49" s="229"/>
    </row>
    <row r="50" spans="2:10">
      <c r="B50" s="232" t="s">
        <v>2051</v>
      </c>
      <c r="C50" s="229"/>
      <c r="D50" s="229"/>
      <c r="E50" s="229"/>
      <c r="F50" s="229"/>
      <c r="G50" s="229"/>
      <c r="H50" s="229"/>
      <c r="I50" s="229"/>
      <c r="J50" s="229"/>
    </row>
    <row r="51" spans="2:10">
      <c r="B51" s="229"/>
      <c r="C51" s="229" t="s">
        <v>1565</v>
      </c>
      <c r="D51" s="229"/>
      <c r="E51" s="229"/>
      <c r="F51" s="229"/>
      <c r="G51" s="246"/>
      <c r="H51" s="246"/>
      <c r="I51" s="246"/>
      <c r="J51" s="246"/>
    </row>
    <row r="52" spans="2:10">
      <c r="B52" s="229"/>
      <c r="C52" s="229" t="s">
        <v>1566</v>
      </c>
      <c r="D52" s="229"/>
      <c r="E52" s="229"/>
      <c r="F52" s="229"/>
      <c r="G52" s="246"/>
      <c r="H52" s="246"/>
      <c r="I52" s="246"/>
      <c r="J52" s="246"/>
    </row>
    <row r="53" spans="2:10">
      <c r="B53" s="229"/>
      <c r="C53" s="229" t="s">
        <v>1567</v>
      </c>
      <c r="D53" s="229"/>
      <c r="E53" s="229"/>
      <c r="F53" s="229"/>
      <c r="G53" s="246"/>
      <c r="H53" s="246"/>
      <c r="I53" s="246"/>
      <c r="J53" s="246"/>
    </row>
    <row r="54" spans="2:10">
      <c r="B54" s="229"/>
      <c r="C54" s="229" t="s">
        <v>1568</v>
      </c>
      <c r="D54" s="229"/>
      <c r="E54" s="229"/>
      <c r="F54" s="229"/>
      <c r="G54" s="246"/>
      <c r="H54" s="246"/>
      <c r="I54" s="246"/>
      <c r="J54" s="246"/>
    </row>
    <row r="55" spans="2:10">
      <c r="B55" s="247" t="s">
        <v>1569</v>
      </c>
      <c r="C55" s="247"/>
      <c r="D55" s="247"/>
      <c r="E55" s="247"/>
      <c r="F55" s="247"/>
      <c r="G55" s="248">
        <v>0</v>
      </c>
      <c r="H55" s="248">
        <v>0</v>
      </c>
      <c r="I55" s="248">
        <v>0</v>
      </c>
      <c r="J55" s="248">
        <v>0</v>
      </c>
    </row>
    <row r="56" spans="2:10">
      <c r="B56" s="229"/>
      <c r="C56" s="229"/>
      <c r="D56" s="229"/>
      <c r="E56" s="229"/>
      <c r="F56" s="229"/>
      <c r="G56" s="229"/>
      <c r="H56" s="229"/>
      <c r="I56" s="229"/>
      <c r="J56" s="229"/>
    </row>
    <row r="57" spans="2:10">
      <c r="B57" s="232" t="s">
        <v>1401</v>
      </c>
      <c r="C57" s="232"/>
      <c r="D57" s="232"/>
      <c r="E57" s="232"/>
      <c r="F57" s="232"/>
      <c r="G57" s="243">
        <v>-154084</v>
      </c>
      <c r="H57" s="243">
        <v>-154084</v>
      </c>
      <c r="I57" s="243">
        <v>-750386</v>
      </c>
      <c r="J57" s="243">
        <v>-750386</v>
      </c>
    </row>
    <row r="58" spans="2:10">
      <c r="B58" s="229"/>
      <c r="C58" s="229"/>
      <c r="D58" s="229"/>
      <c r="E58" s="229"/>
      <c r="F58" s="229"/>
      <c r="G58" s="229"/>
      <c r="H58" s="229"/>
      <c r="I58" s="229"/>
      <c r="J58" s="229"/>
    </row>
    <row r="59" spans="2:10">
      <c r="B59" s="229"/>
      <c r="C59" s="229" t="s">
        <v>2050</v>
      </c>
      <c r="D59" s="229"/>
      <c r="E59" s="229"/>
      <c r="F59" s="229"/>
      <c r="G59" s="229"/>
      <c r="H59" s="229"/>
      <c r="I59" s="229"/>
      <c r="J59" s="229"/>
    </row>
    <row r="60" spans="2:10">
      <c r="B60" s="247" t="s">
        <v>2052</v>
      </c>
      <c r="C60" s="247"/>
      <c r="D60" s="247"/>
      <c r="E60" s="247"/>
      <c r="F60" s="247"/>
      <c r="G60" s="248">
        <v>-154084</v>
      </c>
      <c r="H60" s="248">
        <v>-154084</v>
      </c>
      <c r="I60" s="248">
        <v>-750386</v>
      </c>
      <c r="J60" s="248">
        <v>-750386</v>
      </c>
    </row>
    <row r="61" spans="2:10">
      <c r="B61" s="229"/>
      <c r="C61" s="229"/>
      <c r="D61" s="229"/>
      <c r="E61" s="229"/>
      <c r="F61" s="229"/>
      <c r="G61" s="229"/>
      <c r="H61" s="229"/>
      <c r="I61" s="229"/>
      <c r="J61" s="229"/>
    </row>
    <row r="62" spans="2:10">
      <c r="B62" s="229"/>
      <c r="C62" s="229" t="s">
        <v>2048</v>
      </c>
      <c r="D62" s="229"/>
      <c r="E62" s="229"/>
      <c r="F62" s="229"/>
      <c r="G62" s="198">
        <v>0</v>
      </c>
      <c r="H62" s="198">
        <v>0</v>
      </c>
      <c r="I62" s="198">
        <v>0</v>
      </c>
      <c r="J62" s="198">
        <v>0</v>
      </c>
    </row>
    <row r="63" spans="2:10">
      <c r="B63" s="247" t="s">
        <v>2053</v>
      </c>
      <c r="C63" s="247"/>
      <c r="D63" s="247"/>
      <c r="E63" s="247"/>
      <c r="F63" s="247"/>
      <c r="G63" s="248">
        <v>-154084</v>
      </c>
      <c r="H63" s="248">
        <v>-154084</v>
      </c>
      <c r="I63" s="248">
        <v>-750386</v>
      </c>
      <c r="J63" s="248">
        <v>-750386</v>
      </c>
    </row>
    <row r="64" spans="2:10">
      <c r="B64" s="229"/>
      <c r="C64" s="229"/>
      <c r="D64" s="229"/>
      <c r="E64" s="229"/>
      <c r="F64" s="229"/>
      <c r="G64" s="229"/>
      <c r="H64" s="229"/>
      <c r="I64" s="229"/>
      <c r="J64" s="229"/>
    </row>
    <row r="65" spans="2:10">
      <c r="B65" s="229"/>
      <c r="C65" s="229" t="s">
        <v>1570</v>
      </c>
      <c r="D65" s="229"/>
      <c r="E65" s="229"/>
      <c r="F65" s="229"/>
      <c r="G65" s="246"/>
      <c r="H65" s="246"/>
      <c r="I65" s="246"/>
      <c r="J65" s="246"/>
    </row>
    <row r="66" spans="2:10">
      <c r="B66" s="229"/>
      <c r="C66" s="229" t="s">
        <v>1431</v>
      </c>
      <c r="D66" s="229"/>
      <c r="E66" s="229"/>
      <c r="F66" s="229"/>
      <c r="G66" s="246"/>
      <c r="H66" s="246"/>
      <c r="I66" s="246"/>
      <c r="J66" s="246"/>
    </row>
    <row r="67" spans="2:10">
      <c r="B67" s="247" t="s">
        <v>1571</v>
      </c>
      <c r="C67" s="247"/>
      <c r="D67" s="247"/>
      <c r="E67" s="247"/>
      <c r="F67" s="247"/>
      <c r="G67" s="249">
        <v>-154084</v>
      </c>
      <c r="H67" s="249">
        <v>-154084</v>
      </c>
      <c r="I67" s="249">
        <v>-750386</v>
      </c>
      <c r="J67" s="249">
        <v>-750386</v>
      </c>
    </row>
    <row r="68" spans="2:10">
      <c r="B68" s="229"/>
      <c r="C68" s="229"/>
      <c r="D68" s="229"/>
      <c r="E68" s="229"/>
      <c r="F68" s="229"/>
      <c r="G68" s="229"/>
      <c r="H68" s="229"/>
      <c r="I68" s="229"/>
      <c r="J68" s="229"/>
    </row>
    <row r="69" spans="2:10">
      <c r="B69" s="229"/>
      <c r="C69" s="229" t="s">
        <v>1572</v>
      </c>
      <c r="D69" s="229"/>
      <c r="E69" s="229"/>
      <c r="F69" s="229"/>
      <c r="G69" s="246"/>
      <c r="H69" s="246"/>
      <c r="I69" s="246"/>
      <c r="J69" s="246"/>
    </row>
    <row r="70" spans="2:10">
      <c r="B70" s="247" t="s">
        <v>1573</v>
      </c>
      <c r="C70" s="247"/>
      <c r="D70" s="247"/>
      <c r="E70" s="247"/>
      <c r="F70" s="247"/>
      <c r="G70" s="249">
        <v>-154084</v>
      </c>
      <c r="H70" s="249">
        <v>-154084</v>
      </c>
      <c r="I70" s="249">
        <v>-750386</v>
      </c>
      <c r="J70" s="249">
        <v>-750386</v>
      </c>
    </row>
    <row r="71" spans="2:10">
      <c r="B71" s="229"/>
      <c r="C71" s="229"/>
      <c r="D71" s="229"/>
      <c r="E71" s="229"/>
      <c r="F71" s="229"/>
      <c r="G71" s="229"/>
      <c r="H71" s="229"/>
      <c r="I71" s="229"/>
      <c r="J71" s="229"/>
    </row>
    <row r="72" spans="2:10">
      <c r="B72" s="229"/>
      <c r="C72" s="229" t="s">
        <v>1574</v>
      </c>
      <c r="D72" s="229"/>
      <c r="E72" s="229"/>
      <c r="F72" s="229"/>
      <c r="G72" s="246"/>
      <c r="H72" s="246"/>
      <c r="I72" s="246"/>
      <c r="J72" s="246"/>
    </row>
    <row r="73" spans="2:10">
      <c r="B73" s="229"/>
      <c r="C73" s="229" t="s">
        <v>1575</v>
      </c>
      <c r="D73" s="229"/>
      <c r="E73" s="229"/>
      <c r="F73" s="229"/>
      <c r="G73" s="246"/>
      <c r="H73" s="246"/>
      <c r="I73" s="246"/>
      <c r="J73" s="246"/>
    </row>
    <row r="74" spans="2:10">
      <c r="B74" s="247" t="s">
        <v>1576</v>
      </c>
      <c r="C74" s="247"/>
      <c r="D74" s="247"/>
      <c r="E74" s="247"/>
      <c r="F74" s="247"/>
      <c r="G74" s="249">
        <v>-154084</v>
      </c>
      <c r="H74" s="249">
        <v>-154084</v>
      </c>
      <c r="I74" s="249">
        <v>-750386</v>
      </c>
      <c r="J74" s="249">
        <v>-750386</v>
      </c>
    </row>
    <row r="75" spans="2:10">
      <c r="B75" s="229"/>
      <c r="C75" s="229"/>
      <c r="D75" s="229"/>
      <c r="E75" s="229"/>
      <c r="F75" s="229"/>
      <c r="G75" s="229"/>
      <c r="H75" s="229"/>
      <c r="I75" s="229"/>
      <c r="J75" s="229"/>
    </row>
    <row r="76" spans="2:10">
      <c r="B76" s="251"/>
      <c r="C76" s="251"/>
      <c r="D76" s="251"/>
      <c r="E76" s="251"/>
      <c r="F76" s="229"/>
      <c r="G76" s="229"/>
      <c r="H76" s="229"/>
      <c r="I76" s="229"/>
      <c r="J76" s="229"/>
    </row>
    <row r="77" spans="2:10">
      <c r="B77" s="251"/>
      <c r="C77" s="251"/>
      <c r="D77" s="251"/>
      <c r="E77" s="251"/>
      <c r="F77" s="229"/>
      <c r="G77" s="229"/>
      <c r="H77" s="229"/>
      <c r="I77" s="229"/>
      <c r="J77" s="229"/>
    </row>
    <row r="78" spans="2:10">
      <c r="B78" s="1050" t="s">
        <v>2127</v>
      </c>
      <c r="C78" s="1051"/>
      <c r="D78" s="1051"/>
      <c r="E78" s="1051"/>
      <c r="F78" s="1051"/>
      <c r="G78" s="1051"/>
      <c r="H78" s="1051"/>
      <c r="I78" s="1051"/>
      <c r="J78" s="1051"/>
    </row>
    <row r="79" spans="2:10">
      <c r="B79" s="252" t="s">
        <v>1837</v>
      </c>
      <c r="C79" s="229"/>
      <c r="D79" s="229"/>
      <c r="E79" s="229"/>
      <c r="F79" s="229"/>
      <c r="G79" s="253" t="e">
        <v>#DIV/0!</v>
      </c>
      <c r="H79" s="253" t="e">
        <v>#DIV/0!</v>
      </c>
      <c r="I79" s="253">
        <v>0</v>
      </c>
      <c r="J79" s="253">
        <v>0</v>
      </c>
    </row>
    <row r="80" spans="2:10">
      <c r="B80" s="229" t="s">
        <v>2128</v>
      </c>
      <c r="C80" s="229"/>
      <c r="D80" s="229"/>
      <c r="E80" s="229"/>
      <c r="F80" s="229"/>
      <c r="G80" s="253">
        <v>0.27015384615384613</v>
      </c>
      <c r="H80" s="253">
        <v>0.27015384615384613</v>
      </c>
      <c r="I80" s="253">
        <v>0.27015384615384613</v>
      </c>
      <c r="J80" s="253">
        <v>0.27015384615384613</v>
      </c>
    </row>
    <row r="81" spans="1:10">
      <c r="B81" s="229" t="s">
        <v>2129</v>
      </c>
      <c r="C81" s="229"/>
      <c r="D81" s="229"/>
      <c r="E81" s="229"/>
      <c r="F81" s="229"/>
      <c r="G81" s="253">
        <v>1.2183630769230769</v>
      </c>
      <c r="H81" s="253">
        <v>1.2183630769230769</v>
      </c>
      <c r="I81" s="253">
        <v>4.8879138461538458</v>
      </c>
      <c r="J81" s="253">
        <v>4.8879138461538458</v>
      </c>
    </row>
    <row r="82" spans="1:10">
      <c r="B82" s="229" t="s">
        <v>1402</v>
      </c>
      <c r="C82" s="229"/>
      <c r="D82" s="229"/>
      <c r="E82" s="229"/>
      <c r="F82" s="229"/>
      <c r="G82" s="253">
        <v>-0.9482092307692308</v>
      </c>
      <c r="H82" s="253">
        <v>-0.9482092307692308</v>
      </c>
      <c r="I82" s="253">
        <v>-4.6177599999999996</v>
      </c>
      <c r="J82" s="253">
        <v>-4.6177599999999996</v>
      </c>
    </row>
    <row r="83" spans="1:10">
      <c r="B83" s="229" t="s">
        <v>2130</v>
      </c>
      <c r="C83" s="229"/>
      <c r="D83" s="229"/>
      <c r="E83" s="229"/>
      <c r="F83" s="229"/>
      <c r="G83" s="253">
        <v>0</v>
      </c>
      <c r="H83" s="253">
        <v>0</v>
      </c>
      <c r="I83" s="253">
        <v>0</v>
      </c>
      <c r="J83" s="253">
        <v>0</v>
      </c>
    </row>
    <row r="84" spans="1:10">
      <c r="B84" s="229" t="s">
        <v>1838</v>
      </c>
      <c r="C84" s="229"/>
      <c r="D84" s="229"/>
      <c r="E84" s="229"/>
      <c r="F84" s="229"/>
      <c r="G84" s="253">
        <v>-0.9482092307692308</v>
      </c>
      <c r="H84" s="253">
        <v>-0.9482092307692308</v>
      </c>
      <c r="I84" s="253">
        <v>-4.6177599999999996</v>
      </c>
      <c r="J84" s="253">
        <v>-4.6177599999999996</v>
      </c>
    </row>
    <row r="85" spans="1:10">
      <c r="B85" s="229"/>
      <c r="C85" s="229"/>
      <c r="D85" s="229"/>
      <c r="E85" s="229"/>
      <c r="F85" s="229"/>
      <c r="G85" s="229"/>
      <c r="H85" s="229"/>
      <c r="I85" s="229"/>
      <c r="J85" s="229"/>
    </row>
    <row r="86" spans="1:10">
      <c r="A86" s="1048" t="s">
        <v>2177</v>
      </c>
      <c r="B86" s="1048"/>
      <c r="C86" s="1049"/>
      <c r="D86" s="1049"/>
      <c r="E86" s="1049"/>
      <c r="F86" s="94"/>
      <c r="G86" s="94"/>
      <c r="H86" s="94"/>
      <c r="I86" s="94"/>
      <c r="J86" s="94"/>
    </row>
    <row r="88" spans="1:10">
      <c r="B88" s="232" t="s">
        <v>1506</v>
      </c>
      <c r="C88" s="229"/>
      <c r="D88" s="229"/>
      <c r="E88" s="229"/>
      <c r="F88" s="229"/>
      <c r="G88" s="268">
        <v>0</v>
      </c>
      <c r="H88" s="268">
        <v>0</v>
      </c>
      <c r="I88" s="268">
        <v>0</v>
      </c>
      <c r="J88" s="268">
        <v>0</v>
      </c>
    </row>
    <row r="89" spans="1:10">
      <c r="B89" s="229"/>
      <c r="C89" s="229" t="s">
        <v>1507</v>
      </c>
      <c r="D89" s="229"/>
      <c r="E89" s="229"/>
      <c r="F89" s="229"/>
      <c r="G89" s="268">
        <v>0</v>
      </c>
      <c r="H89" s="268">
        <v>0</v>
      </c>
      <c r="I89" s="268">
        <v>0</v>
      </c>
      <c r="J89" s="268">
        <v>0</v>
      </c>
    </row>
    <row r="90" spans="1:10">
      <c r="B90" s="229"/>
      <c r="C90" s="229" t="s">
        <v>1508</v>
      </c>
      <c r="D90" s="229"/>
      <c r="E90" s="229"/>
      <c r="F90" s="229"/>
      <c r="G90" s="268">
        <v>0</v>
      </c>
      <c r="H90" s="268">
        <v>0</v>
      </c>
      <c r="I90" s="268">
        <v>0</v>
      </c>
      <c r="J90" s="268">
        <v>0</v>
      </c>
    </row>
    <row r="91" spans="1:10">
      <c r="B91" s="229"/>
      <c r="C91" s="229" t="s">
        <v>1509</v>
      </c>
      <c r="D91" s="229"/>
      <c r="E91" s="229"/>
      <c r="F91" s="229"/>
      <c r="G91" s="268">
        <v>0</v>
      </c>
      <c r="H91" s="268">
        <v>0</v>
      </c>
      <c r="I91" s="268">
        <v>0</v>
      </c>
      <c r="J91" s="268">
        <v>0</v>
      </c>
    </row>
    <row r="92" spans="1:10">
      <c r="B92" s="229"/>
      <c r="C92" s="229" t="s">
        <v>1510</v>
      </c>
      <c r="D92" s="229"/>
      <c r="E92" s="229"/>
      <c r="F92" s="229"/>
      <c r="G92" s="268">
        <v>0</v>
      </c>
      <c r="H92" s="268">
        <v>0</v>
      </c>
      <c r="I92" s="268">
        <v>0</v>
      </c>
      <c r="J92" s="268">
        <v>0</v>
      </c>
    </row>
    <row r="93" spans="1:10">
      <c r="B93" s="229"/>
      <c r="C93" s="229" t="s">
        <v>1511</v>
      </c>
      <c r="D93" s="229"/>
      <c r="E93" s="229"/>
      <c r="F93" s="229"/>
      <c r="G93" s="268">
        <v>0</v>
      </c>
      <c r="H93" s="268">
        <v>0</v>
      </c>
      <c r="I93" s="268">
        <v>0</v>
      </c>
      <c r="J93" s="268">
        <v>0</v>
      </c>
    </row>
    <row r="94" spans="1:10">
      <c r="B94" s="229"/>
      <c r="C94" s="229" t="s">
        <v>1512</v>
      </c>
      <c r="D94" s="229"/>
      <c r="E94" s="229"/>
      <c r="F94" s="229"/>
      <c r="G94" s="268">
        <v>0</v>
      </c>
      <c r="H94" s="268">
        <v>0</v>
      </c>
      <c r="I94" s="268">
        <v>0</v>
      </c>
      <c r="J94" s="268">
        <v>0</v>
      </c>
    </row>
    <row r="95" spans="1:10">
      <c r="B95" s="229"/>
      <c r="C95" s="229" t="s">
        <v>1513</v>
      </c>
      <c r="D95" s="229"/>
      <c r="E95" s="229"/>
      <c r="F95" s="229"/>
      <c r="G95" s="268">
        <v>0</v>
      </c>
      <c r="H95" s="268">
        <v>0</v>
      </c>
      <c r="I95" s="268">
        <v>0</v>
      </c>
      <c r="J95" s="268">
        <v>0</v>
      </c>
    </row>
    <row r="96" spans="1:10">
      <c r="B96" s="229"/>
      <c r="C96" s="229" t="s">
        <v>1514</v>
      </c>
      <c r="D96" s="229"/>
      <c r="E96" s="229"/>
      <c r="F96" s="229"/>
      <c r="G96" s="268">
        <v>0</v>
      </c>
      <c r="H96" s="268">
        <v>0</v>
      </c>
      <c r="I96" s="268">
        <v>0</v>
      </c>
      <c r="J96" s="268">
        <v>0</v>
      </c>
    </row>
    <row r="97" spans="2:10">
      <c r="B97" s="229"/>
      <c r="C97" s="229" t="s">
        <v>1515</v>
      </c>
      <c r="D97" s="229"/>
      <c r="E97" s="229"/>
      <c r="F97" s="229"/>
      <c r="G97" s="268">
        <v>0</v>
      </c>
      <c r="H97" s="268">
        <v>0</v>
      </c>
      <c r="I97" s="268">
        <v>0</v>
      </c>
      <c r="J97" s="268">
        <v>0</v>
      </c>
    </row>
    <row r="98" spans="2:10">
      <c r="B98" s="229"/>
      <c r="C98" s="229" t="s">
        <v>1516</v>
      </c>
      <c r="D98" s="229"/>
      <c r="E98" s="229"/>
      <c r="F98" s="229"/>
      <c r="G98" s="268">
        <v>0</v>
      </c>
      <c r="H98" s="268">
        <v>0</v>
      </c>
      <c r="I98" s="268">
        <v>0</v>
      </c>
      <c r="J98" s="268">
        <v>0</v>
      </c>
    </row>
    <row r="99" spans="2:10">
      <c r="B99" s="247" t="s">
        <v>1517</v>
      </c>
      <c r="C99" s="247"/>
      <c r="D99" s="247"/>
      <c r="E99" s="247"/>
      <c r="F99" s="247"/>
      <c r="G99" s="270">
        <v>0</v>
      </c>
      <c r="H99" s="270">
        <v>0</v>
      </c>
      <c r="I99" s="270">
        <v>0</v>
      </c>
      <c r="J99" s="270">
        <v>0</v>
      </c>
    </row>
    <row r="100" spans="2:10">
      <c r="B100" s="229"/>
      <c r="C100" s="229"/>
      <c r="D100" s="229"/>
      <c r="E100" s="229"/>
      <c r="F100" s="229"/>
      <c r="G100" s="272"/>
      <c r="H100" s="272"/>
      <c r="I100" s="272"/>
      <c r="J100" s="272"/>
    </row>
    <row r="101" spans="2:10">
      <c r="B101" s="232" t="s">
        <v>1518</v>
      </c>
      <c r="C101" s="229"/>
      <c r="D101" s="229"/>
      <c r="E101" s="229"/>
      <c r="F101" s="229"/>
      <c r="G101" s="272"/>
      <c r="H101" s="272"/>
      <c r="I101" s="272"/>
      <c r="J101" s="272"/>
    </row>
    <row r="102" spans="2:10">
      <c r="B102" s="229"/>
      <c r="C102" s="229"/>
      <c r="D102" s="229" t="s">
        <v>1519</v>
      </c>
      <c r="E102" s="229"/>
      <c r="F102" s="229"/>
      <c r="G102" s="272"/>
      <c r="H102" s="272"/>
      <c r="I102" s="272"/>
      <c r="J102" s="272"/>
    </row>
    <row r="103" spans="2:10">
      <c r="B103" s="229"/>
      <c r="C103" s="229"/>
      <c r="D103" s="229" t="s">
        <v>1520</v>
      </c>
      <c r="E103" s="229"/>
      <c r="F103" s="229"/>
      <c r="G103" s="272"/>
      <c r="H103" s="272"/>
      <c r="I103" s="272"/>
      <c r="J103" s="272"/>
    </row>
    <row r="104" spans="2:10">
      <c r="B104" s="229"/>
      <c r="C104" s="229"/>
      <c r="D104" s="229" t="s">
        <v>1521</v>
      </c>
      <c r="E104" s="229"/>
      <c r="F104" s="229"/>
      <c r="G104" s="272"/>
      <c r="H104" s="272"/>
      <c r="I104" s="272"/>
      <c r="J104" s="272"/>
    </row>
    <row r="105" spans="2:10">
      <c r="B105" s="229"/>
      <c r="C105" s="229"/>
      <c r="D105" s="229" t="s">
        <v>1522</v>
      </c>
      <c r="E105" s="229"/>
      <c r="F105" s="229"/>
      <c r="G105" s="272"/>
      <c r="H105" s="272"/>
      <c r="I105" s="272"/>
      <c r="J105" s="272"/>
    </row>
    <row r="106" spans="2:10">
      <c r="B106" s="229"/>
      <c r="C106" s="229" t="s">
        <v>1523</v>
      </c>
      <c r="D106" s="229"/>
      <c r="E106" s="229"/>
      <c r="F106" s="229"/>
      <c r="G106" s="268">
        <v>0</v>
      </c>
      <c r="H106" s="268">
        <v>0</v>
      </c>
      <c r="I106" s="268">
        <v>0</v>
      </c>
      <c r="J106" s="268">
        <v>0</v>
      </c>
    </row>
    <row r="107" spans="2:10">
      <c r="B107" s="229"/>
      <c r="C107" s="229" t="s">
        <v>1524</v>
      </c>
      <c r="D107" s="229"/>
      <c r="E107" s="229"/>
      <c r="F107" s="229"/>
      <c r="G107" s="268">
        <v>0</v>
      </c>
      <c r="H107" s="268">
        <v>0</v>
      </c>
      <c r="I107" s="268">
        <v>0</v>
      </c>
      <c r="J107" s="268">
        <v>0</v>
      </c>
    </row>
    <row r="108" spans="2:10">
      <c r="B108" s="247" t="s">
        <v>1525</v>
      </c>
      <c r="C108" s="247"/>
      <c r="D108" s="247"/>
      <c r="E108" s="247"/>
      <c r="F108" s="247"/>
      <c r="G108" s="270">
        <v>0</v>
      </c>
      <c r="H108" s="270">
        <v>0</v>
      </c>
      <c r="I108" s="270">
        <v>0</v>
      </c>
      <c r="J108" s="270">
        <v>0</v>
      </c>
    </row>
    <row r="109" spans="2:10">
      <c r="B109" s="229"/>
      <c r="C109" s="229"/>
      <c r="D109" s="229"/>
      <c r="E109" s="229"/>
      <c r="F109" s="229"/>
      <c r="G109" s="272"/>
      <c r="H109" s="272"/>
      <c r="I109" s="272"/>
      <c r="J109" s="272"/>
    </row>
    <row r="110" spans="2:10">
      <c r="B110" s="232" t="s">
        <v>1526</v>
      </c>
      <c r="C110" s="229"/>
      <c r="D110" s="229"/>
      <c r="E110" s="229"/>
      <c r="F110" s="229"/>
      <c r="G110" s="272"/>
      <c r="H110" s="272"/>
      <c r="I110" s="272"/>
      <c r="J110" s="272"/>
    </row>
    <row r="111" spans="2:10">
      <c r="B111" s="229"/>
      <c r="C111" s="229" t="s">
        <v>1527</v>
      </c>
      <c r="D111" s="229"/>
      <c r="E111" s="229"/>
      <c r="F111" s="229"/>
      <c r="G111" s="268">
        <v>0</v>
      </c>
      <c r="H111" s="268">
        <v>0</v>
      </c>
      <c r="I111" s="268">
        <v>0</v>
      </c>
      <c r="J111" s="268">
        <v>0</v>
      </c>
    </row>
    <row r="112" spans="2:10">
      <c r="B112" s="229"/>
      <c r="C112" s="229" t="s">
        <v>1528</v>
      </c>
      <c r="D112" s="229"/>
      <c r="E112" s="229"/>
      <c r="F112" s="229"/>
      <c r="G112" s="268">
        <v>0</v>
      </c>
      <c r="H112" s="268">
        <v>0</v>
      </c>
      <c r="I112" s="268">
        <v>0</v>
      </c>
      <c r="J112" s="268">
        <v>0</v>
      </c>
    </row>
    <row r="113" spans="2:10">
      <c r="B113" s="229"/>
      <c r="C113" s="229"/>
      <c r="D113" s="229" t="s">
        <v>1529</v>
      </c>
      <c r="E113" s="229"/>
      <c r="F113" s="229"/>
      <c r="G113" s="268">
        <v>0</v>
      </c>
      <c r="H113" s="268">
        <v>0</v>
      </c>
      <c r="I113" s="268">
        <v>0</v>
      </c>
      <c r="J113" s="268">
        <v>0</v>
      </c>
    </row>
    <row r="114" spans="2:10">
      <c r="B114" s="229"/>
      <c r="C114" s="229"/>
      <c r="D114" s="229" t="s">
        <v>1530</v>
      </c>
      <c r="E114" s="229"/>
      <c r="F114" s="229"/>
      <c r="G114" s="268">
        <v>0</v>
      </c>
      <c r="H114" s="268">
        <v>0</v>
      </c>
      <c r="I114" s="268">
        <v>0</v>
      </c>
      <c r="J114" s="268">
        <v>0</v>
      </c>
    </row>
    <row r="115" spans="2:10">
      <c r="B115" s="229"/>
      <c r="C115" s="229" t="s">
        <v>1531</v>
      </c>
      <c r="D115" s="229"/>
      <c r="E115" s="229"/>
      <c r="F115" s="229"/>
      <c r="G115" s="268">
        <v>0</v>
      </c>
      <c r="H115" s="268">
        <v>0</v>
      </c>
      <c r="I115" s="268">
        <v>0</v>
      </c>
      <c r="J115" s="268">
        <v>0</v>
      </c>
    </row>
    <row r="116" spans="2:10">
      <c r="B116" s="229"/>
      <c r="C116" s="229"/>
      <c r="D116" s="229" t="s">
        <v>1516</v>
      </c>
      <c r="E116" s="229"/>
      <c r="F116" s="229"/>
      <c r="G116" s="268">
        <v>0</v>
      </c>
      <c r="H116" s="268">
        <v>0</v>
      </c>
      <c r="I116" s="268">
        <v>0</v>
      </c>
      <c r="J116" s="268">
        <v>0</v>
      </c>
    </row>
    <row r="117" spans="2:10">
      <c r="B117" s="229"/>
      <c r="C117" s="229"/>
      <c r="D117" s="229" t="s">
        <v>1530</v>
      </c>
      <c r="E117" s="229"/>
      <c r="F117" s="229"/>
      <c r="G117" s="268">
        <v>0</v>
      </c>
      <c r="H117" s="268">
        <v>0</v>
      </c>
      <c r="I117" s="268">
        <v>0</v>
      </c>
      <c r="J117" s="268">
        <v>0</v>
      </c>
    </row>
    <row r="118" spans="2:10">
      <c r="B118" s="229"/>
      <c r="C118" s="229" t="s">
        <v>1532</v>
      </c>
      <c r="D118" s="229"/>
      <c r="E118" s="229"/>
      <c r="F118" s="229"/>
      <c r="G118" s="268">
        <v>0</v>
      </c>
      <c r="H118" s="268">
        <v>0</v>
      </c>
      <c r="I118" s="268">
        <v>0</v>
      </c>
      <c r="J118" s="268">
        <v>0</v>
      </c>
    </row>
    <row r="119" spans="2:10">
      <c r="B119" s="229"/>
      <c r="C119" s="229" t="s">
        <v>1533</v>
      </c>
      <c r="D119" s="229"/>
      <c r="E119" s="229"/>
      <c r="F119" s="229"/>
      <c r="G119" s="268">
        <v>0</v>
      </c>
      <c r="H119" s="268">
        <v>0</v>
      </c>
      <c r="I119" s="268">
        <v>0</v>
      </c>
      <c r="J119" s="268">
        <v>0</v>
      </c>
    </row>
    <row r="120" spans="2:10">
      <c r="B120" s="229"/>
      <c r="C120" s="229" t="s">
        <v>1534</v>
      </c>
      <c r="D120" s="229"/>
      <c r="E120" s="229"/>
      <c r="F120" s="229"/>
      <c r="G120" s="268">
        <v>0</v>
      </c>
      <c r="H120" s="268">
        <v>0</v>
      </c>
      <c r="I120" s="268">
        <v>0</v>
      </c>
      <c r="J120" s="268">
        <v>0</v>
      </c>
    </row>
    <row r="121" spans="2:10">
      <c r="B121" s="229"/>
      <c r="C121" s="229" t="s">
        <v>1514</v>
      </c>
      <c r="D121" s="229"/>
      <c r="E121" s="229"/>
      <c r="F121" s="229"/>
      <c r="G121" s="268">
        <v>0</v>
      </c>
      <c r="H121" s="268">
        <v>0</v>
      </c>
      <c r="I121" s="268">
        <v>0</v>
      </c>
      <c r="J121" s="268">
        <v>0</v>
      </c>
    </row>
    <row r="122" spans="2:10">
      <c r="B122" s="247" t="s">
        <v>1535</v>
      </c>
      <c r="C122" s="247"/>
      <c r="D122" s="247"/>
      <c r="E122" s="247"/>
      <c r="F122" s="247"/>
      <c r="G122" s="270">
        <v>0</v>
      </c>
      <c r="H122" s="270">
        <v>0</v>
      </c>
      <c r="I122" s="270">
        <v>0</v>
      </c>
      <c r="J122" s="270">
        <v>0</v>
      </c>
    </row>
    <row r="123" spans="2:10">
      <c r="B123" s="229"/>
      <c r="C123" s="229"/>
      <c r="D123" s="229"/>
      <c r="E123" s="229"/>
      <c r="F123" s="229"/>
      <c r="G123" s="272"/>
      <c r="H123" s="272"/>
      <c r="I123" s="272"/>
      <c r="J123" s="272"/>
    </row>
    <row r="124" spans="2:10">
      <c r="B124" s="232" t="s">
        <v>1536</v>
      </c>
      <c r="C124" s="232"/>
      <c r="D124" s="232"/>
      <c r="E124" s="232"/>
      <c r="F124" s="229"/>
      <c r="G124" s="1052">
        <v>0</v>
      </c>
      <c r="H124" s="1052">
        <v>0</v>
      </c>
      <c r="I124" s="275">
        <v>0</v>
      </c>
      <c r="J124" s="275">
        <v>0</v>
      </c>
    </row>
    <row r="125" spans="2:10">
      <c r="B125" s="229"/>
      <c r="C125" s="229"/>
      <c r="D125" s="229"/>
      <c r="E125" s="229"/>
      <c r="F125" s="229"/>
      <c r="G125" s="272"/>
      <c r="H125" s="272"/>
      <c r="I125" s="272"/>
      <c r="J125" s="272"/>
    </row>
    <row r="126" spans="2:10">
      <c r="B126" s="232" t="s">
        <v>1537</v>
      </c>
      <c r="C126" s="229"/>
      <c r="D126" s="229"/>
      <c r="E126" s="229"/>
      <c r="F126" s="229"/>
      <c r="G126" s="272"/>
      <c r="H126" s="272"/>
      <c r="I126" s="272"/>
      <c r="J126" s="272"/>
    </row>
    <row r="127" spans="2:10">
      <c r="B127" s="229"/>
      <c r="C127" s="229" t="s">
        <v>1538</v>
      </c>
      <c r="D127" s="229"/>
      <c r="E127" s="229"/>
      <c r="F127" s="229"/>
      <c r="G127" s="268">
        <v>0</v>
      </c>
      <c r="H127" s="268">
        <v>0</v>
      </c>
      <c r="I127" s="268">
        <v>0</v>
      </c>
      <c r="J127" s="268">
        <v>0</v>
      </c>
    </row>
    <row r="128" spans="2:10">
      <c r="B128" s="229"/>
      <c r="C128" s="229" t="s">
        <v>1539</v>
      </c>
      <c r="D128" s="229"/>
      <c r="E128" s="229"/>
      <c r="F128" s="229"/>
      <c r="G128" s="268">
        <v>0</v>
      </c>
      <c r="H128" s="268">
        <v>0</v>
      </c>
      <c r="I128" s="268">
        <v>0</v>
      </c>
      <c r="J128" s="268">
        <v>0</v>
      </c>
    </row>
    <row r="129" spans="2:10">
      <c r="B129" s="229"/>
      <c r="C129" s="229" t="s">
        <v>1540</v>
      </c>
      <c r="D129" s="229"/>
      <c r="E129" s="229"/>
      <c r="F129" s="229"/>
      <c r="G129" s="268">
        <v>0</v>
      </c>
      <c r="H129" s="268">
        <v>0</v>
      </c>
      <c r="I129" s="268">
        <v>0</v>
      </c>
      <c r="J129" s="268">
        <v>0</v>
      </c>
    </row>
    <row r="130" spans="2:10">
      <c r="B130" s="229"/>
      <c r="C130" s="229" t="s">
        <v>1541</v>
      </c>
      <c r="D130" s="229"/>
      <c r="E130" s="229"/>
      <c r="F130" s="229"/>
      <c r="G130" s="268">
        <v>0</v>
      </c>
      <c r="H130" s="268">
        <v>0</v>
      </c>
      <c r="I130" s="268">
        <v>0</v>
      </c>
      <c r="J130" s="268">
        <v>0</v>
      </c>
    </row>
    <row r="131" spans="2:10">
      <c r="B131" s="229"/>
      <c r="C131" s="229" t="s">
        <v>1389</v>
      </c>
      <c r="D131" s="229"/>
      <c r="E131" s="229"/>
      <c r="F131" s="229"/>
      <c r="G131" s="268">
        <v>0</v>
      </c>
      <c r="H131" s="268">
        <v>0</v>
      </c>
      <c r="I131" s="268">
        <v>0</v>
      </c>
      <c r="J131" s="268">
        <v>0</v>
      </c>
    </row>
    <row r="132" spans="2:10">
      <c r="B132" s="229"/>
      <c r="C132" s="229" t="s">
        <v>1542</v>
      </c>
      <c r="D132" s="229"/>
      <c r="E132" s="229"/>
      <c r="F132" s="229"/>
      <c r="G132" s="268">
        <v>0</v>
      </c>
      <c r="H132" s="268">
        <v>0</v>
      </c>
      <c r="I132" s="268">
        <v>0</v>
      </c>
      <c r="J132" s="268">
        <v>0</v>
      </c>
    </row>
    <row r="133" spans="2:10">
      <c r="B133" s="229"/>
      <c r="C133" s="229" t="s">
        <v>1543</v>
      </c>
      <c r="D133" s="229"/>
      <c r="E133" s="229"/>
      <c r="F133" s="229"/>
      <c r="G133" s="268">
        <v>0</v>
      </c>
      <c r="H133" s="268">
        <v>0</v>
      </c>
      <c r="I133" s="268">
        <v>0</v>
      </c>
      <c r="J133" s="268">
        <v>0</v>
      </c>
    </row>
    <row r="134" spans="2:10">
      <c r="B134" s="229"/>
      <c r="C134" s="229" t="s">
        <v>1544</v>
      </c>
      <c r="D134" s="229"/>
      <c r="E134" s="229"/>
      <c r="F134" s="229"/>
      <c r="G134" s="268">
        <v>0</v>
      </c>
      <c r="H134" s="268">
        <v>0</v>
      </c>
      <c r="I134" s="268">
        <v>0</v>
      </c>
      <c r="J134" s="268">
        <v>0</v>
      </c>
    </row>
    <row r="135" spans="2:10">
      <c r="B135" s="229"/>
      <c r="C135" s="229" t="s">
        <v>1545</v>
      </c>
      <c r="D135" s="229"/>
      <c r="E135" s="229"/>
      <c r="F135" s="229"/>
      <c r="G135" s="268">
        <v>0</v>
      </c>
      <c r="H135" s="268">
        <v>0</v>
      </c>
      <c r="I135" s="268">
        <v>0</v>
      </c>
      <c r="J135" s="268">
        <v>0</v>
      </c>
    </row>
    <row r="136" spans="2:10">
      <c r="B136" s="276" t="s">
        <v>1390</v>
      </c>
      <c r="C136" s="276"/>
      <c r="D136" s="276"/>
      <c r="E136" s="276"/>
      <c r="F136" s="276"/>
      <c r="G136" s="278">
        <v>0</v>
      </c>
      <c r="H136" s="278">
        <v>0</v>
      </c>
      <c r="I136" s="278">
        <v>0</v>
      </c>
      <c r="J136" s="278">
        <v>0</v>
      </c>
    </row>
    <row r="137" spans="2:10">
      <c r="B137" s="229"/>
      <c r="C137" s="229"/>
      <c r="D137" s="229"/>
      <c r="E137" s="229"/>
      <c r="F137" s="229"/>
      <c r="G137" s="272"/>
      <c r="H137" s="272"/>
      <c r="I137" s="272"/>
      <c r="J137" s="272"/>
    </row>
    <row r="138" spans="2:10">
      <c r="B138" s="232" t="s">
        <v>1546</v>
      </c>
      <c r="C138" s="229"/>
      <c r="D138" s="229"/>
      <c r="E138" s="229"/>
      <c r="F138" s="229"/>
      <c r="G138" s="272"/>
      <c r="H138" s="272"/>
      <c r="I138" s="272"/>
      <c r="J138" s="272"/>
    </row>
    <row r="139" spans="2:10">
      <c r="B139" s="229"/>
      <c r="C139" s="229" t="s">
        <v>1547</v>
      </c>
      <c r="D139" s="229"/>
      <c r="E139" s="229"/>
      <c r="F139" s="229"/>
      <c r="G139" s="268">
        <v>0</v>
      </c>
      <c r="H139" s="268">
        <v>0</v>
      </c>
      <c r="I139" s="268">
        <v>0</v>
      </c>
      <c r="J139" s="268">
        <v>0</v>
      </c>
    </row>
    <row r="140" spans="2:10">
      <c r="B140" s="229"/>
      <c r="C140" s="229" t="s">
        <v>1514</v>
      </c>
      <c r="D140" s="229"/>
      <c r="E140" s="229"/>
      <c r="F140" s="229"/>
      <c r="G140" s="268">
        <v>0</v>
      </c>
      <c r="H140" s="268">
        <v>0</v>
      </c>
      <c r="I140" s="268">
        <v>0</v>
      </c>
      <c r="J140" s="268">
        <v>0</v>
      </c>
    </row>
    <row r="141" spans="2:10">
      <c r="B141" s="229"/>
      <c r="C141" s="229" t="s">
        <v>1548</v>
      </c>
      <c r="D141" s="229"/>
      <c r="E141" s="229"/>
      <c r="F141" s="229"/>
      <c r="G141" s="268">
        <v>0</v>
      </c>
      <c r="H141" s="268">
        <v>0</v>
      </c>
      <c r="I141" s="268">
        <v>0</v>
      </c>
      <c r="J141" s="268">
        <v>0</v>
      </c>
    </row>
    <row r="142" spans="2:10">
      <c r="B142" s="229"/>
      <c r="C142" s="229" t="s">
        <v>1431</v>
      </c>
      <c r="D142" s="229"/>
      <c r="E142" s="229"/>
      <c r="F142" s="229"/>
      <c r="G142" s="268">
        <v>0</v>
      </c>
      <c r="H142" s="268">
        <v>0</v>
      </c>
      <c r="I142" s="268">
        <v>0</v>
      </c>
      <c r="J142" s="268">
        <v>0</v>
      </c>
    </row>
    <row r="143" spans="2:10">
      <c r="B143" s="229"/>
      <c r="C143" s="229" t="s">
        <v>1549</v>
      </c>
      <c r="D143" s="229"/>
      <c r="E143" s="229"/>
      <c r="F143" s="229"/>
      <c r="G143" s="268">
        <v>0</v>
      </c>
      <c r="H143" s="268">
        <v>0</v>
      </c>
      <c r="I143" s="268">
        <v>0</v>
      </c>
      <c r="J143" s="268">
        <v>0</v>
      </c>
    </row>
    <row r="144" spans="2:10">
      <c r="B144" s="276" t="s">
        <v>1550</v>
      </c>
      <c r="C144" s="276"/>
      <c r="D144" s="276"/>
      <c r="E144" s="276"/>
      <c r="F144" s="276"/>
      <c r="G144" s="278">
        <v>0</v>
      </c>
      <c r="H144" s="278">
        <v>0</v>
      </c>
      <c r="I144" s="278">
        <v>0</v>
      </c>
      <c r="J144" s="278">
        <v>0</v>
      </c>
    </row>
    <row r="145" spans="2:10">
      <c r="B145" s="229"/>
      <c r="C145" s="229"/>
      <c r="D145" s="229"/>
      <c r="E145" s="229"/>
      <c r="F145" s="229"/>
      <c r="G145" s="272"/>
      <c r="H145" s="272"/>
      <c r="I145" s="272"/>
      <c r="J145" s="272"/>
    </row>
    <row r="146" spans="2:10">
      <c r="B146" s="232" t="s">
        <v>1551</v>
      </c>
      <c r="C146" s="232"/>
      <c r="D146" s="232"/>
      <c r="E146" s="232"/>
      <c r="F146" s="229"/>
      <c r="G146" s="1053">
        <v>0</v>
      </c>
      <c r="H146" s="1053">
        <v>0</v>
      </c>
      <c r="I146" s="275">
        <v>0</v>
      </c>
      <c r="J146" s="275">
        <v>0</v>
      </c>
    </row>
    <row r="147" spans="2:10">
      <c r="B147" s="229"/>
      <c r="C147" s="229"/>
      <c r="D147" s="229"/>
      <c r="E147" s="229"/>
      <c r="F147" s="229"/>
      <c r="G147" s="272"/>
      <c r="H147" s="272"/>
      <c r="I147" s="272"/>
      <c r="J147" s="272"/>
    </row>
    <row r="148" spans="2:10">
      <c r="B148" s="232" t="s">
        <v>1552</v>
      </c>
      <c r="C148" s="229"/>
      <c r="D148" s="229"/>
      <c r="E148" s="229"/>
      <c r="F148" s="229"/>
      <c r="G148" s="272"/>
      <c r="H148" s="272"/>
      <c r="I148" s="272"/>
      <c r="J148" s="272"/>
    </row>
    <row r="149" spans="2:10">
      <c r="B149" s="229"/>
      <c r="C149" s="229" t="s">
        <v>1429</v>
      </c>
      <c r="D149" s="229"/>
      <c r="E149" s="229"/>
      <c r="F149" s="229"/>
      <c r="G149" s="268">
        <v>0</v>
      </c>
      <c r="H149" s="268">
        <v>0</v>
      </c>
      <c r="I149" s="268">
        <v>0</v>
      </c>
      <c r="J149" s="268">
        <v>0</v>
      </c>
    </row>
    <row r="150" spans="2:10">
      <c r="B150" s="229"/>
      <c r="C150" s="229" t="s">
        <v>1553</v>
      </c>
      <c r="D150" s="229"/>
      <c r="E150" s="229"/>
      <c r="F150" s="229"/>
      <c r="G150" s="268">
        <v>0</v>
      </c>
      <c r="H150" s="268">
        <v>0</v>
      </c>
      <c r="I150" s="268">
        <v>0</v>
      </c>
      <c r="J150" s="268">
        <v>0</v>
      </c>
    </row>
    <row r="151" spans="2:10">
      <c r="B151" s="229"/>
      <c r="C151" s="229" t="s">
        <v>1554</v>
      </c>
      <c r="D151" s="229"/>
      <c r="E151" s="229"/>
      <c r="F151" s="229"/>
      <c r="G151" s="268">
        <v>0</v>
      </c>
      <c r="H151" s="268">
        <v>0</v>
      </c>
      <c r="I151" s="268">
        <v>0</v>
      </c>
      <c r="J151" s="268">
        <v>0</v>
      </c>
    </row>
    <row r="152" spans="2:10">
      <c r="B152" s="229"/>
      <c r="C152" s="229" t="s">
        <v>1555</v>
      </c>
      <c r="D152" s="229"/>
      <c r="E152" s="229"/>
      <c r="F152" s="229"/>
      <c r="G152" s="268">
        <v>0</v>
      </c>
      <c r="H152" s="268">
        <v>0</v>
      </c>
      <c r="I152" s="268">
        <v>0</v>
      </c>
      <c r="J152" s="268">
        <v>0</v>
      </c>
    </row>
    <row r="153" spans="2:10">
      <c r="B153" s="229"/>
      <c r="C153" s="229" t="s">
        <v>1556</v>
      </c>
      <c r="D153" s="229"/>
      <c r="E153" s="229"/>
      <c r="F153" s="229"/>
      <c r="G153" s="268">
        <v>0</v>
      </c>
      <c r="H153" s="268">
        <v>0</v>
      </c>
      <c r="I153" s="268">
        <v>0</v>
      </c>
      <c r="J153" s="268">
        <v>0</v>
      </c>
    </row>
    <row r="154" spans="2:10">
      <c r="B154" s="229"/>
      <c r="C154" s="229" t="s">
        <v>1557</v>
      </c>
      <c r="D154" s="229"/>
      <c r="E154" s="229"/>
      <c r="F154" s="229"/>
      <c r="G154" s="268">
        <v>0</v>
      </c>
      <c r="H154" s="268">
        <v>0</v>
      </c>
      <c r="I154" s="268">
        <v>0</v>
      </c>
      <c r="J154" s="268">
        <v>0</v>
      </c>
    </row>
    <row r="155" spans="2:10">
      <c r="B155" s="229"/>
      <c r="C155" s="229" t="s">
        <v>1558</v>
      </c>
      <c r="D155" s="229"/>
      <c r="E155" s="229"/>
      <c r="F155" s="229"/>
      <c r="G155" s="268">
        <v>0</v>
      </c>
      <c r="H155" s="268">
        <v>0</v>
      </c>
      <c r="I155" s="268">
        <v>0</v>
      </c>
      <c r="J155" s="268">
        <v>0</v>
      </c>
    </row>
    <row r="156" spans="2:10">
      <c r="B156" s="276" t="s">
        <v>1559</v>
      </c>
      <c r="C156" s="276"/>
      <c r="D156" s="276"/>
      <c r="E156" s="276"/>
      <c r="F156" s="276"/>
      <c r="G156" s="278">
        <v>0</v>
      </c>
      <c r="H156" s="278">
        <v>0</v>
      </c>
      <c r="I156" s="278">
        <v>0</v>
      </c>
      <c r="J156" s="278">
        <v>0</v>
      </c>
    </row>
    <row r="157" spans="2:10">
      <c r="B157" s="229"/>
      <c r="C157" s="229"/>
      <c r="D157" s="229"/>
      <c r="E157" s="229"/>
      <c r="F157" s="229"/>
      <c r="G157" s="272"/>
      <c r="H157" s="272"/>
      <c r="I157" s="272"/>
      <c r="J157" s="272"/>
    </row>
    <row r="158" spans="2:10">
      <c r="B158" s="232" t="s">
        <v>1560</v>
      </c>
      <c r="C158" s="232"/>
      <c r="D158" s="232"/>
      <c r="E158" s="232"/>
      <c r="F158" s="229"/>
      <c r="G158" s="1053">
        <v>0</v>
      </c>
      <c r="H158" s="1053">
        <v>0</v>
      </c>
      <c r="I158" s="275">
        <v>0</v>
      </c>
      <c r="J158" s="275">
        <v>0</v>
      </c>
    </row>
  </sheetData>
  <mergeCells count="1">
    <mergeCell ref="H1:J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6">
    <tabColor theme="6" tint="-0.249977111117893"/>
    <pageSetUpPr fitToPage="1"/>
  </sheetPr>
  <dimension ref="A1"/>
  <sheetViews>
    <sheetView zoomScaleNormal="100" zoomScaleSheetLayoutView="90" workbookViewId="0">
      <selection activeCell="C22" sqref="C22"/>
    </sheetView>
  </sheetViews>
  <sheetFormatPr defaultColWidth="8.88671875" defaultRowHeight="12.75"/>
  <cols>
    <col min="1" max="2" width="2.88671875" style="2" customWidth="1"/>
    <col min="3" max="3" width="28.88671875" style="2" customWidth="1"/>
    <col min="4" max="11" width="11.88671875" style="2" customWidth="1"/>
    <col min="12" max="16384" width="8.88671875" style="2"/>
  </cols>
  <sheetData/>
  <printOptions horizontalCentered="1"/>
  <pageMargins left="0.5" right="0.5" top="0.75" bottom="0.5" header="0.25" footer="0.25"/>
  <pageSetup orientation="landscape" r:id="rId1"/>
  <headerFooter alignWithMargins="0">
    <oddHeader>&amp;R&amp;"Arial"&amp;8&amp;K000000Confidential&amp;1#</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4089-C7A5-464A-8F07-349BE1D26ED8}">
  <sheetPr>
    <tabColor theme="7"/>
  </sheetPr>
  <dimension ref="A2:H195"/>
  <sheetViews>
    <sheetView showGridLines="0" workbookViewId="0">
      <selection activeCell="E20" sqref="E20"/>
    </sheetView>
  </sheetViews>
  <sheetFormatPr defaultColWidth="0" defaultRowHeight="11.25"/>
  <cols>
    <col min="1" max="1" width="16.5546875" style="63" bestFit="1" customWidth="1"/>
    <col min="2" max="2" width="12.5546875" style="63" bestFit="1" customWidth="1"/>
    <col min="3" max="3" width="12.88671875" style="63" bestFit="1" customWidth="1"/>
    <col min="4" max="4" width="13.88671875" style="63" bestFit="1" customWidth="1"/>
    <col min="5" max="5" width="12.33203125" style="63" bestFit="1" customWidth="1"/>
    <col min="6" max="6" width="8.5546875" style="63" bestFit="1" customWidth="1"/>
    <col min="7" max="7" width="14.33203125" style="63" bestFit="1" customWidth="1"/>
    <col min="8" max="8" width="8.6640625" style="63" customWidth="1"/>
    <col min="9" max="16384" width="8.6640625" style="63" hidden="1"/>
  </cols>
  <sheetData>
    <row r="2" spans="1:7">
      <c r="B2" s="1054" t="s">
        <v>1796</v>
      </c>
      <c r="C2" s="1055">
        <v>45296</v>
      </c>
    </row>
    <row r="4" spans="1:7">
      <c r="A4" s="1056" t="s">
        <v>96</v>
      </c>
      <c r="B4" s="1057" t="s">
        <v>2199</v>
      </c>
      <c r="C4" s="1057" t="s">
        <v>1980</v>
      </c>
      <c r="D4" s="1057" t="s">
        <v>1381</v>
      </c>
      <c r="E4" s="1057" t="s">
        <v>1981</v>
      </c>
      <c r="F4" s="1058" t="s">
        <v>1626</v>
      </c>
      <c r="G4" s="1057" t="s">
        <v>2200</v>
      </c>
    </row>
    <row r="5" spans="1:7">
      <c r="A5" s="1059" t="s">
        <v>1627</v>
      </c>
      <c r="B5" s="1060">
        <v>5.4000000000000003E-3</v>
      </c>
      <c r="C5" s="1060">
        <v>5.3199999999999997E-2</v>
      </c>
      <c r="D5" s="1060">
        <v>7.1999999999999998E-3</v>
      </c>
      <c r="E5" s="1060">
        <v>0.15</v>
      </c>
      <c r="F5" s="1061" t="s">
        <v>1628</v>
      </c>
      <c r="G5" s="1060">
        <v>7.4999999999999997E-3</v>
      </c>
    </row>
    <row r="6" spans="1:7">
      <c r="A6" s="1059" t="s">
        <v>1629</v>
      </c>
      <c r="B6" s="1060">
        <v>4.9000000000000002E-2</v>
      </c>
      <c r="C6" s="1060">
        <v>0.1118</v>
      </c>
      <c r="D6" s="1060">
        <v>6.5799999999999997E-2</v>
      </c>
      <c r="E6" s="1060">
        <v>0.15</v>
      </c>
      <c r="F6" s="1061" t="s">
        <v>1630</v>
      </c>
      <c r="G6" s="1061" t="s">
        <v>1391</v>
      </c>
    </row>
    <row r="7" spans="1:7">
      <c r="A7" s="1059" t="s">
        <v>1746</v>
      </c>
      <c r="B7" s="1060">
        <v>4.9000000000000002E-2</v>
      </c>
      <c r="C7" s="1060">
        <v>0.1118</v>
      </c>
      <c r="D7" s="1060">
        <v>6.5799999999999997E-2</v>
      </c>
      <c r="E7" s="1060">
        <v>0.26</v>
      </c>
      <c r="F7" s="1061" t="s">
        <v>1663</v>
      </c>
      <c r="G7" s="1060">
        <v>1.7000000000000001E-2</v>
      </c>
    </row>
    <row r="8" spans="1:7">
      <c r="A8" s="1059" t="s">
        <v>1632</v>
      </c>
      <c r="B8" s="1060">
        <v>2.07E-2</v>
      </c>
      <c r="C8" s="1060">
        <v>7.3800000000000004E-2</v>
      </c>
      <c r="D8" s="1060">
        <v>2.7799999999999998E-2</v>
      </c>
      <c r="E8" s="1060">
        <v>0.1898</v>
      </c>
      <c r="F8" s="1061" t="s">
        <v>1656</v>
      </c>
      <c r="G8" s="1061" t="s">
        <v>1391</v>
      </c>
    </row>
    <row r="9" spans="1:7">
      <c r="A9" s="1059" t="s">
        <v>1635</v>
      </c>
      <c r="B9" s="1060">
        <v>7.0800000000000002E-2</v>
      </c>
      <c r="C9" s="1060">
        <v>0.1411</v>
      </c>
      <c r="D9" s="1060">
        <v>9.5100000000000004E-2</v>
      </c>
      <c r="E9" s="1060">
        <v>0.25</v>
      </c>
      <c r="F9" s="1061" t="s">
        <v>1636</v>
      </c>
      <c r="G9" s="1060">
        <v>7.8200000000000006E-2</v>
      </c>
    </row>
    <row r="10" spans="1:7">
      <c r="A10" s="1059" t="s">
        <v>1771</v>
      </c>
      <c r="B10" s="1060">
        <v>0.10539999999999999</v>
      </c>
      <c r="C10" s="1060">
        <v>0.1875</v>
      </c>
      <c r="D10" s="1060">
        <v>0.1875</v>
      </c>
      <c r="E10" s="1060">
        <v>0.27250000000000002</v>
      </c>
      <c r="F10" s="1061" t="s">
        <v>1663</v>
      </c>
      <c r="G10" s="1061" t="s">
        <v>1391</v>
      </c>
    </row>
    <row r="11" spans="1:7">
      <c r="A11" s="1059" t="s">
        <v>2201</v>
      </c>
      <c r="B11" s="1060">
        <v>0.10539999999999999</v>
      </c>
      <c r="C11" s="1060">
        <v>0.1875</v>
      </c>
      <c r="D11" s="1060">
        <v>0.1875</v>
      </c>
      <c r="E11" s="1060">
        <v>0.27250000000000002</v>
      </c>
      <c r="F11" s="1061" t="s">
        <v>1663</v>
      </c>
      <c r="G11" s="1061" t="s">
        <v>1391</v>
      </c>
    </row>
    <row r="12" spans="1:7">
      <c r="A12" s="1059" t="s">
        <v>153</v>
      </c>
      <c r="B12" s="1060">
        <v>0.13070000000000001</v>
      </c>
      <c r="C12" s="1060">
        <v>0.2215</v>
      </c>
      <c r="D12" s="1060">
        <v>0.17549999999999999</v>
      </c>
      <c r="E12" s="1060">
        <v>0.35</v>
      </c>
      <c r="F12" s="1061" t="s">
        <v>1638</v>
      </c>
      <c r="G12" s="1060">
        <v>0.46189999999999998</v>
      </c>
    </row>
    <row r="13" spans="1:7">
      <c r="A13" s="1059" t="s">
        <v>1640</v>
      </c>
      <c r="B13" s="1060">
        <v>3.9199999999999999E-2</v>
      </c>
      <c r="C13" s="1060">
        <v>9.8599999999999993E-2</v>
      </c>
      <c r="D13" s="1060">
        <v>5.2600000000000001E-2</v>
      </c>
      <c r="E13" s="1060">
        <v>0.18</v>
      </c>
      <c r="F13" s="1061" t="s">
        <v>1641</v>
      </c>
      <c r="G13" s="1061" t="s">
        <v>1391</v>
      </c>
    </row>
    <row r="14" spans="1:7">
      <c r="A14" s="1059" t="s">
        <v>1642</v>
      </c>
      <c r="B14" s="1060">
        <v>2.07E-2</v>
      </c>
      <c r="C14" s="1060">
        <v>7.3800000000000004E-2</v>
      </c>
      <c r="D14" s="1060">
        <v>2.7799999999999998E-2</v>
      </c>
      <c r="E14" s="1060">
        <v>0.25</v>
      </c>
      <c r="F14" s="1061" t="s">
        <v>1656</v>
      </c>
      <c r="G14" s="1061" t="s">
        <v>1391</v>
      </c>
    </row>
    <row r="15" spans="1:7">
      <c r="A15" s="1059" t="s">
        <v>154</v>
      </c>
      <c r="B15" s="1060">
        <v>0</v>
      </c>
      <c r="C15" s="1060">
        <v>4.5999999999999999E-2</v>
      </c>
      <c r="D15" s="1060">
        <v>0</v>
      </c>
      <c r="E15" s="1060">
        <v>0.3</v>
      </c>
      <c r="F15" s="1061" t="s">
        <v>1645</v>
      </c>
      <c r="G15" s="1060">
        <v>2.5999999999999999E-3</v>
      </c>
    </row>
    <row r="16" spans="1:7">
      <c r="A16" s="1059" t="s">
        <v>155</v>
      </c>
      <c r="B16" s="1060">
        <v>4.4000000000000003E-3</v>
      </c>
      <c r="C16" s="1060">
        <v>5.1799999999999999E-2</v>
      </c>
      <c r="D16" s="1060">
        <v>5.7999999999999996E-3</v>
      </c>
      <c r="E16" s="1060">
        <v>0.24</v>
      </c>
      <c r="F16" s="1061" t="s">
        <v>1639</v>
      </c>
      <c r="G16" s="1060">
        <v>2.7000000000000001E-3</v>
      </c>
    </row>
    <row r="17" spans="1:7">
      <c r="A17" s="1059" t="s">
        <v>1646</v>
      </c>
      <c r="B17" s="1060">
        <v>2.7300000000000001E-2</v>
      </c>
      <c r="C17" s="1060">
        <v>8.2600000000000007E-2</v>
      </c>
      <c r="D17" s="1060">
        <v>3.6600000000000001E-2</v>
      </c>
      <c r="E17" s="1060">
        <v>0.2</v>
      </c>
      <c r="F17" s="1061" t="s">
        <v>1651</v>
      </c>
      <c r="G17" s="1061" t="s">
        <v>1391</v>
      </c>
    </row>
    <row r="18" spans="1:7">
      <c r="A18" s="1059" t="s">
        <v>1649</v>
      </c>
      <c r="B18" s="1060">
        <v>4.9000000000000002E-2</v>
      </c>
      <c r="C18" s="1060">
        <v>0.1118</v>
      </c>
      <c r="D18" s="1060">
        <v>6.5799999999999997E-2</v>
      </c>
      <c r="E18" s="1060">
        <v>0</v>
      </c>
      <c r="F18" s="1061" t="s">
        <v>1630</v>
      </c>
      <c r="G18" s="1061" t="s">
        <v>1391</v>
      </c>
    </row>
    <row r="19" spans="1:7">
      <c r="A19" s="1059" t="s">
        <v>1650</v>
      </c>
      <c r="B19" s="1060">
        <v>5.9900000000000002E-2</v>
      </c>
      <c r="C19" s="1060">
        <v>0.12640000000000001</v>
      </c>
      <c r="D19" s="1060">
        <v>8.0399999999999999E-2</v>
      </c>
      <c r="E19" s="1060">
        <v>0</v>
      </c>
      <c r="F19" s="1061" t="s">
        <v>1648</v>
      </c>
      <c r="G19" s="1060">
        <v>2.7400000000000001E-2</v>
      </c>
    </row>
    <row r="20" spans="1:7">
      <c r="A20" s="1059" t="s">
        <v>1652</v>
      </c>
      <c r="B20" s="1060">
        <v>4.9000000000000002E-2</v>
      </c>
      <c r="C20" s="1060">
        <v>0.1118</v>
      </c>
      <c r="D20" s="1060">
        <v>6.5799999999999997E-2</v>
      </c>
      <c r="E20" s="1060">
        <v>0.3</v>
      </c>
      <c r="F20" s="1061" t="s">
        <v>1630</v>
      </c>
      <c r="G20" s="1061" t="s">
        <v>1391</v>
      </c>
    </row>
    <row r="21" spans="1:7">
      <c r="A21" s="1059" t="s">
        <v>1653</v>
      </c>
      <c r="B21" s="1060">
        <v>7.0800000000000002E-2</v>
      </c>
      <c r="C21" s="1060">
        <v>0.1411</v>
      </c>
      <c r="D21" s="1060">
        <v>9.5100000000000004E-2</v>
      </c>
      <c r="E21" s="1060">
        <v>5.5E-2</v>
      </c>
      <c r="F21" s="1061" t="s">
        <v>1636</v>
      </c>
      <c r="G21" s="1061" t="s">
        <v>1391</v>
      </c>
    </row>
    <row r="22" spans="1:7">
      <c r="A22" s="1059" t="s">
        <v>1655</v>
      </c>
      <c r="B22" s="1060">
        <v>0.17499999999999999</v>
      </c>
      <c r="C22" s="1060">
        <v>0.28089999999999998</v>
      </c>
      <c r="D22" s="1060">
        <v>0.2349</v>
      </c>
      <c r="E22" s="1060">
        <v>0.18</v>
      </c>
      <c r="F22" s="1061" t="s">
        <v>125</v>
      </c>
      <c r="G22" s="1061" t="s">
        <v>1391</v>
      </c>
    </row>
    <row r="23" spans="1:7">
      <c r="A23" s="1059" t="s">
        <v>156</v>
      </c>
      <c r="B23" s="1060">
        <v>6.4999999999999997E-3</v>
      </c>
      <c r="C23" s="1060">
        <v>5.4800000000000001E-2</v>
      </c>
      <c r="D23" s="1060">
        <v>8.8000000000000005E-3</v>
      </c>
      <c r="E23" s="1060">
        <v>0.25</v>
      </c>
      <c r="F23" s="1061" t="s">
        <v>1644</v>
      </c>
      <c r="G23" s="1060">
        <v>3.3E-3</v>
      </c>
    </row>
    <row r="24" spans="1:7">
      <c r="A24" s="1059" t="s">
        <v>1657</v>
      </c>
      <c r="B24" s="1060">
        <v>9.8100000000000007E-2</v>
      </c>
      <c r="C24" s="1060">
        <v>0.1777</v>
      </c>
      <c r="D24" s="1060">
        <v>0.13170000000000001</v>
      </c>
      <c r="E24" s="1060">
        <v>0.2853</v>
      </c>
      <c r="F24" s="1061" t="s">
        <v>1671</v>
      </c>
      <c r="G24" s="1061" t="s">
        <v>1391</v>
      </c>
    </row>
    <row r="25" spans="1:7">
      <c r="A25" s="1059" t="s">
        <v>1658</v>
      </c>
      <c r="B25" s="1060">
        <v>4.9000000000000002E-2</v>
      </c>
      <c r="C25" s="1060">
        <v>0.1118</v>
      </c>
      <c r="D25" s="1060">
        <v>6.5799999999999997E-2</v>
      </c>
      <c r="E25" s="1060">
        <v>0.3</v>
      </c>
      <c r="F25" s="1061" t="s">
        <v>1630</v>
      </c>
      <c r="G25" s="1061" t="s">
        <v>1391</v>
      </c>
    </row>
    <row r="26" spans="1:7">
      <c r="A26" s="1059" t="s">
        <v>1659</v>
      </c>
      <c r="B26" s="1060">
        <v>9.1999999999999998E-3</v>
      </c>
      <c r="C26" s="1060">
        <v>5.8400000000000001E-2</v>
      </c>
      <c r="D26" s="1060">
        <v>1.24E-2</v>
      </c>
      <c r="E26" s="1060">
        <v>0</v>
      </c>
      <c r="F26" s="1061" t="s">
        <v>1634</v>
      </c>
      <c r="G26" s="1061" t="s">
        <v>1391</v>
      </c>
    </row>
    <row r="27" spans="1:7">
      <c r="A27" s="1059" t="s">
        <v>1660</v>
      </c>
      <c r="B27" s="1060">
        <v>8.1699999999999995E-2</v>
      </c>
      <c r="C27" s="1060">
        <v>0.15570000000000001</v>
      </c>
      <c r="D27" s="1060">
        <v>0.10970000000000001</v>
      </c>
      <c r="E27" s="1060">
        <v>0.25</v>
      </c>
      <c r="F27" s="1061" t="s">
        <v>1654</v>
      </c>
      <c r="G27" s="1061" t="s">
        <v>1391</v>
      </c>
    </row>
    <row r="28" spans="1:7">
      <c r="A28" s="1059" t="s">
        <v>1661</v>
      </c>
      <c r="B28" s="1060">
        <v>7.0800000000000002E-2</v>
      </c>
      <c r="C28" s="1060">
        <v>0.1411</v>
      </c>
      <c r="D28" s="1060">
        <v>9.5100000000000004E-2</v>
      </c>
      <c r="E28" s="1060">
        <v>0.1</v>
      </c>
      <c r="F28" s="1061" t="s">
        <v>1636</v>
      </c>
      <c r="G28" s="1061" t="s">
        <v>1391</v>
      </c>
    </row>
    <row r="29" spans="1:7">
      <c r="A29" s="1059" t="s">
        <v>1662</v>
      </c>
      <c r="B29" s="1060">
        <v>1.3100000000000001E-2</v>
      </c>
      <c r="C29" s="1060">
        <v>6.3500000000000001E-2</v>
      </c>
      <c r="D29" s="1060">
        <v>1.7500000000000002E-2</v>
      </c>
      <c r="E29" s="1060">
        <v>0.22</v>
      </c>
      <c r="F29" s="1061" t="s">
        <v>1637</v>
      </c>
      <c r="G29" s="1061" t="s">
        <v>1391</v>
      </c>
    </row>
    <row r="30" spans="1:7">
      <c r="A30" s="1059" t="s">
        <v>157</v>
      </c>
      <c r="B30" s="1060">
        <v>3.2800000000000003E-2</v>
      </c>
      <c r="C30" s="1060">
        <v>0.09</v>
      </c>
      <c r="D30" s="1060">
        <v>4.3999999999999997E-2</v>
      </c>
      <c r="E30" s="1060">
        <v>0.34</v>
      </c>
      <c r="F30" s="1061" t="s">
        <v>1647</v>
      </c>
      <c r="G30" s="1060">
        <v>2.3900000000000001E-2</v>
      </c>
    </row>
    <row r="31" spans="1:7">
      <c r="A31" s="1059" t="s">
        <v>2202</v>
      </c>
      <c r="B31" s="1060">
        <v>3.2800000000000003E-2</v>
      </c>
      <c r="C31" s="1060">
        <v>0.09</v>
      </c>
      <c r="D31" s="1060">
        <v>4.3999999999999997E-2</v>
      </c>
      <c r="E31" s="1060">
        <v>0.34</v>
      </c>
      <c r="F31" s="1061" t="s">
        <v>1647</v>
      </c>
      <c r="G31" s="1061" t="s">
        <v>1391</v>
      </c>
    </row>
    <row r="32" spans="1:7">
      <c r="A32" s="1059" t="s">
        <v>1747</v>
      </c>
      <c r="B32" s="1060">
        <v>6.4999999999999997E-3</v>
      </c>
      <c r="C32" s="1060">
        <v>5.4800000000000001E-2</v>
      </c>
      <c r="D32" s="1060">
        <v>8.8000000000000005E-3</v>
      </c>
      <c r="E32" s="1060">
        <v>0.185</v>
      </c>
      <c r="F32" s="1061" t="s">
        <v>1663</v>
      </c>
      <c r="G32" s="1061" t="s">
        <v>1391</v>
      </c>
    </row>
    <row r="33" spans="1:7">
      <c r="A33" s="1059" t="s">
        <v>158</v>
      </c>
      <c r="B33" s="1060">
        <v>1.7399999999999999E-2</v>
      </c>
      <c r="C33" s="1060">
        <v>6.9400000000000003E-2</v>
      </c>
      <c r="D33" s="1060">
        <v>2.3400000000000001E-2</v>
      </c>
      <c r="E33" s="1060">
        <v>0.1</v>
      </c>
      <c r="F33" s="1061" t="s">
        <v>1643</v>
      </c>
      <c r="G33" s="1060">
        <v>1.47E-2</v>
      </c>
    </row>
    <row r="34" spans="1:7">
      <c r="A34" s="1059" t="s">
        <v>1664</v>
      </c>
      <c r="B34" s="1060">
        <v>8.1699999999999995E-2</v>
      </c>
      <c r="C34" s="1060">
        <v>0.15570000000000001</v>
      </c>
      <c r="D34" s="1060">
        <v>0.10970000000000001</v>
      </c>
      <c r="E34" s="1060">
        <v>0.28000000000000003</v>
      </c>
      <c r="F34" s="1061" t="s">
        <v>1654</v>
      </c>
      <c r="G34" s="1061" t="s">
        <v>1391</v>
      </c>
    </row>
    <row r="35" spans="1:7">
      <c r="A35" s="1059" t="s">
        <v>1665</v>
      </c>
      <c r="B35" s="1060">
        <v>5.9900000000000002E-2</v>
      </c>
      <c r="C35" s="1060">
        <v>0.12640000000000001</v>
      </c>
      <c r="D35" s="1060">
        <v>8.0399999999999999E-2</v>
      </c>
      <c r="E35" s="1060">
        <v>0.2</v>
      </c>
      <c r="F35" s="1061" t="s">
        <v>1648</v>
      </c>
      <c r="G35" s="1061" t="s">
        <v>1391</v>
      </c>
    </row>
    <row r="36" spans="1:7">
      <c r="A36" s="1059" t="s">
        <v>1666</v>
      </c>
      <c r="B36" s="1060">
        <v>8.1699999999999995E-2</v>
      </c>
      <c r="C36" s="1060">
        <v>0.15570000000000001</v>
      </c>
      <c r="D36" s="1060">
        <v>0.10970000000000001</v>
      </c>
      <c r="E36" s="1060">
        <v>0.33</v>
      </c>
      <c r="F36" s="1061" t="s">
        <v>1654</v>
      </c>
      <c r="G36" s="1060">
        <v>9.1399999999999995E-2</v>
      </c>
    </row>
    <row r="37" spans="1:7">
      <c r="A37" s="1059" t="s">
        <v>159</v>
      </c>
      <c r="B37" s="1060">
        <v>0</v>
      </c>
      <c r="C37" s="1060">
        <v>4.5999999999999999E-2</v>
      </c>
      <c r="D37" s="1060">
        <v>0</v>
      </c>
      <c r="E37" s="1060">
        <v>0.26500000000000001</v>
      </c>
      <c r="F37" s="1061" t="s">
        <v>1645</v>
      </c>
      <c r="G37" s="1060">
        <v>4.4000000000000003E-3</v>
      </c>
    </row>
    <row r="38" spans="1:7">
      <c r="A38" s="1059" t="s">
        <v>1667</v>
      </c>
      <c r="B38" s="1060">
        <v>7.0800000000000002E-2</v>
      </c>
      <c r="C38" s="1060">
        <v>0.1411</v>
      </c>
      <c r="D38" s="1060">
        <v>9.5100000000000004E-2</v>
      </c>
      <c r="E38" s="1060">
        <v>0</v>
      </c>
      <c r="F38" s="1061" t="s">
        <v>1636</v>
      </c>
      <c r="G38" s="1061" t="s">
        <v>1391</v>
      </c>
    </row>
    <row r="39" spans="1:7">
      <c r="A39" s="1059" t="s">
        <v>1668</v>
      </c>
      <c r="B39" s="1060">
        <v>6.4999999999999997E-3</v>
      </c>
      <c r="C39" s="1060">
        <v>5.4800000000000001E-2</v>
      </c>
      <c r="D39" s="1060">
        <v>8.8000000000000005E-3</v>
      </c>
      <c r="E39" s="1060">
        <v>0</v>
      </c>
      <c r="F39" s="1061" t="s">
        <v>1644</v>
      </c>
      <c r="G39" s="1061" t="s">
        <v>1391</v>
      </c>
    </row>
    <row r="40" spans="1:7">
      <c r="A40" s="1059" t="s">
        <v>2203</v>
      </c>
      <c r="B40" s="1060">
        <v>9.5999999999999992E-3</v>
      </c>
      <c r="C40" s="1060">
        <v>5.8900000000000001E-2</v>
      </c>
      <c r="D40" s="1060">
        <v>5.8900000000000001E-2</v>
      </c>
      <c r="E40" s="1060">
        <v>0.24709999999999999</v>
      </c>
      <c r="F40" s="1061" t="s">
        <v>1663</v>
      </c>
      <c r="G40" s="1061" t="s">
        <v>1391</v>
      </c>
    </row>
    <row r="41" spans="1:7">
      <c r="A41" s="1059" t="s">
        <v>160</v>
      </c>
      <c r="B41" s="1060">
        <v>9.1999999999999998E-3</v>
      </c>
      <c r="C41" s="1060">
        <v>5.8400000000000001E-2</v>
      </c>
      <c r="D41" s="1060">
        <v>1.24E-2</v>
      </c>
      <c r="E41" s="1060">
        <v>0.27</v>
      </c>
      <c r="F41" s="1061" t="s">
        <v>1634</v>
      </c>
      <c r="G41" s="1060">
        <v>1.15E-2</v>
      </c>
    </row>
    <row r="42" spans="1:7">
      <c r="A42" s="1059" t="s">
        <v>161</v>
      </c>
      <c r="B42" s="1060">
        <v>7.7000000000000002E-3</v>
      </c>
      <c r="C42" s="1060">
        <v>5.6300000000000003E-2</v>
      </c>
      <c r="D42" s="1060">
        <v>1.03E-2</v>
      </c>
      <c r="E42" s="1060">
        <v>0.25</v>
      </c>
      <c r="F42" s="1061" t="s">
        <v>1631</v>
      </c>
      <c r="G42" s="1060">
        <v>9.9000000000000008E-3</v>
      </c>
    </row>
    <row r="43" spans="1:7">
      <c r="A43" s="1059" t="s">
        <v>1669</v>
      </c>
      <c r="B43" s="1060">
        <v>2.07E-2</v>
      </c>
      <c r="C43" s="1060">
        <v>7.3800000000000004E-2</v>
      </c>
      <c r="D43" s="1060">
        <v>2.7799999999999998E-2</v>
      </c>
      <c r="E43" s="1060">
        <v>0.35</v>
      </c>
      <c r="F43" s="1061" t="s">
        <v>1656</v>
      </c>
      <c r="G43" s="1060">
        <v>2.7400000000000001E-2</v>
      </c>
    </row>
    <row r="44" spans="1:7">
      <c r="A44" s="1059" t="s">
        <v>2204</v>
      </c>
      <c r="B44" s="1060">
        <v>7.0800000000000002E-2</v>
      </c>
      <c r="C44" s="1060">
        <v>0.1411</v>
      </c>
      <c r="D44" s="1060">
        <v>9.5100000000000004E-2</v>
      </c>
      <c r="E44" s="1060">
        <v>0.3</v>
      </c>
      <c r="F44" s="1061" t="s">
        <v>1636</v>
      </c>
      <c r="G44" s="1061" t="s">
        <v>1391</v>
      </c>
    </row>
    <row r="45" spans="1:7">
      <c r="A45" s="1059" t="s">
        <v>1670</v>
      </c>
      <c r="B45" s="1060">
        <v>9.8100000000000007E-2</v>
      </c>
      <c r="C45" s="1060">
        <v>0.1777</v>
      </c>
      <c r="D45" s="1060">
        <v>0.13170000000000001</v>
      </c>
      <c r="E45" s="1060">
        <v>0.28000000000000003</v>
      </c>
      <c r="F45" s="1061" t="s">
        <v>1671</v>
      </c>
      <c r="G45" s="1061" t="s">
        <v>1391</v>
      </c>
    </row>
    <row r="46" spans="1:7">
      <c r="A46" s="1059" t="s">
        <v>1672</v>
      </c>
      <c r="B46" s="1060">
        <v>4.9000000000000002E-2</v>
      </c>
      <c r="C46" s="1060">
        <v>0.1118</v>
      </c>
      <c r="D46" s="1060">
        <v>6.5799999999999997E-2</v>
      </c>
      <c r="E46" s="1060">
        <v>0.2974</v>
      </c>
      <c r="F46" s="1061" t="s">
        <v>1630</v>
      </c>
      <c r="G46" s="1061" t="s">
        <v>1391</v>
      </c>
    </row>
    <row r="47" spans="1:7">
      <c r="A47" s="1059" t="s">
        <v>1673</v>
      </c>
      <c r="B47" s="1060">
        <v>4.9000000000000002E-2</v>
      </c>
      <c r="C47" s="1060">
        <v>0.1118</v>
      </c>
      <c r="D47" s="1060">
        <v>6.5799999999999997E-2</v>
      </c>
      <c r="E47" s="1060">
        <v>0.3</v>
      </c>
      <c r="F47" s="1061" t="s">
        <v>1630</v>
      </c>
      <c r="G47" s="1060">
        <v>3.1099999999999999E-2</v>
      </c>
    </row>
    <row r="48" spans="1:7">
      <c r="A48" s="1059" t="s">
        <v>162</v>
      </c>
      <c r="B48" s="1060">
        <v>2.07E-2</v>
      </c>
      <c r="C48" s="1060">
        <v>7.3800000000000004E-2</v>
      </c>
      <c r="D48" s="1060">
        <v>2.7799999999999998E-2</v>
      </c>
      <c r="E48" s="1060">
        <v>0.18</v>
      </c>
      <c r="F48" s="1061" t="s">
        <v>1656</v>
      </c>
      <c r="G48" s="1060">
        <v>1.34E-2</v>
      </c>
    </row>
    <row r="49" spans="1:7">
      <c r="A49" s="1059" t="s">
        <v>1674</v>
      </c>
      <c r="B49" s="1060">
        <v>0.13070000000000001</v>
      </c>
      <c r="C49" s="1060">
        <v>0.2215</v>
      </c>
      <c r="D49" s="1060">
        <v>0.17549999999999999</v>
      </c>
      <c r="E49" s="1060">
        <v>0.2853</v>
      </c>
      <c r="F49" s="1061" t="s">
        <v>1638</v>
      </c>
      <c r="G49" s="1061" t="s">
        <v>1391</v>
      </c>
    </row>
    <row r="50" spans="1:7">
      <c r="A50" s="1062" t="s">
        <v>2205</v>
      </c>
      <c r="B50" s="1060">
        <v>2.07E-2</v>
      </c>
      <c r="C50" s="1060">
        <v>7.3800000000000004E-2</v>
      </c>
      <c r="D50" s="1060">
        <v>2.7799999999999998E-2</v>
      </c>
      <c r="E50" s="1060">
        <v>0.22</v>
      </c>
      <c r="F50" s="1061" t="s">
        <v>1656</v>
      </c>
      <c r="G50" s="1061" t="s">
        <v>1391</v>
      </c>
    </row>
    <row r="51" spans="1:7">
      <c r="A51" s="1059" t="s">
        <v>1675</v>
      </c>
      <c r="B51" s="1060">
        <v>2.07E-2</v>
      </c>
      <c r="C51" s="1060">
        <v>7.3800000000000004E-2</v>
      </c>
      <c r="D51" s="1060">
        <v>2.7799999999999998E-2</v>
      </c>
      <c r="E51" s="1060">
        <v>0.125</v>
      </c>
      <c r="F51" s="1061" t="s">
        <v>1656</v>
      </c>
      <c r="G51" s="1060">
        <v>1.11E-2</v>
      </c>
    </row>
    <row r="52" spans="1:7">
      <c r="A52" s="1059" t="s">
        <v>163</v>
      </c>
      <c r="B52" s="1060">
        <v>6.4999999999999997E-3</v>
      </c>
      <c r="C52" s="1060">
        <v>5.4800000000000001E-2</v>
      </c>
      <c r="D52" s="1060">
        <v>8.8000000000000005E-3</v>
      </c>
      <c r="E52" s="1060">
        <v>0.19</v>
      </c>
      <c r="F52" s="1061" t="s">
        <v>1644</v>
      </c>
      <c r="G52" s="1060">
        <v>5.5999999999999999E-3</v>
      </c>
    </row>
    <row r="53" spans="1:7">
      <c r="A53" s="1059" t="s">
        <v>164</v>
      </c>
      <c r="B53" s="1060">
        <v>0</v>
      </c>
      <c r="C53" s="1060">
        <v>4.5999999999999999E-2</v>
      </c>
      <c r="D53" s="1060">
        <v>0</v>
      </c>
      <c r="E53" s="1060">
        <v>0.22</v>
      </c>
      <c r="F53" s="1061" t="s">
        <v>1645</v>
      </c>
      <c r="G53" s="1060">
        <v>2.3999999999999998E-3</v>
      </c>
    </row>
    <row r="54" spans="1:7">
      <c r="A54" s="1059" t="s">
        <v>1676</v>
      </c>
      <c r="B54" s="1060">
        <v>3.9199999999999999E-2</v>
      </c>
      <c r="C54" s="1060">
        <v>9.8599999999999993E-2</v>
      </c>
      <c r="D54" s="1060">
        <v>5.2600000000000001E-2</v>
      </c>
      <c r="E54" s="1060">
        <v>0.27</v>
      </c>
      <c r="F54" s="1061" t="s">
        <v>1641</v>
      </c>
      <c r="G54" s="1061" t="s">
        <v>1391</v>
      </c>
    </row>
    <row r="55" spans="1:7">
      <c r="A55" s="1059" t="s">
        <v>1677</v>
      </c>
      <c r="B55" s="1060">
        <v>0.109</v>
      </c>
      <c r="C55" s="1060">
        <v>0.1923</v>
      </c>
      <c r="D55" s="1060">
        <v>0.14630000000000001</v>
      </c>
      <c r="E55" s="1060">
        <v>0.25</v>
      </c>
      <c r="F55" s="1061" t="s">
        <v>1678</v>
      </c>
      <c r="G55" s="1060">
        <v>0.52739999999999998</v>
      </c>
    </row>
    <row r="56" spans="1:7">
      <c r="A56" s="1059" t="s">
        <v>165</v>
      </c>
      <c r="B56" s="1060">
        <v>8.1699999999999995E-2</v>
      </c>
      <c r="C56" s="1060">
        <v>0.15570000000000001</v>
      </c>
      <c r="D56" s="1060">
        <v>0.10970000000000001</v>
      </c>
      <c r="E56" s="1060">
        <v>0.22500000000000001</v>
      </c>
      <c r="F56" s="1061" t="s">
        <v>1654</v>
      </c>
      <c r="G56" s="1060">
        <v>0.1013</v>
      </c>
    </row>
    <row r="57" spans="1:7">
      <c r="A57" s="1059" t="s">
        <v>1679</v>
      </c>
      <c r="B57" s="1060">
        <v>0.109</v>
      </c>
      <c r="C57" s="1060">
        <v>0.1923</v>
      </c>
      <c r="D57" s="1060">
        <v>0.14630000000000001</v>
      </c>
      <c r="E57" s="1060">
        <v>0.3</v>
      </c>
      <c r="F57" s="1061" t="s">
        <v>1678</v>
      </c>
      <c r="G57" s="1060">
        <v>8.4000000000000005E-2</v>
      </c>
    </row>
    <row r="58" spans="1:7">
      <c r="A58" s="1059" t="s">
        <v>1680</v>
      </c>
      <c r="B58" s="1060">
        <v>7.7000000000000002E-3</v>
      </c>
      <c r="C58" s="1060">
        <v>5.6300000000000003E-2</v>
      </c>
      <c r="D58" s="1060">
        <v>1.03E-2</v>
      </c>
      <c r="E58" s="1060">
        <v>0.2</v>
      </c>
      <c r="F58" s="1061" t="s">
        <v>1631</v>
      </c>
      <c r="G58" s="1060">
        <v>6.0000000000000001E-3</v>
      </c>
    </row>
    <row r="59" spans="1:7">
      <c r="A59" s="1059" t="s">
        <v>1681</v>
      </c>
      <c r="B59" s="1060">
        <v>9.8100000000000007E-2</v>
      </c>
      <c r="C59" s="1060">
        <v>0.1777</v>
      </c>
      <c r="D59" s="1060">
        <v>0.13170000000000001</v>
      </c>
      <c r="E59" s="1060">
        <v>0.3</v>
      </c>
      <c r="F59" s="1061" t="s">
        <v>1671</v>
      </c>
      <c r="G59" s="1060">
        <v>0.3231</v>
      </c>
    </row>
    <row r="60" spans="1:7">
      <c r="A60" s="1059" t="s">
        <v>2206</v>
      </c>
      <c r="B60" s="1060">
        <v>4.2900000000000001E-2</v>
      </c>
      <c r="C60" s="1060">
        <v>0.1036</v>
      </c>
      <c r="D60" s="1060">
        <v>0.1036</v>
      </c>
      <c r="E60" s="1060">
        <v>0.316</v>
      </c>
      <c r="F60" s="1061" t="s">
        <v>1663</v>
      </c>
      <c r="G60" s="1061" t="s">
        <v>1391</v>
      </c>
    </row>
    <row r="61" spans="1:7">
      <c r="A61" s="1059" t="s">
        <v>1682</v>
      </c>
      <c r="B61" s="1060">
        <v>4.9000000000000002E-2</v>
      </c>
      <c r="C61" s="1060">
        <v>0.1118</v>
      </c>
      <c r="D61" s="1060">
        <v>6.5799999999999997E-2</v>
      </c>
      <c r="E61" s="1060">
        <v>0.2</v>
      </c>
      <c r="F61" s="1061" t="s">
        <v>1630</v>
      </c>
      <c r="G61" s="1061" t="s">
        <v>1391</v>
      </c>
    </row>
    <row r="62" spans="1:7">
      <c r="A62" s="1059" t="s">
        <v>1683</v>
      </c>
      <c r="B62" s="1060">
        <v>4.4000000000000003E-3</v>
      </c>
      <c r="C62" s="1060">
        <v>5.1799999999999999E-2</v>
      </c>
      <c r="D62" s="1060">
        <v>5.7999999999999996E-3</v>
      </c>
      <c r="E62" s="1060">
        <v>0.2</v>
      </c>
      <c r="F62" s="1061" t="s">
        <v>1639</v>
      </c>
      <c r="G62" s="1060">
        <v>3.3999999999999998E-3</v>
      </c>
    </row>
    <row r="63" spans="1:7">
      <c r="A63" s="1059" t="s">
        <v>166</v>
      </c>
      <c r="B63" s="1060">
        <v>5.4000000000000003E-3</v>
      </c>
      <c r="C63" s="1060">
        <v>5.3199999999999997E-2</v>
      </c>
      <c r="D63" s="1060">
        <v>7.1999999999999998E-3</v>
      </c>
      <c r="E63" s="1060">
        <v>0.25</v>
      </c>
      <c r="F63" s="1061" t="s">
        <v>1628</v>
      </c>
      <c r="G63" s="1060">
        <v>4.3E-3</v>
      </c>
    </row>
    <row r="64" spans="1:7">
      <c r="A64" s="1059" t="s">
        <v>2207</v>
      </c>
      <c r="B64" s="1060">
        <v>4.2900000000000001E-2</v>
      </c>
      <c r="C64" s="1060">
        <v>0.1036</v>
      </c>
      <c r="D64" s="1060">
        <v>0.1036</v>
      </c>
      <c r="E64" s="1060">
        <v>0.316</v>
      </c>
      <c r="F64" s="1061" t="s">
        <v>1663</v>
      </c>
      <c r="G64" s="1061" t="s">
        <v>1391</v>
      </c>
    </row>
    <row r="65" spans="1:7">
      <c r="A65" s="1059" t="s">
        <v>1684</v>
      </c>
      <c r="B65" s="1060">
        <v>8.1699999999999995E-2</v>
      </c>
      <c r="C65" s="1060">
        <v>0.15570000000000001</v>
      </c>
      <c r="D65" s="1060">
        <v>0.10970000000000001</v>
      </c>
      <c r="E65" s="1060">
        <v>0.3</v>
      </c>
      <c r="F65" s="1061" t="s">
        <v>1654</v>
      </c>
      <c r="G65" s="1060">
        <v>6.8500000000000005E-2</v>
      </c>
    </row>
    <row r="66" spans="1:7">
      <c r="A66" s="1059" t="s">
        <v>1748</v>
      </c>
      <c r="B66" s="1060">
        <v>4.9000000000000002E-2</v>
      </c>
      <c r="C66" s="1060">
        <v>0.1118</v>
      </c>
      <c r="D66" s="1060">
        <v>6.5799999999999997E-2</v>
      </c>
      <c r="E66" s="1060">
        <v>0.31</v>
      </c>
      <c r="F66" s="1061" t="s">
        <v>1663</v>
      </c>
      <c r="G66" s="1061" t="s">
        <v>1391</v>
      </c>
    </row>
    <row r="67" spans="1:7">
      <c r="A67" s="1059" t="s">
        <v>1685</v>
      </c>
      <c r="B67" s="1060">
        <v>3.2800000000000003E-2</v>
      </c>
      <c r="C67" s="1060">
        <v>0.09</v>
      </c>
      <c r="D67" s="1060">
        <v>4.3999999999999997E-2</v>
      </c>
      <c r="E67" s="1060">
        <v>0.15</v>
      </c>
      <c r="F67" s="1061" t="s">
        <v>1647</v>
      </c>
      <c r="G67" s="1061" t="s">
        <v>1391</v>
      </c>
    </row>
    <row r="68" spans="1:7">
      <c r="A68" s="1059" t="s">
        <v>167</v>
      </c>
      <c r="B68" s="1060">
        <v>0</v>
      </c>
      <c r="C68" s="1060">
        <v>4.5999999999999999E-2</v>
      </c>
      <c r="D68" s="1060">
        <v>0</v>
      </c>
      <c r="E68" s="1060">
        <v>0.3</v>
      </c>
      <c r="F68" s="1061" t="s">
        <v>1645</v>
      </c>
      <c r="G68" s="1060">
        <v>2.8999999999999998E-3</v>
      </c>
    </row>
    <row r="69" spans="1:7">
      <c r="A69" s="1059" t="s">
        <v>1686</v>
      </c>
      <c r="B69" s="1060">
        <v>0.109</v>
      </c>
      <c r="C69" s="1060">
        <v>0.1923</v>
      </c>
      <c r="D69" s="1060">
        <v>0.14630000000000001</v>
      </c>
      <c r="E69" s="1060">
        <v>0.25</v>
      </c>
      <c r="F69" s="1061" t="s">
        <v>1678</v>
      </c>
      <c r="G69" s="1061" t="s">
        <v>1391</v>
      </c>
    </row>
    <row r="70" spans="1:7">
      <c r="A70" s="1059" t="s">
        <v>1774</v>
      </c>
      <c r="B70" s="1060">
        <v>9.5999999999999992E-3</v>
      </c>
      <c r="C70" s="1060">
        <v>5.8900000000000001E-2</v>
      </c>
      <c r="D70" s="1060">
        <v>5.8900000000000001E-2</v>
      </c>
      <c r="E70" s="1060">
        <v>0.24709999999999999</v>
      </c>
      <c r="F70" s="1061" t="s">
        <v>1663</v>
      </c>
      <c r="G70" s="1061" t="s">
        <v>1391</v>
      </c>
    </row>
    <row r="71" spans="1:7">
      <c r="A71" s="1059" t="s">
        <v>1687</v>
      </c>
      <c r="B71" s="1060">
        <v>2.7300000000000001E-2</v>
      </c>
      <c r="C71" s="1060">
        <v>8.2600000000000007E-2</v>
      </c>
      <c r="D71" s="1060">
        <v>3.6600000000000001E-2</v>
      </c>
      <c r="E71" s="1060">
        <v>0.22</v>
      </c>
      <c r="F71" s="1061" t="s">
        <v>1651</v>
      </c>
      <c r="G71" s="1060">
        <v>1.2800000000000001E-2</v>
      </c>
    </row>
    <row r="72" spans="1:7">
      <c r="A72" s="1059" t="s">
        <v>2208</v>
      </c>
      <c r="B72" s="1060">
        <v>0</v>
      </c>
      <c r="C72" s="1061" t="s">
        <v>1391</v>
      </c>
      <c r="D72" s="1061" t="s">
        <v>1391</v>
      </c>
      <c r="E72" s="1060">
        <v>0</v>
      </c>
      <c r="F72" s="1061" t="s">
        <v>1663</v>
      </c>
      <c r="G72" s="1061" t="s">
        <v>1391</v>
      </c>
    </row>
    <row r="73" spans="1:7">
      <c r="A73" s="1059" t="s">
        <v>1688</v>
      </c>
      <c r="B73" s="1060">
        <v>2.7300000000000001E-2</v>
      </c>
      <c r="C73" s="1060">
        <v>8.2600000000000007E-2</v>
      </c>
      <c r="D73" s="1060">
        <v>3.6600000000000001E-2</v>
      </c>
      <c r="E73" s="1060">
        <v>0.25</v>
      </c>
      <c r="F73" s="1061" t="s">
        <v>1651</v>
      </c>
      <c r="G73" s="1061" t="s">
        <v>1391</v>
      </c>
    </row>
    <row r="74" spans="1:7">
      <c r="A74" s="1059" t="s">
        <v>1689</v>
      </c>
      <c r="B74" s="1060">
        <v>7.7000000000000002E-3</v>
      </c>
      <c r="C74" s="1060">
        <v>5.6300000000000003E-2</v>
      </c>
      <c r="D74" s="1060">
        <v>1.03E-2</v>
      </c>
      <c r="E74" s="1060">
        <v>0</v>
      </c>
      <c r="F74" s="1061" t="s">
        <v>1631</v>
      </c>
      <c r="G74" s="1061" t="s">
        <v>1391</v>
      </c>
    </row>
    <row r="75" spans="1:7">
      <c r="A75" s="1059" t="s">
        <v>1749</v>
      </c>
      <c r="B75" s="1060">
        <v>9.8100000000000007E-2</v>
      </c>
      <c r="C75" s="1060">
        <v>0.1777</v>
      </c>
      <c r="D75" s="1060">
        <v>0.13170000000000001</v>
      </c>
      <c r="E75" s="1060">
        <v>0.29149999999999998</v>
      </c>
      <c r="F75" s="1061" t="s">
        <v>1663</v>
      </c>
      <c r="G75" s="1061" t="s">
        <v>1391</v>
      </c>
    </row>
    <row r="76" spans="1:7">
      <c r="A76" s="1059" t="s">
        <v>1750</v>
      </c>
      <c r="B76" s="1060">
        <v>5.9900000000000002E-2</v>
      </c>
      <c r="C76" s="1060">
        <v>0.12640000000000001</v>
      </c>
      <c r="D76" s="1060">
        <v>8.0399999999999999E-2</v>
      </c>
      <c r="E76" s="1060">
        <v>0.29149999999999998</v>
      </c>
      <c r="F76" s="1061" t="s">
        <v>1663</v>
      </c>
      <c r="G76" s="1061" t="s">
        <v>1391</v>
      </c>
    </row>
    <row r="77" spans="1:7">
      <c r="A77" s="1059" t="s">
        <v>1751</v>
      </c>
      <c r="B77" s="1060">
        <v>1.7399999999999999E-2</v>
      </c>
      <c r="C77" s="1060">
        <v>6.9400000000000003E-2</v>
      </c>
      <c r="D77" s="1060">
        <v>2.3400000000000001E-2</v>
      </c>
      <c r="E77" s="1060">
        <v>0.18640000000000001</v>
      </c>
      <c r="F77" s="1061" t="s">
        <v>1663</v>
      </c>
      <c r="G77" s="1061" t="s">
        <v>1391</v>
      </c>
    </row>
    <row r="78" spans="1:7">
      <c r="A78" s="1059" t="s">
        <v>1752</v>
      </c>
      <c r="B78" s="1060">
        <v>0.109</v>
      </c>
      <c r="C78" s="1060">
        <v>0.1923</v>
      </c>
      <c r="D78" s="1060">
        <v>0.14630000000000001</v>
      </c>
      <c r="E78" s="1060">
        <v>0.18640000000000001</v>
      </c>
      <c r="F78" s="1061" t="s">
        <v>1663</v>
      </c>
      <c r="G78" s="1061" t="s">
        <v>1391</v>
      </c>
    </row>
    <row r="79" spans="1:7">
      <c r="A79" s="1059" t="s">
        <v>1690</v>
      </c>
      <c r="B79" s="1060">
        <v>4.9000000000000002E-2</v>
      </c>
      <c r="C79" s="1060">
        <v>0.1118</v>
      </c>
      <c r="D79" s="1060">
        <v>6.5799999999999997E-2</v>
      </c>
      <c r="E79" s="1060">
        <v>0.25</v>
      </c>
      <c r="F79" s="1061" t="s">
        <v>1630</v>
      </c>
      <c r="G79" s="1061" t="s">
        <v>1391</v>
      </c>
    </row>
    <row r="80" spans="1:7">
      <c r="A80" s="1059" t="s">
        <v>168</v>
      </c>
      <c r="B80" s="1060">
        <v>6.4999999999999997E-3</v>
      </c>
      <c r="C80" s="1060">
        <v>5.4800000000000001E-2</v>
      </c>
      <c r="D80" s="1060">
        <v>8.8000000000000005E-3</v>
      </c>
      <c r="E80" s="1060">
        <v>0.16500000000000001</v>
      </c>
      <c r="F80" s="1061" t="s">
        <v>1644</v>
      </c>
      <c r="G80" s="1060">
        <v>6.0000000000000001E-3</v>
      </c>
    </row>
    <row r="81" spans="1:7">
      <c r="A81" s="1059" t="s">
        <v>169</v>
      </c>
      <c r="B81" s="1060">
        <v>2.07E-2</v>
      </c>
      <c r="C81" s="1060">
        <v>7.3800000000000004E-2</v>
      </c>
      <c r="D81" s="1060">
        <v>2.7799999999999998E-2</v>
      </c>
      <c r="E81" s="1060">
        <v>0.09</v>
      </c>
      <c r="F81" s="1061" t="s">
        <v>1656</v>
      </c>
      <c r="G81" s="1060">
        <v>1.95E-2</v>
      </c>
    </row>
    <row r="82" spans="1:7">
      <c r="A82" s="1059" t="s">
        <v>170</v>
      </c>
      <c r="B82" s="1060">
        <v>9.1999999999999998E-3</v>
      </c>
      <c r="C82" s="1060">
        <v>5.8400000000000001E-2</v>
      </c>
      <c r="D82" s="1060">
        <v>1.24E-2</v>
      </c>
      <c r="E82" s="1060">
        <v>0.2</v>
      </c>
      <c r="F82" s="1061" t="s">
        <v>1634</v>
      </c>
      <c r="G82" s="1060">
        <v>8.8000000000000005E-3</v>
      </c>
    </row>
    <row r="83" spans="1:7">
      <c r="A83" s="1059" t="s">
        <v>171</v>
      </c>
      <c r="B83" s="1060">
        <v>2.3900000000000001E-2</v>
      </c>
      <c r="C83" s="1060">
        <v>7.8100000000000003E-2</v>
      </c>
      <c r="D83" s="1060">
        <v>3.2099999999999997E-2</v>
      </c>
      <c r="E83" s="1060">
        <v>0.3</v>
      </c>
      <c r="F83" s="1061" t="s">
        <v>1633</v>
      </c>
      <c r="G83" s="1060">
        <v>9.9000000000000008E-3</v>
      </c>
    </row>
    <row r="84" spans="1:7">
      <c r="A84" s="1059" t="s">
        <v>172</v>
      </c>
      <c r="B84" s="1060">
        <v>2.07E-2</v>
      </c>
      <c r="C84" s="1060">
        <v>7.3800000000000004E-2</v>
      </c>
      <c r="D84" s="1060">
        <v>2.7799999999999998E-2</v>
      </c>
      <c r="E84" s="1060">
        <v>0.22</v>
      </c>
      <c r="F84" s="1061" t="s">
        <v>1656</v>
      </c>
      <c r="G84" s="1060">
        <v>1.32E-2</v>
      </c>
    </row>
    <row r="85" spans="1:7">
      <c r="A85" s="1059" t="s">
        <v>1753</v>
      </c>
      <c r="B85" s="1060">
        <v>7.0800000000000002E-2</v>
      </c>
      <c r="C85" s="1060">
        <v>0.1411</v>
      </c>
      <c r="D85" s="1060">
        <v>9.5100000000000004E-2</v>
      </c>
      <c r="E85" s="1060">
        <v>0.20230000000000001</v>
      </c>
      <c r="F85" s="1061" t="s">
        <v>1663</v>
      </c>
      <c r="G85" s="1061" t="s">
        <v>1391</v>
      </c>
    </row>
    <row r="86" spans="1:7">
      <c r="A86" s="1059" t="s">
        <v>1691</v>
      </c>
      <c r="B86" s="1060">
        <v>8.1699999999999995E-2</v>
      </c>
      <c r="C86" s="1060">
        <v>0.15570000000000001</v>
      </c>
      <c r="D86" s="1060">
        <v>0.10970000000000001</v>
      </c>
      <c r="E86" s="1060">
        <v>0.15</v>
      </c>
      <c r="F86" s="1061" t="s">
        <v>1654</v>
      </c>
      <c r="G86" s="1060">
        <v>5.1400000000000001E-2</v>
      </c>
    </row>
    <row r="87" spans="1:7">
      <c r="A87" s="1059" t="s">
        <v>173</v>
      </c>
      <c r="B87" s="1060">
        <v>6.4999999999999997E-3</v>
      </c>
      <c r="C87" s="1060">
        <v>5.4800000000000001E-2</v>
      </c>
      <c r="D87" s="1060">
        <v>8.8000000000000005E-3</v>
      </c>
      <c r="E87" s="1060">
        <v>0.125</v>
      </c>
      <c r="F87" s="1061" t="s">
        <v>1644</v>
      </c>
      <c r="G87" s="1060">
        <v>4.1000000000000003E-3</v>
      </c>
    </row>
    <row r="88" spans="1:7">
      <c r="A88" s="1059" t="s">
        <v>1692</v>
      </c>
      <c r="B88" s="1060">
        <v>6.4999999999999997E-3</v>
      </c>
      <c r="C88" s="1060">
        <v>5.4800000000000001E-2</v>
      </c>
      <c r="D88" s="1060">
        <v>8.8000000000000005E-3</v>
      </c>
      <c r="E88" s="1060">
        <v>0</v>
      </c>
      <c r="F88" s="1061" t="s">
        <v>1644</v>
      </c>
      <c r="G88" s="1061" t="s">
        <v>1391</v>
      </c>
    </row>
    <row r="89" spans="1:7">
      <c r="A89" s="1059" t="s">
        <v>174</v>
      </c>
      <c r="B89" s="1060">
        <v>7.7000000000000002E-3</v>
      </c>
      <c r="C89" s="1060">
        <v>5.6300000000000003E-2</v>
      </c>
      <c r="D89" s="1060">
        <v>1.03E-2</v>
      </c>
      <c r="E89" s="1060">
        <v>0.23</v>
      </c>
      <c r="F89" s="1061" t="s">
        <v>1631</v>
      </c>
      <c r="G89" s="1060">
        <v>1.5699999999999999E-2</v>
      </c>
    </row>
    <row r="90" spans="1:7">
      <c r="A90" s="1059" t="s">
        <v>175</v>
      </c>
      <c r="B90" s="1060">
        <v>2.3900000000000001E-2</v>
      </c>
      <c r="C90" s="1060">
        <v>7.8100000000000003E-2</v>
      </c>
      <c r="D90" s="1060">
        <v>3.2099999999999997E-2</v>
      </c>
      <c r="E90" s="1060">
        <v>0.24</v>
      </c>
      <c r="F90" s="1061" t="s">
        <v>1633</v>
      </c>
      <c r="G90" s="1060">
        <v>1.34E-2</v>
      </c>
    </row>
    <row r="91" spans="1:7">
      <c r="A91" s="1059" t="s">
        <v>1775</v>
      </c>
      <c r="B91" s="1060">
        <v>3.9199999999999999E-2</v>
      </c>
      <c r="C91" s="1060">
        <v>9.8599999999999993E-2</v>
      </c>
      <c r="D91" s="1060">
        <v>5.2600000000000001E-2</v>
      </c>
      <c r="E91" s="1060">
        <v>0.25</v>
      </c>
      <c r="F91" s="1061" t="s">
        <v>1641</v>
      </c>
      <c r="G91" s="1061" t="s">
        <v>1391</v>
      </c>
    </row>
    <row r="92" spans="1:7">
      <c r="A92" s="1059" t="s">
        <v>1693</v>
      </c>
      <c r="B92" s="1060">
        <v>4.9000000000000002E-2</v>
      </c>
      <c r="C92" s="1060">
        <v>0.1118</v>
      </c>
      <c r="D92" s="1060">
        <v>6.5799999999999997E-2</v>
      </c>
      <c r="E92" s="1060">
        <v>0.25</v>
      </c>
      <c r="F92" s="1061" t="s">
        <v>1630</v>
      </c>
      <c r="G92" s="1061" t="s">
        <v>1391</v>
      </c>
    </row>
    <row r="93" spans="1:7">
      <c r="A93" s="1059" t="s">
        <v>176</v>
      </c>
      <c r="B93" s="1060">
        <v>7.7000000000000002E-3</v>
      </c>
      <c r="C93" s="1060">
        <v>5.6300000000000003E-2</v>
      </c>
      <c r="D93" s="1060">
        <v>1.03E-2</v>
      </c>
      <c r="E93" s="1060">
        <v>0.30620000000000003</v>
      </c>
      <c r="F93" s="1061" t="s">
        <v>1631</v>
      </c>
      <c r="G93" s="1060">
        <v>4.3E-3</v>
      </c>
    </row>
    <row r="94" spans="1:7">
      <c r="A94" s="1059" t="s">
        <v>1694</v>
      </c>
      <c r="B94" s="1060">
        <v>6.4999999999999997E-3</v>
      </c>
      <c r="C94" s="1060">
        <v>5.4800000000000001E-2</v>
      </c>
      <c r="D94" s="1060">
        <v>8.8000000000000005E-3</v>
      </c>
      <c r="E94" s="1060">
        <v>0</v>
      </c>
      <c r="F94" s="1061" t="s">
        <v>1644</v>
      </c>
      <c r="G94" s="1061" t="s">
        <v>1391</v>
      </c>
    </row>
    <row r="95" spans="1:7">
      <c r="A95" s="1059" t="s">
        <v>1695</v>
      </c>
      <c r="B95" s="1060">
        <v>4.9000000000000002E-2</v>
      </c>
      <c r="C95" s="1060">
        <v>0.1118</v>
      </c>
      <c r="D95" s="1060">
        <v>6.5799999999999997E-2</v>
      </c>
      <c r="E95" s="1060">
        <v>0.2</v>
      </c>
      <c r="F95" s="1061" t="s">
        <v>1630</v>
      </c>
      <c r="G95" s="1061" t="s">
        <v>1391</v>
      </c>
    </row>
    <row r="96" spans="1:7">
      <c r="A96" s="1059" t="s">
        <v>1696</v>
      </c>
      <c r="B96" s="1060">
        <v>2.07E-2</v>
      </c>
      <c r="C96" s="1060">
        <v>7.3800000000000004E-2</v>
      </c>
      <c r="D96" s="1060">
        <v>2.7799999999999998E-2</v>
      </c>
      <c r="E96" s="1060">
        <v>0.2</v>
      </c>
      <c r="F96" s="1061" t="s">
        <v>1656</v>
      </c>
      <c r="G96" s="1060">
        <v>1.7600000000000001E-2</v>
      </c>
    </row>
    <row r="97" spans="1:7">
      <c r="A97" s="1059" t="s">
        <v>177</v>
      </c>
      <c r="B97" s="1060">
        <v>7.0800000000000002E-2</v>
      </c>
      <c r="C97" s="1060">
        <v>0.1411</v>
      </c>
      <c r="D97" s="1060">
        <v>9.5100000000000004E-2</v>
      </c>
      <c r="E97" s="1060">
        <v>0.3</v>
      </c>
      <c r="F97" s="1061" t="s">
        <v>1636</v>
      </c>
      <c r="G97" s="1060">
        <v>7.0400000000000004E-2</v>
      </c>
    </row>
    <row r="98" spans="1:7">
      <c r="A98" s="1059" t="s">
        <v>1754</v>
      </c>
      <c r="B98" s="1060">
        <v>0.17499999999999999</v>
      </c>
      <c r="C98" s="1060">
        <v>0.28089999999999998</v>
      </c>
      <c r="D98" s="1060">
        <v>0.2349</v>
      </c>
      <c r="E98" s="1060">
        <v>0.23100000000000001</v>
      </c>
      <c r="F98" s="1061" t="s">
        <v>1663</v>
      </c>
      <c r="G98" s="1061" t="s">
        <v>1391</v>
      </c>
    </row>
    <row r="99" spans="1:7">
      <c r="A99" s="1059" t="s">
        <v>1697</v>
      </c>
      <c r="B99" s="1060">
        <v>7.7000000000000002E-3</v>
      </c>
      <c r="C99" s="1060">
        <v>5.6300000000000003E-2</v>
      </c>
      <c r="D99" s="1060">
        <v>1.03E-2</v>
      </c>
      <c r="E99" s="1060">
        <v>0.15</v>
      </c>
      <c r="F99" s="1061" t="s">
        <v>1631</v>
      </c>
      <c r="G99" s="1060">
        <v>8.3000000000000001E-3</v>
      </c>
    </row>
    <row r="100" spans="1:7">
      <c r="A100" s="1059" t="s">
        <v>1698</v>
      </c>
      <c r="B100" s="1060">
        <v>7.0800000000000002E-2</v>
      </c>
      <c r="C100" s="1060">
        <v>0.1411</v>
      </c>
      <c r="D100" s="1060">
        <v>9.5100000000000004E-2</v>
      </c>
      <c r="E100" s="1060">
        <v>0.1</v>
      </c>
      <c r="F100" s="1061" t="s">
        <v>1636</v>
      </c>
      <c r="G100" s="1061" t="s">
        <v>1391</v>
      </c>
    </row>
    <row r="101" spans="1:7">
      <c r="A101" s="1059" t="s">
        <v>1699</v>
      </c>
      <c r="B101" s="1060">
        <v>0.109</v>
      </c>
      <c r="C101" s="1060">
        <v>0.1923</v>
      </c>
      <c r="D101" s="1060">
        <v>0.14630000000000001</v>
      </c>
      <c r="E101" s="1060">
        <v>0.26860000000000001</v>
      </c>
      <c r="F101" s="1061" t="s">
        <v>1678</v>
      </c>
      <c r="G101" s="1061" t="s">
        <v>1391</v>
      </c>
    </row>
    <row r="102" spans="1:7">
      <c r="A102" s="1059" t="s">
        <v>1700</v>
      </c>
      <c r="B102" s="1060">
        <v>1.3100000000000001E-2</v>
      </c>
      <c r="C102" s="1060">
        <v>6.3500000000000001E-2</v>
      </c>
      <c r="D102" s="1060">
        <v>1.7500000000000002E-2</v>
      </c>
      <c r="E102" s="1060">
        <v>0.2</v>
      </c>
      <c r="F102" s="1061" t="s">
        <v>1637</v>
      </c>
      <c r="G102" s="1060">
        <v>9.4000000000000004E-3</v>
      </c>
    </row>
    <row r="103" spans="1:7">
      <c r="A103" s="1059" t="s">
        <v>1701</v>
      </c>
      <c r="B103" s="1060">
        <v>0.17499999999999999</v>
      </c>
      <c r="C103" s="1060">
        <v>0.28089999999999998</v>
      </c>
      <c r="D103" s="1060">
        <v>0.2349</v>
      </c>
      <c r="E103" s="1060">
        <v>0.17</v>
      </c>
      <c r="F103" s="1061" t="s">
        <v>125</v>
      </c>
      <c r="G103" s="1061" t="s">
        <v>1391</v>
      </c>
    </row>
    <row r="104" spans="1:7">
      <c r="A104" s="1059" t="s">
        <v>1755</v>
      </c>
      <c r="B104" s="1060">
        <v>0.13070000000000001</v>
      </c>
      <c r="C104" s="1060">
        <v>0.2215</v>
      </c>
      <c r="D104" s="1060">
        <v>0.17549999999999999</v>
      </c>
      <c r="E104" s="1060">
        <v>0.29149999999999998</v>
      </c>
      <c r="F104" s="1061" t="s">
        <v>1663</v>
      </c>
      <c r="G104" s="1061" t="s">
        <v>1391</v>
      </c>
    </row>
    <row r="105" spans="1:7">
      <c r="A105" s="1059" t="s">
        <v>1756</v>
      </c>
      <c r="B105" s="1060">
        <v>2.07E-2</v>
      </c>
      <c r="C105" s="1060">
        <v>7.3800000000000004E-2</v>
      </c>
      <c r="D105" s="1060">
        <v>2.7799999999999998E-2</v>
      </c>
      <c r="E105" s="1060">
        <v>0.2</v>
      </c>
      <c r="F105" s="1061" t="s">
        <v>1663</v>
      </c>
      <c r="G105" s="1061" t="s">
        <v>1391</v>
      </c>
    </row>
    <row r="106" spans="1:7">
      <c r="A106" s="1059" t="s">
        <v>1702</v>
      </c>
      <c r="B106" s="1060">
        <v>0</v>
      </c>
      <c r="C106" s="1060">
        <v>4.5999999999999999E-2</v>
      </c>
      <c r="D106" s="1060">
        <v>0</v>
      </c>
      <c r="E106" s="1060">
        <v>0.125</v>
      </c>
      <c r="F106" s="1061" t="s">
        <v>1645</v>
      </c>
      <c r="G106" s="1061" t="s">
        <v>1391</v>
      </c>
    </row>
    <row r="107" spans="1:7">
      <c r="A107" s="1059" t="s">
        <v>1703</v>
      </c>
      <c r="B107" s="1060">
        <v>9.1999999999999998E-3</v>
      </c>
      <c r="C107" s="1060">
        <v>5.8400000000000001E-2</v>
      </c>
      <c r="D107" s="1060">
        <v>1.24E-2</v>
      </c>
      <c r="E107" s="1060">
        <v>0.15</v>
      </c>
      <c r="F107" s="1061" t="s">
        <v>1634</v>
      </c>
      <c r="G107" s="1060">
        <v>8.9999999999999993E-3</v>
      </c>
    </row>
    <row r="108" spans="1:7">
      <c r="A108" s="1059" t="s">
        <v>178</v>
      </c>
      <c r="B108" s="1060">
        <v>0</v>
      </c>
      <c r="C108" s="1060">
        <v>4.5999999999999999E-2</v>
      </c>
      <c r="D108" s="1060">
        <v>0</v>
      </c>
      <c r="E108" s="1060">
        <v>0.24940000000000001</v>
      </c>
      <c r="F108" s="1061" t="s">
        <v>1645</v>
      </c>
      <c r="G108" s="1061" t="s">
        <v>1391</v>
      </c>
    </row>
    <row r="109" spans="1:7">
      <c r="A109" s="1059" t="s">
        <v>1776</v>
      </c>
      <c r="B109" s="1060">
        <v>6.4999999999999997E-3</v>
      </c>
      <c r="C109" s="1060">
        <v>5.4800000000000001E-2</v>
      </c>
      <c r="D109" s="1060">
        <v>8.8000000000000005E-3</v>
      </c>
      <c r="E109" s="1060">
        <v>0.26860000000000001</v>
      </c>
      <c r="F109" s="1061" t="s">
        <v>1644</v>
      </c>
      <c r="G109" s="1061" t="s">
        <v>1391</v>
      </c>
    </row>
    <row r="110" spans="1:7">
      <c r="A110" s="1059" t="s">
        <v>1704</v>
      </c>
      <c r="B110" s="1060">
        <v>3.9199999999999999E-2</v>
      </c>
      <c r="C110" s="1060">
        <v>9.8599999999999993E-2</v>
      </c>
      <c r="D110" s="1060">
        <v>5.2600000000000001E-2</v>
      </c>
      <c r="E110" s="1060">
        <v>0.1</v>
      </c>
      <c r="F110" s="1061" t="s">
        <v>1641</v>
      </c>
      <c r="G110" s="1061" t="s">
        <v>1391</v>
      </c>
    </row>
    <row r="111" spans="1:7">
      <c r="A111" s="1059" t="s">
        <v>1757</v>
      </c>
      <c r="B111" s="1060">
        <v>7.0800000000000002E-2</v>
      </c>
      <c r="C111" s="1060">
        <v>0.1411</v>
      </c>
      <c r="D111" s="1060">
        <v>9.5100000000000004E-2</v>
      </c>
      <c r="E111" s="1060">
        <v>0.2</v>
      </c>
      <c r="F111" s="1061" t="s">
        <v>1663</v>
      </c>
      <c r="G111" s="1061" t="s">
        <v>1391</v>
      </c>
    </row>
    <row r="112" spans="1:7">
      <c r="A112" s="1059" t="s">
        <v>1758</v>
      </c>
      <c r="B112" s="1060">
        <v>0.13070000000000001</v>
      </c>
      <c r="C112" s="1060">
        <v>0.2215</v>
      </c>
      <c r="D112" s="1060">
        <v>0.17549999999999999</v>
      </c>
      <c r="E112" s="1060">
        <v>0.3</v>
      </c>
      <c r="F112" s="1061" t="s">
        <v>1663</v>
      </c>
      <c r="G112" s="1061" t="s">
        <v>1391</v>
      </c>
    </row>
    <row r="113" spans="1:7">
      <c r="A113" s="1059" t="s">
        <v>179</v>
      </c>
      <c r="B113" s="1060">
        <v>1.3100000000000001E-2</v>
      </c>
      <c r="C113" s="1060">
        <v>6.3500000000000001E-2</v>
      </c>
      <c r="D113" s="1060">
        <v>1.7500000000000002E-2</v>
      </c>
      <c r="E113" s="1060">
        <v>0.24</v>
      </c>
      <c r="F113" s="1061" t="s">
        <v>1637</v>
      </c>
      <c r="G113" s="1060">
        <v>8.6E-3</v>
      </c>
    </row>
    <row r="114" spans="1:7">
      <c r="A114" s="1059" t="s">
        <v>1705</v>
      </c>
      <c r="B114" s="1060">
        <v>8.1699999999999995E-2</v>
      </c>
      <c r="C114" s="1060">
        <v>0.15570000000000001</v>
      </c>
      <c r="D114" s="1060">
        <v>0.10970000000000001</v>
      </c>
      <c r="E114" s="1060">
        <v>0.26860000000000001</v>
      </c>
      <c r="F114" s="1061" t="s">
        <v>1654</v>
      </c>
      <c r="G114" s="1061" t="s">
        <v>1391</v>
      </c>
    </row>
    <row r="115" spans="1:7">
      <c r="A115" s="1059" t="s">
        <v>1706</v>
      </c>
      <c r="B115" s="1060">
        <v>9.8100000000000007E-2</v>
      </c>
      <c r="C115" s="1060">
        <v>0.1777</v>
      </c>
      <c r="D115" s="1060">
        <v>0.13170000000000001</v>
      </c>
      <c r="E115" s="1060">
        <v>0.26860000000000001</v>
      </c>
      <c r="F115" s="1061" t="s">
        <v>1671</v>
      </c>
      <c r="G115" s="1061" t="s">
        <v>1391</v>
      </c>
    </row>
    <row r="116" spans="1:7">
      <c r="A116" s="1059" t="s">
        <v>1707</v>
      </c>
      <c r="B116" s="1060">
        <v>9.1999999999999998E-3</v>
      </c>
      <c r="C116" s="1060">
        <v>5.8400000000000001E-2</v>
      </c>
      <c r="D116" s="1060">
        <v>1.24E-2</v>
      </c>
      <c r="E116" s="1060">
        <v>0.35</v>
      </c>
      <c r="F116" s="1061" t="s">
        <v>1634</v>
      </c>
      <c r="G116" s="1061" t="s">
        <v>1391</v>
      </c>
    </row>
    <row r="117" spans="1:7">
      <c r="A117" s="1059" t="s">
        <v>2209</v>
      </c>
      <c r="B117" s="1060">
        <v>0</v>
      </c>
      <c r="C117" s="1061" t="s">
        <v>1391</v>
      </c>
      <c r="D117" s="1061" t="s">
        <v>1391</v>
      </c>
      <c r="E117" s="1060">
        <v>0</v>
      </c>
      <c r="F117" s="1061" t="s">
        <v>1663</v>
      </c>
      <c r="G117" s="1061" t="s">
        <v>1391</v>
      </c>
    </row>
    <row r="118" spans="1:7">
      <c r="A118" s="1059" t="s">
        <v>1708</v>
      </c>
      <c r="B118" s="1060">
        <v>2.3900000000000001E-2</v>
      </c>
      <c r="C118" s="1060">
        <v>7.8100000000000003E-2</v>
      </c>
      <c r="D118" s="1060">
        <v>3.2099999999999997E-2</v>
      </c>
      <c r="E118" s="1060">
        <v>0.15</v>
      </c>
      <c r="F118" s="1061" t="s">
        <v>1633</v>
      </c>
      <c r="G118" s="1061" t="s">
        <v>1391</v>
      </c>
    </row>
    <row r="119" spans="1:7">
      <c r="A119" s="1059" t="s">
        <v>180</v>
      </c>
      <c r="B119" s="1060">
        <v>2.07E-2</v>
      </c>
      <c r="C119" s="1060">
        <v>7.3800000000000004E-2</v>
      </c>
      <c r="D119" s="1060">
        <v>2.7799999999999998E-2</v>
      </c>
      <c r="E119" s="1060">
        <v>0.3</v>
      </c>
      <c r="F119" s="1061" t="s">
        <v>1656</v>
      </c>
      <c r="G119" s="1060">
        <v>1.6799999999999999E-2</v>
      </c>
    </row>
    <row r="120" spans="1:7">
      <c r="A120" s="1059" t="s">
        <v>1777</v>
      </c>
      <c r="B120" s="1060">
        <v>9.5999999999999992E-3</v>
      </c>
      <c r="C120" s="1060">
        <v>5.8900000000000001E-2</v>
      </c>
      <c r="D120" s="1060">
        <v>5.8900000000000001E-2</v>
      </c>
      <c r="E120" s="1060">
        <v>0.24709999999999999</v>
      </c>
      <c r="F120" s="1061" t="s">
        <v>1663</v>
      </c>
      <c r="G120" s="1061" t="s">
        <v>1391</v>
      </c>
    </row>
    <row r="121" spans="1:7">
      <c r="A121" s="1059" t="s">
        <v>1709</v>
      </c>
      <c r="B121" s="1060">
        <v>7.0800000000000002E-2</v>
      </c>
      <c r="C121" s="1060">
        <v>0.1411</v>
      </c>
      <c r="D121" s="1060">
        <v>9.5100000000000004E-2</v>
      </c>
      <c r="E121" s="1060">
        <v>0.12</v>
      </c>
      <c r="F121" s="1061" t="s">
        <v>1636</v>
      </c>
      <c r="G121" s="1061" t="s">
        <v>1391</v>
      </c>
    </row>
    <row r="122" spans="1:7">
      <c r="A122" s="1059" t="s">
        <v>1710</v>
      </c>
      <c r="B122" s="1060">
        <v>7.0800000000000002E-2</v>
      </c>
      <c r="C122" s="1060">
        <v>0.1411</v>
      </c>
      <c r="D122" s="1060">
        <v>9.5100000000000004E-2</v>
      </c>
      <c r="E122" s="1060">
        <v>0.25</v>
      </c>
      <c r="F122" s="1061" t="s">
        <v>1636</v>
      </c>
      <c r="G122" s="1060">
        <v>4.02E-2</v>
      </c>
    </row>
    <row r="123" spans="1:7">
      <c r="A123" s="1059" t="s">
        <v>1711</v>
      </c>
      <c r="B123" s="1060">
        <v>4.9000000000000002E-2</v>
      </c>
      <c r="C123" s="1060">
        <v>0.1118</v>
      </c>
      <c r="D123" s="1060">
        <v>6.5799999999999997E-2</v>
      </c>
      <c r="E123" s="1060">
        <v>0.15</v>
      </c>
      <c r="F123" s="1061" t="s">
        <v>1630</v>
      </c>
      <c r="G123" s="1061" t="s">
        <v>1391</v>
      </c>
    </row>
    <row r="124" spans="1:7">
      <c r="A124" s="1059" t="s">
        <v>1712</v>
      </c>
      <c r="B124" s="1060">
        <v>2.3900000000000001E-2</v>
      </c>
      <c r="C124" s="1060">
        <v>7.8100000000000003E-2</v>
      </c>
      <c r="D124" s="1060">
        <v>3.2099999999999997E-2</v>
      </c>
      <c r="E124" s="1060">
        <v>0.2853</v>
      </c>
      <c r="F124" s="1061" t="s">
        <v>1633</v>
      </c>
      <c r="G124" s="1061" t="s">
        <v>1391</v>
      </c>
    </row>
    <row r="125" spans="1:7">
      <c r="A125" s="1059" t="s">
        <v>181</v>
      </c>
      <c r="B125" s="1060">
        <v>2.7300000000000001E-2</v>
      </c>
      <c r="C125" s="1060">
        <v>8.2600000000000007E-2</v>
      </c>
      <c r="D125" s="1060">
        <v>3.6600000000000001E-2</v>
      </c>
      <c r="E125" s="1060">
        <v>0.32</v>
      </c>
      <c r="F125" s="1061" t="s">
        <v>1651</v>
      </c>
      <c r="G125" s="1060">
        <v>1.9E-2</v>
      </c>
    </row>
    <row r="126" spans="1:7">
      <c r="A126" s="1059" t="s">
        <v>1713</v>
      </c>
      <c r="B126" s="1060">
        <v>9.8100000000000007E-2</v>
      </c>
      <c r="C126" s="1060">
        <v>0.1777</v>
      </c>
      <c r="D126" s="1060">
        <v>0.13170000000000001</v>
      </c>
      <c r="E126" s="1060">
        <v>0.32</v>
      </c>
      <c r="F126" s="1061" t="s">
        <v>1671</v>
      </c>
      <c r="G126" s="1061" t="s">
        <v>1391</v>
      </c>
    </row>
    <row r="127" spans="1:7">
      <c r="A127" s="1059" t="s">
        <v>1759</v>
      </c>
      <c r="B127" s="1060">
        <v>0.109</v>
      </c>
      <c r="C127" s="1060">
        <v>0.1923</v>
      </c>
      <c r="D127" s="1060">
        <v>0.14630000000000001</v>
      </c>
      <c r="E127" s="1060">
        <v>0.25</v>
      </c>
      <c r="F127" s="1061" t="s">
        <v>1663</v>
      </c>
      <c r="G127" s="1061" t="s">
        <v>1391</v>
      </c>
    </row>
    <row r="128" spans="1:7">
      <c r="A128" s="1059" t="s">
        <v>1714</v>
      </c>
      <c r="B128" s="1060">
        <v>4.9000000000000002E-2</v>
      </c>
      <c r="C128" s="1060">
        <v>0.1118</v>
      </c>
      <c r="D128" s="1060">
        <v>6.5799999999999997E-2</v>
      </c>
      <c r="E128" s="1060">
        <v>0.32</v>
      </c>
      <c r="F128" s="1061" t="s">
        <v>1630</v>
      </c>
      <c r="G128" s="1060">
        <v>2.1000000000000001E-2</v>
      </c>
    </row>
    <row r="129" spans="1:7">
      <c r="A129" s="1059" t="s">
        <v>182</v>
      </c>
      <c r="B129" s="1060">
        <v>0</v>
      </c>
      <c r="C129" s="1060">
        <v>4.5999999999999999E-2</v>
      </c>
      <c r="D129" s="1060">
        <v>0</v>
      </c>
      <c r="E129" s="1060">
        <v>0.25800000000000001</v>
      </c>
      <c r="F129" s="1061" t="s">
        <v>1645</v>
      </c>
      <c r="G129" s="1060">
        <v>2.3999999999999998E-3</v>
      </c>
    </row>
    <row r="130" spans="1:7">
      <c r="A130" s="1059" t="s">
        <v>2210</v>
      </c>
      <c r="B130" s="1060">
        <v>0.10539999999999999</v>
      </c>
      <c r="C130" s="1060">
        <v>0.1875</v>
      </c>
      <c r="D130" s="1060">
        <v>0.1875</v>
      </c>
      <c r="E130" s="1060">
        <v>0.27250000000000002</v>
      </c>
      <c r="F130" s="1061" t="s">
        <v>1663</v>
      </c>
      <c r="G130" s="1061" t="s">
        <v>1391</v>
      </c>
    </row>
    <row r="131" spans="1:7">
      <c r="A131" s="1059" t="s">
        <v>183</v>
      </c>
      <c r="B131" s="1060">
        <v>0</v>
      </c>
      <c r="C131" s="1060">
        <v>4.5999999999999999E-2</v>
      </c>
      <c r="D131" s="1060">
        <v>0</v>
      </c>
      <c r="E131" s="1060">
        <v>0.28000000000000003</v>
      </c>
      <c r="F131" s="1061" t="s">
        <v>1645</v>
      </c>
      <c r="G131" s="1060">
        <v>2.8999999999999998E-3</v>
      </c>
    </row>
    <row r="132" spans="1:7">
      <c r="A132" s="1059" t="s">
        <v>1715</v>
      </c>
      <c r="B132" s="1060">
        <v>7.0800000000000002E-2</v>
      </c>
      <c r="C132" s="1060">
        <v>0.1411</v>
      </c>
      <c r="D132" s="1060">
        <v>9.5100000000000004E-2</v>
      </c>
      <c r="E132" s="1060">
        <v>0.3</v>
      </c>
      <c r="F132" s="1061" t="s">
        <v>1636</v>
      </c>
      <c r="G132" s="1060">
        <v>4.8899999999999999E-2</v>
      </c>
    </row>
    <row r="133" spans="1:7">
      <c r="A133" s="1059" t="s">
        <v>1716</v>
      </c>
      <c r="B133" s="1060">
        <v>9.8100000000000007E-2</v>
      </c>
      <c r="C133" s="1060">
        <v>0.1777</v>
      </c>
      <c r="D133" s="1060">
        <v>0.13170000000000001</v>
      </c>
      <c r="E133" s="1060">
        <v>0.26860000000000001</v>
      </c>
      <c r="F133" s="1061" t="s">
        <v>1671</v>
      </c>
      <c r="G133" s="1061" t="s">
        <v>1391</v>
      </c>
    </row>
    <row r="134" spans="1:7">
      <c r="A134" s="1059" t="s">
        <v>184</v>
      </c>
      <c r="B134" s="1060">
        <v>8.1699999999999995E-2</v>
      </c>
      <c r="C134" s="1060">
        <v>0.15570000000000001</v>
      </c>
      <c r="D134" s="1060">
        <v>0.10970000000000001</v>
      </c>
      <c r="E134" s="1060">
        <v>0.3</v>
      </c>
      <c r="F134" s="1061" t="s">
        <v>1654</v>
      </c>
      <c r="G134" s="1060">
        <v>6.4399999999999999E-2</v>
      </c>
    </row>
    <row r="135" spans="1:7">
      <c r="A135" s="1059" t="s">
        <v>185</v>
      </c>
      <c r="B135" s="1060">
        <v>0</v>
      </c>
      <c r="C135" s="1060">
        <v>4.5999999999999999E-2</v>
      </c>
      <c r="D135" s="1060">
        <v>0</v>
      </c>
      <c r="E135" s="1060">
        <v>0.22</v>
      </c>
      <c r="F135" s="1061" t="s">
        <v>1645</v>
      </c>
      <c r="G135" s="1060">
        <v>2.3999999999999998E-3</v>
      </c>
    </row>
    <row r="136" spans="1:7">
      <c r="A136" s="1059" t="s">
        <v>1717</v>
      </c>
      <c r="B136" s="1060">
        <v>2.7300000000000001E-2</v>
      </c>
      <c r="C136" s="1060">
        <v>8.2600000000000007E-2</v>
      </c>
      <c r="D136" s="1060">
        <v>3.6600000000000001E-2</v>
      </c>
      <c r="E136" s="1060">
        <v>0.15</v>
      </c>
      <c r="F136" s="1061" t="s">
        <v>1651</v>
      </c>
      <c r="G136" s="1060">
        <v>1.9199999999999998E-2</v>
      </c>
    </row>
    <row r="137" spans="1:7">
      <c r="A137" s="1059" t="s">
        <v>1718</v>
      </c>
      <c r="B137" s="1060">
        <v>0.109</v>
      </c>
      <c r="C137" s="1060">
        <v>0.1923</v>
      </c>
      <c r="D137" s="1060">
        <v>0.14630000000000001</v>
      </c>
      <c r="E137" s="1060">
        <v>0.28999999999999998</v>
      </c>
      <c r="F137" s="1061" t="s">
        <v>1678</v>
      </c>
      <c r="G137" s="1060">
        <v>0.41039999999999999</v>
      </c>
    </row>
    <row r="138" spans="1:7">
      <c r="A138" s="1059" t="s">
        <v>2211</v>
      </c>
      <c r="B138" s="1060">
        <v>1.61E-2</v>
      </c>
      <c r="C138" s="1060">
        <v>6.7599999999999993E-2</v>
      </c>
      <c r="D138" s="1060">
        <v>6.7599999999999993E-2</v>
      </c>
      <c r="E138" s="1060">
        <v>0.18759999999999999</v>
      </c>
      <c r="F138" s="1061" t="s">
        <v>1663</v>
      </c>
      <c r="G138" s="1061" t="s">
        <v>1391</v>
      </c>
    </row>
    <row r="139" spans="1:7">
      <c r="A139" s="1059" t="s">
        <v>1719</v>
      </c>
      <c r="B139" s="1060">
        <v>2.07E-2</v>
      </c>
      <c r="C139" s="1060">
        <v>7.3800000000000004E-2</v>
      </c>
      <c r="D139" s="1060">
        <v>2.7799999999999998E-2</v>
      </c>
      <c r="E139" s="1060">
        <v>0.25</v>
      </c>
      <c r="F139" s="1061" t="s">
        <v>1656</v>
      </c>
      <c r="G139" s="1060">
        <v>2.3099999999999999E-2</v>
      </c>
    </row>
    <row r="140" spans="1:7">
      <c r="A140" s="1059" t="s">
        <v>1720</v>
      </c>
      <c r="B140" s="1060">
        <v>5.9900000000000002E-2</v>
      </c>
      <c r="C140" s="1060">
        <v>0.12640000000000001</v>
      </c>
      <c r="D140" s="1060">
        <v>8.0399999999999999E-2</v>
      </c>
      <c r="E140" s="1060">
        <v>0.3</v>
      </c>
      <c r="F140" s="1061" t="s">
        <v>1648</v>
      </c>
      <c r="G140" s="1061" t="s">
        <v>1391</v>
      </c>
    </row>
    <row r="141" spans="1:7">
      <c r="A141" s="1059" t="s">
        <v>1721</v>
      </c>
      <c r="B141" s="1060">
        <v>2.7300000000000001E-2</v>
      </c>
      <c r="C141" s="1060">
        <v>8.2600000000000007E-2</v>
      </c>
      <c r="D141" s="1060">
        <v>3.6600000000000001E-2</v>
      </c>
      <c r="E141" s="1060">
        <v>0.1</v>
      </c>
      <c r="F141" s="1061" t="s">
        <v>1651</v>
      </c>
      <c r="G141" s="1061" t="s">
        <v>1391</v>
      </c>
    </row>
    <row r="142" spans="1:7">
      <c r="A142" s="1059" t="s">
        <v>1722</v>
      </c>
      <c r="B142" s="1060">
        <v>1.7399999999999999E-2</v>
      </c>
      <c r="C142" s="1060">
        <v>6.9400000000000003E-2</v>
      </c>
      <c r="D142" s="1060">
        <v>2.3400000000000001E-2</v>
      </c>
      <c r="E142" s="1060">
        <v>0.29499999999999998</v>
      </c>
      <c r="F142" s="1061" t="s">
        <v>1643</v>
      </c>
      <c r="G142" s="1060">
        <v>1.37E-2</v>
      </c>
    </row>
    <row r="143" spans="1:7">
      <c r="A143" s="1059" t="s">
        <v>186</v>
      </c>
      <c r="B143" s="1060">
        <v>2.07E-2</v>
      </c>
      <c r="C143" s="1060">
        <v>7.3800000000000004E-2</v>
      </c>
      <c r="D143" s="1060">
        <v>2.7799999999999998E-2</v>
      </c>
      <c r="E143" s="1060">
        <v>0.25</v>
      </c>
      <c r="F143" s="1061" t="s">
        <v>1656</v>
      </c>
      <c r="G143" s="1060">
        <v>1.18E-2</v>
      </c>
    </row>
    <row r="144" spans="1:7">
      <c r="A144" s="1059" t="s">
        <v>187</v>
      </c>
      <c r="B144" s="1060">
        <v>9.1999999999999998E-3</v>
      </c>
      <c r="C144" s="1060">
        <v>5.8400000000000001E-2</v>
      </c>
      <c r="D144" s="1060">
        <v>1.24E-2</v>
      </c>
      <c r="E144" s="1060">
        <v>0.19</v>
      </c>
      <c r="F144" s="1061" t="s">
        <v>1634</v>
      </c>
      <c r="G144" s="1060">
        <v>1.06E-2</v>
      </c>
    </row>
    <row r="145" spans="1:7">
      <c r="A145" s="1059" t="s">
        <v>1723</v>
      </c>
      <c r="B145" s="1060">
        <v>1.3100000000000001E-2</v>
      </c>
      <c r="C145" s="1060">
        <v>6.3500000000000001E-2</v>
      </c>
      <c r="D145" s="1060">
        <v>1.7500000000000002E-2</v>
      </c>
      <c r="E145" s="1060">
        <v>0.21</v>
      </c>
      <c r="F145" s="1061" t="s">
        <v>1637</v>
      </c>
      <c r="G145" s="1060">
        <v>7.4999999999999997E-3</v>
      </c>
    </row>
    <row r="146" spans="1:7">
      <c r="A146" s="1059" t="s">
        <v>188</v>
      </c>
      <c r="B146" s="1060">
        <v>6.4999999999999997E-3</v>
      </c>
      <c r="C146" s="1060">
        <v>5.4800000000000001E-2</v>
      </c>
      <c r="D146" s="1060">
        <v>8.8000000000000005E-3</v>
      </c>
      <c r="E146" s="1060">
        <v>0.1</v>
      </c>
      <c r="F146" s="1061" t="s">
        <v>1644</v>
      </c>
      <c r="G146" s="1060">
        <v>8.3000000000000001E-3</v>
      </c>
    </row>
    <row r="147" spans="1:7">
      <c r="A147" s="1059" t="s">
        <v>1724</v>
      </c>
      <c r="B147" s="1060">
        <v>1.3100000000000001E-2</v>
      </c>
      <c r="C147" s="1060">
        <v>6.3500000000000001E-2</v>
      </c>
      <c r="D147" s="1060">
        <v>1.7500000000000002E-2</v>
      </c>
      <c r="E147" s="1060">
        <v>0</v>
      </c>
      <c r="F147" s="1061" t="s">
        <v>1637</v>
      </c>
      <c r="G147" s="1061" t="s">
        <v>1391</v>
      </c>
    </row>
    <row r="148" spans="1:7">
      <c r="A148" s="1059" t="s">
        <v>2212</v>
      </c>
      <c r="B148" s="1060">
        <v>1.2500000000000001E-2</v>
      </c>
      <c r="C148" s="1060">
        <v>6.2799999999999995E-2</v>
      </c>
      <c r="D148" s="1060">
        <v>6.2799999999999995E-2</v>
      </c>
      <c r="E148" s="1060">
        <v>0.2576</v>
      </c>
      <c r="F148" s="1061" t="s">
        <v>1663</v>
      </c>
      <c r="G148" s="1061" t="s">
        <v>1391</v>
      </c>
    </row>
    <row r="149" spans="1:7">
      <c r="A149" s="1059" t="s">
        <v>189</v>
      </c>
      <c r="B149" s="1060">
        <v>2.3900000000000001E-2</v>
      </c>
      <c r="C149" s="1060">
        <v>7.8100000000000003E-2</v>
      </c>
      <c r="D149" s="1060">
        <v>3.2099999999999997E-2</v>
      </c>
      <c r="E149" s="1060">
        <v>0.16</v>
      </c>
      <c r="F149" s="1061" t="s">
        <v>1633</v>
      </c>
      <c r="G149" s="1060">
        <v>2.3099999999999999E-2</v>
      </c>
    </row>
    <row r="150" spans="1:7">
      <c r="A150" s="1059" t="s">
        <v>190</v>
      </c>
      <c r="B150" s="1060">
        <v>4.9000000000000002E-2</v>
      </c>
      <c r="C150" s="1060">
        <v>0.1118</v>
      </c>
      <c r="D150" s="1060">
        <v>6.5799999999999997E-2</v>
      </c>
      <c r="E150" s="1060">
        <v>0.25</v>
      </c>
      <c r="F150" s="1061" t="s">
        <v>1663</v>
      </c>
      <c r="G150" s="1061" t="s">
        <v>1391</v>
      </c>
    </row>
    <row r="151" spans="1:7">
      <c r="A151" s="1059" t="s">
        <v>1725</v>
      </c>
      <c r="B151" s="1060">
        <v>5.9900000000000002E-2</v>
      </c>
      <c r="C151" s="1060">
        <v>0.12640000000000001</v>
      </c>
      <c r="D151" s="1060">
        <v>8.0399999999999999E-2</v>
      </c>
      <c r="E151" s="1060">
        <v>0.3</v>
      </c>
      <c r="F151" s="1061" t="s">
        <v>1648</v>
      </c>
      <c r="G151" s="1060">
        <v>5.5300000000000002E-2</v>
      </c>
    </row>
    <row r="152" spans="1:7">
      <c r="A152" s="1059" t="s">
        <v>1778</v>
      </c>
      <c r="B152" s="1060">
        <v>0.10539999999999999</v>
      </c>
      <c r="C152" s="1060">
        <v>0.1875</v>
      </c>
      <c r="D152" s="1060">
        <v>0.1875</v>
      </c>
      <c r="E152" s="1060">
        <v>0.27250000000000002</v>
      </c>
      <c r="F152" s="1061" t="s">
        <v>1663</v>
      </c>
      <c r="G152" s="1061" t="s">
        <v>1391</v>
      </c>
    </row>
    <row r="153" spans="1:7">
      <c r="A153" s="1059" t="s">
        <v>191</v>
      </c>
      <c r="B153" s="1060">
        <v>7.7000000000000002E-3</v>
      </c>
      <c r="C153" s="1060">
        <v>5.6300000000000003E-2</v>
      </c>
      <c r="D153" s="1060">
        <v>1.03E-2</v>
      </c>
      <c r="E153" s="1060">
        <v>0.2</v>
      </c>
      <c r="F153" s="1061" t="s">
        <v>1631</v>
      </c>
      <c r="G153" s="1060">
        <v>8.5000000000000006E-3</v>
      </c>
    </row>
    <row r="154" spans="1:7">
      <c r="A154" s="1059" t="s">
        <v>1726</v>
      </c>
      <c r="B154" s="1060">
        <v>3.9199999999999999E-2</v>
      </c>
      <c r="C154" s="1060">
        <v>9.8599999999999993E-2</v>
      </c>
      <c r="D154" s="1060">
        <v>5.2600000000000001E-2</v>
      </c>
      <c r="E154" s="1060">
        <v>0.3</v>
      </c>
      <c r="F154" s="1061" t="s">
        <v>1641</v>
      </c>
      <c r="G154" s="1060">
        <v>6.8900000000000003E-2</v>
      </c>
    </row>
    <row r="155" spans="1:7">
      <c r="A155" s="1059" t="s">
        <v>1727</v>
      </c>
      <c r="B155" s="1060">
        <v>3.2800000000000003E-2</v>
      </c>
      <c r="C155" s="1060">
        <v>0.09</v>
      </c>
      <c r="D155" s="1060">
        <v>4.3999999999999997E-2</v>
      </c>
      <c r="E155" s="1060">
        <v>0.15</v>
      </c>
      <c r="F155" s="1061" t="s">
        <v>1647</v>
      </c>
      <c r="G155" s="1060">
        <v>2.86E-2</v>
      </c>
    </row>
    <row r="156" spans="1:7">
      <c r="A156" s="1059" t="s">
        <v>1728</v>
      </c>
      <c r="B156" s="1060">
        <v>2.7300000000000001E-2</v>
      </c>
      <c r="C156" s="1060">
        <v>8.2600000000000007E-2</v>
      </c>
      <c r="D156" s="1060">
        <v>3.6600000000000001E-2</v>
      </c>
      <c r="E156" s="1060">
        <v>0</v>
      </c>
      <c r="F156" s="1061" t="s">
        <v>1651</v>
      </c>
      <c r="G156" s="1061" t="s">
        <v>1391</v>
      </c>
    </row>
    <row r="157" spans="1:7">
      <c r="A157" s="1059" t="s">
        <v>1760</v>
      </c>
      <c r="B157" s="1060">
        <v>0.109</v>
      </c>
      <c r="C157" s="1060">
        <v>0.1923</v>
      </c>
      <c r="D157" s="1060">
        <v>0.14630000000000001</v>
      </c>
      <c r="E157" s="1060">
        <v>0.3</v>
      </c>
      <c r="F157" s="1061" t="s">
        <v>1663</v>
      </c>
      <c r="G157" s="1061" t="s">
        <v>1391</v>
      </c>
    </row>
    <row r="158" spans="1:7">
      <c r="A158" s="1059" t="s">
        <v>192</v>
      </c>
      <c r="B158" s="1060">
        <v>0</v>
      </c>
      <c r="C158" s="1060">
        <v>4.5999999999999999E-2</v>
      </c>
      <c r="D158" s="1060">
        <v>0</v>
      </c>
      <c r="E158" s="1060">
        <v>0.17</v>
      </c>
      <c r="F158" s="1061" t="s">
        <v>1645</v>
      </c>
      <c r="G158" s="1061" t="s">
        <v>1391</v>
      </c>
    </row>
    <row r="159" spans="1:7">
      <c r="A159" s="1059" t="s">
        <v>1729</v>
      </c>
      <c r="B159" s="1060">
        <v>9.1999999999999998E-3</v>
      </c>
      <c r="C159" s="1060">
        <v>5.8400000000000001E-2</v>
      </c>
      <c r="D159" s="1060">
        <v>1.24E-2</v>
      </c>
      <c r="E159" s="1060">
        <v>0.21</v>
      </c>
      <c r="F159" s="1061" t="s">
        <v>1634</v>
      </c>
      <c r="G159" s="1060">
        <v>6.0000000000000001E-3</v>
      </c>
    </row>
    <row r="160" spans="1:7">
      <c r="A160" s="1059" t="s">
        <v>1730</v>
      </c>
      <c r="B160" s="1060">
        <v>1.3100000000000001E-2</v>
      </c>
      <c r="C160" s="1060">
        <v>6.3500000000000001E-2</v>
      </c>
      <c r="D160" s="1060">
        <v>1.7500000000000002E-2</v>
      </c>
      <c r="E160" s="1060">
        <v>0.19</v>
      </c>
      <c r="F160" s="1061" t="s">
        <v>1637</v>
      </c>
      <c r="G160" s="1060">
        <v>7.6E-3</v>
      </c>
    </row>
    <row r="161" spans="1:7">
      <c r="A161" s="1059" t="s">
        <v>1731</v>
      </c>
      <c r="B161" s="1060">
        <v>8.1699999999999995E-2</v>
      </c>
      <c r="C161" s="1060">
        <v>0.15570000000000001</v>
      </c>
      <c r="D161" s="1060">
        <v>0.10970000000000001</v>
      </c>
      <c r="E161" s="1060">
        <v>0.3</v>
      </c>
      <c r="F161" s="1061" t="s">
        <v>1654</v>
      </c>
      <c r="G161" s="1061" t="s">
        <v>1391</v>
      </c>
    </row>
    <row r="162" spans="1:7">
      <c r="A162" s="1059" t="s">
        <v>1761</v>
      </c>
      <c r="B162" s="1060">
        <v>0.13070000000000001</v>
      </c>
      <c r="C162" s="1060">
        <v>0.2215</v>
      </c>
      <c r="D162" s="1060">
        <v>0.17549999999999999</v>
      </c>
      <c r="E162" s="1060">
        <v>0.29149999999999998</v>
      </c>
      <c r="F162" s="1061" t="s">
        <v>1663</v>
      </c>
      <c r="G162" s="1061" t="s">
        <v>1391</v>
      </c>
    </row>
    <row r="163" spans="1:7">
      <c r="A163" s="1059" t="s">
        <v>193</v>
      </c>
      <c r="B163" s="1060">
        <v>3.2800000000000003E-2</v>
      </c>
      <c r="C163" s="1060">
        <v>0.09</v>
      </c>
      <c r="D163" s="1060">
        <v>4.3999999999999997E-2</v>
      </c>
      <c r="E163" s="1060">
        <v>0.27</v>
      </c>
      <c r="F163" s="1061" t="s">
        <v>1647</v>
      </c>
      <c r="G163" s="1060">
        <v>3.1600000000000003E-2</v>
      </c>
    </row>
    <row r="164" spans="1:7">
      <c r="A164" s="1059" t="s">
        <v>2213</v>
      </c>
      <c r="B164" s="1060">
        <v>5.4000000000000003E-3</v>
      </c>
      <c r="C164" s="1060">
        <v>5.3199999999999997E-2</v>
      </c>
      <c r="D164" s="1060">
        <v>7.1999999999999998E-3</v>
      </c>
      <c r="E164" s="1060">
        <v>0.25</v>
      </c>
      <c r="F164" s="1061" t="s">
        <v>1628</v>
      </c>
      <c r="G164" s="1061" t="s">
        <v>1391</v>
      </c>
    </row>
    <row r="165" spans="1:7">
      <c r="A165" s="1059" t="s">
        <v>194</v>
      </c>
      <c r="B165" s="1060">
        <v>1.7399999999999999E-2</v>
      </c>
      <c r="C165" s="1060">
        <v>6.9400000000000003E-2</v>
      </c>
      <c r="D165" s="1060">
        <v>2.3400000000000001E-2</v>
      </c>
      <c r="E165" s="1060">
        <v>0.25</v>
      </c>
      <c r="F165" s="1061" t="s">
        <v>1643</v>
      </c>
      <c r="G165" s="1060">
        <v>7.7999999999999996E-3</v>
      </c>
    </row>
    <row r="166" spans="1:7">
      <c r="A166" s="1059" t="s">
        <v>195</v>
      </c>
      <c r="B166" s="1060">
        <v>0.13070000000000001</v>
      </c>
      <c r="C166" s="1060">
        <v>0.2215</v>
      </c>
      <c r="D166" s="1060">
        <v>0.17549999999999999</v>
      </c>
      <c r="E166" s="1060">
        <v>0.24</v>
      </c>
      <c r="F166" s="1061" t="s">
        <v>1638</v>
      </c>
      <c r="G166" s="1060">
        <v>0.59360000000000002</v>
      </c>
    </row>
    <row r="167" spans="1:7">
      <c r="A167" s="1059" t="s">
        <v>1732</v>
      </c>
      <c r="B167" s="1060">
        <v>3.2800000000000003E-2</v>
      </c>
      <c r="C167" s="1060">
        <v>0.09</v>
      </c>
      <c r="D167" s="1060">
        <v>4.3999999999999997E-2</v>
      </c>
      <c r="E167" s="1060">
        <v>0.2853</v>
      </c>
      <c r="F167" s="1061" t="s">
        <v>1647</v>
      </c>
      <c r="G167" s="1061" t="s">
        <v>1391</v>
      </c>
    </row>
    <row r="168" spans="1:7">
      <c r="A168" s="1059" t="s">
        <v>1733</v>
      </c>
      <c r="B168" s="1060">
        <v>7.0800000000000002E-2</v>
      </c>
      <c r="C168" s="1060">
        <v>0.1411</v>
      </c>
      <c r="D168" s="1060">
        <v>9.5100000000000004E-2</v>
      </c>
      <c r="E168" s="1060">
        <v>0.2853</v>
      </c>
      <c r="F168" s="1061" t="s">
        <v>1636</v>
      </c>
      <c r="G168" s="1061" t="s">
        <v>1391</v>
      </c>
    </row>
    <row r="169" spans="1:7">
      <c r="A169" s="1059" t="s">
        <v>1762</v>
      </c>
      <c r="B169" s="1060">
        <v>0.17499999999999999</v>
      </c>
      <c r="C169" s="1060">
        <v>0.28089999999999998</v>
      </c>
      <c r="D169" s="1060">
        <v>0.2349</v>
      </c>
      <c r="E169" s="1060">
        <v>0.35</v>
      </c>
      <c r="F169" s="1061" t="s">
        <v>1663</v>
      </c>
      <c r="G169" s="1061" t="s">
        <v>1391</v>
      </c>
    </row>
    <row r="170" spans="1:7">
      <c r="A170" s="1059" t="s">
        <v>1734</v>
      </c>
      <c r="B170" s="1060">
        <v>0.109</v>
      </c>
      <c r="C170" s="1060">
        <v>0.1923</v>
      </c>
      <c r="D170" s="1060">
        <v>0.14630000000000001</v>
      </c>
      <c r="E170" s="1060">
        <v>0.36</v>
      </c>
      <c r="F170" s="1061" t="s">
        <v>1678</v>
      </c>
      <c r="G170" s="1061" t="s">
        <v>1391</v>
      </c>
    </row>
    <row r="171" spans="1:7">
      <c r="A171" s="1059" t="s">
        <v>1735</v>
      </c>
      <c r="B171" s="1060">
        <v>7.0800000000000002E-2</v>
      </c>
      <c r="C171" s="1060">
        <v>0.1411</v>
      </c>
      <c r="D171" s="1060">
        <v>9.5100000000000004E-2</v>
      </c>
      <c r="E171" s="1060">
        <v>0.27500000000000002</v>
      </c>
      <c r="F171" s="1061" t="s">
        <v>1636</v>
      </c>
      <c r="G171" s="1061" t="s">
        <v>1391</v>
      </c>
    </row>
    <row r="172" spans="1:7">
      <c r="A172" s="1059" t="s">
        <v>196</v>
      </c>
      <c r="B172" s="1060">
        <v>0</v>
      </c>
      <c r="C172" s="1060">
        <v>4.5999999999999999E-2</v>
      </c>
      <c r="D172" s="1060">
        <v>0</v>
      </c>
      <c r="E172" s="1060">
        <v>0.20599999999999999</v>
      </c>
      <c r="F172" s="1061" t="s">
        <v>1645</v>
      </c>
      <c r="G172" s="1060">
        <v>2.8E-3</v>
      </c>
    </row>
    <row r="173" spans="1:7">
      <c r="A173" s="1059" t="s">
        <v>197</v>
      </c>
      <c r="B173" s="1060">
        <v>0</v>
      </c>
      <c r="C173" s="1060">
        <v>4.5999999999999999E-2</v>
      </c>
      <c r="D173" s="1060">
        <v>0</v>
      </c>
      <c r="E173" s="1060">
        <v>0.14599999999999999</v>
      </c>
      <c r="F173" s="1061" t="s">
        <v>1645</v>
      </c>
      <c r="G173" s="1060">
        <v>2.2000000000000001E-3</v>
      </c>
    </row>
    <row r="174" spans="1:7">
      <c r="A174" s="1059" t="s">
        <v>1763</v>
      </c>
      <c r="B174" s="1060">
        <v>0.17499999999999999</v>
      </c>
      <c r="C174" s="1060">
        <v>0.28089999999999998</v>
      </c>
      <c r="D174" s="1060">
        <v>0.2349</v>
      </c>
      <c r="E174" s="1060">
        <v>0.28000000000000003</v>
      </c>
      <c r="F174" s="1061" t="s">
        <v>1663</v>
      </c>
      <c r="G174" s="1061" t="s">
        <v>1391</v>
      </c>
    </row>
    <row r="175" spans="1:7">
      <c r="A175" s="1059" t="s">
        <v>198</v>
      </c>
      <c r="B175" s="1060">
        <v>6.4999999999999997E-3</v>
      </c>
      <c r="C175" s="1060">
        <v>5.4800000000000001E-2</v>
      </c>
      <c r="D175" s="1060">
        <v>8.8000000000000005E-3</v>
      </c>
      <c r="E175" s="1060">
        <v>0.2</v>
      </c>
      <c r="F175" s="1061" t="s">
        <v>1644</v>
      </c>
      <c r="G175" s="1061" t="s">
        <v>1391</v>
      </c>
    </row>
    <row r="176" spans="1:7">
      <c r="A176" s="1059" t="s">
        <v>1736</v>
      </c>
      <c r="B176" s="1060">
        <v>7.0800000000000002E-2</v>
      </c>
      <c r="C176" s="1060">
        <v>0.1411</v>
      </c>
      <c r="D176" s="1060">
        <v>9.5100000000000004E-2</v>
      </c>
      <c r="E176" s="1060">
        <v>0.18</v>
      </c>
      <c r="F176" s="1061" t="s">
        <v>1636</v>
      </c>
      <c r="G176" s="1061" t="s">
        <v>1391</v>
      </c>
    </row>
    <row r="177" spans="1:7">
      <c r="A177" s="1059" t="s">
        <v>1737</v>
      </c>
      <c r="B177" s="1060">
        <v>5.9900000000000002E-2</v>
      </c>
      <c r="C177" s="1060">
        <v>0.12640000000000001</v>
      </c>
      <c r="D177" s="1060">
        <v>8.0399999999999999E-2</v>
      </c>
      <c r="E177" s="1060">
        <v>0.3</v>
      </c>
      <c r="F177" s="1061" t="s">
        <v>1648</v>
      </c>
      <c r="G177" s="1061" t="s">
        <v>1391</v>
      </c>
    </row>
    <row r="178" spans="1:7">
      <c r="A178" s="1059" t="s">
        <v>199</v>
      </c>
      <c r="B178" s="1060">
        <v>1.7399999999999999E-2</v>
      </c>
      <c r="C178" s="1060">
        <v>6.9400000000000003E-2</v>
      </c>
      <c r="D178" s="1060">
        <v>2.3400000000000001E-2</v>
      </c>
      <c r="E178" s="1060">
        <v>0.2</v>
      </c>
      <c r="F178" s="1061" t="s">
        <v>1643</v>
      </c>
      <c r="G178" s="1060">
        <v>6.4999999999999997E-3</v>
      </c>
    </row>
    <row r="179" spans="1:7">
      <c r="A179" s="1059" t="s">
        <v>1738</v>
      </c>
      <c r="B179" s="1060">
        <v>7.0800000000000002E-2</v>
      </c>
      <c r="C179" s="1060">
        <v>0.1411</v>
      </c>
      <c r="D179" s="1060">
        <v>9.5100000000000004E-2</v>
      </c>
      <c r="E179" s="1060">
        <v>0.26860000000000001</v>
      </c>
      <c r="F179" s="1061" t="s">
        <v>1636</v>
      </c>
      <c r="G179" s="1061" t="s">
        <v>1391</v>
      </c>
    </row>
    <row r="180" spans="1:7">
      <c r="A180" s="1059" t="s">
        <v>2214</v>
      </c>
      <c r="B180" s="1060">
        <v>3.2800000000000003E-2</v>
      </c>
      <c r="C180" s="1060">
        <v>0.09</v>
      </c>
      <c r="D180" s="1060">
        <v>4.3999999999999997E-2</v>
      </c>
      <c r="E180" s="1060">
        <v>0.3</v>
      </c>
      <c r="F180" s="1061" t="s">
        <v>1647</v>
      </c>
      <c r="G180" s="1061" t="s">
        <v>1391</v>
      </c>
    </row>
    <row r="181" spans="1:7">
      <c r="A181" s="1059" t="s">
        <v>1739</v>
      </c>
      <c r="B181" s="1060">
        <v>9.8100000000000007E-2</v>
      </c>
      <c r="C181" s="1060">
        <v>0.1777</v>
      </c>
      <c r="D181" s="1060">
        <v>0.13170000000000001</v>
      </c>
      <c r="E181" s="1060">
        <v>0.15</v>
      </c>
      <c r="F181" s="1061" t="s">
        <v>1671</v>
      </c>
      <c r="G181" s="1060">
        <v>9.7799999999999998E-2</v>
      </c>
    </row>
    <row r="182" spans="1:7">
      <c r="A182" s="1059" t="s">
        <v>200</v>
      </c>
      <c r="B182" s="1060">
        <v>7.0800000000000002E-2</v>
      </c>
      <c r="C182" s="1060">
        <v>0.1411</v>
      </c>
      <c r="D182" s="1060">
        <v>9.5100000000000004E-2</v>
      </c>
      <c r="E182" s="1060">
        <v>0.25</v>
      </c>
      <c r="F182" s="1061" t="s">
        <v>1636</v>
      </c>
      <c r="G182" s="1060">
        <v>3.8600000000000002E-2</v>
      </c>
    </row>
    <row r="183" spans="1:7">
      <c r="A183" s="1062" t="s">
        <v>2215</v>
      </c>
      <c r="B183" s="1060">
        <v>1.7399999999999999E-2</v>
      </c>
      <c r="C183" s="1060">
        <v>6.9400000000000003E-2</v>
      </c>
      <c r="D183" s="1060">
        <v>2.3400000000000001E-2</v>
      </c>
      <c r="E183" s="1060">
        <v>0</v>
      </c>
      <c r="F183" s="1061" t="s">
        <v>1643</v>
      </c>
      <c r="G183" s="1061" t="s">
        <v>1391</v>
      </c>
    </row>
    <row r="184" spans="1:7">
      <c r="A184" s="1059" t="s">
        <v>1740</v>
      </c>
      <c r="B184" s="1060">
        <v>5.9900000000000002E-2</v>
      </c>
      <c r="C184" s="1060">
        <v>0.12640000000000001</v>
      </c>
      <c r="D184" s="1060">
        <v>8.0399999999999999E-2</v>
      </c>
      <c r="E184" s="1060">
        <v>0.3</v>
      </c>
      <c r="F184" s="1061" t="s">
        <v>1648</v>
      </c>
      <c r="G184" s="1061" t="s">
        <v>1391</v>
      </c>
    </row>
    <row r="185" spans="1:7">
      <c r="A185" s="1059" t="s">
        <v>1741</v>
      </c>
      <c r="B185" s="1060">
        <v>0.13070000000000001</v>
      </c>
      <c r="C185" s="1060">
        <v>0.2215</v>
      </c>
      <c r="D185" s="1060">
        <v>0.17549999999999999</v>
      </c>
      <c r="E185" s="1060">
        <v>0.18</v>
      </c>
      <c r="F185" s="1061" t="s">
        <v>1638</v>
      </c>
      <c r="G185" s="1061" t="s">
        <v>1391</v>
      </c>
    </row>
    <row r="186" spans="1:7">
      <c r="A186" s="1059" t="s">
        <v>1742</v>
      </c>
      <c r="B186" s="1060">
        <v>5.4000000000000003E-3</v>
      </c>
      <c r="C186" s="1060">
        <v>5.3199999999999997E-2</v>
      </c>
      <c r="D186" s="1060">
        <v>7.1999999999999998E-3</v>
      </c>
      <c r="E186" s="1060">
        <v>0.25</v>
      </c>
      <c r="F186" s="1061" t="s">
        <v>1628</v>
      </c>
      <c r="G186" s="1061" t="s">
        <v>1391</v>
      </c>
    </row>
    <row r="187" spans="1:7">
      <c r="A187" s="1059" t="s">
        <v>201</v>
      </c>
      <c r="B187" s="1060">
        <v>6.4999999999999997E-3</v>
      </c>
      <c r="C187" s="1060">
        <v>5.4800000000000001E-2</v>
      </c>
      <c r="D187" s="1060">
        <v>8.8000000000000005E-3</v>
      </c>
      <c r="E187" s="1060">
        <v>0.25</v>
      </c>
      <c r="F187" s="1061" t="s">
        <v>1644</v>
      </c>
      <c r="G187" s="1060">
        <v>5.1000000000000004E-3</v>
      </c>
    </row>
    <row r="188" spans="1:7">
      <c r="A188" s="1059" t="s">
        <v>202</v>
      </c>
      <c r="B188" s="1060">
        <v>0</v>
      </c>
      <c r="C188" s="1060">
        <v>4.5999999999999999E-2</v>
      </c>
      <c r="D188" s="1060">
        <v>0</v>
      </c>
      <c r="E188" s="1060">
        <v>0.25</v>
      </c>
      <c r="F188" s="1061" t="s">
        <v>1645</v>
      </c>
      <c r="G188" s="1060">
        <v>5.7999999999999996E-3</v>
      </c>
    </row>
    <row r="189" spans="1:7">
      <c r="A189" s="1059" t="s">
        <v>1743</v>
      </c>
      <c r="B189" s="1060">
        <v>2.07E-2</v>
      </c>
      <c r="C189" s="1060">
        <v>7.3800000000000004E-2</v>
      </c>
      <c r="D189" s="1060">
        <v>2.7799999999999998E-2</v>
      </c>
      <c r="E189" s="1060">
        <v>0.25</v>
      </c>
      <c r="F189" s="1061" t="s">
        <v>1656</v>
      </c>
      <c r="G189" s="1060">
        <v>1.14E-2</v>
      </c>
    </row>
    <row r="190" spans="1:7">
      <c r="A190" s="1059" t="s">
        <v>1744</v>
      </c>
      <c r="B190" s="1060">
        <v>3.9199999999999999E-2</v>
      </c>
      <c r="C190" s="1060">
        <v>9.8599999999999993E-2</v>
      </c>
      <c r="D190" s="1060">
        <v>5.2600000000000001E-2</v>
      </c>
      <c r="E190" s="1060">
        <v>0.15</v>
      </c>
      <c r="F190" s="1061" t="s">
        <v>1641</v>
      </c>
      <c r="G190" s="1061" t="s">
        <v>1391</v>
      </c>
    </row>
    <row r="191" spans="1:7">
      <c r="A191" s="1059" t="s">
        <v>1745</v>
      </c>
      <c r="B191" s="1060">
        <v>0.17499999999999999</v>
      </c>
      <c r="C191" s="1060">
        <v>0.28089999999999998</v>
      </c>
      <c r="D191" s="1060">
        <v>0.2349</v>
      </c>
      <c r="E191" s="1060">
        <v>0.34</v>
      </c>
      <c r="F191" s="1061" t="s">
        <v>125</v>
      </c>
      <c r="G191" s="1060">
        <v>0.1125</v>
      </c>
    </row>
    <row r="192" spans="1:7">
      <c r="A192" s="1059" t="s">
        <v>203</v>
      </c>
      <c r="B192" s="1060">
        <v>3.2800000000000003E-2</v>
      </c>
      <c r="C192" s="1060">
        <v>0.09</v>
      </c>
      <c r="D192" s="1060">
        <v>4.3999999999999997E-2</v>
      </c>
      <c r="E192" s="1060">
        <v>0.2</v>
      </c>
      <c r="F192" s="1061" t="s">
        <v>1647</v>
      </c>
      <c r="G192" s="1060">
        <v>1.84E-2</v>
      </c>
    </row>
    <row r="193" spans="1:7">
      <c r="A193" s="1059" t="s">
        <v>1781</v>
      </c>
      <c r="B193" s="1060">
        <v>0.109</v>
      </c>
      <c r="C193" s="1060">
        <v>0.1923</v>
      </c>
      <c r="D193" s="1060">
        <v>0.14630000000000001</v>
      </c>
      <c r="E193" s="1060">
        <v>0.2</v>
      </c>
      <c r="F193" s="1061" t="s">
        <v>1663</v>
      </c>
      <c r="G193" s="1061" t="s">
        <v>1391</v>
      </c>
    </row>
    <row r="194" spans="1:7">
      <c r="A194" s="1059" t="s">
        <v>204</v>
      </c>
      <c r="B194" s="1060">
        <v>0.109</v>
      </c>
      <c r="C194" s="1060">
        <v>0.1923</v>
      </c>
      <c r="D194" s="1060">
        <v>0.14630000000000001</v>
      </c>
      <c r="E194" s="1060">
        <v>0.35</v>
      </c>
      <c r="F194" s="1061" t="s">
        <v>1678</v>
      </c>
      <c r="G194" s="1061" t="s">
        <v>1391</v>
      </c>
    </row>
    <row r="195" spans="1:7">
      <c r="A195" s="1059" t="s">
        <v>1764</v>
      </c>
      <c r="B195" s="1060">
        <v>9.8100000000000007E-2</v>
      </c>
      <c r="C195" s="1060">
        <v>0.1777</v>
      </c>
      <c r="D195" s="1060">
        <v>0.13170000000000001</v>
      </c>
      <c r="E195" s="1060">
        <v>0.25</v>
      </c>
      <c r="F195" s="1061" t="s">
        <v>1663</v>
      </c>
      <c r="G195" s="1061" t="s">
        <v>1391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52DF5-E411-48FA-9225-C6253B7A070A}">
  <sheetPr>
    <tabColor theme="7"/>
  </sheetPr>
  <dimension ref="A2:L98"/>
  <sheetViews>
    <sheetView showGridLines="0" topLeftCell="A76" zoomScale="67" workbookViewId="0">
      <selection activeCell="A3" sqref="A3"/>
    </sheetView>
  </sheetViews>
  <sheetFormatPr defaultColWidth="0" defaultRowHeight="15"/>
  <cols>
    <col min="1" max="1" width="28.21875" bestFit="1" customWidth="1"/>
    <col min="2" max="2" width="8.109375" bestFit="1" customWidth="1"/>
    <col min="3" max="3" width="5.88671875" bestFit="1" customWidth="1"/>
    <col min="4" max="4" width="7.109375" bestFit="1" customWidth="1"/>
    <col min="5" max="5" width="8.88671875" bestFit="1" customWidth="1"/>
    <col min="6" max="6" width="9" bestFit="1" customWidth="1"/>
    <col min="7" max="7" width="13.21875" customWidth="1"/>
    <col min="8" max="8" width="10.33203125" customWidth="1"/>
    <col min="9" max="9" width="16.109375" customWidth="1"/>
    <col min="10" max="10" width="10.88671875" customWidth="1"/>
    <col min="11" max="11" width="19.109375" customWidth="1"/>
    <col min="12" max="12" width="8.6640625" customWidth="1"/>
    <col min="13" max="16384" width="8.6640625" hidden="1"/>
  </cols>
  <sheetData>
    <row r="2" spans="1:11" s="1270" customFormat="1" ht="51">
      <c r="A2" s="1271" t="s">
        <v>2646</v>
      </c>
      <c r="B2" s="1271" t="s">
        <v>2541</v>
      </c>
      <c r="C2" s="1271" t="s">
        <v>2542</v>
      </c>
      <c r="D2" s="1271" t="s">
        <v>2543</v>
      </c>
      <c r="E2" s="1271" t="s">
        <v>2544</v>
      </c>
      <c r="F2" s="1271" t="s">
        <v>2545</v>
      </c>
      <c r="G2" s="1271" t="s">
        <v>2546</v>
      </c>
      <c r="H2" s="1271" t="s">
        <v>2547</v>
      </c>
      <c r="I2" s="1271" t="s">
        <v>2548</v>
      </c>
      <c r="J2" s="1271" t="s">
        <v>2549</v>
      </c>
      <c r="K2" s="1271" t="s">
        <v>2550</v>
      </c>
    </row>
    <row r="3" spans="1:11" ht="15.75">
      <c r="A3" s="1264" t="s">
        <v>2551</v>
      </c>
      <c r="B3" s="1265">
        <v>57</v>
      </c>
      <c r="C3" s="1265">
        <v>1.37</v>
      </c>
      <c r="D3" s="1266">
        <v>0.33760000000000001</v>
      </c>
      <c r="E3" s="1266">
        <v>5.4399999999999997E-2</v>
      </c>
      <c r="F3" s="1265">
        <v>1.1000000000000001</v>
      </c>
      <c r="G3" s="1266">
        <v>7.2499999999999995E-2</v>
      </c>
      <c r="H3" s="1265">
        <v>1.18</v>
      </c>
      <c r="I3" s="1265">
        <v>0.62039999999999995</v>
      </c>
      <c r="J3" s="1266">
        <v>0.56410000000000005</v>
      </c>
      <c r="K3" s="1266">
        <v>0.14940000000000001</v>
      </c>
    </row>
    <row r="4" spans="1:11" ht="15.75">
      <c r="A4" s="1267" t="s">
        <v>2552</v>
      </c>
      <c r="B4" s="1268">
        <v>70</v>
      </c>
      <c r="C4" s="1268">
        <v>1.08</v>
      </c>
      <c r="D4" s="1269">
        <v>0.25459999999999999</v>
      </c>
      <c r="E4" s="1269">
        <v>7.2800000000000004E-2</v>
      </c>
      <c r="F4" s="1268">
        <v>0.9</v>
      </c>
      <c r="G4" s="1269">
        <v>2.9000000000000001E-2</v>
      </c>
      <c r="H4" s="1268">
        <v>0.93</v>
      </c>
      <c r="I4" s="1268">
        <v>0.45839999999999997</v>
      </c>
      <c r="J4" s="1269">
        <v>0.36399999999999999</v>
      </c>
      <c r="K4" s="1269">
        <v>0.19500000000000001</v>
      </c>
    </row>
    <row r="5" spans="1:11" ht="15.75">
      <c r="A5" s="1264" t="s">
        <v>2553</v>
      </c>
      <c r="B5" s="1265">
        <v>25</v>
      </c>
      <c r="C5" s="1265">
        <v>1.27</v>
      </c>
      <c r="D5" s="1266">
        <v>1.6214999999999999</v>
      </c>
      <c r="E5" s="1266">
        <v>8.6199999999999999E-2</v>
      </c>
      <c r="F5" s="1265">
        <v>0.56999999999999995</v>
      </c>
      <c r="G5" s="1266">
        <v>0.1071</v>
      </c>
      <c r="H5" s="1265">
        <v>0.64</v>
      </c>
      <c r="I5" s="1265">
        <v>0.52210000000000001</v>
      </c>
      <c r="J5" s="1266">
        <v>0.44650000000000001</v>
      </c>
      <c r="K5" s="1266">
        <v>2.153</v>
      </c>
    </row>
    <row r="6" spans="1:11" ht="15.75">
      <c r="A6" s="1267" t="s">
        <v>2554</v>
      </c>
      <c r="B6" s="1268">
        <v>38</v>
      </c>
      <c r="C6" s="1268">
        <v>1.19</v>
      </c>
      <c r="D6" s="1269">
        <v>0.48759999999999998</v>
      </c>
      <c r="E6" s="1269">
        <v>0.1019</v>
      </c>
      <c r="F6" s="1268">
        <v>0.87</v>
      </c>
      <c r="G6" s="1269">
        <v>5.8900000000000001E-2</v>
      </c>
      <c r="H6" s="1268">
        <v>0.93</v>
      </c>
      <c r="I6" s="1268">
        <v>0.48159999999999997</v>
      </c>
      <c r="J6" s="1269">
        <v>0.37040000000000001</v>
      </c>
      <c r="K6" s="1269">
        <v>0.2404</v>
      </c>
    </row>
    <row r="7" spans="1:11" ht="15.75">
      <c r="A7" s="1264" t="s">
        <v>2394</v>
      </c>
      <c r="B7" s="1265">
        <v>34</v>
      </c>
      <c r="C7" s="1265">
        <v>1.52</v>
      </c>
      <c r="D7" s="1266">
        <v>0.31019999999999998</v>
      </c>
      <c r="E7" s="1266">
        <v>3.1199999999999999E-2</v>
      </c>
      <c r="F7" s="1265">
        <v>1.24</v>
      </c>
      <c r="G7" s="1266">
        <v>5.2900000000000003E-2</v>
      </c>
      <c r="H7" s="1265">
        <v>1.3</v>
      </c>
      <c r="I7" s="1265">
        <v>0.70809999999999995</v>
      </c>
      <c r="J7" s="1266">
        <v>0.59699999999999998</v>
      </c>
      <c r="K7" s="1266">
        <v>0.48099999999999998</v>
      </c>
    </row>
    <row r="8" spans="1:11" ht="15.75">
      <c r="A8" s="1267" t="s">
        <v>2555</v>
      </c>
      <c r="B8" s="1268">
        <v>39</v>
      </c>
      <c r="C8" s="1268">
        <v>1.34</v>
      </c>
      <c r="D8" s="1269">
        <v>0.38440000000000002</v>
      </c>
      <c r="E8" s="1269">
        <v>0.1462</v>
      </c>
      <c r="F8" s="1268">
        <v>1.04</v>
      </c>
      <c r="G8" s="1269">
        <v>6.9199999999999998E-2</v>
      </c>
      <c r="H8" s="1268">
        <v>1.1200000000000001</v>
      </c>
      <c r="I8" s="1268">
        <v>0.4652</v>
      </c>
      <c r="J8" s="1269">
        <v>0.37069999999999997</v>
      </c>
      <c r="K8" s="1269">
        <v>0.2099</v>
      </c>
    </row>
    <row r="9" spans="1:11" ht="15.75">
      <c r="A9" s="1264" t="s">
        <v>2556</v>
      </c>
      <c r="B9" s="1265">
        <v>15</v>
      </c>
      <c r="C9" s="1265">
        <v>1.06</v>
      </c>
      <c r="D9" s="1266">
        <v>2.1616</v>
      </c>
      <c r="E9" s="1266">
        <v>0.1769</v>
      </c>
      <c r="F9" s="1265">
        <v>0.4</v>
      </c>
      <c r="G9" s="1266">
        <v>0.37130000000000002</v>
      </c>
      <c r="H9" s="1265">
        <v>0.64</v>
      </c>
      <c r="I9" s="1265">
        <v>0.31090000000000001</v>
      </c>
      <c r="J9" s="1266">
        <v>0.22509999999999999</v>
      </c>
      <c r="K9" s="1265" t="s">
        <v>1391</v>
      </c>
    </row>
    <row r="10" spans="1:11" ht="15.75">
      <c r="A10" s="1267" t="s">
        <v>2557</v>
      </c>
      <c r="B10" s="1268">
        <v>625</v>
      </c>
      <c r="C10" s="1268">
        <v>0.46</v>
      </c>
      <c r="D10" s="1269">
        <v>1.0195000000000001</v>
      </c>
      <c r="E10" s="1269">
        <v>0.1769</v>
      </c>
      <c r="F10" s="1268">
        <v>0.26</v>
      </c>
      <c r="G10" s="1269">
        <v>0.21609999999999999</v>
      </c>
      <c r="H10" s="1268">
        <v>0.33</v>
      </c>
      <c r="I10" s="1268">
        <v>0.23980000000000001</v>
      </c>
      <c r="J10" s="1269">
        <v>0.18679999999999999</v>
      </c>
      <c r="K10" s="1269">
        <v>0.75660000000000005</v>
      </c>
    </row>
    <row r="11" spans="1:11" ht="15.75">
      <c r="A11" s="1264" t="s">
        <v>2558</v>
      </c>
      <c r="B11" s="1265">
        <v>19</v>
      </c>
      <c r="C11" s="1265">
        <v>1.1299999999999999</v>
      </c>
      <c r="D11" s="1266">
        <v>0.24460000000000001</v>
      </c>
      <c r="E11" s="1266">
        <v>0.1042</v>
      </c>
      <c r="F11" s="1265">
        <v>0.96</v>
      </c>
      <c r="G11" s="1266">
        <v>1.43E-2</v>
      </c>
      <c r="H11" s="1265">
        <v>0.97</v>
      </c>
      <c r="I11" s="1265">
        <v>0.52700000000000002</v>
      </c>
      <c r="J11" s="1266">
        <v>0.497</v>
      </c>
      <c r="K11" s="1266">
        <v>0.26869999999999999</v>
      </c>
    </row>
    <row r="12" spans="1:11" ht="15.75">
      <c r="A12" s="1267" t="s">
        <v>2559</v>
      </c>
      <c r="B12" s="1268">
        <v>29</v>
      </c>
      <c r="C12" s="1268">
        <v>0.76</v>
      </c>
      <c r="D12" s="1269">
        <v>0.17119999999999999</v>
      </c>
      <c r="E12" s="1269">
        <v>6.6799999999999998E-2</v>
      </c>
      <c r="F12" s="1268">
        <v>0.68</v>
      </c>
      <c r="G12" s="1269">
        <v>3.5099999999999999E-2</v>
      </c>
      <c r="H12" s="1268">
        <v>0.7</v>
      </c>
      <c r="I12" s="1268">
        <v>0.56189999999999996</v>
      </c>
      <c r="J12" s="1269">
        <v>0.42959999999999998</v>
      </c>
      <c r="K12" s="1269">
        <v>0.1139</v>
      </c>
    </row>
    <row r="13" spans="1:11" ht="15.75">
      <c r="A13" s="1264" t="s">
        <v>2560</v>
      </c>
      <c r="B13" s="1265">
        <v>22</v>
      </c>
      <c r="C13" s="1265">
        <v>1.06</v>
      </c>
      <c r="D13" s="1266">
        <v>1.764</v>
      </c>
      <c r="E13" s="1266">
        <v>7.85E-2</v>
      </c>
      <c r="F13" s="1265">
        <v>0.46</v>
      </c>
      <c r="G13" s="1266">
        <v>8.6199999999999999E-2</v>
      </c>
      <c r="H13" s="1265">
        <v>0.5</v>
      </c>
      <c r="I13" s="1265">
        <v>0.51339999999999997</v>
      </c>
      <c r="J13" s="1266">
        <v>0.3846</v>
      </c>
      <c r="K13" s="1266">
        <v>0.29649999999999999</v>
      </c>
    </row>
    <row r="14" spans="1:11" ht="15.75">
      <c r="A14" s="1267" t="s">
        <v>2561</v>
      </c>
      <c r="B14" s="1268">
        <v>27</v>
      </c>
      <c r="C14" s="1268">
        <v>1.1200000000000001</v>
      </c>
      <c r="D14" s="1269">
        <v>2.2606000000000002</v>
      </c>
      <c r="E14" s="1269">
        <v>0.16839999999999999</v>
      </c>
      <c r="F14" s="1268">
        <v>0.42</v>
      </c>
      <c r="G14" s="1269">
        <v>0.24540000000000001</v>
      </c>
      <c r="H14" s="1268">
        <v>0.55000000000000004</v>
      </c>
      <c r="I14" s="1268">
        <v>0.32719999999999999</v>
      </c>
      <c r="J14" s="1269">
        <v>0.25209999999999999</v>
      </c>
      <c r="K14" s="1269">
        <v>0.45889999999999997</v>
      </c>
    </row>
    <row r="15" spans="1:11" ht="15.75">
      <c r="A15" s="1264" t="s">
        <v>2562</v>
      </c>
      <c r="B15" s="1265">
        <v>44</v>
      </c>
      <c r="C15" s="1265">
        <v>1.32</v>
      </c>
      <c r="D15" s="1266">
        <v>0.18149999999999999</v>
      </c>
      <c r="E15" s="1266">
        <v>0.19939999999999999</v>
      </c>
      <c r="F15" s="1265">
        <v>1.1599999999999999</v>
      </c>
      <c r="G15" s="1266">
        <v>4.0599999999999997E-2</v>
      </c>
      <c r="H15" s="1265">
        <v>1.21</v>
      </c>
      <c r="I15" s="1265">
        <v>0.3866</v>
      </c>
      <c r="J15" s="1266">
        <v>0.28720000000000001</v>
      </c>
      <c r="K15" s="1266">
        <v>0.52149999999999996</v>
      </c>
    </row>
    <row r="16" spans="1:11" ht="15.75">
      <c r="A16" s="1267" t="s">
        <v>2563</v>
      </c>
      <c r="B16" s="1268">
        <v>162</v>
      </c>
      <c r="C16" s="1268">
        <v>1.02</v>
      </c>
      <c r="D16" s="1269">
        <v>0.1794</v>
      </c>
      <c r="E16" s="1269">
        <v>0.1084</v>
      </c>
      <c r="F16" s="1268">
        <v>0.9</v>
      </c>
      <c r="G16" s="1269">
        <v>3.09E-2</v>
      </c>
      <c r="H16" s="1268">
        <v>0.93</v>
      </c>
      <c r="I16" s="1268">
        <v>0.48780000000000001</v>
      </c>
      <c r="J16" s="1269">
        <v>0.41289999999999999</v>
      </c>
      <c r="K16" s="1269">
        <v>0.23549999999999999</v>
      </c>
    </row>
    <row r="17" spans="1:11" ht="15.75">
      <c r="A17" s="1264" t="s">
        <v>2564</v>
      </c>
      <c r="B17" s="1265">
        <v>10</v>
      </c>
      <c r="C17" s="1265">
        <v>1.28</v>
      </c>
      <c r="D17" s="1266">
        <v>1.0172000000000001</v>
      </c>
      <c r="E17" s="1266">
        <v>0.23719999999999999</v>
      </c>
      <c r="F17" s="1265">
        <v>0.72</v>
      </c>
      <c r="G17" s="1266">
        <v>1.54E-2</v>
      </c>
      <c r="H17" s="1265">
        <v>0.74</v>
      </c>
      <c r="I17" s="1265">
        <v>0.4199</v>
      </c>
      <c r="J17" s="1266">
        <v>0.3301</v>
      </c>
      <c r="K17" s="1266">
        <v>0.27250000000000002</v>
      </c>
    </row>
    <row r="18" spans="1:11" ht="15.75">
      <c r="A18" s="1267" t="s">
        <v>2565</v>
      </c>
      <c r="B18" s="1268">
        <v>32</v>
      </c>
      <c r="C18" s="1268">
        <v>1.1000000000000001</v>
      </c>
      <c r="D18" s="1269">
        <v>0.45679999999999998</v>
      </c>
      <c r="E18" s="1269">
        <v>8.9300000000000004E-2</v>
      </c>
      <c r="F18" s="1268">
        <v>0.82</v>
      </c>
      <c r="G18" s="1269">
        <v>6.6500000000000004E-2</v>
      </c>
      <c r="H18" s="1268">
        <v>0.87</v>
      </c>
      <c r="I18" s="1268">
        <v>0.48549999999999999</v>
      </c>
      <c r="J18" s="1269">
        <v>0.38919999999999999</v>
      </c>
      <c r="K18" s="1269">
        <v>0.40820000000000001</v>
      </c>
    </row>
    <row r="19" spans="1:11" ht="15.75">
      <c r="A19" s="1264" t="s">
        <v>2566</v>
      </c>
      <c r="B19" s="1265">
        <v>4</v>
      </c>
      <c r="C19" s="1265">
        <v>1.1299999999999999</v>
      </c>
      <c r="D19" s="1266">
        <v>0.69530000000000003</v>
      </c>
      <c r="E19" s="1266">
        <v>0.1489</v>
      </c>
      <c r="F19" s="1265">
        <v>0.74</v>
      </c>
      <c r="G19" s="1266">
        <v>8.43E-2</v>
      </c>
      <c r="H19" s="1265">
        <v>0.81</v>
      </c>
      <c r="I19" s="1265">
        <v>0.30120000000000002</v>
      </c>
      <c r="J19" s="1266">
        <v>0.37240000000000001</v>
      </c>
      <c r="K19" s="1266">
        <v>0.34910000000000002</v>
      </c>
    </row>
    <row r="20" spans="1:11" ht="15.75">
      <c r="A20" s="1267" t="s">
        <v>2567</v>
      </c>
      <c r="B20" s="1268">
        <v>68</v>
      </c>
      <c r="C20" s="1268">
        <v>1.0900000000000001</v>
      </c>
      <c r="D20" s="1269">
        <v>0.26819999999999999</v>
      </c>
      <c r="E20" s="1269">
        <v>0.104</v>
      </c>
      <c r="F20" s="1268">
        <v>0.91</v>
      </c>
      <c r="G20" s="1269">
        <v>3.5000000000000003E-2</v>
      </c>
      <c r="H20" s="1268">
        <v>0.94</v>
      </c>
      <c r="I20" s="1268">
        <v>0.44429999999999997</v>
      </c>
      <c r="J20" s="1269">
        <v>0.36599999999999999</v>
      </c>
      <c r="K20" s="1269">
        <v>0.186</v>
      </c>
    </row>
    <row r="21" spans="1:11" ht="15.75">
      <c r="A21" s="1264" t="s">
        <v>2568</v>
      </c>
      <c r="B21" s="1265">
        <v>18</v>
      </c>
      <c r="C21" s="1265">
        <v>1.27</v>
      </c>
      <c r="D21" s="1266">
        <v>0.22539999999999999</v>
      </c>
      <c r="E21" s="1266">
        <v>2.6200000000000001E-2</v>
      </c>
      <c r="F21" s="1265">
        <v>1.0900000000000001</v>
      </c>
      <c r="G21" s="1266">
        <v>0.12529999999999999</v>
      </c>
      <c r="H21" s="1265">
        <v>1.24</v>
      </c>
      <c r="I21" s="1265">
        <v>0.50839999999999996</v>
      </c>
      <c r="J21" s="1266">
        <v>0.55689999999999995</v>
      </c>
      <c r="K21" s="1266">
        <v>4.1548999999999996</v>
      </c>
    </row>
    <row r="22" spans="1:11" ht="15.75">
      <c r="A22" s="1267" t="s">
        <v>2569</v>
      </c>
      <c r="B22" s="1268">
        <v>72</v>
      </c>
      <c r="C22" s="1268">
        <v>1</v>
      </c>
      <c r="D22" s="1269">
        <v>0.29139999999999999</v>
      </c>
      <c r="E22" s="1269">
        <v>7.7799999999999994E-2</v>
      </c>
      <c r="F22" s="1268">
        <v>0.82</v>
      </c>
      <c r="G22" s="1269">
        <v>4.6899999999999997E-2</v>
      </c>
      <c r="H22" s="1268">
        <v>0.86</v>
      </c>
      <c r="I22" s="1268">
        <v>0.57499999999999996</v>
      </c>
      <c r="J22" s="1269">
        <v>0.49609999999999999</v>
      </c>
      <c r="K22" s="1269">
        <v>0.25480000000000003</v>
      </c>
    </row>
    <row r="23" spans="1:11" ht="15.75">
      <c r="A23" s="1264" t="s">
        <v>2570</v>
      </c>
      <c r="B23" s="1265">
        <v>36</v>
      </c>
      <c r="C23" s="1265">
        <v>1.1299999999999999</v>
      </c>
      <c r="D23" s="1266">
        <v>6.0900000000000003E-2</v>
      </c>
      <c r="E23" s="1266">
        <v>8.6699999999999999E-2</v>
      </c>
      <c r="F23" s="1265">
        <v>1.08</v>
      </c>
      <c r="G23" s="1266">
        <v>1.54E-2</v>
      </c>
      <c r="H23" s="1265">
        <v>1.1000000000000001</v>
      </c>
      <c r="I23" s="1265">
        <v>0.439</v>
      </c>
      <c r="J23" s="1266">
        <v>0.38900000000000001</v>
      </c>
      <c r="K23" s="1266">
        <v>0.2908</v>
      </c>
    </row>
    <row r="24" spans="1:11" ht="15.75">
      <c r="A24" s="1267" t="s">
        <v>2571</v>
      </c>
      <c r="B24" s="1268">
        <v>45</v>
      </c>
      <c r="C24" s="1268">
        <v>1.1299999999999999</v>
      </c>
      <c r="D24" s="1269">
        <v>0.247</v>
      </c>
      <c r="E24" s="1269">
        <v>0.14910000000000001</v>
      </c>
      <c r="F24" s="1268">
        <v>0.95</v>
      </c>
      <c r="G24" s="1269">
        <v>3.9399999999999998E-2</v>
      </c>
      <c r="H24" s="1268">
        <v>0.99</v>
      </c>
      <c r="I24" s="1268">
        <v>0.3977</v>
      </c>
      <c r="J24" s="1269">
        <v>0.37830000000000003</v>
      </c>
      <c r="K24" s="1269">
        <v>0.23960000000000001</v>
      </c>
    </row>
    <row r="25" spans="1:11" ht="15.75">
      <c r="A25" s="1264" t="s">
        <v>2572</v>
      </c>
      <c r="B25" s="1265">
        <v>23</v>
      </c>
      <c r="C25" s="1265">
        <v>1.19</v>
      </c>
      <c r="D25" s="1266">
        <v>0.1915</v>
      </c>
      <c r="E25" s="1266">
        <v>5.2499999999999998E-2</v>
      </c>
      <c r="F25" s="1265">
        <v>1.04</v>
      </c>
      <c r="G25" s="1266">
        <v>4.36E-2</v>
      </c>
      <c r="H25" s="1265">
        <v>1.0900000000000001</v>
      </c>
      <c r="I25" s="1265">
        <v>0.54549999999999998</v>
      </c>
      <c r="J25" s="1266">
        <v>0.52249999999999996</v>
      </c>
      <c r="K25" s="1266">
        <v>0.66700000000000004</v>
      </c>
    </row>
    <row r="26" spans="1:11" ht="15.75">
      <c r="A26" s="1267" t="s">
        <v>2573</v>
      </c>
      <c r="B26" s="1268">
        <v>572</v>
      </c>
      <c r="C26" s="1268">
        <v>1.1200000000000001</v>
      </c>
      <c r="D26" s="1269">
        <v>0.16389999999999999</v>
      </c>
      <c r="E26" s="1269">
        <v>8.0999999999999996E-3</v>
      </c>
      <c r="F26" s="1268">
        <v>1</v>
      </c>
      <c r="G26" s="1269">
        <v>8.1500000000000003E-2</v>
      </c>
      <c r="H26" s="1268">
        <v>1.0900000000000001</v>
      </c>
      <c r="I26" s="1268">
        <v>0.63170000000000004</v>
      </c>
      <c r="J26" s="1269">
        <v>0.61980000000000002</v>
      </c>
      <c r="K26" s="1269">
        <v>0.27239999999999998</v>
      </c>
    </row>
    <row r="27" spans="1:11" ht="15.75">
      <c r="A27" s="1264" t="s">
        <v>2574</v>
      </c>
      <c r="B27" s="1265">
        <v>245</v>
      </c>
      <c r="C27" s="1265">
        <v>1.03</v>
      </c>
      <c r="D27" s="1266">
        <v>0.1605</v>
      </c>
      <c r="E27" s="1266">
        <v>2.8899999999999999E-2</v>
      </c>
      <c r="F27" s="1265">
        <v>0.92</v>
      </c>
      <c r="G27" s="1266">
        <v>2.9000000000000001E-2</v>
      </c>
      <c r="H27" s="1265">
        <v>0.94</v>
      </c>
      <c r="I27" s="1265">
        <v>0.66159999999999997</v>
      </c>
      <c r="J27" s="1266">
        <v>0.65300000000000002</v>
      </c>
      <c r="K27" s="1266">
        <v>0.2908</v>
      </c>
    </row>
    <row r="28" spans="1:11" ht="15.75">
      <c r="A28" s="1267" t="s">
        <v>2575</v>
      </c>
      <c r="B28" s="1268">
        <v>31</v>
      </c>
      <c r="C28" s="1268">
        <v>1.23</v>
      </c>
      <c r="D28" s="1269">
        <v>0.19589999999999999</v>
      </c>
      <c r="E28" s="1269">
        <v>0.1115</v>
      </c>
      <c r="F28" s="1268">
        <v>1.07</v>
      </c>
      <c r="G28" s="1269">
        <v>6.8500000000000005E-2</v>
      </c>
      <c r="H28" s="1268">
        <v>1.1499999999999999</v>
      </c>
      <c r="I28" s="1268">
        <v>0.54039999999999999</v>
      </c>
      <c r="J28" s="1269">
        <v>0.43780000000000002</v>
      </c>
      <c r="K28" s="1269">
        <v>0.17180000000000001</v>
      </c>
    </row>
    <row r="29" spans="1:11" ht="15.75">
      <c r="A29" s="1264" t="s">
        <v>2576</v>
      </c>
      <c r="B29" s="1265">
        <v>103</v>
      </c>
      <c r="C29" s="1265">
        <v>1.24</v>
      </c>
      <c r="D29" s="1266">
        <v>0.21390000000000001</v>
      </c>
      <c r="E29" s="1266">
        <v>5.6599999999999998E-2</v>
      </c>
      <c r="F29" s="1265">
        <v>1.07</v>
      </c>
      <c r="G29" s="1266">
        <v>6.6600000000000006E-2</v>
      </c>
      <c r="H29" s="1265">
        <v>1.1499999999999999</v>
      </c>
      <c r="I29" s="1265">
        <v>0.62</v>
      </c>
      <c r="J29" s="1266">
        <v>0.54420000000000002</v>
      </c>
      <c r="K29" s="1266">
        <v>0.16700000000000001</v>
      </c>
    </row>
    <row r="30" spans="1:11" ht="15.75">
      <c r="A30" s="1267" t="s">
        <v>2577</v>
      </c>
      <c r="B30" s="1268">
        <v>13</v>
      </c>
      <c r="C30" s="1268">
        <v>1.3</v>
      </c>
      <c r="D30" s="1269">
        <v>0.1832</v>
      </c>
      <c r="E30" s="1269">
        <v>7.3099999999999998E-2</v>
      </c>
      <c r="F30" s="1268">
        <v>1.1399999999999999</v>
      </c>
      <c r="G30" s="1269">
        <v>0.12609999999999999</v>
      </c>
      <c r="H30" s="1268">
        <v>1.3</v>
      </c>
      <c r="I30" s="1268">
        <v>0.52829999999999999</v>
      </c>
      <c r="J30" s="1269">
        <v>0.39419999999999999</v>
      </c>
      <c r="K30" s="1269">
        <v>2.6707000000000001</v>
      </c>
    </row>
    <row r="31" spans="1:11" ht="15.75">
      <c r="A31" s="1264" t="s">
        <v>2578</v>
      </c>
      <c r="B31" s="1265">
        <v>129</v>
      </c>
      <c r="C31" s="1265">
        <v>0.93</v>
      </c>
      <c r="D31" s="1266">
        <v>0.17199999999999999</v>
      </c>
      <c r="E31" s="1266">
        <v>8.1699999999999995E-2</v>
      </c>
      <c r="F31" s="1265">
        <v>0.83</v>
      </c>
      <c r="G31" s="1266">
        <v>5.6899999999999999E-2</v>
      </c>
      <c r="H31" s="1265">
        <v>0.88</v>
      </c>
      <c r="I31" s="1265">
        <v>0.48699999999999999</v>
      </c>
      <c r="J31" s="1266">
        <v>0.4294</v>
      </c>
      <c r="K31" s="1266">
        <v>0.28539999999999999</v>
      </c>
    </row>
    <row r="32" spans="1:11" ht="15.75">
      <c r="A32" s="1267" t="s">
        <v>2579</v>
      </c>
      <c r="B32" s="1268">
        <v>43</v>
      </c>
      <c r="C32" s="1268">
        <v>0.96</v>
      </c>
      <c r="D32" s="1269">
        <v>0.26200000000000001</v>
      </c>
      <c r="E32" s="1269">
        <v>0.14269999999999999</v>
      </c>
      <c r="F32" s="1268">
        <v>0.8</v>
      </c>
      <c r="G32" s="1269">
        <v>4.9500000000000002E-2</v>
      </c>
      <c r="H32" s="1268">
        <v>0.84</v>
      </c>
      <c r="I32" s="1268">
        <v>0.42209999999999998</v>
      </c>
      <c r="J32" s="1269">
        <v>0.33679999999999999</v>
      </c>
      <c r="K32" s="1269">
        <v>9.3700000000000006E-2</v>
      </c>
    </row>
    <row r="33" spans="1:11" ht="15.75">
      <c r="A33" s="1264" t="s">
        <v>2580</v>
      </c>
      <c r="B33" s="1265">
        <v>98</v>
      </c>
      <c r="C33" s="1265">
        <v>0.99</v>
      </c>
      <c r="D33" s="1266">
        <v>0.28749999999999998</v>
      </c>
      <c r="E33" s="1266">
        <v>3.2500000000000001E-2</v>
      </c>
      <c r="F33" s="1265">
        <v>0.82</v>
      </c>
      <c r="G33" s="1266">
        <v>5.4899999999999997E-2</v>
      </c>
      <c r="H33" s="1265">
        <v>0.87</v>
      </c>
      <c r="I33" s="1265">
        <v>0.61539999999999995</v>
      </c>
      <c r="J33" s="1266">
        <v>0.6119</v>
      </c>
      <c r="K33" s="1266">
        <v>0.30690000000000001</v>
      </c>
    </row>
    <row r="34" spans="1:11" ht="15.75">
      <c r="A34" s="1267" t="s">
        <v>2581</v>
      </c>
      <c r="B34" s="1268">
        <v>57</v>
      </c>
      <c r="C34" s="1268">
        <v>0.91</v>
      </c>
      <c r="D34" s="1269">
        <v>0.2195</v>
      </c>
      <c r="E34" s="1269">
        <v>5.4199999999999998E-2</v>
      </c>
      <c r="F34" s="1268">
        <v>0.78</v>
      </c>
      <c r="G34" s="1269">
        <v>8.8000000000000005E-3</v>
      </c>
      <c r="H34" s="1268">
        <v>0.79</v>
      </c>
      <c r="I34" s="1268">
        <v>0.55049999999999999</v>
      </c>
      <c r="J34" s="1269">
        <v>0.4607</v>
      </c>
      <c r="K34" s="1269">
        <v>0.2351</v>
      </c>
    </row>
    <row r="35" spans="1:11" ht="15.75">
      <c r="A35" s="1264" t="s">
        <v>2582</v>
      </c>
      <c r="B35" s="1265">
        <v>42</v>
      </c>
      <c r="C35" s="1265">
        <v>0.99</v>
      </c>
      <c r="D35" s="1266">
        <v>0.45300000000000001</v>
      </c>
      <c r="E35" s="1266">
        <v>6.6799999999999998E-2</v>
      </c>
      <c r="F35" s="1265">
        <v>0.74</v>
      </c>
      <c r="G35" s="1266">
        <v>3.78E-2</v>
      </c>
      <c r="H35" s="1265">
        <v>0.77</v>
      </c>
      <c r="I35" s="1265">
        <v>0.57899999999999996</v>
      </c>
      <c r="J35" s="1266">
        <v>0.54139999999999999</v>
      </c>
      <c r="K35" s="1266">
        <v>0.41410000000000002</v>
      </c>
    </row>
    <row r="36" spans="1:11" ht="15.75">
      <c r="A36" s="1267" t="s">
        <v>2583</v>
      </c>
      <c r="B36" s="1268">
        <v>172</v>
      </c>
      <c r="C36" s="1268">
        <v>1.1399999999999999</v>
      </c>
      <c r="D36" s="1269">
        <v>3.5406</v>
      </c>
      <c r="E36" s="1269">
        <v>0.11070000000000001</v>
      </c>
      <c r="F36" s="1268">
        <v>0.31</v>
      </c>
      <c r="G36" s="1269">
        <v>2.8400000000000002E-2</v>
      </c>
      <c r="H36" s="1268">
        <v>0.32</v>
      </c>
      <c r="I36" s="1268">
        <v>0.41889999999999999</v>
      </c>
      <c r="J36" s="1269">
        <v>0.3866</v>
      </c>
      <c r="K36" s="1269">
        <v>0.40910000000000002</v>
      </c>
    </row>
    <row r="37" spans="1:11" ht="15.75">
      <c r="A37" s="1264" t="s">
        <v>2584</v>
      </c>
      <c r="B37" s="1265">
        <v>82</v>
      </c>
      <c r="C37" s="1265">
        <v>0.61</v>
      </c>
      <c r="D37" s="1266">
        <v>0.33700000000000002</v>
      </c>
      <c r="E37" s="1266">
        <v>8.2900000000000001E-2</v>
      </c>
      <c r="F37" s="1265">
        <v>0.48</v>
      </c>
      <c r="G37" s="1266">
        <v>2.5000000000000001E-2</v>
      </c>
      <c r="H37" s="1265">
        <v>0.5</v>
      </c>
      <c r="I37" s="1265">
        <v>0.47220000000000001</v>
      </c>
      <c r="J37" s="1266">
        <v>0.36509999999999998</v>
      </c>
      <c r="K37" s="1266">
        <v>0.1341</v>
      </c>
    </row>
    <row r="38" spans="1:11" ht="15.75">
      <c r="A38" s="1267" t="s">
        <v>2585</v>
      </c>
      <c r="B38" s="1268">
        <v>14</v>
      </c>
      <c r="C38" s="1268">
        <v>0.97</v>
      </c>
      <c r="D38" s="1269">
        <v>0.44629999999999997</v>
      </c>
      <c r="E38" s="1269">
        <v>0.159</v>
      </c>
      <c r="F38" s="1268">
        <v>0.72</v>
      </c>
      <c r="G38" s="1269">
        <v>1.5699999999999999E-2</v>
      </c>
      <c r="H38" s="1268">
        <v>0.74</v>
      </c>
      <c r="I38" s="1268">
        <v>0.40939999999999999</v>
      </c>
      <c r="J38" s="1269">
        <v>0.27300000000000002</v>
      </c>
      <c r="K38" s="1269">
        <v>0.2949</v>
      </c>
    </row>
    <row r="39" spans="1:11" ht="15.75">
      <c r="A39" s="1264" t="s">
        <v>2586</v>
      </c>
      <c r="B39" s="1265">
        <v>31</v>
      </c>
      <c r="C39" s="1265">
        <v>1.1100000000000001</v>
      </c>
      <c r="D39" s="1266">
        <v>0.47549999999999998</v>
      </c>
      <c r="E39" s="1266">
        <v>0.1394</v>
      </c>
      <c r="F39" s="1265">
        <v>0.82</v>
      </c>
      <c r="G39" s="1266">
        <v>5.2400000000000002E-2</v>
      </c>
      <c r="H39" s="1265">
        <v>0.86</v>
      </c>
      <c r="I39" s="1265">
        <v>0.45119999999999999</v>
      </c>
      <c r="J39" s="1266">
        <v>0.46650000000000003</v>
      </c>
      <c r="K39" s="1266">
        <v>0.23419999999999999</v>
      </c>
    </row>
    <row r="40" spans="1:11" ht="15.75">
      <c r="A40" s="1267" t="s">
        <v>2587</v>
      </c>
      <c r="B40" s="1268">
        <v>17</v>
      </c>
      <c r="C40" s="1268">
        <v>1.1100000000000001</v>
      </c>
      <c r="D40" s="1269">
        <v>1.4140999999999999</v>
      </c>
      <c r="E40" s="1269">
        <v>4.3900000000000002E-2</v>
      </c>
      <c r="F40" s="1268">
        <v>0.54</v>
      </c>
      <c r="G40" s="1269">
        <v>3.4200000000000001E-2</v>
      </c>
      <c r="H40" s="1268">
        <v>0.56000000000000005</v>
      </c>
      <c r="I40" s="1268">
        <v>0.60050000000000003</v>
      </c>
      <c r="J40" s="1269">
        <v>0.57340000000000002</v>
      </c>
      <c r="K40" s="1269">
        <v>0.49859999999999999</v>
      </c>
    </row>
    <row r="41" spans="1:11" ht="15.75">
      <c r="A41" s="1264" t="s">
        <v>2588</v>
      </c>
      <c r="B41" s="1265">
        <v>230</v>
      </c>
      <c r="C41" s="1265">
        <v>1.06</v>
      </c>
      <c r="D41" s="1266">
        <v>0.12659999999999999</v>
      </c>
      <c r="E41" s="1266">
        <v>4.8099999999999997E-2</v>
      </c>
      <c r="F41" s="1265">
        <v>0.97</v>
      </c>
      <c r="G41" s="1266">
        <v>3.5299999999999998E-2</v>
      </c>
      <c r="H41" s="1265">
        <v>1.01</v>
      </c>
      <c r="I41" s="1265">
        <v>0.57299999999999995</v>
      </c>
      <c r="J41" s="1266">
        <v>0.52210000000000001</v>
      </c>
      <c r="K41" s="1266">
        <v>0.3296</v>
      </c>
    </row>
    <row r="42" spans="1:11" ht="15.75">
      <c r="A42" s="1267" t="s">
        <v>2589</v>
      </c>
      <c r="B42" s="1268">
        <v>119</v>
      </c>
      <c r="C42" s="1268">
        <v>1.03</v>
      </c>
      <c r="D42" s="1269">
        <v>0.26860000000000001</v>
      </c>
      <c r="E42" s="1269">
        <v>8.0799999999999997E-2</v>
      </c>
      <c r="F42" s="1268">
        <v>0.86</v>
      </c>
      <c r="G42" s="1269">
        <v>8.5999999999999993E-2</v>
      </c>
      <c r="H42" s="1268">
        <v>0.94</v>
      </c>
      <c r="I42" s="1268">
        <v>0.52229999999999999</v>
      </c>
      <c r="J42" s="1269">
        <v>0.49530000000000002</v>
      </c>
      <c r="K42" s="1269">
        <v>0.26950000000000002</v>
      </c>
    </row>
    <row r="43" spans="1:11" ht="15.75">
      <c r="A43" s="1264" t="s">
        <v>2590</v>
      </c>
      <c r="B43" s="1265">
        <v>128</v>
      </c>
      <c r="C43" s="1265">
        <v>1.27</v>
      </c>
      <c r="D43" s="1266">
        <v>0.16070000000000001</v>
      </c>
      <c r="E43" s="1266">
        <v>3.1099999999999999E-2</v>
      </c>
      <c r="F43" s="1265">
        <v>1.1399999999999999</v>
      </c>
      <c r="G43" s="1266">
        <v>4.2000000000000003E-2</v>
      </c>
      <c r="H43" s="1265">
        <v>1.19</v>
      </c>
      <c r="I43" s="1265">
        <v>0.56069999999999998</v>
      </c>
      <c r="J43" s="1266">
        <v>0.54149999999999998</v>
      </c>
      <c r="K43" s="1266">
        <v>0.50829999999999997</v>
      </c>
    </row>
    <row r="44" spans="1:11" ht="15.75">
      <c r="A44" s="1267" t="s">
        <v>2591</v>
      </c>
      <c r="B44" s="1268">
        <v>32</v>
      </c>
      <c r="C44" s="1268">
        <v>1.37</v>
      </c>
      <c r="D44" s="1269">
        <v>0.16420000000000001</v>
      </c>
      <c r="E44" s="1269">
        <v>0.17219999999999999</v>
      </c>
      <c r="F44" s="1268">
        <v>1.22</v>
      </c>
      <c r="G44" s="1269">
        <v>9.9199999999999997E-2</v>
      </c>
      <c r="H44" s="1268">
        <v>1.35</v>
      </c>
      <c r="I44" s="1268">
        <v>0.47849999999999998</v>
      </c>
      <c r="J44" s="1269">
        <v>0.3231</v>
      </c>
      <c r="K44" s="1269">
        <v>0.75829999999999997</v>
      </c>
    </row>
    <row r="45" spans="1:11" ht="15.75">
      <c r="A45" s="1264" t="s">
        <v>2592</v>
      </c>
      <c r="B45" s="1265">
        <v>32</v>
      </c>
      <c r="C45" s="1265">
        <v>0.88</v>
      </c>
      <c r="D45" s="1266">
        <v>0.7974</v>
      </c>
      <c r="E45" s="1266">
        <v>6.8599999999999994E-2</v>
      </c>
      <c r="F45" s="1265">
        <v>0.55000000000000004</v>
      </c>
      <c r="G45" s="1266">
        <v>1.7100000000000001E-2</v>
      </c>
      <c r="H45" s="1265">
        <v>0.56000000000000005</v>
      </c>
      <c r="I45" s="1265">
        <v>0.58089999999999997</v>
      </c>
      <c r="J45" s="1266">
        <v>0.46329999999999999</v>
      </c>
      <c r="K45" s="1266">
        <v>0.1704</v>
      </c>
    </row>
    <row r="46" spans="1:11" ht="15.75">
      <c r="A46" s="1267" t="s">
        <v>2593</v>
      </c>
      <c r="B46" s="1268">
        <v>68</v>
      </c>
      <c r="C46" s="1268">
        <v>1.34</v>
      </c>
      <c r="D46" s="1269">
        <v>0.48670000000000002</v>
      </c>
      <c r="E46" s="1269">
        <v>8.6300000000000002E-2</v>
      </c>
      <c r="F46" s="1268">
        <v>0.98</v>
      </c>
      <c r="G46" s="1269">
        <v>6.1100000000000002E-2</v>
      </c>
      <c r="H46" s="1268">
        <v>1.05</v>
      </c>
      <c r="I46" s="1268">
        <v>0.45540000000000003</v>
      </c>
      <c r="J46" s="1269">
        <v>0.40799999999999997</v>
      </c>
      <c r="K46" s="1269">
        <v>1.0448999999999999</v>
      </c>
    </row>
    <row r="47" spans="1:11" ht="15.75">
      <c r="A47" s="1264" t="s">
        <v>2594</v>
      </c>
      <c r="B47" s="1265">
        <v>93</v>
      </c>
      <c r="C47" s="1265">
        <v>0.84</v>
      </c>
      <c r="D47" s="1266">
        <v>0.1656</v>
      </c>
      <c r="E47" s="1266">
        <v>8.2100000000000006E-2</v>
      </c>
      <c r="F47" s="1265">
        <v>0.75</v>
      </c>
      <c r="G47" s="1266">
        <v>2.93E-2</v>
      </c>
      <c r="H47" s="1265">
        <v>0.77</v>
      </c>
      <c r="I47" s="1265">
        <v>0.5665</v>
      </c>
      <c r="J47" s="1266">
        <v>0.51119999999999999</v>
      </c>
      <c r="K47" s="1266">
        <v>0.11509999999999999</v>
      </c>
    </row>
    <row r="48" spans="1:11" ht="15.75">
      <c r="A48" s="1267" t="s">
        <v>2595</v>
      </c>
      <c r="B48" s="1268">
        <v>18</v>
      </c>
      <c r="C48" s="1268">
        <v>0.93</v>
      </c>
      <c r="D48" s="1269">
        <v>0.35670000000000002</v>
      </c>
      <c r="E48" s="1269">
        <v>0.15790000000000001</v>
      </c>
      <c r="F48" s="1268">
        <v>0.73</v>
      </c>
      <c r="G48" s="1269">
        <v>4.9299999999999997E-2</v>
      </c>
      <c r="H48" s="1268">
        <v>0.77</v>
      </c>
      <c r="I48" s="1268">
        <v>0.44330000000000003</v>
      </c>
      <c r="J48" s="1269">
        <v>0.33829999999999999</v>
      </c>
      <c r="K48" s="1269">
        <v>0.45179999999999998</v>
      </c>
    </row>
    <row r="49" spans="1:11" ht="15.75">
      <c r="A49" s="1264" t="s">
        <v>2596</v>
      </c>
      <c r="B49" s="1265">
        <v>21</v>
      </c>
      <c r="C49" s="1265">
        <v>1.03</v>
      </c>
      <c r="D49" s="1266">
        <v>0.25929999999999997</v>
      </c>
      <c r="E49" s="1266">
        <v>0.13689999999999999</v>
      </c>
      <c r="F49" s="1265">
        <v>0.86</v>
      </c>
      <c r="G49" s="1266">
        <v>3.32E-2</v>
      </c>
      <c r="H49" s="1265">
        <v>0.89</v>
      </c>
      <c r="I49" s="1265">
        <v>0.41</v>
      </c>
      <c r="J49" s="1266">
        <v>0.40379999999999999</v>
      </c>
      <c r="K49" s="1266">
        <v>0.48449999999999999</v>
      </c>
    </row>
    <row r="50" spans="1:11" ht="15.75">
      <c r="A50" s="1267" t="s">
        <v>2597</v>
      </c>
      <c r="B50" s="1268">
        <v>23</v>
      </c>
      <c r="C50" s="1268">
        <v>0.77</v>
      </c>
      <c r="D50" s="1269">
        <v>0.92249999999999999</v>
      </c>
      <c r="E50" s="1269">
        <v>0.1018</v>
      </c>
      <c r="F50" s="1268">
        <v>0.45</v>
      </c>
      <c r="G50" s="1269">
        <v>0.16159999999999999</v>
      </c>
      <c r="H50" s="1268">
        <v>0.54</v>
      </c>
      <c r="I50" s="1268">
        <v>0.31319999999999998</v>
      </c>
      <c r="J50" s="1269">
        <v>0.3085</v>
      </c>
      <c r="K50" s="1269">
        <v>0.23089999999999999</v>
      </c>
    </row>
    <row r="51" spans="1:11" ht="15.75">
      <c r="A51" s="1264" t="s">
        <v>2598</v>
      </c>
      <c r="B51" s="1265">
        <v>50</v>
      </c>
      <c r="C51" s="1265">
        <v>0.74</v>
      </c>
      <c r="D51" s="1266">
        <v>0.1938</v>
      </c>
      <c r="E51" s="1266">
        <v>0.1242</v>
      </c>
      <c r="F51" s="1265">
        <v>0.64</v>
      </c>
      <c r="G51" s="1266">
        <v>4.4699999999999997E-2</v>
      </c>
      <c r="H51" s="1265">
        <v>0.68</v>
      </c>
      <c r="I51" s="1265">
        <v>0.2954</v>
      </c>
      <c r="J51" s="1266">
        <v>0.27400000000000002</v>
      </c>
      <c r="K51" s="1266">
        <v>0.29799999999999999</v>
      </c>
    </row>
    <row r="52" spans="1:11" ht="15.75">
      <c r="A52" s="1267" t="s">
        <v>2599</v>
      </c>
      <c r="B52" s="1268">
        <v>334</v>
      </c>
      <c r="C52" s="1268">
        <v>0.46</v>
      </c>
      <c r="D52" s="1269">
        <v>0.40339999999999998</v>
      </c>
      <c r="E52" s="1269">
        <v>0.1133</v>
      </c>
      <c r="F52" s="1268">
        <v>0.35</v>
      </c>
      <c r="G52" s="1269">
        <v>0.1033</v>
      </c>
      <c r="H52" s="1268">
        <v>0.39</v>
      </c>
      <c r="I52" s="1268">
        <v>0.23130000000000001</v>
      </c>
      <c r="J52" s="1269">
        <v>0.1515</v>
      </c>
      <c r="K52" s="1269">
        <v>0.2334</v>
      </c>
    </row>
    <row r="53" spans="1:11" ht="15.75">
      <c r="A53" s="1264" t="s">
        <v>2600</v>
      </c>
      <c r="B53" s="1265">
        <v>103</v>
      </c>
      <c r="C53" s="1265">
        <v>1.03</v>
      </c>
      <c r="D53" s="1266">
        <v>0.1686</v>
      </c>
      <c r="E53" s="1266">
        <v>0.1173</v>
      </c>
      <c r="F53" s="1265">
        <v>0.91</v>
      </c>
      <c r="G53" s="1266">
        <v>2.8500000000000001E-2</v>
      </c>
      <c r="H53" s="1265">
        <v>0.94</v>
      </c>
      <c r="I53" s="1265">
        <v>0.43149999999999999</v>
      </c>
      <c r="J53" s="1266">
        <v>0.33439999999999998</v>
      </c>
      <c r="K53" s="1266">
        <v>0.18509999999999999</v>
      </c>
    </row>
    <row r="54" spans="1:11" ht="15.75">
      <c r="A54" s="1267" t="s">
        <v>2601</v>
      </c>
      <c r="B54" s="1268">
        <v>68</v>
      </c>
      <c r="C54" s="1268">
        <v>0.96</v>
      </c>
      <c r="D54" s="1269">
        <v>0.15820000000000001</v>
      </c>
      <c r="E54" s="1269">
        <v>0.02</v>
      </c>
      <c r="F54" s="1268">
        <v>0.86</v>
      </c>
      <c r="G54" s="1269">
        <v>5.67E-2</v>
      </c>
      <c r="H54" s="1268">
        <v>0.91</v>
      </c>
      <c r="I54" s="1268">
        <v>0.64480000000000004</v>
      </c>
      <c r="J54" s="1269">
        <v>0.60560000000000003</v>
      </c>
      <c r="K54" s="1269">
        <v>0.54710000000000003</v>
      </c>
    </row>
    <row r="55" spans="1:11" ht="15.75">
      <c r="A55" s="1264" t="s">
        <v>2602</v>
      </c>
      <c r="B55" s="1265">
        <v>17</v>
      </c>
      <c r="C55" s="1265">
        <v>1.1399999999999999</v>
      </c>
      <c r="D55" s="1266">
        <v>0.52569999999999995</v>
      </c>
      <c r="E55" s="1266">
        <v>0.17119999999999999</v>
      </c>
      <c r="F55" s="1265">
        <v>0.82</v>
      </c>
      <c r="G55" s="1266">
        <v>6.7599999999999993E-2</v>
      </c>
      <c r="H55" s="1265">
        <v>0.88</v>
      </c>
      <c r="I55" s="1265">
        <v>0.43859999999999999</v>
      </c>
      <c r="J55" s="1266">
        <v>0.30280000000000001</v>
      </c>
      <c r="K55" s="1266">
        <v>0.17630000000000001</v>
      </c>
    </row>
    <row r="56" spans="1:11" ht="15.75">
      <c r="A56" s="1267" t="s">
        <v>2603</v>
      </c>
      <c r="B56" s="1268">
        <v>4</v>
      </c>
      <c r="C56" s="1268">
        <v>0.67</v>
      </c>
      <c r="D56" s="1269">
        <v>0.125</v>
      </c>
      <c r="E56" s="1269">
        <v>0.21179999999999999</v>
      </c>
      <c r="F56" s="1268">
        <v>0.61</v>
      </c>
      <c r="G56" s="1269">
        <v>4.8000000000000001E-2</v>
      </c>
      <c r="H56" s="1268">
        <v>0.64</v>
      </c>
      <c r="I56" s="1268">
        <v>0.15590000000000001</v>
      </c>
      <c r="J56" s="1269">
        <v>0.26440000000000002</v>
      </c>
      <c r="K56" s="1269">
        <v>1.0782</v>
      </c>
    </row>
    <row r="57" spans="1:11" ht="15.75">
      <c r="A57" s="1264" t="s">
        <v>2604</v>
      </c>
      <c r="B57" s="1265">
        <v>166</v>
      </c>
      <c r="C57" s="1265">
        <v>0.93</v>
      </c>
      <c r="D57" s="1266">
        <v>0.23280000000000001</v>
      </c>
      <c r="E57" s="1266">
        <v>5.6099999999999997E-2</v>
      </c>
      <c r="F57" s="1265">
        <v>0.79</v>
      </c>
      <c r="G57" s="1266">
        <v>3.6200000000000003E-2</v>
      </c>
      <c r="H57" s="1265">
        <v>0.82</v>
      </c>
      <c r="I57" s="1265">
        <v>0.50280000000000002</v>
      </c>
      <c r="J57" s="1266">
        <v>0.46310000000000001</v>
      </c>
      <c r="K57" s="1266">
        <v>2.0846</v>
      </c>
    </row>
    <row r="58" spans="1:11" ht="15.75">
      <c r="A58" s="1267" t="s">
        <v>2605</v>
      </c>
      <c r="B58" s="1268">
        <v>24</v>
      </c>
      <c r="C58" s="1268">
        <v>0.79</v>
      </c>
      <c r="D58" s="1269">
        <v>0.70220000000000005</v>
      </c>
      <c r="E58" s="1269">
        <v>9.2499999999999999E-2</v>
      </c>
      <c r="F58" s="1268">
        <v>0.52</v>
      </c>
      <c r="G58" s="1269">
        <v>2.1100000000000001E-2</v>
      </c>
      <c r="H58" s="1268">
        <v>0.53</v>
      </c>
      <c r="I58" s="1268">
        <v>0.35809999999999997</v>
      </c>
      <c r="J58" s="1269">
        <v>0.32550000000000001</v>
      </c>
      <c r="K58" s="1269">
        <v>0.38819999999999999</v>
      </c>
    </row>
    <row r="59" spans="1:11" ht="15.75">
      <c r="A59" s="1264" t="s">
        <v>2606</v>
      </c>
      <c r="B59" s="1265">
        <v>100</v>
      </c>
      <c r="C59" s="1265">
        <v>0.98</v>
      </c>
      <c r="D59" s="1266">
        <v>0.32140000000000002</v>
      </c>
      <c r="E59" s="1266">
        <v>0.10879999999999999</v>
      </c>
      <c r="F59" s="1265">
        <v>0.79</v>
      </c>
      <c r="G59" s="1266">
        <v>7.46E-2</v>
      </c>
      <c r="H59" s="1265">
        <v>0.85</v>
      </c>
      <c r="I59" s="1265">
        <v>0.47760000000000002</v>
      </c>
      <c r="J59" s="1266">
        <v>0.43730000000000002</v>
      </c>
      <c r="K59" s="1266">
        <v>0.80500000000000005</v>
      </c>
    </row>
    <row r="60" spans="1:11" ht="15.75">
      <c r="A60" s="1267" t="s">
        <v>2607</v>
      </c>
      <c r="B60" s="1268">
        <v>22</v>
      </c>
      <c r="C60" s="1268">
        <v>1.1299999999999999</v>
      </c>
      <c r="D60" s="1269">
        <v>0.61260000000000003</v>
      </c>
      <c r="E60" s="1269">
        <v>0.1812</v>
      </c>
      <c r="F60" s="1268">
        <v>0.78</v>
      </c>
      <c r="G60" s="1269">
        <v>3.8100000000000002E-2</v>
      </c>
      <c r="H60" s="1268">
        <v>0.81</v>
      </c>
      <c r="I60" s="1268">
        <v>0.28510000000000002</v>
      </c>
      <c r="J60" s="1269">
        <v>0.26240000000000002</v>
      </c>
      <c r="K60" s="1269">
        <v>0.1244</v>
      </c>
    </row>
    <row r="61" spans="1:11" ht="15.75">
      <c r="A61" s="1264" t="s">
        <v>2608</v>
      </c>
      <c r="B61" s="1265">
        <v>7</v>
      </c>
      <c r="C61" s="1265">
        <v>1.94</v>
      </c>
      <c r="D61" s="1266">
        <v>0.37369999999999998</v>
      </c>
      <c r="E61" s="1266">
        <v>0.12909999999999999</v>
      </c>
      <c r="F61" s="1265">
        <v>1.51</v>
      </c>
      <c r="G61" s="1266">
        <v>4.8000000000000001E-2</v>
      </c>
      <c r="H61" s="1265">
        <v>1.59</v>
      </c>
      <c r="I61" s="1265">
        <v>0.44890000000000002</v>
      </c>
      <c r="J61" s="1266">
        <v>0.4304</v>
      </c>
      <c r="K61" s="1266">
        <v>0.8296</v>
      </c>
    </row>
    <row r="62" spans="1:11" ht="15.75">
      <c r="A62" s="1267" t="s">
        <v>2609</v>
      </c>
      <c r="B62" s="1268">
        <v>50</v>
      </c>
      <c r="C62" s="1268">
        <v>0.65</v>
      </c>
      <c r="D62" s="1269">
        <v>0.92920000000000003</v>
      </c>
      <c r="E62" s="1269">
        <v>0.13689999999999999</v>
      </c>
      <c r="F62" s="1268">
        <v>0.38</v>
      </c>
      <c r="G62" s="1269">
        <v>1.3100000000000001E-2</v>
      </c>
      <c r="H62" s="1268">
        <v>0.39</v>
      </c>
      <c r="I62" s="1268">
        <v>0.2732</v>
      </c>
      <c r="J62" s="1269">
        <v>0.2039</v>
      </c>
      <c r="K62" s="1269">
        <v>5.8900000000000001E-2</v>
      </c>
    </row>
    <row r="63" spans="1:11" ht="15.75">
      <c r="A63" s="1264" t="s">
        <v>2610</v>
      </c>
      <c r="B63" s="1265">
        <v>61</v>
      </c>
      <c r="C63" s="1265">
        <v>0.87</v>
      </c>
      <c r="D63" s="1266">
        <v>0.15210000000000001</v>
      </c>
      <c r="E63" s="1266">
        <v>1.9800000000000002E-2</v>
      </c>
      <c r="F63" s="1265">
        <v>0.78</v>
      </c>
      <c r="G63" s="1266">
        <v>6.0299999999999999E-2</v>
      </c>
      <c r="H63" s="1265">
        <v>0.83</v>
      </c>
      <c r="I63" s="1265">
        <v>0.62780000000000002</v>
      </c>
      <c r="J63" s="1266">
        <v>0.6361</v>
      </c>
      <c r="K63" s="1266">
        <v>0.56840000000000002</v>
      </c>
    </row>
    <row r="64" spans="1:11" ht="15.75">
      <c r="A64" s="1267" t="s">
        <v>2611</v>
      </c>
      <c r="B64" s="1268">
        <v>21</v>
      </c>
      <c r="C64" s="1268">
        <v>0.96</v>
      </c>
      <c r="D64" s="1269">
        <v>0.32479999999999998</v>
      </c>
      <c r="E64" s="1269">
        <v>0.10009999999999999</v>
      </c>
      <c r="F64" s="1268">
        <v>0.77</v>
      </c>
      <c r="G64" s="1269">
        <v>6.0900000000000003E-2</v>
      </c>
      <c r="H64" s="1268">
        <v>0.82</v>
      </c>
      <c r="I64" s="1268">
        <v>0.37609999999999999</v>
      </c>
      <c r="J64" s="1269">
        <v>0.38200000000000001</v>
      </c>
      <c r="K64" s="1269">
        <v>0.12470000000000001</v>
      </c>
    </row>
    <row r="65" spans="1:11" ht="15.75">
      <c r="A65" s="1264" t="s">
        <v>2612</v>
      </c>
      <c r="B65" s="1265">
        <v>193</v>
      </c>
      <c r="C65" s="1265">
        <v>1.03</v>
      </c>
      <c r="D65" s="1266">
        <v>0.79039999999999999</v>
      </c>
      <c r="E65" s="1266">
        <v>1.95E-2</v>
      </c>
      <c r="F65" s="1265">
        <v>0.65</v>
      </c>
      <c r="G65" s="1266">
        <v>1.8800000000000001E-2</v>
      </c>
      <c r="H65" s="1265">
        <v>0.66</v>
      </c>
      <c r="I65" s="1265">
        <v>0.27850000000000003</v>
      </c>
      <c r="J65" s="1266">
        <v>0.23719999999999999</v>
      </c>
      <c r="K65" s="1266">
        <v>0.22420000000000001</v>
      </c>
    </row>
    <row r="66" spans="1:11" ht="15.75">
      <c r="A66" s="1267" t="s">
        <v>2613</v>
      </c>
      <c r="B66" s="1268">
        <v>17</v>
      </c>
      <c r="C66" s="1268">
        <v>0.67</v>
      </c>
      <c r="D66" s="1269">
        <v>0.94099999999999995</v>
      </c>
      <c r="E66" s="1269">
        <v>1.4500000000000001E-2</v>
      </c>
      <c r="F66" s="1268">
        <v>0.39</v>
      </c>
      <c r="G66" s="1269">
        <v>9.1499999999999998E-2</v>
      </c>
      <c r="H66" s="1268">
        <v>0.43</v>
      </c>
      <c r="I66" s="1268">
        <v>0.58879999999999999</v>
      </c>
      <c r="J66" s="1269">
        <v>0.34239999999999998</v>
      </c>
      <c r="K66" s="1269">
        <v>0.76280000000000003</v>
      </c>
    </row>
    <row r="67" spans="1:11" ht="15.75">
      <c r="A67" s="1264" t="s">
        <v>2614</v>
      </c>
      <c r="B67" s="1265">
        <v>11</v>
      </c>
      <c r="C67" s="1265">
        <v>0.56000000000000005</v>
      </c>
      <c r="D67" s="1266">
        <v>0.31879999999999997</v>
      </c>
      <c r="E67" s="1266">
        <v>0.1321</v>
      </c>
      <c r="F67" s="1265">
        <v>0.45</v>
      </c>
      <c r="G67" s="1266">
        <v>0.11260000000000001</v>
      </c>
      <c r="H67" s="1265">
        <v>0.51</v>
      </c>
      <c r="I67" s="1265">
        <v>0.34770000000000001</v>
      </c>
      <c r="J67" s="1266">
        <v>0.35909999999999997</v>
      </c>
      <c r="K67" s="1266">
        <v>0.98729999999999996</v>
      </c>
    </row>
    <row r="68" spans="1:11" ht="15.75">
      <c r="A68" s="1267" t="s">
        <v>2615</v>
      </c>
      <c r="B68" s="1268">
        <v>60</v>
      </c>
      <c r="C68" s="1268">
        <v>1.08</v>
      </c>
      <c r="D68" s="1269">
        <v>0.44569999999999999</v>
      </c>
      <c r="E68" s="1269">
        <v>4.2900000000000001E-2</v>
      </c>
      <c r="F68" s="1268">
        <v>0.81</v>
      </c>
      <c r="G68" s="1269">
        <v>8.3000000000000004E-2</v>
      </c>
      <c r="H68" s="1268">
        <v>0.88</v>
      </c>
      <c r="I68" s="1268">
        <v>0.48209999999999997</v>
      </c>
      <c r="J68" s="1269">
        <v>0.44190000000000002</v>
      </c>
      <c r="K68" s="1269">
        <v>0.99419999999999997</v>
      </c>
    </row>
    <row r="69" spans="1:11" ht="15.75">
      <c r="A69" s="1264" t="s">
        <v>2616</v>
      </c>
      <c r="B69" s="1265">
        <v>55</v>
      </c>
      <c r="C69" s="1265">
        <v>1.17</v>
      </c>
      <c r="D69" s="1266">
        <v>0.5857</v>
      </c>
      <c r="E69" s="1266">
        <v>8.2600000000000007E-2</v>
      </c>
      <c r="F69" s="1265">
        <v>0.81</v>
      </c>
      <c r="G69" s="1266">
        <v>4.1300000000000003E-2</v>
      </c>
      <c r="H69" s="1265">
        <v>0.85</v>
      </c>
      <c r="I69" s="1265">
        <v>0.50839999999999996</v>
      </c>
      <c r="J69" s="1266">
        <v>0.443</v>
      </c>
      <c r="K69" s="1266">
        <v>0.24030000000000001</v>
      </c>
    </row>
    <row r="70" spans="1:11" ht="15.75">
      <c r="A70" s="1267" t="s">
        <v>2617</v>
      </c>
      <c r="B70" s="1268">
        <v>1</v>
      </c>
      <c r="C70" s="1268">
        <v>0.66</v>
      </c>
      <c r="D70" s="1269">
        <v>0.4254</v>
      </c>
      <c r="E70" s="1269">
        <v>0.22950000000000001</v>
      </c>
      <c r="F70" s="1268">
        <v>0.5</v>
      </c>
      <c r="G70" s="1269">
        <v>0.18559999999999999</v>
      </c>
      <c r="H70" s="1268">
        <v>0.61</v>
      </c>
      <c r="I70" s="1268">
        <v>0.17019999999999999</v>
      </c>
      <c r="J70" s="1269">
        <v>0.1709</v>
      </c>
      <c r="K70" s="1269">
        <v>0.21779999999999999</v>
      </c>
    </row>
    <row r="71" spans="1:11" ht="15.75">
      <c r="A71" s="1264" t="s">
        <v>2618</v>
      </c>
      <c r="B71" s="1265">
        <v>64</v>
      </c>
      <c r="C71" s="1265">
        <v>1.19</v>
      </c>
      <c r="D71" s="1266">
        <v>0.25729999999999997</v>
      </c>
      <c r="E71" s="1266">
        <v>0.11409999999999999</v>
      </c>
      <c r="F71" s="1265">
        <v>1</v>
      </c>
      <c r="G71" s="1266">
        <v>2.24E-2</v>
      </c>
      <c r="H71" s="1265">
        <v>1.02</v>
      </c>
      <c r="I71" s="1265">
        <v>0.40279999999999999</v>
      </c>
      <c r="J71" s="1266">
        <v>0.35370000000000001</v>
      </c>
      <c r="K71" s="1266">
        <v>0.16639999999999999</v>
      </c>
    </row>
    <row r="72" spans="1:11" ht="15.75">
      <c r="A72" s="1267" t="s">
        <v>2619</v>
      </c>
      <c r="B72" s="1268">
        <v>30</v>
      </c>
      <c r="C72" s="1268">
        <v>1.49</v>
      </c>
      <c r="D72" s="1269">
        <v>0.57509999999999994</v>
      </c>
      <c r="E72" s="1269">
        <v>0.13500000000000001</v>
      </c>
      <c r="F72" s="1268">
        <v>1.04</v>
      </c>
      <c r="G72" s="1269">
        <v>1.38E-2</v>
      </c>
      <c r="H72" s="1268">
        <v>1.06</v>
      </c>
      <c r="I72" s="1268">
        <v>0.49740000000000001</v>
      </c>
      <c r="J72" s="1269">
        <v>0.46789999999999998</v>
      </c>
      <c r="K72" s="1269">
        <v>0.32500000000000001</v>
      </c>
    </row>
    <row r="73" spans="1:11" ht="15.75">
      <c r="A73" s="1264" t="s">
        <v>2620</v>
      </c>
      <c r="B73" s="1265">
        <v>16</v>
      </c>
      <c r="C73" s="1265">
        <v>1.94</v>
      </c>
      <c r="D73" s="1266">
        <v>0.19919999999999999</v>
      </c>
      <c r="E73" s="1266">
        <v>0.12590000000000001</v>
      </c>
      <c r="F73" s="1265">
        <v>1.69</v>
      </c>
      <c r="G73" s="1266">
        <v>1.0500000000000001E-2</v>
      </c>
      <c r="H73" s="1265">
        <v>1.7</v>
      </c>
      <c r="I73" s="1265">
        <v>0.40870000000000001</v>
      </c>
      <c r="J73" s="1266">
        <v>0.4521</v>
      </c>
      <c r="K73" s="1266">
        <v>0.35749999999999998</v>
      </c>
    </row>
    <row r="74" spans="1:11" ht="15.75">
      <c r="A74" s="1267" t="s">
        <v>2621</v>
      </c>
      <c r="B74" s="1268">
        <v>62</v>
      </c>
      <c r="C74" s="1268">
        <v>1.1100000000000001</v>
      </c>
      <c r="D74" s="1269">
        <v>0.32290000000000002</v>
      </c>
      <c r="E74" s="1269">
        <v>0.15759999999999999</v>
      </c>
      <c r="F74" s="1268">
        <v>0.89</v>
      </c>
      <c r="G74" s="1269">
        <v>2.0799999999999999E-2</v>
      </c>
      <c r="H74" s="1268">
        <v>0.91</v>
      </c>
      <c r="I74" s="1268">
        <v>0.43780000000000002</v>
      </c>
      <c r="J74" s="1269">
        <v>0.37740000000000001</v>
      </c>
      <c r="K74" s="1269">
        <v>0.36359999999999998</v>
      </c>
    </row>
    <row r="75" spans="1:11" ht="15.75">
      <c r="A75" s="1264" t="s">
        <v>2622</v>
      </c>
      <c r="B75" s="1265">
        <v>26</v>
      </c>
      <c r="C75" s="1265">
        <v>1.25</v>
      </c>
      <c r="D75" s="1266">
        <v>0.13420000000000001</v>
      </c>
      <c r="E75" s="1266">
        <v>0.14580000000000001</v>
      </c>
      <c r="F75" s="1265">
        <v>1.1299999999999999</v>
      </c>
      <c r="G75" s="1266">
        <v>3.2800000000000003E-2</v>
      </c>
      <c r="H75" s="1265">
        <v>1.17</v>
      </c>
      <c r="I75" s="1265">
        <v>0.41849999999999998</v>
      </c>
      <c r="J75" s="1266">
        <v>0.38279999999999997</v>
      </c>
      <c r="K75" s="1266">
        <v>0.21759999999999999</v>
      </c>
    </row>
    <row r="76" spans="1:11" ht="15.75">
      <c r="A76" s="1267" t="s">
        <v>2623</v>
      </c>
      <c r="B76" s="1268">
        <v>14</v>
      </c>
      <c r="C76" s="1268">
        <v>0.49</v>
      </c>
      <c r="D76" s="1269">
        <v>0.55840000000000001</v>
      </c>
      <c r="E76" s="1269">
        <v>0.16880000000000001</v>
      </c>
      <c r="F76" s="1268">
        <v>0.35</v>
      </c>
      <c r="G76" s="1269">
        <v>4.6199999999999998E-2</v>
      </c>
      <c r="H76" s="1268">
        <v>0.36</v>
      </c>
      <c r="I76" s="1268">
        <v>0.37859999999999999</v>
      </c>
      <c r="J76" s="1269">
        <v>0.25650000000000001</v>
      </c>
      <c r="K76" s="1269">
        <v>0.3508</v>
      </c>
    </row>
    <row r="77" spans="1:11" ht="15.75">
      <c r="A77" s="1264" t="s">
        <v>2624</v>
      </c>
      <c r="B77" s="1265">
        <v>28</v>
      </c>
      <c r="C77" s="1265">
        <v>1.1200000000000001</v>
      </c>
      <c r="D77" s="1266">
        <v>0.58840000000000003</v>
      </c>
      <c r="E77" s="1266">
        <v>2.53E-2</v>
      </c>
      <c r="F77" s="1265">
        <v>0.78</v>
      </c>
      <c r="G77" s="1266">
        <v>1.14E-2</v>
      </c>
      <c r="H77" s="1265">
        <v>0.79</v>
      </c>
      <c r="I77" s="1265">
        <v>0.23400000000000001</v>
      </c>
      <c r="J77" s="1266">
        <v>0.2072</v>
      </c>
      <c r="K77" s="1266">
        <v>0.1163</v>
      </c>
    </row>
    <row r="78" spans="1:11" ht="15.75">
      <c r="A78" s="1267" t="s">
        <v>2625</v>
      </c>
      <c r="B78" s="1268">
        <v>105</v>
      </c>
      <c r="C78" s="1268">
        <v>1.18</v>
      </c>
      <c r="D78" s="1269">
        <v>0.36149999999999999</v>
      </c>
      <c r="E78" s="1269">
        <v>9.5299999999999996E-2</v>
      </c>
      <c r="F78" s="1268">
        <v>0.93</v>
      </c>
      <c r="G78" s="1269">
        <v>4.4900000000000002E-2</v>
      </c>
      <c r="H78" s="1268">
        <v>0.97</v>
      </c>
      <c r="I78" s="1268">
        <v>0.50980000000000003</v>
      </c>
      <c r="J78" s="1269">
        <v>0.44009999999999999</v>
      </c>
      <c r="K78" s="1269">
        <v>0.21609999999999999</v>
      </c>
    </row>
    <row r="79" spans="1:11" ht="15.75">
      <c r="A79" s="1264" t="s">
        <v>2626</v>
      </c>
      <c r="B79" s="1265">
        <v>3</v>
      </c>
      <c r="C79" s="1265">
        <v>0.67</v>
      </c>
      <c r="D79" s="1266">
        <v>2.3527999999999998</v>
      </c>
      <c r="E79" s="1266">
        <v>0</v>
      </c>
      <c r="F79" s="1265">
        <v>0.24</v>
      </c>
      <c r="G79" s="1266">
        <v>7.2900000000000006E-2</v>
      </c>
      <c r="H79" s="1265">
        <v>0.26</v>
      </c>
      <c r="I79" s="1265">
        <v>0.34489999999999998</v>
      </c>
      <c r="J79" s="1266">
        <v>0.40770000000000001</v>
      </c>
      <c r="K79" s="1266">
        <v>0.5282</v>
      </c>
    </row>
    <row r="80" spans="1:11" ht="15.75">
      <c r="A80" s="1267" t="s">
        <v>2627</v>
      </c>
      <c r="B80" s="1268">
        <v>63</v>
      </c>
      <c r="C80" s="1268">
        <v>1.5</v>
      </c>
      <c r="D80" s="1269">
        <v>6.0499999999999998E-2</v>
      </c>
      <c r="E80" s="1269">
        <v>4.8899999999999999E-2</v>
      </c>
      <c r="F80" s="1268">
        <v>1.43</v>
      </c>
      <c r="G80" s="1269">
        <v>2.0400000000000001E-2</v>
      </c>
      <c r="H80" s="1268">
        <v>1.46</v>
      </c>
      <c r="I80" s="1268">
        <v>0.45350000000000001</v>
      </c>
      <c r="J80" s="1269">
        <v>0.41470000000000001</v>
      </c>
      <c r="K80" s="1269">
        <v>0.3493</v>
      </c>
    </row>
    <row r="81" spans="1:11" ht="15.75">
      <c r="A81" s="1264" t="s">
        <v>2628</v>
      </c>
      <c r="B81" s="1265">
        <v>30</v>
      </c>
      <c r="C81" s="1265">
        <v>1.53</v>
      </c>
      <c r="D81" s="1266">
        <v>7.7799999999999994E-2</v>
      </c>
      <c r="E81" s="1266">
        <v>0.12139999999999999</v>
      </c>
      <c r="F81" s="1265">
        <v>1.44</v>
      </c>
      <c r="G81" s="1266">
        <v>4.24E-2</v>
      </c>
      <c r="H81" s="1265">
        <v>1.51</v>
      </c>
      <c r="I81" s="1265">
        <v>0.37659999999999999</v>
      </c>
      <c r="J81" s="1266">
        <v>0.37040000000000001</v>
      </c>
      <c r="K81" s="1266">
        <v>0.67069999999999996</v>
      </c>
    </row>
    <row r="82" spans="1:11" ht="15.75">
      <c r="A82" s="1267" t="s">
        <v>2629</v>
      </c>
      <c r="B82" s="1268">
        <v>8</v>
      </c>
      <c r="C82" s="1268">
        <v>0.81</v>
      </c>
      <c r="D82" s="1269">
        <v>0.29770000000000002</v>
      </c>
      <c r="E82" s="1269">
        <v>6.7400000000000002E-2</v>
      </c>
      <c r="F82" s="1268">
        <v>0.66</v>
      </c>
      <c r="G82" s="1269">
        <v>3.4599999999999999E-2</v>
      </c>
      <c r="H82" s="1268">
        <v>0.69</v>
      </c>
      <c r="I82" s="1268">
        <v>0.3448</v>
      </c>
      <c r="J82" s="1269">
        <v>0.45069999999999999</v>
      </c>
      <c r="K82" s="1269">
        <v>0.91439999999999999</v>
      </c>
    </row>
    <row r="83" spans="1:11" ht="15.75">
      <c r="A83" s="1264" t="s">
        <v>2630</v>
      </c>
      <c r="B83" s="1265">
        <v>13</v>
      </c>
      <c r="C83" s="1265">
        <v>1.29</v>
      </c>
      <c r="D83" s="1266">
        <v>8.7099999999999997E-2</v>
      </c>
      <c r="E83" s="1266">
        <v>0.11310000000000001</v>
      </c>
      <c r="F83" s="1265">
        <v>1.21</v>
      </c>
      <c r="G83" s="1266">
        <v>4.7699999999999999E-2</v>
      </c>
      <c r="H83" s="1265">
        <v>1.27</v>
      </c>
      <c r="I83" s="1265">
        <v>0.46729999999999999</v>
      </c>
      <c r="J83" s="1266">
        <v>0.36280000000000001</v>
      </c>
      <c r="K83" s="1266">
        <v>0.28179999999999999</v>
      </c>
    </row>
    <row r="84" spans="1:11" ht="15.75">
      <c r="A84" s="1267" t="s">
        <v>2631</v>
      </c>
      <c r="B84" s="1268">
        <v>84</v>
      </c>
      <c r="C84" s="1268">
        <v>1.1100000000000001</v>
      </c>
      <c r="D84" s="1269">
        <v>3.15E-2</v>
      </c>
      <c r="E84" s="1269">
        <v>5.11E-2</v>
      </c>
      <c r="F84" s="1268">
        <v>1.08</v>
      </c>
      <c r="G84" s="1269">
        <v>2.7799999999999998E-2</v>
      </c>
      <c r="H84" s="1268">
        <v>1.1100000000000001</v>
      </c>
      <c r="I84" s="1268">
        <v>0.61019999999999996</v>
      </c>
      <c r="J84" s="1269">
        <v>0.52790000000000004</v>
      </c>
      <c r="K84" s="1269">
        <v>0.62139999999999995</v>
      </c>
    </row>
    <row r="85" spans="1:11" ht="15.75">
      <c r="A85" s="1264" t="s">
        <v>2632</v>
      </c>
      <c r="B85" s="1265">
        <v>35</v>
      </c>
      <c r="C85" s="1265">
        <v>1.62</v>
      </c>
      <c r="D85" s="1266">
        <v>0.1198</v>
      </c>
      <c r="E85" s="1266">
        <v>2.6100000000000002E-2</v>
      </c>
      <c r="F85" s="1265">
        <v>1.48</v>
      </c>
      <c r="G85" s="1266">
        <v>1.9099999999999999E-2</v>
      </c>
      <c r="H85" s="1265">
        <v>1.51</v>
      </c>
      <c r="I85" s="1265">
        <v>0.53939999999999999</v>
      </c>
      <c r="J85" s="1266">
        <v>0.6522</v>
      </c>
      <c r="K85" s="1266">
        <v>3.7408999999999999</v>
      </c>
    </row>
    <row r="86" spans="1:11" ht="15.75">
      <c r="A86" s="1267" t="s">
        <v>2633</v>
      </c>
      <c r="B86" s="1268">
        <v>351</v>
      </c>
      <c r="C86" s="1268">
        <v>1.29</v>
      </c>
      <c r="D86" s="1269">
        <v>6.2E-2</v>
      </c>
      <c r="E86" s="1269">
        <v>4.19E-2</v>
      </c>
      <c r="F86" s="1268">
        <v>1.24</v>
      </c>
      <c r="G86" s="1269">
        <v>2.8299999999999999E-2</v>
      </c>
      <c r="H86" s="1268">
        <v>1.27</v>
      </c>
      <c r="I86" s="1268">
        <v>0.58479999999999999</v>
      </c>
      <c r="J86" s="1269">
        <v>0.52090000000000003</v>
      </c>
      <c r="K86" s="1269">
        <v>0.35930000000000001</v>
      </c>
    </row>
    <row r="87" spans="1:11" ht="15.75">
      <c r="A87" s="1264" t="s">
        <v>2634</v>
      </c>
      <c r="B87" s="1265">
        <v>29</v>
      </c>
      <c r="C87" s="1265">
        <v>1.1299999999999999</v>
      </c>
      <c r="D87" s="1266">
        <v>0.20180000000000001</v>
      </c>
      <c r="E87" s="1266">
        <v>0.15720000000000001</v>
      </c>
      <c r="F87" s="1265">
        <v>0.98</v>
      </c>
      <c r="G87" s="1266">
        <v>9.2100000000000001E-2</v>
      </c>
      <c r="H87" s="1265">
        <v>1.08</v>
      </c>
      <c r="I87" s="1265">
        <v>0.36199999999999999</v>
      </c>
      <c r="J87" s="1266">
        <v>0.38100000000000001</v>
      </c>
      <c r="K87" s="1266">
        <v>1.1545000000000001</v>
      </c>
    </row>
    <row r="88" spans="1:11" ht="15.75">
      <c r="A88" s="1267" t="s">
        <v>2635</v>
      </c>
      <c r="B88" s="1268">
        <v>13</v>
      </c>
      <c r="C88" s="1268">
        <v>1.0900000000000001</v>
      </c>
      <c r="D88" s="1269">
        <v>0.64159999999999995</v>
      </c>
      <c r="E88" s="1269">
        <v>9.5600000000000004E-2</v>
      </c>
      <c r="F88" s="1268">
        <v>0.73</v>
      </c>
      <c r="G88" s="1269">
        <v>1.77E-2</v>
      </c>
      <c r="H88" s="1268">
        <v>0.75</v>
      </c>
      <c r="I88" s="1268">
        <v>0.63129999999999997</v>
      </c>
      <c r="J88" s="1269">
        <v>0.60309999999999997</v>
      </c>
      <c r="K88" s="1269">
        <v>0.70799999999999996</v>
      </c>
    </row>
    <row r="89" spans="1:11" ht="15.75">
      <c r="A89" s="1264" t="s">
        <v>2636</v>
      </c>
      <c r="B89" s="1265">
        <v>66</v>
      </c>
      <c r="C89" s="1265">
        <v>1.08</v>
      </c>
      <c r="D89" s="1266">
        <v>0.11409999999999999</v>
      </c>
      <c r="E89" s="1266">
        <v>6.2E-2</v>
      </c>
      <c r="F89" s="1265">
        <v>1</v>
      </c>
      <c r="G89" s="1266">
        <v>4.8099999999999997E-2</v>
      </c>
      <c r="H89" s="1265">
        <v>1.05</v>
      </c>
      <c r="I89" s="1265">
        <v>0.56469999999999998</v>
      </c>
      <c r="J89" s="1266">
        <v>0.4662</v>
      </c>
      <c r="K89" s="1266">
        <v>0.11849999999999999</v>
      </c>
    </row>
    <row r="90" spans="1:11" ht="15.75">
      <c r="A90" s="1267" t="s">
        <v>2637</v>
      </c>
      <c r="B90" s="1268">
        <v>42</v>
      </c>
      <c r="C90" s="1268">
        <v>0.78</v>
      </c>
      <c r="D90" s="1269">
        <v>1.2491000000000001</v>
      </c>
      <c r="E90" s="1269">
        <v>6.6199999999999995E-2</v>
      </c>
      <c r="F90" s="1268">
        <v>0.41</v>
      </c>
      <c r="G90" s="1269">
        <v>2.1899999999999999E-2</v>
      </c>
      <c r="H90" s="1268">
        <v>0.41</v>
      </c>
      <c r="I90" s="1268">
        <v>0.56620000000000004</v>
      </c>
      <c r="J90" s="1269">
        <v>0.50419999999999998</v>
      </c>
      <c r="K90" s="1269">
        <v>0.14960000000000001</v>
      </c>
    </row>
    <row r="91" spans="1:11" ht="15.75">
      <c r="A91" s="1264" t="s">
        <v>2638</v>
      </c>
      <c r="B91" s="1265">
        <v>16</v>
      </c>
      <c r="C91" s="1265">
        <v>1.22</v>
      </c>
      <c r="D91" s="1266">
        <v>0.34899999999999998</v>
      </c>
      <c r="E91" s="1266">
        <v>9.9500000000000005E-2</v>
      </c>
      <c r="F91" s="1265">
        <v>0.97</v>
      </c>
      <c r="G91" s="1266">
        <v>1.78E-2</v>
      </c>
      <c r="H91" s="1265">
        <v>0.99</v>
      </c>
      <c r="I91" s="1265">
        <v>0.57920000000000005</v>
      </c>
      <c r="J91" s="1266">
        <v>0.48</v>
      </c>
      <c r="K91" s="1266">
        <v>8.7300000000000003E-2</v>
      </c>
    </row>
    <row r="92" spans="1:11" ht="15.75">
      <c r="A92" s="1267" t="s">
        <v>2639</v>
      </c>
      <c r="B92" s="1268">
        <v>36</v>
      </c>
      <c r="C92" s="1268">
        <v>1.26</v>
      </c>
      <c r="D92" s="1269">
        <v>0.33579999999999999</v>
      </c>
      <c r="E92" s="1269">
        <v>6.5299999999999997E-2</v>
      </c>
      <c r="F92" s="1268">
        <v>1.01</v>
      </c>
      <c r="G92" s="1269">
        <v>3.9399999999999998E-2</v>
      </c>
      <c r="H92" s="1268">
        <v>1.05</v>
      </c>
      <c r="I92" s="1268">
        <v>0.62039999999999995</v>
      </c>
      <c r="J92" s="1269">
        <v>0.53120000000000001</v>
      </c>
      <c r="K92" s="1269">
        <v>0.55089999999999995</v>
      </c>
    </row>
    <row r="93" spans="1:11" ht="15.75">
      <c r="A93" s="1264" t="s">
        <v>2640</v>
      </c>
      <c r="B93" s="1265">
        <v>4</v>
      </c>
      <c r="C93" s="1265">
        <v>1.02</v>
      </c>
      <c r="D93" s="1266">
        <v>0.2681</v>
      </c>
      <c r="E93" s="1266">
        <v>0.17280000000000001</v>
      </c>
      <c r="F93" s="1265">
        <v>0.85</v>
      </c>
      <c r="G93" s="1266">
        <v>1.06E-2</v>
      </c>
      <c r="H93" s="1265">
        <v>0.86</v>
      </c>
      <c r="I93" s="1265">
        <v>0.18679999999999999</v>
      </c>
      <c r="J93" s="1266">
        <v>0.2228</v>
      </c>
      <c r="K93" s="1266">
        <v>0.13489999999999999</v>
      </c>
    </row>
    <row r="94" spans="1:11" ht="15.75">
      <c r="A94" s="1267" t="s">
        <v>2641</v>
      </c>
      <c r="B94" s="1268">
        <v>22</v>
      </c>
      <c r="C94" s="1268">
        <v>1.1499999999999999</v>
      </c>
      <c r="D94" s="1269">
        <v>0.19950000000000001</v>
      </c>
      <c r="E94" s="1269">
        <v>0.2021</v>
      </c>
      <c r="F94" s="1268">
        <v>1</v>
      </c>
      <c r="G94" s="1269">
        <v>2.9399999999999999E-2</v>
      </c>
      <c r="H94" s="1268">
        <v>1.03</v>
      </c>
      <c r="I94" s="1268">
        <v>0.34300000000000003</v>
      </c>
      <c r="J94" s="1269">
        <v>0.2833</v>
      </c>
      <c r="K94" s="1269">
        <v>0.42220000000000002</v>
      </c>
    </row>
    <row r="95" spans="1:11" ht="15.75">
      <c r="A95" s="1264" t="s">
        <v>2642</v>
      </c>
      <c r="B95" s="1265">
        <v>14</v>
      </c>
      <c r="C95" s="1265">
        <v>0.57999999999999996</v>
      </c>
      <c r="D95" s="1266">
        <v>0.84840000000000004</v>
      </c>
      <c r="E95" s="1266">
        <v>0.14050000000000001</v>
      </c>
      <c r="F95" s="1265">
        <v>0.35</v>
      </c>
      <c r="G95" s="1266">
        <v>5.7999999999999996E-3</v>
      </c>
      <c r="H95" s="1265">
        <v>0.36</v>
      </c>
      <c r="I95" s="1265">
        <v>0.15049999999999999</v>
      </c>
      <c r="J95" s="1266">
        <v>0.14929999999999999</v>
      </c>
      <c r="K95" s="1266">
        <v>9.8299999999999998E-2</v>
      </c>
    </row>
    <row r="96" spans="1:11" ht="15.75">
      <c r="A96" s="1267" t="s">
        <v>2643</v>
      </c>
      <c r="B96" s="1268">
        <v>13</v>
      </c>
      <c r="C96" s="1268">
        <v>0.71</v>
      </c>
      <c r="D96" s="1269">
        <v>0.50890000000000002</v>
      </c>
      <c r="E96" s="1269">
        <v>0.1109</v>
      </c>
      <c r="F96" s="1268">
        <v>0.52</v>
      </c>
      <c r="G96" s="1269">
        <v>1.0699999999999999E-2</v>
      </c>
      <c r="H96" s="1268">
        <v>0.52</v>
      </c>
      <c r="I96" s="1268">
        <v>0.29509999999999997</v>
      </c>
      <c r="J96" s="1269">
        <v>0.42030000000000001</v>
      </c>
      <c r="K96" s="1269">
        <v>0.15079999999999999</v>
      </c>
    </row>
    <row r="97" spans="1:11" ht="15.75">
      <c r="A97" s="1264" t="s">
        <v>2644</v>
      </c>
      <c r="B97" s="1265">
        <v>6481</v>
      </c>
      <c r="C97" s="1265">
        <v>1</v>
      </c>
      <c r="D97" s="1266">
        <v>0.4642</v>
      </c>
      <c r="E97" s="1266">
        <v>8.3500000000000005E-2</v>
      </c>
      <c r="F97" s="1265">
        <v>0.74</v>
      </c>
      <c r="G97" s="1266">
        <v>6.13E-2</v>
      </c>
      <c r="H97" s="1265">
        <v>0.79</v>
      </c>
      <c r="I97" s="1265">
        <v>0.47220000000000001</v>
      </c>
      <c r="J97" s="1266">
        <v>0.42030000000000001</v>
      </c>
      <c r="K97" s="1266">
        <v>0.23069999999999999</v>
      </c>
    </row>
    <row r="98" spans="1:11" ht="15.75">
      <c r="A98" s="1267" t="s">
        <v>2645</v>
      </c>
      <c r="B98" s="1268">
        <v>5214</v>
      </c>
      <c r="C98" s="1268">
        <v>1.1000000000000001</v>
      </c>
      <c r="D98" s="1269">
        <v>0.22600000000000001</v>
      </c>
      <c r="E98" s="1269">
        <v>6.8000000000000005E-2</v>
      </c>
      <c r="F98" s="1268">
        <v>0.94</v>
      </c>
      <c r="G98" s="1269">
        <v>3.4799999999999998E-2</v>
      </c>
      <c r="H98" s="1268">
        <v>0.97</v>
      </c>
      <c r="I98" s="1268">
        <v>0.52110000000000001</v>
      </c>
      <c r="J98" s="1269">
        <v>0.47</v>
      </c>
      <c r="K98" s="1269">
        <v>0.2316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3">
    <tabColor theme="7"/>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defaultColWidth="8.88671875" defaultRowHeight="12.75" outlineLevelCol="1"/>
  <cols>
    <col min="1" max="2" width="3.109375" style="1070" customWidth="1"/>
    <col min="3" max="3" width="2.88671875" style="1070" customWidth="1"/>
    <col min="4" max="4" width="31.88671875" style="1070" customWidth="1"/>
    <col min="5" max="5" width="16.88671875" style="1070" customWidth="1"/>
    <col min="6" max="7" width="15.88671875" style="1070" hidden="1" customWidth="1" outlineLevel="1"/>
    <col min="8" max="8" width="14.88671875" style="1070" hidden="1" customWidth="1" outlineLevel="1" collapsed="1"/>
    <col min="9" max="9" width="0.88671875" style="1070" hidden="1" customWidth="1" outlineLevel="1"/>
    <col min="10" max="11" width="15.88671875" style="1070" hidden="1" customWidth="1" outlineLevel="1"/>
    <col min="12" max="12" width="15.88671875" style="1070" hidden="1" customWidth="1" outlineLevel="1" collapsed="1"/>
    <col min="13" max="13" width="0.88671875" style="1070" hidden="1" customWidth="1" outlineLevel="1"/>
    <col min="14" max="15" width="15.88671875" style="1070" hidden="1" customWidth="1" outlineLevel="1"/>
    <col min="16" max="16" width="15.88671875" style="1070" hidden="1" customWidth="1" outlineLevel="1" collapsed="1"/>
    <col min="17" max="17" width="0.88671875" style="1070" hidden="1" customWidth="1" outlineLevel="1"/>
    <col min="18" max="19" width="15.88671875" style="1070" hidden="1" customWidth="1" outlineLevel="1"/>
    <col min="20" max="20" width="15.88671875" style="1070" hidden="1" customWidth="1" outlineLevel="1" collapsed="1"/>
    <col min="21" max="21" width="0.88671875" style="1070" hidden="1" customWidth="1" outlineLevel="1"/>
    <col min="22" max="23" width="15.88671875" style="1070" hidden="1" customWidth="1" outlineLevel="1"/>
    <col min="24" max="24" width="15.88671875" style="1070" hidden="1" customWidth="1" outlineLevel="1" collapsed="1"/>
    <col min="25" max="25" width="0.88671875" style="1070" hidden="1" customWidth="1" outlineLevel="1"/>
    <col min="26" max="27" width="15.88671875" style="1070" hidden="1" customWidth="1" outlineLevel="1"/>
    <col min="28" max="28" width="15.88671875" style="1070" hidden="1" customWidth="1" outlineLevel="1" collapsed="1"/>
    <col min="29" max="29" width="0.88671875" style="1070" hidden="1" customWidth="1" outlineLevel="1"/>
    <col min="30" max="31" width="15.88671875" style="1070" hidden="1" customWidth="1" outlineLevel="1"/>
    <col min="32" max="32" width="15.88671875" style="1070" hidden="1" customWidth="1" outlineLevel="1" collapsed="1"/>
    <col min="33" max="33" width="0.88671875" style="1070" hidden="1" customWidth="1" outlineLevel="1"/>
    <col min="34" max="35" width="15.88671875" style="1070" hidden="1" customWidth="1" outlineLevel="1"/>
    <col min="36" max="36" width="15.88671875" style="1070" hidden="1" customWidth="1" outlineLevel="1" collapsed="1"/>
    <col min="37" max="37" width="0.88671875" style="1070" hidden="1" customWidth="1" outlineLevel="1"/>
    <col min="38" max="39" width="15.88671875" style="1070" hidden="1" customWidth="1" outlineLevel="1"/>
    <col min="40" max="40" width="15.88671875" style="1070" hidden="1" customWidth="1" outlineLevel="1" collapsed="1"/>
    <col min="41" max="41" width="0.88671875" style="1070" hidden="1" customWidth="1" outlineLevel="1"/>
    <col min="42" max="43" width="15.88671875" style="1070" hidden="1" customWidth="1" outlineLevel="1"/>
    <col min="44" max="44" width="15.88671875" style="1070" hidden="1" customWidth="1" outlineLevel="1" collapsed="1"/>
    <col min="45" max="45" width="0.88671875" style="1070" hidden="1" customWidth="1" outlineLevel="1"/>
    <col min="46" max="47" width="15.88671875" style="1070" hidden="1" customWidth="1" outlineLevel="1"/>
    <col min="48" max="48" width="15.88671875" style="1070" hidden="1" customWidth="1" outlineLevel="1" collapsed="1"/>
    <col min="49" max="49" width="0.88671875" style="1070" hidden="1" customWidth="1" outlineLevel="1"/>
    <col min="50" max="51" width="15.88671875" style="1070" hidden="1" customWidth="1" outlineLevel="1"/>
    <col min="52" max="52" width="15.88671875" style="1070" hidden="1" customWidth="1" outlineLevel="1" collapsed="1"/>
    <col min="53" max="53" width="0.88671875" style="1070" hidden="1" customWidth="1" outlineLevel="1"/>
    <col min="54" max="55" width="15.88671875" style="1070" hidden="1" customWidth="1" outlineLevel="1"/>
    <col min="56" max="56" width="15.88671875" style="1070" hidden="1" customWidth="1" outlineLevel="1" collapsed="1"/>
    <col min="57" max="57" width="0.88671875" style="1070" hidden="1" customWidth="1" outlineLevel="1"/>
    <col min="58" max="59" width="15.88671875" style="1070" hidden="1" customWidth="1" outlineLevel="1"/>
    <col min="60" max="60" width="15.88671875" style="1070" hidden="1" customWidth="1" outlineLevel="1" collapsed="1"/>
    <col min="61" max="61" width="3.5546875" style="1070" hidden="1" customWidth="1" outlineLevel="1"/>
    <col min="62" max="63" width="15.88671875" style="1070" hidden="1" customWidth="1" outlineLevel="1"/>
    <col min="64" max="64" width="15.88671875" style="1070" hidden="1" customWidth="1" outlineLevel="1" collapsed="1"/>
    <col min="65" max="65" width="3.44140625" style="1070" hidden="1" customWidth="1" outlineLevel="1"/>
    <col min="66" max="67" width="12.33203125" style="1070" hidden="1" customWidth="1" outlineLevel="1"/>
    <col min="68" max="68" width="12.88671875" style="1070" hidden="1" customWidth="1" outlineLevel="1"/>
    <col min="69" max="71" width="12.44140625" style="1070" hidden="1" customWidth="1" outlineLevel="1"/>
    <col min="72" max="72" width="12.33203125" style="1070" customWidth="1" collapsed="1"/>
    <col min="73" max="73" width="12.33203125" style="1070" customWidth="1"/>
    <col min="74" max="74" width="12.88671875" style="1070" customWidth="1"/>
    <col min="75" max="81" width="12.44140625" style="1070" customWidth="1"/>
    <col min="82" max="16384" width="8.88671875" style="1070"/>
  </cols>
  <sheetData>
    <row r="1" spans="2:81" s="1067" customFormat="1" ht="18.75">
      <c r="B1" s="1063"/>
      <c r="C1" s="1063"/>
      <c r="D1" s="1063"/>
      <c r="E1" s="1064"/>
      <c r="F1" s="1065"/>
      <c r="G1" s="1065"/>
      <c r="H1" s="1065">
        <v>2004</v>
      </c>
      <c r="I1" s="1065"/>
      <c r="J1" s="1065"/>
      <c r="K1" s="1065"/>
      <c r="L1" s="1065">
        <f>H1+1</f>
        <v>2005</v>
      </c>
      <c r="M1" s="1065"/>
      <c r="N1" s="1065"/>
      <c r="O1" s="1065"/>
      <c r="P1" s="1065">
        <f>L1+1</f>
        <v>2006</v>
      </c>
      <c r="Q1" s="1065"/>
      <c r="R1" s="1065"/>
      <c r="S1" s="1065"/>
      <c r="T1" s="1065">
        <f>P1+1</f>
        <v>2007</v>
      </c>
      <c r="U1" s="1065"/>
      <c r="V1" s="1065"/>
      <c r="W1" s="1065"/>
      <c r="X1" s="1065">
        <f>T1+1</f>
        <v>2008</v>
      </c>
      <c r="Y1" s="1065"/>
      <c r="Z1" s="1065"/>
      <c r="AA1" s="1065"/>
      <c r="AB1" s="1065">
        <f>X1+1</f>
        <v>2009</v>
      </c>
      <c r="AC1" s="1065"/>
      <c r="AD1" s="1065"/>
      <c r="AE1" s="1065"/>
      <c r="AF1" s="1065">
        <f>AB1+1</f>
        <v>2010</v>
      </c>
      <c r="AG1" s="1065"/>
      <c r="AH1" s="1065"/>
      <c r="AI1" s="1065"/>
      <c r="AJ1" s="1065">
        <f>AF1+1</f>
        <v>2011</v>
      </c>
      <c r="AK1" s="1065"/>
      <c r="AL1" s="1065"/>
      <c r="AM1" s="1065"/>
      <c r="AN1" s="1065">
        <f>AJ1+1</f>
        <v>2012</v>
      </c>
      <c r="AO1" s="1065"/>
      <c r="AP1" s="1065"/>
      <c r="AQ1" s="1065"/>
      <c r="AR1" s="1065">
        <f>AN1+1</f>
        <v>2013</v>
      </c>
      <c r="AS1" s="1065"/>
      <c r="AT1" s="1065"/>
      <c r="AU1" s="1065"/>
      <c r="AV1" s="1065">
        <f>AR1+1</f>
        <v>2014</v>
      </c>
      <c r="AW1" s="1065"/>
      <c r="AX1" s="1065"/>
      <c r="AY1" s="1065"/>
      <c r="AZ1" s="1065">
        <f>AV1+1</f>
        <v>2015</v>
      </c>
      <c r="BA1" s="1065"/>
      <c r="BB1" s="1065"/>
      <c r="BC1" s="1065"/>
      <c r="BD1" s="1065">
        <f>AZ1+1</f>
        <v>2016</v>
      </c>
      <c r="BE1" s="1065"/>
      <c r="BF1" s="1065"/>
      <c r="BG1" s="1065"/>
      <c r="BH1" s="1065">
        <f>BD1+1</f>
        <v>2017</v>
      </c>
      <c r="BI1" s="1066"/>
      <c r="BJ1" s="1065"/>
      <c r="BK1" s="1065"/>
      <c r="BL1" s="1065">
        <f>BH1+1</f>
        <v>2018</v>
      </c>
      <c r="BM1" s="1066"/>
      <c r="BN1" s="1064"/>
      <c r="BO1" s="1064"/>
      <c r="BP1" s="1066">
        <v>2019</v>
      </c>
      <c r="BS1" s="1066">
        <v>2020</v>
      </c>
      <c r="BT1" s="1064"/>
      <c r="BU1" s="1064"/>
      <c r="BV1" s="1066">
        <v>2019</v>
      </c>
      <c r="BW1" s="1066"/>
      <c r="BX1" s="1066"/>
      <c r="BY1" s="1066"/>
      <c r="BZ1" s="1066"/>
      <c r="CA1" s="1066"/>
      <c r="CB1" s="1066"/>
      <c r="CC1" s="1066"/>
    </row>
    <row r="2" spans="2:81" s="1069" customFormat="1" ht="15.6" customHeight="1">
      <c r="B2" s="1068"/>
      <c r="C2" s="1068"/>
      <c r="D2" s="1068"/>
      <c r="E2" s="1068"/>
      <c r="F2" s="1068"/>
      <c r="G2" s="1068"/>
      <c r="H2" s="1068"/>
      <c r="I2" s="1068"/>
      <c r="J2" s="1068"/>
      <c r="K2" s="1068"/>
      <c r="L2" s="1068"/>
      <c r="M2" s="1068"/>
      <c r="N2" s="1068"/>
      <c r="O2" s="1068"/>
      <c r="P2" s="1068"/>
      <c r="Q2" s="1068"/>
      <c r="R2" s="1068"/>
      <c r="S2" s="1068"/>
      <c r="T2" s="1068"/>
      <c r="U2" s="1068"/>
      <c r="V2" s="1068"/>
      <c r="W2" s="1068"/>
      <c r="X2" s="1068"/>
      <c r="Y2" s="1068"/>
      <c r="Z2" s="1068"/>
      <c r="AA2" s="1068"/>
      <c r="AB2" s="1068"/>
      <c r="AC2" s="1068"/>
      <c r="AD2" s="1068"/>
      <c r="AE2" s="1068"/>
      <c r="AF2" s="1068"/>
      <c r="AG2" s="1068"/>
      <c r="AH2" s="1068"/>
      <c r="AI2" s="1068"/>
      <c r="AJ2" s="1068"/>
      <c r="AK2" s="1068"/>
      <c r="AL2" s="1068"/>
      <c r="AM2" s="1068"/>
      <c r="AN2" s="1068"/>
      <c r="AO2" s="1068"/>
      <c r="AP2" s="1068"/>
      <c r="AQ2" s="1068"/>
      <c r="AR2" s="1068"/>
      <c r="AS2" s="1068"/>
      <c r="AT2" s="1068"/>
      <c r="AU2" s="1068"/>
      <c r="AV2" s="1068"/>
      <c r="AW2" s="1068"/>
      <c r="AX2" s="1068"/>
      <c r="AY2" s="1068"/>
      <c r="AZ2" s="1068"/>
      <c r="BA2" s="1068"/>
      <c r="BB2" s="1068"/>
      <c r="BC2" s="1068"/>
      <c r="BD2" s="1068"/>
      <c r="BE2" s="1068"/>
      <c r="BF2" s="1068"/>
      <c r="BG2" s="1068"/>
      <c r="BH2" s="1068"/>
      <c r="BJ2" s="1068"/>
      <c r="BK2" s="1068"/>
      <c r="BL2" s="1068"/>
    </row>
    <row r="3" spans="2:81" ht="15">
      <c r="C3" s="1125"/>
      <c r="D3" s="1125"/>
      <c r="E3" s="1125"/>
      <c r="F3" s="1126" t="s">
        <v>1577</v>
      </c>
      <c r="G3" s="1127"/>
      <c r="H3" s="1127"/>
      <c r="I3" s="1128"/>
      <c r="J3" s="1126" t="s">
        <v>1578</v>
      </c>
      <c r="K3" s="1127"/>
      <c r="L3" s="1127"/>
      <c r="M3" s="1128"/>
      <c r="N3" s="1126" t="s">
        <v>1579</v>
      </c>
      <c r="O3" s="1127"/>
      <c r="P3" s="1127"/>
      <c r="Q3" s="1128"/>
      <c r="R3" s="1126" t="s">
        <v>1580</v>
      </c>
      <c r="S3" s="1127"/>
      <c r="T3" s="1127"/>
      <c r="U3" s="1128"/>
      <c r="V3" s="1126" t="s">
        <v>1581</v>
      </c>
      <c r="W3" s="1127"/>
      <c r="X3" s="1127"/>
      <c r="Y3" s="1128"/>
      <c r="Z3" s="1126" t="s">
        <v>1582</v>
      </c>
      <c r="AA3" s="1127"/>
      <c r="AB3" s="1127"/>
      <c r="AC3" s="1128"/>
      <c r="AD3" s="1126" t="s">
        <v>1583</v>
      </c>
      <c r="AE3" s="1127"/>
      <c r="AF3" s="1127"/>
      <c r="AG3" s="1128"/>
      <c r="AH3" s="1126" t="s">
        <v>1584</v>
      </c>
      <c r="AI3" s="1127"/>
      <c r="AJ3" s="1127"/>
      <c r="AK3" s="1127"/>
      <c r="AL3" s="1126" t="s">
        <v>1585</v>
      </c>
      <c r="AM3" s="1127"/>
      <c r="AN3" s="1127"/>
      <c r="AO3" s="1128"/>
      <c r="AP3" s="1126" t="s">
        <v>1586</v>
      </c>
      <c r="AQ3" s="1127"/>
      <c r="AR3" s="1127"/>
      <c r="AS3" s="1129"/>
      <c r="AT3" s="1126" t="s">
        <v>1587</v>
      </c>
      <c r="AU3" s="1127"/>
      <c r="AV3" s="1127"/>
      <c r="AW3" s="1129"/>
      <c r="AX3" s="1126" t="s">
        <v>1588</v>
      </c>
      <c r="AY3" s="1127"/>
      <c r="AZ3" s="1127"/>
      <c r="BA3" s="1128"/>
      <c r="BB3" s="1126" t="s">
        <v>1589</v>
      </c>
      <c r="BC3" s="1127"/>
      <c r="BD3" s="1127"/>
      <c r="BE3" s="1128"/>
      <c r="BF3" s="1126" t="s">
        <v>1590</v>
      </c>
      <c r="BG3" s="1127"/>
      <c r="BH3" s="1127"/>
      <c r="BI3" s="1128"/>
      <c r="BJ3" s="1126" t="s">
        <v>1591</v>
      </c>
      <c r="BK3" s="1127"/>
      <c r="BL3" s="1127"/>
      <c r="BM3" s="1125"/>
      <c r="BN3" s="1126" t="s">
        <v>1592</v>
      </c>
      <c r="BO3" s="1127"/>
      <c r="BP3" s="1127"/>
      <c r="BQ3" s="1853" t="s">
        <v>1989</v>
      </c>
      <c r="BR3" s="1853"/>
      <c r="BS3" s="1853"/>
      <c r="BT3" s="1853" t="s">
        <v>2196</v>
      </c>
      <c r="BU3" s="1853"/>
      <c r="BV3" s="1853"/>
      <c r="BW3" s="1127"/>
      <c r="BX3" s="1127"/>
      <c r="BY3" s="1127"/>
      <c r="BZ3" s="1127"/>
      <c r="CA3" s="1127"/>
      <c r="CB3" s="1127"/>
      <c r="CC3" s="1127"/>
    </row>
    <row r="4" spans="2:81" ht="15">
      <c r="C4" s="1125"/>
      <c r="D4" s="1125"/>
      <c r="E4" s="1125"/>
      <c r="F4" s="1127" t="s">
        <v>1593</v>
      </c>
      <c r="G4" s="1127"/>
      <c r="H4" s="1130" t="s">
        <v>1594</v>
      </c>
      <c r="I4" s="1128"/>
      <c r="J4" s="1127" t="s">
        <v>1593</v>
      </c>
      <c r="K4" s="1127"/>
      <c r="L4" s="1130" t="s">
        <v>1594</v>
      </c>
      <c r="M4" s="1128"/>
      <c r="N4" s="1127" t="s">
        <v>1593</v>
      </c>
      <c r="O4" s="1127"/>
      <c r="P4" s="1130" t="s">
        <v>1594</v>
      </c>
      <c r="Q4" s="1128"/>
      <c r="R4" s="1127" t="s">
        <v>1593</v>
      </c>
      <c r="S4" s="1127"/>
      <c r="T4" s="1130" t="s">
        <v>1594</v>
      </c>
      <c r="U4" s="1128"/>
      <c r="V4" s="1127" t="s">
        <v>1593</v>
      </c>
      <c r="W4" s="1127"/>
      <c r="X4" s="1130" t="s">
        <v>1594</v>
      </c>
      <c r="Y4" s="1128"/>
      <c r="Z4" s="1127" t="s">
        <v>1593</v>
      </c>
      <c r="AA4" s="1127"/>
      <c r="AB4" s="1130" t="s">
        <v>1594</v>
      </c>
      <c r="AC4" s="1128"/>
      <c r="AD4" s="1127" t="s">
        <v>1593</v>
      </c>
      <c r="AE4" s="1127"/>
      <c r="AF4" s="1130" t="s">
        <v>1594</v>
      </c>
      <c r="AG4" s="1128"/>
      <c r="AH4" s="1127" t="s">
        <v>1593</v>
      </c>
      <c r="AI4" s="1127"/>
      <c r="AJ4" s="1130" t="s">
        <v>1594</v>
      </c>
      <c r="AK4" s="1130"/>
      <c r="AL4" s="1127" t="s">
        <v>1593</v>
      </c>
      <c r="AM4" s="1127"/>
      <c r="AN4" s="1130" t="s">
        <v>1594</v>
      </c>
      <c r="AO4" s="1128"/>
      <c r="AP4" s="1127" t="s">
        <v>1593</v>
      </c>
      <c r="AQ4" s="1127"/>
      <c r="AR4" s="1130" t="s">
        <v>1594</v>
      </c>
      <c r="AS4" s="1130"/>
      <c r="AT4" s="1127" t="s">
        <v>1593</v>
      </c>
      <c r="AU4" s="1127"/>
      <c r="AV4" s="1130" t="s">
        <v>1594</v>
      </c>
      <c r="AW4" s="1130"/>
      <c r="AX4" s="1127" t="s">
        <v>1593</v>
      </c>
      <c r="AY4" s="1127"/>
      <c r="AZ4" s="1130" t="s">
        <v>1594</v>
      </c>
      <c r="BA4" s="1128"/>
      <c r="BB4" s="1127" t="s">
        <v>1593</v>
      </c>
      <c r="BC4" s="1127"/>
      <c r="BD4" s="1130" t="s">
        <v>1594</v>
      </c>
      <c r="BE4" s="1128"/>
      <c r="BF4" s="1127" t="s">
        <v>1593</v>
      </c>
      <c r="BG4" s="1127"/>
      <c r="BH4" s="1130" t="s">
        <v>1594</v>
      </c>
      <c r="BI4" s="1128"/>
      <c r="BJ4" s="1127" t="s">
        <v>1593</v>
      </c>
      <c r="BK4" s="1127"/>
      <c r="BL4" s="1130" t="s">
        <v>1594</v>
      </c>
      <c r="BM4" s="1125"/>
      <c r="BN4" s="1127" t="s">
        <v>1593</v>
      </c>
      <c r="BO4" s="1127"/>
      <c r="BP4" s="1130" t="s">
        <v>1594</v>
      </c>
      <c r="BQ4" s="1127" t="s">
        <v>1593</v>
      </c>
      <c r="BR4" s="1127"/>
      <c r="BS4" s="1131" t="s">
        <v>1594</v>
      </c>
      <c r="BT4" s="1127" t="s">
        <v>1593</v>
      </c>
      <c r="BU4" s="1127"/>
      <c r="BV4" s="1130" t="s">
        <v>1594</v>
      </c>
      <c r="BW4" s="1131"/>
      <c r="BX4" s="1131"/>
      <c r="BY4" s="1131"/>
      <c r="BZ4" s="1131"/>
      <c r="CA4" s="1131"/>
      <c r="CB4" s="1131"/>
      <c r="CC4" s="1131"/>
    </row>
    <row r="5" spans="2:81" ht="15">
      <c r="C5" s="1125" t="s">
        <v>1988</v>
      </c>
      <c r="D5" s="1125"/>
      <c r="E5" s="1125"/>
      <c r="F5" s="1127" t="s">
        <v>1595</v>
      </c>
      <c r="G5" s="1127" t="s">
        <v>1596</v>
      </c>
      <c r="H5" s="1127" t="s">
        <v>1597</v>
      </c>
      <c r="I5" s="1128"/>
      <c r="J5" s="1127" t="s">
        <v>1595</v>
      </c>
      <c r="K5" s="1127" t="s">
        <v>1596</v>
      </c>
      <c r="L5" s="1127" t="s">
        <v>1597</v>
      </c>
      <c r="M5" s="1128"/>
      <c r="N5" s="1127" t="s">
        <v>1595</v>
      </c>
      <c r="O5" s="1127" t="s">
        <v>1596</v>
      </c>
      <c r="P5" s="1127" t="s">
        <v>1597</v>
      </c>
      <c r="Q5" s="1128"/>
      <c r="R5" s="1127" t="s">
        <v>1595</v>
      </c>
      <c r="S5" s="1127" t="s">
        <v>1596</v>
      </c>
      <c r="T5" s="1127" t="s">
        <v>1597</v>
      </c>
      <c r="U5" s="1128"/>
      <c r="V5" s="1127" t="s">
        <v>1595</v>
      </c>
      <c r="W5" s="1127" t="s">
        <v>1596</v>
      </c>
      <c r="X5" s="1127" t="s">
        <v>1597</v>
      </c>
      <c r="Y5" s="1128"/>
      <c r="Z5" s="1127" t="s">
        <v>1595</v>
      </c>
      <c r="AA5" s="1127" t="s">
        <v>1596</v>
      </c>
      <c r="AB5" s="1127" t="s">
        <v>1597</v>
      </c>
      <c r="AC5" s="1128"/>
      <c r="AD5" s="1127" t="s">
        <v>1595</v>
      </c>
      <c r="AE5" s="1127" t="s">
        <v>1596</v>
      </c>
      <c r="AF5" s="1127" t="s">
        <v>1597</v>
      </c>
      <c r="AG5" s="1128"/>
      <c r="AH5" s="1127" t="s">
        <v>1595</v>
      </c>
      <c r="AI5" s="1127" t="s">
        <v>1596</v>
      </c>
      <c r="AJ5" s="1127" t="s">
        <v>1597</v>
      </c>
      <c r="AK5" s="1127"/>
      <c r="AL5" s="1127" t="s">
        <v>1595</v>
      </c>
      <c r="AM5" s="1127" t="s">
        <v>1596</v>
      </c>
      <c r="AN5" s="1127" t="s">
        <v>1597</v>
      </c>
      <c r="AO5" s="1128"/>
      <c r="AP5" s="1127" t="s">
        <v>1595</v>
      </c>
      <c r="AQ5" s="1127" t="s">
        <v>1596</v>
      </c>
      <c r="AR5" s="1132" t="s">
        <v>1597</v>
      </c>
      <c r="AS5" s="1129"/>
      <c r="AT5" s="1127" t="s">
        <v>1595</v>
      </c>
      <c r="AU5" s="1127" t="s">
        <v>1596</v>
      </c>
      <c r="AV5" s="1132" t="s">
        <v>1597</v>
      </c>
      <c r="AW5" s="1129"/>
      <c r="AX5" s="1127" t="s">
        <v>1595</v>
      </c>
      <c r="AY5" s="1127" t="s">
        <v>1596</v>
      </c>
      <c r="AZ5" s="1132" t="s">
        <v>1597</v>
      </c>
      <c r="BA5" s="1128"/>
      <c r="BB5" s="1127" t="s">
        <v>1595</v>
      </c>
      <c r="BC5" s="1127" t="s">
        <v>1596</v>
      </c>
      <c r="BD5" s="1132" t="s">
        <v>1597</v>
      </c>
      <c r="BE5" s="1128"/>
      <c r="BF5" s="1127" t="s">
        <v>1595</v>
      </c>
      <c r="BG5" s="1127" t="s">
        <v>1596</v>
      </c>
      <c r="BH5" s="1132" t="s">
        <v>1597</v>
      </c>
      <c r="BI5" s="1128"/>
      <c r="BJ5" s="1127" t="s">
        <v>1595</v>
      </c>
      <c r="BK5" s="1127" t="s">
        <v>1596</v>
      </c>
      <c r="BL5" s="1132" t="s">
        <v>1597</v>
      </c>
      <c r="BM5" s="1125"/>
      <c r="BN5" s="1127" t="s">
        <v>1595</v>
      </c>
      <c r="BO5" s="1127" t="s">
        <v>1596</v>
      </c>
      <c r="BP5" s="1132" t="s">
        <v>1597</v>
      </c>
      <c r="BQ5" s="1127" t="s">
        <v>1595</v>
      </c>
      <c r="BR5" s="1127" t="s">
        <v>1596</v>
      </c>
      <c r="BS5" s="1132" t="s">
        <v>1597</v>
      </c>
      <c r="BT5" s="1127" t="s">
        <v>1595</v>
      </c>
      <c r="BU5" s="1127" t="s">
        <v>1596</v>
      </c>
      <c r="BV5" s="1132" t="s">
        <v>1597</v>
      </c>
      <c r="BW5" s="1132"/>
      <c r="BX5" s="1132"/>
      <c r="BY5" s="1132"/>
      <c r="BZ5" s="1132"/>
      <c r="CA5" s="1132"/>
      <c r="CB5" s="1132"/>
      <c r="CC5" s="1132"/>
    </row>
    <row r="6" spans="2:81">
      <c r="C6" s="1072" t="s">
        <v>1598</v>
      </c>
      <c r="D6" s="1073"/>
      <c r="E6" s="1073"/>
      <c r="F6" s="1071"/>
      <c r="G6" s="1071"/>
      <c r="H6" s="1071"/>
      <c r="I6" s="1071"/>
      <c r="J6" s="1071"/>
      <c r="K6" s="1071"/>
      <c r="L6" s="1071"/>
      <c r="M6" s="1071"/>
      <c r="N6" s="1071"/>
      <c r="O6" s="1071"/>
      <c r="P6" s="1071"/>
      <c r="Q6" s="1071"/>
      <c r="R6" s="1071"/>
      <c r="S6" s="1071"/>
      <c r="T6" s="1071"/>
      <c r="U6" s="1071"/>
      <c r="V6" s="1071"/>
      <c r="W6" s="1071"/>
      <c r="X6" s="1071"/>
      <c r="Y6" s="1071"/>
      <c r="Z6" s="1071"/>
      <c r="AA6" s="1071"/>
      <c r="AB6" s="1071"/>
      <c r="AC6" s="1071"/>
      <c r="AD6" s="1071"/>
      <c r="AE6" s="1071"/>
      <c r="AF6" s="1071"/>
      <c r="AG6" s="1071"/>
      <c r="AH6" s="1071"/>
      <c r="AI6" s="1071"/>
      <c r="AJ6" s="1071"/>
      <c r="AK6" s="1071"/>
      <c r="AL6" s="1071"/>
      <c r="AM6" s="1071"/>
      <c r="AN6" s="1071"/>
      <c r="AO6" s="1071"/>
      <c r="AP6" s="1071"/>
      <c r="AQ6" s="1071"/>
      <c r="AR6" s="1071"/>
      <c r="AS6" s="1071"/>
      <c r="AT6" s="1071"/>
      <c r="AU6" s="1071"/>
      <c r="AV6" s="1071"/>
      <c r="AW6" s="1071"/>
      <c r="AX6" s="1071"/>
      <c r="AY6" s="1071"/>
      <c r="AZ6" s="1071"/>
      <c r="BA6" s="1071"/>
      <c r="BB6" s="1071"/>
      <c r="BC6" s="1071"/>
      <c r="BD6" s="1071"/>
      <c r="BE6" s="1071"/>
      <c r="BF6" s="1071"/>
      <c r="BG6" s="1071"/>
      <c r="BH6" s="1071"/>
      <c r="BI6" s="1071"/>
      <c r="BJ6" s="1071"/>
      <c r="BK6" s="1071"/>
      <c r="BL6" s="1071"/>
      <c r="BM6" s="1073"/>
      <c r="BN6" s="1073"/>
      <c r="BO6" s="1073"/>
      <c r="BP6" s="1073"/>
      <c r="BQ6" s="1073"/>
      <c r="BR6" s="1073"/>
      <c r="BS6" s="1073"/>
      <c r="BT6" s="1073"/>
      <c r="BU6" s="1073"/>
      <c r="BV6" s="1073"/>
      <c r="BW6" s="1071"/>
      <c r="BX6" s="1071"/>
      <c r="BY6" s="1071"/>
      <c r="BZ6" s="1071"/>
      <c r="CA6" s="1071"/>
      <c r="CB6" s="1071"/>
      <c r="CC6" s="1071"/>
    </row>
    <row r="7" spans="2:81">
      <c r="C7" s="1071"/>
      <c r="D7" s="1074" t="s">
        <v>1599</v>
      </c>
      <c r="E7" s="1074"/>
      <c r="F7" s="1075">
        <v>1167.04</v>
      </c>
      <c r="G7" s="1075">
        <v>4794.027</v>
      </c>
      <c r="H7" s="1076">
        <v>9.1000000000000004E-3</v>
      </c>
      <c r="I7" s="1071"/>
      <c r="J7" s="1075">
        <v>1607.931</v>
      </c>
      <c r="K7" s="1075">
        <v>6241.9530000000004</v>
      </c>
      <c r="L7" s="1076">
        <v>9.4999999999999998E-3</v>
      </c>
      <c r="M7" s="1071"/>
      <c r="N7" s="1075">
        <v>1729.364</v>
      </c>
      <c r="O7" s="1075">
        <v>7187.2439999999997</v>
      </c>
      <c r="P7" s="1076">
        <v>1.0200000000000001E-2</v>
      </c>
      <c r="Q7" s="1071"/>
      <c r="R7" s="1075">
        <v>1947.24</v>
      </c>
      <c r="S7" s="1075">
        <v>7777.183</v>
      </c>
      <c r="T7" s="1076">
        <v>9.7000000000000003E-3</v>
      </c>
      <c r="U7" s="1071"/>
      <c r="V7" s="1075">
        <v>2413.5830000000001</v>
      </c>
      <c r="W7" s="1075">
        <v>9206.7129999999997</v>
      </c>
      <c r="X7" s="1076">
        <v>9.1999999999999998E-3</v>
      </c>
      <c r="Y7" s="1071"/>
      <c r="Z7" s="1075">
        <v>1849.95</v>
      </c>
      <c r="AA7" s="1075">
        <v>7360.2709999999997</v>
      </c>
      <c r="AB7" s="1076">
        <v>9.4000000000000004E-3</v>
      </c>
      <c r="AC7" s="1071"/>
      <c r="AD7" s="1075">
        <v>1602.4290000000001</v>
      </c>
      <c r="AE7" s="1075">
        <v>5936.1469999999999</v>
      </c>
      <c r="AF7" s="1076">
        <v>1.0800000000000001E-2</v>
      </c>
      <c r="AG7" s="1071"/>
      <c r="AH7" s="1075">
        <v>1778.7560000000001</v>
      </c>
      <c r="AI7" s="1075">
        <v>6793.8760000000002</v>
      </c>
      <c r="AJ7" s="1076">
        <v>1.2E-2</v>
      </c>
      <c r="AK7" s="1077"/>
      <c r="AL7" s="1075">
        <v>1621.096</v>
      </c>
      <c r="AM7" s="1075">
        <v>6896.3890000000001</v>
      </c>
      <c r="AN7" s="1076">
        <v>1.14E-2</v>
      </c>
      <c r="AO7" s="1071"/>
      <c r="AP7" s="1075">
        <v>1912.24</v>
      </c>
      <c r="AQ7" s="1075">
        <v>7686.6109999999999</v>
      </c>
      <c r="AR7" s="1076">
        <v>1.12E-2</v>
      </c>
      <c r="AS7" s="1077"/>
      <c r="AT7" s="1078">
        <v>2432888</v>
      </c>
      <c r="AU7" s="1078">
        <v>9196480</v>
      </c>
      <c r="AV7" s="1077">
        <v>1.14E-2</v>
      </c>
      <c r="AW7" s="1077"/>
      <c r="AX7" s="1078">
        <f>AX16</f>
        <v>2552441</v>
      </c>
      <c r="AY7" s="1078">
        <f>AY14</f>
        <v>10105622</v>
      </c>
      <c r="AZ7" s="1077">
        <v>1.0999999999999999E-2</v>
      </c>
      <c r="BA7" s="1071"/>
      <c r="BB7" s="1078">
        <v>2090.5659999999998</v>
      </c>
      <c r="BC7" s="1078">
        <v>9611.1869999999999</v>
      </c>
      <c r="BD7" s="1077">
        <v>0.01</v>
      </c>
      <c r="BE7" s="1071"/>
      <c r="BF7" s="1078">
        <v>2392.6889999999999</v>
      </c>
      <c r="BG7" s="1078">
        <v>10711.194</v>
      </c>
      <c r="BH7" s="1077">
        <v>1.0200000000000001E-2</v>
      </c>
      <c r="BI7" s="1071"/>
      <c r="BJ7" s="1078">
        <v>2763.7190000000001</v>
      </c>
      <c r="BK7" s="1078">
        <v>11978.971</v>
      </c>
      <c r="BL7" s="1077">
        <v>9.5999999999999992E-3</v>
      </c>
      <c r="BM7" s="1071"/>
      <c r="BN7" s="1075">
        <v>2996.0030000000002</v>
      </c>
      <c r="BO7" s="1075">
        <v>13455.805</v>
      </c>
      <c r="BP7" s="1076">
        <v>8.8999999999999999E-3</v>
      </c>
      <c r="BQ7" s="1075">
        <v>2365.4250000000002</v>
      </c>
      <c r="BR7" s="1075">
        <v>12323.853999999999</v>
      </c>
      <c r="BS7" s="1076">
        <v>6.1999999999999998E-3</v>
      </c>
      <c r="BT7" s="1075">
        <v>3011.2240000000002</v>
      </c>
      <c r="BU7" s="1075">
        <v>14820.048000000001</v>
      </c>
      <c r="BV7" s="1076">
        <v>6.6E-3</v>
      </c>
      <c r="BW7" s="1076"/>
      <c r="BX7" s="1076"/>
      <c r="BY7" s="1076"/>
      <c r="BZ7" s="1076"/>
      <c r="CA7" s="1076"/>
      <c r="CB7" s="1076"/>
      <c r="CC7" s="1076"/>
    </row>
    <row r="8" spans="2:81">
      <c r="C8" s="1071"/>
      <c r="D8" s="1074" t="s">
        <v>1600</v>
      </c>
      <c r="E8" s="1074"/>
      <c r="F8" s="1079">
        <v>330.79700000000003</v>
      </c>
      <c r="G8" s="1079">
        <v>1166.799</v>
      </c>
      <c r="H8" s="1076">
        <v>1.7000000000000001E-2</v>
      </c>
      <c r="I8" s="1071"/>
      <c r="J8" s="1079">
        <v>506.41</v>
      </c>
      <c r="K8" s="1079">
        <v>1607.854</v>
      </c>
      <c r="L8" s="1076">
        <v>1.8100000000000002E-2</v>
      </c>
      <c r="M8" s="1071"/>
      <c r="N8" s="1079">
        <v>587.24300000000005</v>
      </c>
      <c r="O8" s="1079">
        <v>1728.8879999999999</v>
      </c>
      <c r="P8" s="1076">
        <v>1.8100000000000002E-2</v>
      </c>
      <c r="Q8" s="1071"/>
      <c r="R8" s="1079">
        <v>627.01700000000005</v>
      </c>
      <c r="S8" s="1079">
        <v>1946.588</v>
      </c>
      <c r="T8" s="1076">
        <v>1.7600000000000001E-2</v>
      </c>
      <c r="U8" s="1071"/>
      <c r="V8" s="1079">
        <v>725.26700000000005</v>
      </c>
      <c r="W8" s="1079">
        <v>2411.7939999999999</v>
      </c>
      <c r="X8" s="1076">
        <v>1.6500000000000001E-2</v>
      </c>
      <c r="Y8" s="1071"/>
      <c r="Z8" s="1079">
        <v>453.39800000000002</v>
      </c>
      <c r="AA8" s="1079">
        <v>1848.961</v>
      </c>
      <c r="AB8" s="1076">
        <v>1.7399999999999999E-2</v>
      </c>
      <c r="AC8" s="1071"/>
      <c r="AD8" s="1079">
        <v>432.17500000000001</v>
      </c>
      <c r="AE8" s="1079">
        <v>1600.1690000000001</v>
      </c>
      <c r="AF8" s="1076">
        <v>1.8499999999999999E-2</v>
      </c>
      <c r="AG8" s="1071"/>
      <c r="AH8" s="1079">
        <v>478.10199999999998</v>
      </c>
      <c r="AI8" s="1079">
        <v>1775.9659999999999</v>
      </c>
      <c r="AJ8" s="1076">
        <v>1.9800000000000002E-2</v>
      </c>
      <c r="AK8" s="1077"/>
      <c r="AL8" s="1079">
        <v>422.99900000000002</v>
      </c>
      <c r="AM8" s="1079">
        <v>1620.86</v>
      </c>
      <c r="AN8" s="1076">
        <v>1.8800000000000001E-2</v>
      </c>
      <c r="AO8" s="1071"/>
      <c r="AP8" s="1079">
        <v>514.45899999999995</v>
      </c>
      <c r="AQ8" s="1079">
        <v>1909.0509999999999</v>
      </c>
      <c r="AR8" s="1076">
        <v>1.8499999999999999E-2</v>
      </c>
      <c r="AS8" s="1077"/>
      <c r="AT8" s="1080">
        <v>636747</v>
      </c>
      <c r="AU8" s="1080">
        <v>2431229</v>
      </c>
      <c r="AV8" s="1077">
        <v>1.8700000000000001E-2</v>
      </c>
      <c r="AW8" s="1077"/>
      <c r="AX8" s="1080">
        <f>AX19</f>
        <v>549056</v>
      </c>
      <c r="AY8" s="1080">
        <f>AY17</f>
        <v>2542913</v>
      </c>
      <c r="AZ8" s="1077">
        <v>1.77E-2</v>
      </c>
      <c r="BA8" s="1071"/>
      <c r="BB8" s="1080">
        <v>448.50200000000001</v>
      </c>
      <c r="BC8" s="1080">
        <v>2083.6419999999998</v>
      </c>
      <c r="BD8" s="1077">
        <v>1.7000000000000001E-2</v>
      </c>
      <c r="BE8" s="1071"/>
      <c r="BF8" s="1080">
        <v>569.279</v>
      </c>
      <c r="BG8" s="1080">
        <v>2390.8989999999999</v>
      </c>
      <c r="BH8" s="1077">
        <v>1.7500000000000002E-2</v>
      </c>
      <c r="BI8" s="1071"/>
      <c r="BJ8" s="1080">
        <v>657.70500000000004</v>
      </c>
      <c r="BK8" s="1080">
        <v>2759.9389999999999</v>
      </c>
      <c r="BL8" s="1077">
        <v>1.6399999999999998E-2</v>
      </c>
      <c r="BM8" s="1071"/>
      <c r="BN8" s="1079">
        <v>730.04700000000003</v>
      </c>
      <c r="BO8" s="1079">
        <v>2992.2510000000002</v>
      </c>
      <c r="BP8" s="1076">
        <v>1.5800000000000002E-2</v>
      </c>
      <c r="BQ8" s="1079">
        <v>377.07600000000002</v>
      </c>
      <c r="BR8" s="1079">
        <v>2365.076</v>
      </c>
      <c r="BS8" s="1076">
        <v>1.21E-2</v>
      </c>
      <c r="BT8" s="1079">
        <v>555.88</v>
      </c>
      <c r="BU8" s="1079">
        <v>3010.806</v>
      </c>
      <c r="BV8" s="1076">
        <v>1.24E-2</v>
      </c>
      <c r="BW8" s="1076"/>
      <c r="BX8" s="1076"/>
      <c r="BY8" s="1076"/>
      <c r="BZ8" s="1076"/>
      <c r="CA8" s="1076"/>
      <c r="CB8" s="1076"/>
      <c r="CC8" s="1076"/>
    </row>
    <row r="9" spans="2:81">
      <c r="C9" s="1071"/>
      <c r="D9" s="1074" t="s">
        <v>1601</v>
      </c>
      <c r="E9" s="1074"/>
      <c r="F9" s="1079">
        <v>0.33200000000000002</v>
      </c>
      <c r="G9" s="1079">
        <v>330.608</v>
      </c>
      <c r="H9" s="1076">
        <v>4.0099999999999997E-2</v>
      </c>
      <c r="I9" s="1071"/>
      <c r="J9" s="1079">
        <v>1.393</v>
      </c>
      <c r="K9" s="1079">
        <v>505.43700000000001</v>
      </c>
      <c r="L9" s="1076">
        <v>4.02E-2</v>
      </c>
      <c r="M9" s="1071"/>
      <c r="N9" s="1079">
        <v>1.079</v>
      </c>
      <c r="O9" s="1079">
        <v>586.39300000000003</v>
      </c>
      <c r="P9" s="1076">
        <v>3.95E-2</v>
      </c>
      <c r="Q9" s="1071"/>
      <c r="R9" s="1079">
        <v>2.2469999999999999</v>
      </c>
      <c r="S9" s="1079">
        <v>626.95500000000004</v>
      </c>
      <c r="T9" s="1076">
        <v>3.8800000000000001E-2</v>
      </c>
      <c r="U9" s="1071"/>
      <c r="V9" s="1079">
        <v>1.9219999999999999</v>
      </c>
      <c r="W9" s="1079">
        <v>723.25800000000004</v>
      </c>
      <c r="X9" s="1076">
        <v>3.6499999999999998E-2</v>
      </c>
      <c r="Y9" s="1071"/>
      <c r="Z9" s="1079">
        <v>1.575</v>
      </c>
      <c r="AA9" s="1079">
        <v>453.25400000000002</v>
      </c>
      <c r="AB9" s="1076">
        <v>3.7400000000000003E-2</v>
      </c>
      <c r="AC9" s="1071"/>
      <c r="AD9" s="1079">
        <v>1.0069999999999999</v>
      </c>
      <c r="AE9" s="1079">
        <v>431.25599999999997</v>
      </c>
      <c r="AF9" s="1076">
        <v>3.9899999999999998E-2</v>
      </c>
      <c r="AG9" s="1071"/>
      <c r="AH9" s="1079">
        <v>1.222</v>
      </c>
      <c r="AI9" s="1079">
        <v>477.53899999999999</v>
      </c>
      <c r="AJ9" s="1076">
        <v>4.07E-2</v>
      </c>
      <c r="AK9" s="1077"/>
      <c r="AL9" s="1079">
        <v>1.028</v>
      </c>
      <c r="AM9" s="1079">
        <v>422.81099999999998</v>
      </c>
      <c r="AN9" s="1076">
        <v>3.8899999999999997E-2</v>
      </c>
      <c r="AO9" s="1071"/>
      <c r="AP9" s="1079">
        <v>1.139</v>
      </c>
      <c r="AQ9" s="1079">
        <v>514.20899999999995</v>
      </c>
      <c r="AR9" s="1076">
        <v>3.8100000000000002E-2</v>
      </c>
      <c r="AS9" s="1077"/>
      <c r="AT9" s="1080">
        <v>2395</v>
      </c>
      <c r="AU9" s="1080">
        <v>632770</v>
      </c>
      <c r="AV9" s="1077">
        <v>3.8399999999999997E-2</v>
      </c>
      <c r="AW9" s="1077"/>
      <c r="AX9" s="1080">
        <f>AX21</f>
        <v>3037</v>
      </c>
      <c r="AY9" s="1080">
        <f>AY20</f>
        <v>548839</v>
      </c>
      <c r="AZ9" s="1077">
        <v>3.6900000000000002E-2</v>
      </c>
      <c r="BA9" s="1071"/>
      <c r="BB9" s="1080">
        <v>1.9630000000000001</v>
      </c>
      <c r="BC9" s="1080">
        <v>448.07900000000001</v>
      </c>
      <c r="BD9" s="1077">
        <v>3.5799999999999998E-2</v>
      </c>
      <c r="BE9" s="1071"/>
      <c r="BF9" s="1080">
        <v>2.516</v>
      </c>
      <c r="BG9" s="1080">
        <v>567.84299999999996</v>
      </c>
      <c r="BH9" s="1077">
        <v>3.6700000000000003E-2</v>
      </c>
      <c r="BI9" s="1071"/>
      <c r="BJ9" s="1080">
        <v>2.5310000000000001</v>
      </c>
      <c r="BK9" s="1080">
        <v>656.84500000000003</v>
      </c>
      <c r="BL9" s="1077">
        <v>3.4799999999999998E-2</v>
      </c>
      <c r="BM9" s="1071"/>
      <c r="BN9" s="1079">
        <v>2.4550000000000001</v>
      </c>
      <c r="BO9" s="1079">
        <v>727.84299999999996</v>
      </c>
      <c r="BP9" s="1076">
        <v>3.39E-2</v>
      </c>
      <c r="BQ9" s="1079">
        <v>2.0150000000000001</v>
      </c>
      <c r="BR9" s="1079">
        <v>373.87900000000002</v>
      </c>
      <c r="BS9" s="1076">
        <v>3.0499999999999999E-2</v>
      </c>
      <c r="BT9" s="1079">
        <v>1.5760000000000001</v>
      </c>
      <c r="BU9" s="1079">
        <v>554.52300000000002</v>
      </c>
      <c r="BV9" s="1076">
        <v>2.9100000000000001E-2</v>
      </c>
      <c r="BW9" s="1076"/>
      <c r="BX9" s="1076"/>
      <c r="BY9" s="1076"/>
      <c r="BZ9" s="1076"/>
      <c r="CA9" s="1076"/>
      <c r="CB9" s="1076"/>
      <c r="CC9" s="1076"/>
    </row>
    <row r="10" spans="2:81">
      <c r="C10" s="1071"/>
      <c r="D10" s="1071"/>
      <c r="E10" s="1071"/>
      <c r="F10" s="1078"/>
      <c r="G10" s="1078"/>
      <c r="H10" s="1077"/>
      <c r="I10" s="1071"/>
      <c r="J10" s="1078"/>
      <c r="K10" s="1078"/>
      <c r="L10" s="1077"/>
      <c r="M10" s="1071"/>
      <c r="N10" s="1078"/>
      <c r="O10" s="1078"/>
      <c r="P10" s="1077"/>
      <c r="Q10" s="1071"/>
      <c r="R10" s="1078"/>
      <c r="S10" s="1078"/>
      <c r="T10" s="1077"/>
      <c r="U10" s="1071"/>
      <c r="V10" s="1078"/>
      <c r="W10" s="1078"/>
      <c r="X10" s="1077"/>
      <c r="Y10" s="1071"/>
      <c r="Z10" s="1078"/>
      <c r="AA10" s="1078"/>
      <c r="AB10" s="1077"/>
      <c r="AC10" s="1071"/>
      <c r="AD10" s="1078"/>
      <c r="AE10" s="1078"/>
      <c r="AF10" s="1077"/>
      <c r="AG10" s="1071"/>
      <c r="AH10" s="1078"/>
      <c r="AI10" s="1078"/>
      <c r="AJ10" s="1077"/>
      <c r="AK10" s="1077"/>
      <c r="AL10" s="1078"/>
      <c r="AM10" s="1078"/>
      <c r="AN10" s="1077"/>
      <c r="AO10" s="1071"/>
      <c r="AP10" s="1078"/>
      <c r="AQ10" s="1078"/>
      <c r="AR10" s="1077"/>
      <c r="AS10" s="1077"/>
      <c r="AT10" s="1078"/>
      <c r="AU10" s="1078"/>
      <c r="AV10" s="1077"/>
      <c r="AW10" s="1077"/>
      <c r="AX10" s="1078"/>
      <c r="AY10" s="1078"/>
      <c r="AZ10" s="1077"/>
      <c r="BA10" s="1071"/>
      <c r="BB10" s="1078"/>
      <c r="BC10" s="1078"/>
      <c r="BD10" s="1077"/>
      <c r="BE10" s="1071"/>
      <c r="BF10" s="1078"/>
      <c r="BG10" s="1078"/>
      <c r="BH10" s="1077"/>
      <c r="BI10" s="1071"/>
      <c r="BJ10" s="1078"/>
      <c r="BK10" s="1078"/>
      <c r="BL10" s="1077"/>
      <c r="BM10" s="1071"/>
      <c r="BN10" s="1078"/>
      <c r="BO10" s="1078"/>
      <c r="BP10" s="1077"/>
      <c r="BQ10" s="1078"/>
      <c r="BR10" s="1078"/>
      <c r="BS10" s="1077"/>
      <c r="BT10" s="1078"/>
      <c r="BU10" s="1078"/>
      <c r="BV10" s="1077"/>
      <c r="BW10" s="1077"/>
      <c r="BX10" s="1077"/>
      <c r="BY10" s="1077"/>
      <c r="BZ10" s="1077"/>
      <c r="CA10" s="1077"/>
      <c r="CB10" s="1077"/>
      <c r="CC10" s="1077"/>
    </row>
    <row r="11" spans="2:81">
      <c r="C11" s="1081" t="s">
        <v>1602</v>
      </c>
      <c r="D11" s="1071"/>
      <c r="E11" s="1071"/>
      <c r="F11" s="1078"/>
      <c r="G11" s="1078"/>
      <c r="H11" s="1077"/>
      <c r="I11" s="1071"/>
      <c r="J11" s="1078"/>
      <c r="K11" s="1078"/>
      <c r="L11" s="1077"/>
      <c r="M11" s="1071"/>
      <c r="N11" s="1078"/>
      <c r="O11" s="1078"/>
      <c r="P11" s="1077"/>
      <c r="Q11" s="1071"/>
      <c r="R11" s="1078"/>
      <c r="S11" s="1078"/>
      <c r="T11" s="1077"/>
      <c r="U11" s="1071"/>
      <c r="V11" s="1078"/>
      <c r="W11" s="1078"/>
      <c r="X11" s="1077"/>
      <c r="Y11" s="1071"/>
      <c r="Z11" s="1078"/>
      <c r="AA11" s="1078"/>
      <c r="AB11" s="1077"/>
      <c r="AC11" s="1071"/>
      <c r="AD11" s="1078"/>
      <c r="AE11" s="1078"/>
      <c r="AF11" s="1077"/>
      <c r="AG11" s="1071"/>
      <c r="AH11" s="1078"/>
      <c r="AI11" s="1078"/>
      <c r="AJ11" s="1077"/>
      <c r="AK11" s="1077"/>
      <c r="AL11" s="1078"/>
      <c r="AM11" s="1078"/>
      <c r="AN11" s="1077"/>
      <c r="AO11" s="1071"/>
      <c r="AP11" s="1078"/>
      <c r="AQ11" s="1078"/>
      <c r="AR11" s="1077"/>
      <c r="AS11" s="1077"/>
      <c r="AT11" s="1078"/>
      <c r="AU11" s="1078"/>
      <c r="AV11" s="1077"/>
      <c r="AW11" s="1077"/>
      <c r="AX11" s="1078"/>
      <c r="AY11" s="1078"/>
      <c r="AZ11" s="1077"/>
      <c r="BA11" s="1071"/>
      <c r="BB11" s="1078"/>
      <c r="BC11" s="1078"/>
      <c r="BD11" s="1077"/>
      <c r="BE11" s="1071"/>
      <c r="BF11" s="1078"/>
      <c r="BG11" s="1078"/>
      <c r="BH11" s="1077"/>
      <c r="BI11" s="1071"/>
      <c r="BJ11" s="1078"/>
      <c r="BK11" s="1078"/>
      <c r="BL11" s="1077"/>
      <c r="BM11" s="1071"/>
      <c r="BN11" s="1078"/>
      <c r="BO11" s="1078"/>
      <c r="BP11" s="1077"/>
      <c r="BQ11" s="1078"/>
      <c r="BR11" s="1078"/>
      <c r="BS11" s="1077"/>
      <c r="BT11" s="1078"/>
      <c r="BU11" s="1078"/>
      <c r="BV11" s="1077"/>
      <c r="BW11" s="1077"/>
      <c r="BX11" s="1077"/>
      <c r="BY11" s="1077"/>
      <c r="BZ11" s="1077"/>
      <c r="CA11" s="1077"/>
      <c r="CB11" s="1077"/>
      <c r="CC11" s="1077"/>
    </row>
    <row r="12" spans="2:81">
      <c r="C12" s="1071"/>
      <c r="D12" s="1074" t="s">
        <v>1603</v>
      </c>
      <c r="E12" s="1074"/>
      <c r="F12" s="1075">
        <v>11444.103999999999</v>
      </c>
      <c r="G12" s="1075">
        <v>286638.30499999999</v>
      </c>
      <c r="H12" s="1082">
        <v>-3.3999999999999998E-3</v>
      </c>
      <c r="I12" s="1071"/>
      <c r="J12" s="1075">
        <v>14099.878000000001</v>
      </c>
      <c r="K12" s="1075">
        <v>342087.21899999998</v>
      </c>
      <c r="L12" s="1082">
        <v>-3.7000000000000002E-3</v>
      </c>
      <c r="M12" s="1071"/>
      <c r="N12" s="1075">
        <v>16091.014999999999</v>
      </c>
      <c r="O12" s="1075">
        <v>367495.14399999997</v>
      </c>
      <c r="P12" s="1082">
        <v>-3.7000000000000002E-3</v>
      </c>
      <c r="Q12" s="1071"/>
      <c r="R12" s="1075">
        <v>168480.63</v>
      </c>
      <c r="S12" s="1075">
        <v>371187.36800000002</v>
      </c>
      <c r="T12" s="1082">
        <v>-3.5999999999999999E-3</v>
      </c>
      <c r="U12" s="1071"/>
      <c r="V12" s="1075">
        <v>20386.368999999999</v>
      </c>
      <c r="W12" s="1075">
        <v>472518.67200000002</v>
      </c>
      <c r="X12" s="1082">
        <v>-3.3999999999999998E-3</v>
      </c>
      <c r="Y12" s="1071"/>
      <c r="Z12" s="1075">
        <v>18627.54</v>
      </c>
      <c r="AA12" s="1075">
        <v>465651.93800000002</v>
      </c>
      <c r="AB12" s="1082">
        <v>-3.5999999999999999E-3</v>
      </c>
      <c r="AC12" s="1071"/>
      <c r="AD12" s="1075">
        <v>14692.016</v>
      </c>
      <c r="AE12" s="1075">
        <v>329725.255</v>
      </c>
      <c r="AF12" s="1082">
        <v>-3.7000000000000002E-3</v>
      </c>
      <c r="AG12" s="1071"/>
      <c r="AH12" s="1075">
        <v>15273.942999999999</v>
      </c>
      <c r="AI12" s="1075">
        <v>314622.57400000002</v>
      </c>
      <c r="AJ12" s="1082">
        <v>-3.8E-3</v>
      </c>
      <c r="AK12" s="1077"/>
      <c r="AL12" s="1075">
        <v>15484.94</v>
      </c>
      <c r="AM12" s="1075">
        <v>354351.91200000001</v>
      </c>
      <c r="AN12" s="1082">
        <v>-3.8E-3</v>
      </c>
      <c r="AO12" s="1071"/>
      <c r="AP12" s="1075">
        <v>17557.705999999998</v>
      </c>
      <c r="AQ12" s="1075">
        <v>626550.33400000003</v>
      </c>
      <c r="AR12" s="1082">
        <v>-3.7000000000000002E-3</v>
      </c>
      <c r="AS12" s="1077"/>
      <c r="AT12" s="1078">
        <v>21753411</v>
      </c>
      <c r="AU12" s="1078">
        <v>428699798</v>
      </c>
      <c r="AV12" s="1077">
        <v>-3.3E-3</v>
      </c>
      <c r="AW12" s="1077"/>
      <c r="AX12" s="1078">
        <v>24428848</v>
      </c>
      <c r="AY12" s="1078">
        <v>591015721</v>
      </c>
      <c r="AZ12" s="1077">
        <v>-3.2000000000000002E-3</v>
      </c>
      <c r="BA12" s="1071"/>
      <c r="BB12" s="1078">
        <v>22035.312999999998</v>
      </c>
      <c r="BC12" s="1078">
        <v>629010.25399999996</v>
      </c>
      <c r="BD12" s="1077">
        <v>-3.5999999999999999E-3</v>
      </c>
      <c r="BE12" s="1071"/>
      <c r="BF12" s="1078">
        <v>24361.659</v>
      </c>
      <c r="BG12" s="1078">
        <v>609163.49800000002</v>
      </c>
      <c r="BH12" s="1077">
        <v>-3.5000000000000001E-3</v>
      </c>
      <c r="BI12" s="1071"/>
      <c r="BJ12" s="1078">
        <v>25142.833999999999</v>
      </c>
      <c r="BK12" s="1078">
        <v>790050.07299999997</v>
      </c>
      <c r="BL12" s="1077">
        <v>0</v>
      </c>
      <c r="BM12" s="1071"/>
      <c r="BN12" s="1075">
        <v>29428.909</v>
      </c>
      <c r="BO12" s="1075">
        <v>1073390.5660000001</v>
      </c>
      <c r="BP12" s="1082">
        <v>-3.0000000000000001E-3</v>
      </c>
      <c r="BQ12" s="1083">
        <v>31549.077000000001</v>
      </c>
      <c r="BR12" s="1075">
        <v>2203381.2859999998</v>
      </c>
      <c r="BS12" s="1082">
        <v>-2.5999999999999999E-3</v>
      </c>
      <c r="BT12" s="1075">
        <v>36942.976000000002</v>
      </c>
      <c r="BU12" s="1075">
        <v>2662326.048</v>
      </c>
      <c r="BV12" s="1082">
        <v>-5.9999999999999995E-4</v>
      </c>
      <c r="BW12" s="1082"/>
      <c r="BX12" s="1082"/>
      <c r="BY12" s="1082"/>
      <c r="BZ12" s="1082"/>
      <c r="CA12" s="1082"/>
      <c r="CB12" s="1082"/>
      <c r="CC12" s="1082"/>
    </row>
    <row r="13" spans="2:81">
      <c r="C13" s="1071"/>
      <c r="D13" s="1074" t="s">
        <v>1604</v>
      </c>
      <c r="E13" s="1074"/>
      <c r="F13" s="1079">
        <v>4809.4219999999996</v>
      </c>
      <c r="G13" s="1079">
        <v>11366.767</v>
      </c>
      <c r="H13" s="1082">
        <v>5.0000000000000001E-3</v>
      </c>
      <c r="I13" s="1071"/>
      <c r="J13" s="1079">
        <v>6258.53</v>
      </c>
      <c r="K13" s="1079">
        <v>14096.886</v>
      </c>
      <c r="L13" s="1082">
        <v>6.0000000000000001E-3</v>
      </c>
      <c r="M13" s="1071"/>
      <c r="N13" s="1079">
        <v>7189.8869999999997</v>
      </c>
      <c r="O13" s="1079">
        <v>16016.45</v>
      </c>
      <c r="P13" s="1082">
        <v>6.7000000000000002E-3</v>
      </c>
      <c r="Q13" s="1071"/>
      <c r="R13" s="1079">
        <v>7847.424</v>
      </c>
      <c r="S13" s="1079">
        <v>16820.565999999999</v>
      </c>
      <c r="T13" s="1082">
        <v>6.4999999999999997E-3</v>
      </c>
      <c r="U13" s="1071"/>
      <c r="V13" s="1079">
        <v>9274.0490000000009</v>
      </c>
      <c r="W13" s="1079">
        <v>20234.526000000002</v>
      </c>
      <c r="X13" s="1082">
        <v>6.7999999999999996E-3</v>
      </c>
      <c r="Y13" s="1071"/>
      <c r="Z13" s="1079">
        <v>7434.8059999999996</v>
      </c>
      <c r="AA13" s="1079">
        <v>18503.467000000001</v>
      </c>
      <c r="AB13" s="1082">
        <v>6.1999999999999998E-3</v>
      </c>
      <c r="AC13" s="1071"/>
      <c r="AD13" s="1079">
        <v>5975.8360000000002</v>
      </c>
      <c r="AE13" s="1079">
        <v>14691.668</v>
      </c>
      <c r="AF13" s="1082">
        <v>7.4000000000000003E-3</v>
      </c>
      <c r="AG13" s="1071"/>
      <c r="AH13" s="1079">
        <v>6895.2579999999998</v>
      </c>
      <c r="AI13" s="1079">
        <v>15079.529</v>
      </c>
      <c r="AJ13" s="1082">
        <v>8.0999999999999996E-3</v>
      </c>
      <c r="AK13" s="1077"/>
      <c r="AL13" s="1079">
        <v>6927.5569999999998</v>
      </c>
      <c r="AM13" s="1079">
        <v>15408.314</v>
      </c>
      <c r="AN13" s="1082">
        <v>7.7999999999999996E-3</v>
      </c>
      <c r="AO13" s="1071"/>
      <c r="AP13" s="1079">
        <v>7747.951</v>
      </c>
      <c r="AQ13" s="1079">
        <v>17541.302</v>
      </c>
      <c r="AR13" s="1082">
        <v>7.6E-3</v>
      </c>
      <c r="AS13" s="1077"/>
      <c r="AT13" s="1080">
        <v>9196656</v>
      </c>
      <c r="AU13" s="1080">
        <v>21739006</v>
      </c>
      <c r="AV13" s="1077">
        <v>8.0000000000000002E-3</v>
      </c>
      <c r="AW13" s="1077"/>
      <c r="AX13" s="1080">
        <v>10170746</v>
      </c>
      <c r="AY13" s="1080">
        <v>24272837</v>
      </c>
      <c r="AZ13" s="1077">
        <v>6.4999999999999997E-3</v>
      </c>
      <c r="BA13" s="1071"/>
      <c r="BB13" s="1080">
        <v>9.6180529999999997</v>
      </c>
      <c r="BC13" s="1080">
        <v>21809.433000000001</v>
      </c>
      <c r="BD13" s="1077">
        <v>5.7000000000000002E-3</v>
      </c>
      <c r="BE13" s="1071"/>
      <c r="BF13" s="1080">
        <v>10784.101000000001</v>
      </c>
      <c r="BG13" s="1080">
        <v>24233.746999999999</v>
      </c>
      <c r="BH13" s="1077">
        <v>6.1000000000000004E-3</v>
      </c>
      <c r="BI13" s="1071"/>
      <c r="BJ13" s="1080">
        <v>12067.589</v>
      </c>
      <c r="BK13" s="1080">
        <v>25096.258000000002</v>
      </c>
      <c r="BL13" s="1077">
        <v>5.6000000000000008E-3</v>
      </c>
      <c r="BM13" s="1071"/>
      <c r="BN13" s="1079">
        <v>13512.96</v>
      </c>
      <c r="BO13" s="1079">
        <v>29022.866999999998</v>
      </c>
      <c r="BP13" s="1082">
        <v>5.1999999999999998E-3</v>
      </c>
      <c r="BQ13" s="1083">
        <v>12372.885</v>
      </c>
      <c r="BR13" s="1079">
        <v>31316.512999999999</v>
      </c>
      <c r="BS13" s="1082">
        <v>4.4999999999999997E-3</v>
      </c>
      <c r="BT13" s="1079">
        <v>14910.718999999999</v>
      </c>
      <c r="BU13" s="1079">
        <v>36391.112999999998</v>
      </c>
      <c r="BV13" s="1082">
        <v>4.5999999999999999E-3</v>
      </c>
      <c r="BW13" s="1082"/>
      <c r="BX13" s="1082"/>
      <c r="BY13" s="1082"/>
      <c r="BZ13" s="1082"/>
      <c r="CA13" s="1082"/>
      <c r="CB13" s="1082"/>
      <c r="CC13" s="1082"/>
    </row>
    <row r="14" spans="2:81">
      <c r="C14" s="1071"/>
      <c r="D14" s="1074" t="s">
        <v>1605</v>
      </c>
      <c r="E14" s="1074"/>
      <c r="F14" s="1079">
        <v>2592.9780000000001</v>
      </c>
      <c r="G14" s="1079">
        <v>4794.027</v>
      </c>
      <c r="H14" s="1082">
        <v>6.7000000000000002E-3</v>
      </c>
      <c r="I14" s="1071"/>
      <c r="J14" s="1079">
        <v>3473.335</v>
      </c>
      <c r="K14" s="1079">
        <v>6241.9530000000004</v>
      </c>
      <c r="L14" s="1082">
        <v>7.4999999999999997E-3</v>
      </c>
      <c r="M14" s="1071"/>
      <c r="N14" s="1079">
        <v>3968.998</v>
      </c>
      <c r="O14" s="1079">
        <v>7187.2439999999997</v>
      </c>
      <c r="P14" s="1082">
        <v>8.5000000000000006E-3</v>
      </c>
      <c r="Q14" s="1071"/>
      <c r="R14" s="1079">
        <v>4098.2539999999999</v>
      </c>
      <c r="S14" s="1079">
        <v>7777.183</v>
      </c>
      <c r="T14" s="1082">
        <v>8.0999999999999996E-3</v>
      </c>
      <c r="U14" s="1071"/>
      <c r="V14" s="1079">
        <v>5025.8069999999998</v>
      </c>
      <c r="W14" s="1079">
        <v>9206.7129999999997</v>
      </c>
      <c r="X14" s="1082">
        <v>7.6E-3</v>
      </c>
      <c r="Y14" s="1071"/>
      <c r="Z14" s="1079">
        <v>4229.3230000000003</v>
      </c>
      <c r="AA14" s="1079">
        <v>7360.2709999999997</v>
      </c>
      <c r="AB14" s="1082">
        <v>7.4000000000000003E-3</v>
      </c>
      <c r="AC14" s="1071"/>
      <c r="AD14" s="1079">
        <v>3428.57</v>
      </c>
      <c r="AE14" s="1079">
        <v>5936.1469999999999</v>
      </c>
      <c r="AF14" s="1082">
        <v>8.5000000000000006E-3</v>
      </c>
      <c r="AG14" s="1071"/>
      <c r="AH14" s="1079">
        <v>3714.4450000000002</v>
      </c>
      <c r="AI14" s="1079">
        <v>6793.8760000000002</v>
      </c>
      <c r="AJ14" s="1082">
        <v>1.01E-2</v>
      </c>
      <c r="AK14" s="1077"/>
      <c r="AL14" s="1079">
        <v>3596.5349999999999</v>
      </c>
      <c r="AM14" s="1079">
        <v>6896.3890000000001</v>
      </c>
      <c r="AN14" s="1082">
        <v>9.4000000000000004E-3</v>
      </c>
      <c r="AO14" s="1071"/>
      <c r="AP14" s="1079">
        <v>4250.3599999999997</v>
      </c>
      <c r="AQ14" s="1079">
        <v>7686.6109999999999</v>
      </c>
      <c r="AR14" s="1082">
        <v>9.1999999999999998E-3</v>
      </c>
      <c r="AS14" s="1077"/>
      <c r="AT14" s="1080">
        <v>5572648</v>
      </c>
      <c r="AU14" s="1080">
        <v>9196480</v>
      </c>
      <c r="AV14" s="1077">
        <v>9.300000000000001E-3</v>
      </c>
      <c r="AW14" s="1077"/>
      <c r="AX14" s="1080">
        <v>5864266</v>
      </c>
      <c r="AY14" s="1080">
        <v>10105622</v>
      </c>
      <c r="AZ14" s="1077">
        <v>9.4000000000000004E-3</v>
      </c>
      <c r="BA14" s="1071"/>
      <c r="BB14" s="1080">
        <v>5205.8410000000003</v>
      </c>
      <c r="BC14" s="1080">
        <v>9611.1869999999999</v>
      </c>
      <c r="BD14" s="1077">
        <v>8.6E-3</v>
      </c>
      <c r="BE14" s="1071"/>
      <c r="BF14" s="1080">
        <v>5683.991</v>
      </c>
      <c r="BG14" s="1080">
        <v>10711.194</v>
      </c>
      <c r="BH14" s="1077">
        <v>8.8999999999999999E-3</v>
      </c>
      <c r="BI14" s="1071"/>
      <c r="BJ14" s="1080">
        <v>6557.5190000000002</v>
      </c>
      <c r="BK14" s="1080">
        <v>11978.971</v>
      </c>
      <c r="BL14" s="1076">
        <v>8.6999999999999994E-3</v>
      </c>
      <c r="BM14" s="1071"/>
      <c r="BN14" s="1079">
        <v>7275.9669999999996</v>
      </c>
      <c r="BO14" s="1079">
        <v>13455.802</v>
      </c>
      <c r="BP14" s="1082">
        <v>8.0999999999999996E-3</v>
      </c>
      <c r="BQ14" s="1083">
        <v>5918981</v>
      </c>
      <c r="BR14" s="1079">
        <v>12323.853999999999</v>
      </c>
      <c r="BS14" s="1082">
        <v>5.7000000000000002E-3</v>
      </c>
      <c r="BT14" s="1079">
        <v>7493.607</v>
      </c>
      <c r="BU14" s="1079">
        <v>14820.048000000001</v>
      </c>
      <c r="BV14" s="1082">
        <v>6.1000000000000004E-3</v>
      </c>
      <c r="BW14" s="1082"/>
      <c r="BX14" s="1082"/>
      <c r="BY14" s="1082"/>
      <c r="BZ14" s="1082"/>
      <c r="CA14" s="1082"/>
      <c r="CB14" s="1082"/>
      <c r="CC14" s="1082"/>
    </row>
    <row r="15" spans="2:81">
      <c r="C15" s="1071"/>
      <c r="D15" s="1074" t="s">
        <v>1606</v>
      </c>
      <c r="E15" s="1074"/>
      <c r="F15" s="1079">
        <v>1723.9069999999999</v>
      </c>
      <c r="G15" s="1079">
        <v>2585.9839999999999</v>
      </c>
      <c r="H15" s="1082">
        <v>1.11E-2</v>
      </c>
      <c r="I15" s="1071"/>
      <c r="J15" s="1079">
        <v>2234.1460000000002</v>
      </c>
      <c r="K15" s="1079">
        <v>3464.1039999999998</v>
      </c>
      <c r="L15" s="1082">
        <v>1.0699999999999999E-2</v>
      </c>
      <c r="M15" s="1071"/>
      <c r="N15" s="1079">
        <v>2525.4720000000002</v>
      </c>
      <c r="O15" s="1079">
        <v>3961.4250000000002</v>
      </c>
      <c r="P15" s="1082">
        <v>1.0999999999999999E-2</v>
      </c>
      <c r="Q15" s="1071"/>
      <c r="R15" s="1079">
        <v>2861.6550000000002</v>
      </c>
      <c r="S15" s="1079">
        <v>4085.1840000000002</v>
      </c>
      <c r="T15" s="1082">
        <v>1.03E-2</v>
      </c>
      <c r="U15" s="1071"/>
      <c r="V15" s="1079">
        <v>3426.5859999999998</v>
      </c>
      <c r="W15" s="1079">
        <v>5012.5770000000002</v>
      </c>
      <c r="X15" s="1082">
        <v>9.2999999999999992E-3</v>
      </c>
      <c r="Y15" s="1071"/>
      <c r="Z15" s="1079">
        <v>2785.6979999999999</v>
      </c>
      <c r="AA15" s="1079">
        <v>4225.152</v>
      </c>
      <c r="AB15" s="1082">
        <v>9.7000000000000003E-3</v>
      </c>
      <c r="AC15" s="1071"/>
      <c r="AD15" s="1079">
        <v>2386.9850000000001</v>
      </c>
      <c r="AE15" s="1079">
        <v>3414.634</v>
      </c>
      <c r="AF15" s="1082">
        <v>1.15E-2</v>
      </c>
      <c r="AG15" s="1071"/>
      <c r="AH15" s="1079">
        <v>2512.1370000000002</v>
      </c>
      <c r="AI15" s="1079">
        <v>3710.9850000000001</v>
      </c>
      <c r="AJ15" s="1082">
        <v>1.2E-2</v>
      </c>
      <c r="AK15" s="1077"/>
      <c r="AL15" s="1079">
        <v>2366.4639999999999</v>
      </c>
      <c r="AM15" s="1079">
        <v>3577.7739999999999</v>
      </c>
      <c r="AN15" s="1082">
        <v>1.17E-2</v>
      </c>
      <c r="AO15" s="1071"/>
      <c r="AP15" s="1079">
        <v>2772.8310000000001</v>
      </c>
      <c r="AQ15" s="1079">
        <v>4227.6679999999997</v>
      </c>
      <c r="AR15" s="1082">
        <v>1.14E-2</v>
      </c>
      <c r="AS15" s="1077"/>
      <c r="AT15" s="1080">
        <v>3581547</v>
      </c>
      <c r="AU15" s="1080">
        <v>5569840</v>
      </c>
      <c r="AV15" s="1077">
        <v>1.1899999999999999E-2</v>
      </c>
      <c r="AW15" s="1077"/>
      <c r="AX15" s="1080">
        <v>3724624</v>
      </c>
      <c r="AY15" s="1080">
        <v>5844592</v>
      </c>
      <c r="AZ15" s="1077">
        <v>1.0500000000000001E-2</v>
      </c>
      <c r="BA15" s="1071"/>
      <c r="BB15" s="1080">
        <v>3195.8980000000001</v>
      </c>
      <c r="BC15" s="1080">
        <v>5199.9520000000002</v>
      </c>
      <c r="BD15" s="1077">
        <v>9.9000000000000008E-3</v>
      </c>
      <c r="BE15" s="1071"/>
      <c r="BF15" s="1080">
        <v>3520.5659999999998</v>
      </c>
      <c r="BG15" s="1080">
        <v>5676.7160000000003</v>
      </c>
      <c r="BH15" s="1077">
        <v>9.7999999999999997E-3</v>
      </c>
      <c r="BI15" s="1071"/>
      <c r="BJ15" s="1080">
        <v>4097.96</v>
      </c>
      <c r="BK15" s="1080">
        <v>6545.5479999999998</v>
      </c>
      <c r="BL15" s="1076">
        <v>9.0000000000000011E-3</v>
      </c>
      <c r="BM15" s="1071"/>
      <c r="BN15" s="1079">
        <v>4504.0659999999998</v>
      </c>
      <c r="BO15" s="1079">
        <v>7254.23</v>
      </c>
      <c r="BP15" s="1082">
        <v>8.5000000000000006E-3</v>
      </c>
      <c r="BQ15" s="1083">
        <v>3770176</v>
      </c>
      <c r="BR15" s="1079">
        <v>5916.0169999999998</v>
      </c>
      <c r="BS15" s="1082">
        <v>5.7999999999999996E-3</v>
      </c>
      <c r="BT15" s="1079">
        <v>4622.2610000000004</v>
      </c>
      <c r="BU15" s="1079">
        <v>7461.2839999999997</v>
      </c>
      <c r="BV15" s="1082">
        <v>6.4000000000000003E-3</v>
      </c>
      <c r="BW15" s="1082"/>
      <c r="BX15" s="1082"/>
      <c r="BY15" s="1082"/>
      <c r="BZ15" s="1082"/>
      <c r="CA15" s="1082"/>
      <c r="CB15" s="1082"/>
      <c r="CC15" s="1082"/>
    </row>
    <row r="16" spans="2:81">
      <c r="C16" s="1071"/>
      <c r="D16" s="1074" t="s">
        <v>1607</v>
      </c>
      <c r="E16" s="1074"/>
      <c r="F16" s="1079">
        <v>1167.04</v>
      </c>
      <c r="G16" s="1079">
        <v>1720.9590000000001</v>
      </c>
      <c r="H16" s="1082">
        <v>1.3599999999999999E-2</v>
      </c>
      <c r="I16" s="1071"/>
      <c r="J16" s="1079">
        <v>1607.931</v>
      </c>
      <c r="K16" s="1079">
        <v>2231.7069999999999</v>
      </c>
      <c r="L16" s="1082">
        <v>1.44E-2</v>
      </c>
      <c r="M16" s="1071"/>
      <c r="N16" s="1079">
        <v>1729.364</v>
      </c>
      <c r="O16" s="1079">
        <v>2519.2800000000002</v>
      </c>
      <c r="P16" s="1082">
        <v>1.49E-2</v>
      </c>
      <c r="Q16" s="1071"/>
      <c r="R16" s="1079">
        <v>1947.24</v>
      </c>
      <c r="S16" s="1079">
        <v>2848.7710000000002</v>
      </c>
      <c r="T16" s="1082">
        <v>1.4500000000000001E-2</v>
      </c>
      <c r="U16" s="1071"/>
      <c r="V16" s="1079">
        <v>2413.5830000000001</v>
      </c>
      <c r="W16" s="1079">
        <v>3422.7429999999999</v>
      </c>
      <c r="X16" s="1082">
        <v>1.47E-2</v>
      </c>
      <c r="Y16" s="1071"/>
      <c r="Z16" s="1079">
        <v>1849.95</v>
      </c>
      <c r="AA16" s="1079">
        <v>2785.538</v>
      </c>
      <c r="AB16" s="1082">
        <v>1.54E-2</v>
      </c>
      <c r="AC16" s="1071"/>
      <c r="AD16" s="1079">
        <v>1602.4290000000001</v>
      </c>
      <c r="AE16" s="1079">
        <v>2384.0259999999998</v>
      </c>
      <c r="AF16" s="1082">
        <v>1.6899999999999998E-2</v>
      </c>
      <c r="AG16" s="1071"/>
      <c r="AH16" s="1079">
        <v>1778.7560000000001</v>
      </c>
      <c r="AI16" s="1079">
        <v>2509.152</v>
      </c>
      <c r="AJ16" s="1082">
        <v>1.8100000000000002E-2</v>
      </c>
      <c r="AK16" s="1077"/>
      <c r="AL16" s="1079">
        <v>1621.096</v>
      </c>
      <c r="AM16" s="1079">
        <v>2362.5320000000002</v>
      </c>
      <c r="AN16" s="1082">
        <v>1.7399999999999999E-2</v>
      </c>
      <c r="AO16" s="1071"/>
      <c r="AP16" s="1079">
        <v>1912.24</v>
      </c>
      <c r="AQ16" s="1079">
        <v>2759.3910000000001</v>
      </c>
      <c r="AR16" s="1082">
        <v>1.7000000000000001E-2</v>
      </c>
      <c r="AS16" s="1077"/>
      <c r="AT16" s="1080">
        <v>2432888</v>
      </c>
      <c r="AU16" s="1080">
        <v>3573079</v>
      </c>
      <c r="AV16" s="1077">
        <v>1.72E-2</v>
      </c>
      <c r="AW16" s="1077"/>
      <c r="AX16" s="1080">
        <v>2552441</v>
      </c>
      <c r="AY16" s="1080">
        <v>3724186</v>
      </c>
      <c r="AZ16" s="1077">
        <v>1.6500000000000001E-2</v>
      </c>
      <c r="BA16" s="1071"/>
      <c r="BB16" s="1080">
        <v>2090.5659999999998</v>
      </c>
      <c r="BC16" s="1080">
        <v>3187.48</v>
      </c>
      <c r="BD16" s="1077">
        <v>1.49E-2</v>
      </c>
      <c r="BE16" s="1071"/>
      <c r="BF16" s="1080">
        <v>2392.6889999999999</v>
      </c>
      <c r="BG16" s="1080">
        <v>3512.913</v>
      </c>
      <c r="BH16" s="1077">
        <v>1.5100000000000001E-2</v>
      </c>
      <c r="BI16" s="1071"/>
      <c r="BJ16" s="1080">
        <v>2763.7190000000001</v>
      </c>
      <c r="BK16" s="1080">
        <v>4091.971</v>
      </c>
      <c r="BL16" s="1076">
        <v>1.38E-2</v>
      </c>
      <c r="BM16" s="1071"/>
      <c r="BN16" s="1079">
        <v>2996.0030000000002</v>
      </c>
      <c r="BO16" s="1079">
        <v>4503.549</v>
      </c>
      <c r="BP16" s="1082">
        <v>1.2800000000000001E-2</v>
      </c>
      <c r="BQ16" s="1083">
        <v>2365.4250000000002</v>
      </c>
      <c r="BR16" s="1079">
        <v>3769.877</v>
      </c>
      <c r="BS16" s="1082">
        <v>9.2999999999999992E-3</v>
      </c>
      <c r="BT16" s="1079">
        <v>3011.2240000000002</v>
      </c>
      <c r="BU16" s="1079">
        <v>4621.7849999999999</v>
      </c>
      <c r="BV16" s="1082">
        <v>9.4999999999999998E-3</v>
      </c>
      <c r="BW16" s="1082"/>
      <c r="BX16" s="1082"/>
      <c r="BY16" s="1082"/>
      <c r="BZ16" s="1082"/>
      <c r="CA16" s="1082"/>
      <c r="CB16" s="1082"/>
      <c r="CC16" s="1082"/>
    </row>
    <row r="17" spans="3:81">
      <c r="C17" s="1071"/>
      <c r="D17" s="1074" t="s">
        <v>1608</v>
      </c>
      <c r="E17" s="1074"/>
      <c r="F17" s="1079">
        <v>797.30200000000002</v>
      </c>
      <c r="G17" s="1079">
        <v>1166.799</v>
      </c>
      <c r="H17" s="1082">
        <v>1.5900000000000001E-2</v>
      </c>
      <c r="I17" s="1071"/>
      <c r="J17" s="1079">
        <v>1098.2840000000001</v>
      </c>
      <c r="K17" s="1079">
        <v>1607.854</v>
      </c>
      <c r="L17" s="1082">
        <v>1.7500000000000002E-2</v>
      </c>
      <c r="M17" s="1071"/>
      <c r="N17" s="1079">
        <v>1282.2760000000001</v>
      </c>
      <c r="O17" s="1079">
        <v>1728.8879999999999</v>
      </c>
      <c r="P17" s="1082">
        <v>1.7299999999999999E-2</v>
      </c>
      <c r="Q17" s="1071"/>
      <c r="R17" s="1079">
        <v>1379.2670000000001</v>
      </c>
      <c r="S17" s="1079">
        <v>1946.588</v>
      </c>
      <c r="T17" s="1082">
        <v>1.67E-2</v>
      </c>
      <c r="U17" s="1071"/>
      <c r="V17" s="1079">
        <v>1633.6679999999999</v>
      </c>
      <c r="W17" s="1079">
        <v>2411.7939999999999</v>
      </c>
      <c r="X17" s="1082">
        <v>1.6E-2</v>
      </c>
      <c r="Y17" s="1071"/>
      <c r="Z17" s="1079">
        <v>1198.0129999999999</v>
      </c>
      <c r="AA17" s="1079">
        <v>1848.961</v>
      </c>
      <c r="AB17" s="1082">
        <v>1.6299999999999999E-2</v>
      </c>
      <c r="AC17" s="1071"/>
      <c r="AD17" s="1079">
        <v>1063.3330000000001</v>
      </c>
      <c r="AE17" s="1079">
        <v>1600.1690000000001</v>
      </c>
      <c r="AF17" s="1082">
        <v>1.7299999999999999E-2</v>
      </c>
      <c r="AG17" s="1071"/>
      <c r="AH17" s="1079">
        <v>1214.6790000000001</v>
      </c>
      <c r="AI17" s="1079">
        <v>1775.9659999999999</v>
      </c>
      <c r="AJ17" s="1082">
        <v>1.8200000000000001E-2</v>
      </c>
      <c r="AK17" s="1077"/>
      <c r="AL17" s="1079">
        <v>1090.652</v>
      </c>
      <c r="AM17" s="1079">
        <v>1620.86</v>
      </c>
      <c r="AN17" s="1082">
        <v>1.7500000000000002E-2</v>
      </c>
      <c r="AO17" s="1071"/>
      <c r="AP17" s="1079">
        <v>1346.6189999999999</v>
      </c>
      <c r="AQ17" s="1079">
        <v>1909.0509999999999</v>
      </c>
      <c r="AR17" s="1082">
        <v>1.72E-2</v>
      </c>
      <c r="AS17" s="1077"/>
      <c r="AT17" s="1080">
        <v>1622997</v>
      </c>
      <c r="AU17" s="1080">
        <v>2431229</v>
      </c>
      <c r="AV17" s="1077">
        <v>1.7500000000000002E-2</v>
      </c>
      <c r="AW17" s="1077"/>
      <c r="AX17" s="1080">
        <v>1688895</v>
      </c>
      <c r="AY17" s="1080">
        <v>2542913</v>
      </c>
      <c r="AZ17" s="1077">
        <v>1.6299999999999999E-2</v>
      </c>
      <c r="BA17" s="1071"/>
      <c r="BB17" s="1080">
        <v>1400.931</v>
      </c>
      <c r="BC17" s="1080">
        <v>2083.6419999999998</v>
      </c>
      <c r="BD17" s="1077">
        <v>1.6299999999999999E-2</v>
      </c>
      <c r="BE17" s="1071"/>
      <c r="BF17" s="1080">
        <v>1571.193</v>
      </c>
      <c r="BG17" s="1080">
        <v>2390.8989999999999</v>
      </c>
      <c r="BH17" s="1077">
        <v>1.66E-2</v>
      </c>
      <c r="BI17" s="1071"/>
      <c r="BJ17" s="1080">
        <v>1815.68</v>
      </c>
      <c r="BK17" s="1080">
        <v>2759.9389999999999</v>
      </c>
      <c r="BL17" s="1076">
        <v>1.6E-2</v>
      </c>
      <c r="BM17" s="1071"/>
      <c r="BN17" s="1079">
        <v>1961.8309999999999</v>
      </c>
      <c r="BO17" s="1079">
        <v>2992.2510000000002</v>
      </c>
      <c r="BP17" s="1082">
        <v>1.4999999999999999E-2</v>
      </c>
      <c r="BQ17" s="1083">
        <v>1389.8510000000001</v>
      </c>
      <c r="BR17" s="1079">
        <v>2365.076</v>
      </c>
      <c r="BS17" s="1082">
        <v>1.1599999999999999E-2</v>
      </c>
      <c r="BT17" s="1079">
        <v>1864.2929999999999</v>
      </c>
      <c r="BU17" s="1079">
        <v>3010.806</v>
      </c>
      <c r="BV17" s="1082">
        <v>1.21E-2</v>
      </c>
      <c r="BW17" s="1082"/>
      <c r="BX17" s="1082"/>
      <c r="BY17" s="1082"/>
      <c r="BZ17" s="1082"/>
      <c r="CA17" s="1082"/>
      <c r="CB17" s="1082"/>
      <c r="CC17" s="1082"/>
    </row>
    <row r="18" spans="3:81">
      <c r="C18" s="1071"/>
      <c r="D18" s="1074" t="s">
        <v>1609</v>
      </c>
      <c r="E18" s="1074"/>
      <c r="F18" s="1079">
        <v>508.21</v>
      </c>
      <c r="G18" s="1079">
        <v>795.98299999999995</v>
      </c>
      <c r="H18" s="1082">
        <v>1.5699999999999999E-2</v>
      </c>
      <c r="I18" s="1071"/>
      <c r="J18" s="1079">
        <v>746.24900000000002</v>
      </c>
      <c r="K18" s="1079">
        <v>1097.6030000000001</v>
      </c>
      <c r="L18" s="1082">
        <v>1.61E-2</v>
      </c>
      <c r="M18" s="1071"/>
      <c r="N18" s="1079">
        <v>872.44299999999998</v>
      </c>
      <c r="O18" s="1079">
        <v>1280.9659999999999</v>
      </c>
      <c r="P18" s="1082">
        <v>1.67E-2</v>
      </c>
      <c r="Q18" s="1071"/>
      <c r="R18" s="1079">
        <v>977.91200000000003</v>
      </c>
      <c r="S18" s="1079">
        <v>1378.4760000000001</v>
      </c>
      <c r="T18" s="1082">
        <v>1.6199999999999999E-2</v>
      </c>
      <c r="U18" s="1071"/>
      <c r="V18" s="1079">
        <v>1129.192</v>
      </c>
      <c r="W18" s="1079">
        <v>1633.32</v>
      </c>
      <c r="X18" s="1082">
        <v>1.4999999999999999E-2</v>
      </c>
      <c r="Y18" s="1071"/>
      <c r="Z18" s="1079">
        <v>753.67600000000004</v>
      </c>
      <c r="AA18" s="1079">
        <v>1197.133</v>
      </c>
      <c r="AB18" s="1082">
        <v>1.6199999999999999E-2</v>
      </c>
      <c r="AC18" s="1071"/>
      <c r="AD18" s="1079">
        <v>685.12900000000002</v>
      </c>
      <c r="AE18" s="1079">
        <v>1063.308</v>
      </c>
      <c r="AF18" s="1082">
        <v>1.7299999999999999E-2</v>
      </c>
      <c r="AG18" s="1071"/>
      <c r="AH18" s="1079">
        <v>772.79499999999996</v>
      </c>
      <c r="AI18" s="1079">
        <v>1212.29</v>
      </c>
      <c r="AJ18" s="1082">
        <v>1.8800000000000001E-2</v>
      </c>
      <c r="AK18" s="1077"/>
      <c r="AL18" s="1079">
        <v>683.05899999999997</v>
      </c>
      <c r="AM18" s="1079">
        <v>1090.5150000000001</v>
      </c>
      <c r="AN18" s="1082">
        <v>1.77E-2</v>
      </c>
      <c r="AO18" s="1071"/>
      <c r="AP18" s="1079">
        <v>822.077</v>
      </c>
      <c r="AQ18" s="1079">
        <v>1346.528</v>
      </c>
      <c r="AR18" s="1082">
        <v>1.7299999999999999E-2</v>
      </c>
      <c r="AS18" s="1077"/>
      <c r="AT18" s="1080">
        <v>1056204</v>
      </c>
      <c r="AU18" s="1080">
        <v>1621792</v>
      </c>
      <c r="AV18" s="1077">
        <v>1.7500000000000002E-2</v>
      </c>
      <c r="AW18" s="1077"/>
      <c r="AX18" s="1080">
        <v>1011278</v>
      </c>
      <c r="AY18" s="1080">
        <v>1686860</v>
      </c>
      <c r="AZ18" s="1077">
        <v>1.77E-2</v>
      </c>
      <c r="BA18" s="1071"/>
      <c r="BB18" s="1080">
        <v>845.50900000000001</v>
      </c>
      <c r="BC18" s="1080">
        <v>1400.2080000000001</v>
      </c>
      <c r="BD18" s="1077">
        <v>1.6199999999999999E-2</v>
      </c>
      <c r="BE18" s="1071"/>
      <c r="BF18" s="1080">
        <v>1033.3409999999999</v>
      </c>
      <c r="BG18" s="1080">
        <v>1569.9839999999999</v>
      </c>
      <c r="BH18" s="1077">
        <v>1.72E-2</v>
      </c>
      <c r="BI18" s="1071"/>
      <c r="BJ18" s="1080">
        <v>1175.3689999999999</v>
      </c>
      <c r="BK18" s="1080">
        <v>1814.568</v>
      </c>
      <c r="BL18" s="1076">
        <v>1.5800000000000002E-2</v>
      </c>
      <c r="BM18" s="1071"/>
      <c r="BN18" s="1079">
        <v>1292.7909999999999</v>
      </c>
      <c r="BO18" s="1079">
        <v>1960.201</v>
      </c>
      <c r="BP18" s="1082">
        <v>1.5800000000000002E-2</v>
      </c>
      <c r="BQ18" s="1083">
        <v>789.01900000000001</v>
      </c>
      <c r="BR18" s="1079">
        <v>1389.1179999999999</v>
      </c>
      <c r="BS18" s="1082">
        <v>1.37E-2</v>
      </c>
      <c r="BT18" s="1079">
        <v>1050.0830000000001</v>
      </c>
      <c r="BU18" s="1079">
        <v>1862.491</v>
      </c>
      <c r="BV18" s="1082">
        <v>1.3899999999999999E-2</v>
      </c>
      <c r="BW18" s="1082"/>
      <c r="BX18" s="1082"/>
      <c r="BY18" s="1082"/>
      <c r="BZ18" s="1082"/>
      <c r="CA18" s="1082"/>
      <c r="CB18" s="1082"/>
      <c r="CC18" s="1082"/>
    </row>
    <row r="19" spans="3:81">
      <c r="C19" s="1071"/>
      <c r="D19" s="1074" t="s">
        <v>1610</v>
      </c>
      <c r="E19" s="1074"/>
      <c r="F19" s="1079">
        <v>330.79700000000003</v>
      </c>
      <c r="G19" s="1079">
        <v>507.82</v>
      </c>
      <c r="H19" s="1082">
        <v>2.2499999999999999E-2</v>
      </c>
      <c r="I19" s="1071"/>
      <c r="J19" s="1079">
        <v>506.41</v>
      </c>
      <c r="K19" s="1079">
        <v>746.21900000000005</v>
      </c>
      <c r="L19" s="1082">
        <v>2.3599999999999999E-2</v>
      </c>
      <c r="M19" s="1071"/>
      <c r="N19" s="1079">
        <v>587.24300000000005</v>
      </c>
      <c r="O19" s="1079">
        <v>872.10299999999995</v>
      </c>
      <c r="P19" s="1082">
        <v>2.3300000000000001E-2</v>
      </c>
      <c r="Q19" s="1071"/>
      <c r="R19" s="1079">
        <v>627.01700000000005</v>
      </c>
      <c r="S19" s="1079">
        <v>976.62400000000002</v>
      </c>
      <c r="T19" s="1082">
        <v>2.2800000000000001E-2</v>
      </c>
      <c r="U19" s="1071"/>
      <c r="V19" s="1079">
        <v>725.26700000000005</v>
      </c>
      <c r="W19" s="1079">
        <v>1128.7650000000001</v>
      </c>
      <c r="X19" s="1082">
        <v>2.1999999999999999E-2</v>
      </c>
      <c r="Y19" s="1071"/>
      <c r="Z19" s="1079">
        <v>453.39800000000002</v>
      </c>
      <c r="AA19" s="1079">
        <v>753.44799999999998</v>
      </c>
      <c r="AB19" s="1082">
        <v>2.35E-2</v>
      </c>
      <c r="AC19" s="1071"/>
      <c r="AD19" s="1079">
        <v>432.17500000000001</v>
      </c>
      <c r="AE19" s="1079">
        <v>684.79</v>
      </c>
      <c r="AF19" s="1082">
        <v>2.4899999999999999E-2</v>
      </c>
      <c r="AG19" s="1071"/>
      <c r="AH19" s="1079">
        <v>478.10199999999998</v>
      </c>
      <c r="AI19" s="1079">
        <v>771.78899999999999</v>
      </c>
      <c r="AJ19" s="1082">
        <v>2.6499999999999999E-2</v>
      </c>
      <c r="AK19" s="1077"/>
      <c r="AL19" s="1079">
        <v>422.99900000000002</v>
      </c>
      <c r="AM19" s="1079">
        <v>682.75</v>
      </c>
      <c r="AN19" s="1082">
        <v>2.5100000000000001E-2</v>
      </c>
      <c r="AO19" s="1071"/>
      <c r="AP19" s="1079">
        <v>514.45899999999995</v>
      </c>
      <c r="AQ19" s="1079">
        <v>818.06500000000005</v>
      </c>
      <c r="AR19" s="1082">
        <v>2.46E-2</v>
      </c>
      <c r="AS19" s="1077"/>
      <c r="AT19" s="1080">
        <v>636747</v>
      </c>
      <c r="AU19" s="1080">
        <v>1055320</v>
      </c>
      <c r="AV19" s="1077">
        <v>2.4799999999999999E-2</v>
      </c>
      <c r="AW19" s="1077"/>
      <c r="AX19" s="1080">
        <v>549056</v>
      </c>
      <c r="AY19" s="1080">
        <v>1010634</v>
      </c>
      <c r="AZ19" s="1077">
        <v>2.18E-2</v>
      </c>
      <c r="BA19" s="1071"/>
      <c r="BB19" s="1080">
        <v>448.50200000000001</v>
      </c>
      <c r="BC19" s="1080">
        <v>844.47500000000002</v>
      </c>
      <c r="BD19" s="1077">
        <v>2.0400000000000001E-2</v>
      </c>
      <c r="BE19" s="1071"/>
      <c r="BF19" s="1080">
        <v>569.279</v>
      </c>
      <c r="BG19" s="1080">
        <v>1030.4259999999999</v>
      </c>
      <c r="BH19" s="1077">
        <v>2.0799999999999999E-2</v>
      </c>
      <c r="BI19" s="1071"/>
      <c r="BJ19" s="1080">
        <v>657.70500000000004</v>
      </c>
      <c r="BK19" s="1080">
        <v>1170.0630000000001</v>
      </c>
      <c r="BL19" s="1076">
        <v>1.8799999999999997E-2</v>
      </c>
      <c r="BM19" s="1071"/>
      <c r="BN19" s="1079">
        <v>730.04700000000003</v>
      </c>
      <c r="BO19" s="1079">
        <v>1292.2239999999999</v>
      </c>
      <c r="BP19" s="1082">
        <v>1.7999999999999999E-2</v>
      </c>
      <c r="BQ19" s="1083">
        <v>377.07600000000002</v>
      </c>
      <c r="BR19" s="1079">
        <v>782.38300000000004</v>
      </c>
      <c r="BS19" s="1082">
        <v>1.18E-2</v>
      </c>
      <c r="BT19" s="1079">
        <v>555.88</v>
      </c>
      <c r="BU19" s="1079">
        <v>1046.037</v>
      </c>
      <c r="BV19" s="1082">
        <v>1.14E-2</v>
      </c>
      <c r="BW19" s="1082"/>
      <c r="BX19" s="1082"/>
      <c r="BY19" s="1082"/>
      <c r="BZ19" s="1082"/>
      <c r="CA19" s="1082"/>
      <c r="CB19" s="1082"/>
      <c r="CC19" s="1082"/>
    </row>
    <row r="20" spans="3:81">
      <c r="C20" s="1071"/>
      <c r="D20" s="1074" t="s">
        <v>1611</v>
      </c>
      <c r="E20" s="1074"/>
      <c r="F20" s="1079">
        <v>166.44499999999999</v>
      </c>
      <c r="G20" s="1079">
        <v>330.608</v>
      </c>
      <c r="H20" s="1082">
        <v>2.9000000000000001E-2</v>
      </c>
      <c r="I20" s="1071"/>
      <c r="J20" s="1079">
        <v>262.97399999999999</v>
      </c>
      <c r="K20" s="1079">
        <v>505.43700000000001</v>
      </c>
      <c r="L20" s="1082">
        <v>2.86E-2</v>
      </c>
      <c r="M20" s="1071"/>
      <c r="N20" s="1079">
        <v>265.05599999999998</v>
      </c>
      <c r="O20" s="1079">
        <v>586.39300000000003</v>
      </c>
      <c r="P20" s="1082">
        <v>2.76E-2</v>
      </c>
      <c r="Q20" s="1071"/>
      <c r="R20" s="1079">
        <v>314.91199999999998</v>
      </c>
      <c r="S20" s="1079">
        <v>626.95500000000004</v>
      </c>
      <c r="T20" s="1082">
        <v>2.7E-2</v>
      </c>
      <c r="U20" s="1071"/>
      <c r="V20" s="1079">
        <v>363.54899999999998</v>
      </c>
      <c r="W20" s="1079">
        <v>723.25800000000004</v>
      </c>
      <c r="X20" s="1082">
        <v>2.5600000000000001E-2</v>
      </c>
      <c r="Y20" s="1071"/>
      <c r="Z20" s="1079">
        <v>218.74299999999999</v>
      </c>
      <c r="AA20" s="1079">
        <v>453.25400000000002</v>
      </c>
      <c r="AB20" s="1082">
        <v>2.7099999999999999E-2</v>
      </c>
      <c r="AC20" s="1071"/>
      <c r="AD20" s="1079">
        <v>214.19399999999999</v>
      </c>
      <c r="AE20" s="1079">
        <v>431.25599999999997</v>
      </c>
      <c r="AF20" s="1082">
        <v>2.8500000000000001E-2</v>
      </c>
      <c r="AG20" s="1071"/>
      <c r="AH20" s="1079">
        <v>235.72499999999999</v>
      </c>
      <c r="AI20" s="1079">
        <v>477.53899999999999</v>
      </c>
      <c r="AJ20" s="1082">
        <v>2.9399999999999999E-2</v>
      </c>
      <c r="AK20" s="1077"/>
      <c r="AL20" s="1079">
        <v>206.80199999999999</v>
      </c>
      <c r="AM20" s="1079">
        <v>422.81099999999998</v>
      </c>
      <c r="AN20" s="1082">
        <v>2.8000000000000001E-2</v>
      </c>
      <c r="AO20" s="1071"/>
      <c r="AP20" s="1079">
        <v>254.60400000000001</v>
      </c>
      <c r="AQ20" s="1079">
        <v>514.20899999999995</v>
      </c>
      <c r="AR20" s="1082">
        <v>2.7E-2</v>
      </c>
      <c r="AS20" s="1077"/>
      <c r="AT20" s="1080">
        <v>339522</v>
      </c>
      <c r="AU20" s="1080">
        <v>632770</v>
      </c>
      <c r="AV20" s="1077">
        <v>2.76E-2</v>
      </c>
      <c r="AW20" s="1077"/>
      <c r="AX20" s="1080">
        <v>300752</v>
      </c>
      <c r="AY20" s="1080">
        <v>548839</v>
      </c>
      <c r="AZ20" s="1077">
        <v>2.64E-2</v>
      </c>
      <c r="BA20" s="1071"/>
      <c r="BB20" s="1080">
        <v>209.88</v>
      </c>
      <c r="BC20" s="1080">
        <v>448.07900000000001</v>
      </c>
      <c r="BD20" s="1077">
        <v>2.5399999999999999E-2</v>
      </c>
      <c r="BE20" s="1071"/>
      <c r="BF20" s="1080">
        <v>263.71499999999997</v>
      </c>
      <c r="BG20" s="1080">
        <v>567.84299999999996</v>
      </c>
      <c r="BH20" s="1077">
        <v>2.6800000000000001E-2</v>
      </c>
      <c r="BI20" s="1071"/>
      <c r="BJ20" s="1080">
        <v>299.39999999999998</v>
      </c>
      <c r="BK20" s="1080">
        <v>656.84500000000003</v>
      </c>
      <c r="BL20" s="1076">
        <v>2.5000000000000001E-2</v>
      </c>
      <c r="BM20" s="1071"/>
      <c r="BN20" s="1079">
        <v>325.36</v>
      </c>
      <c r="BO20" s="1079">
        <v>727.84299999999996</v>
      </c>
      <c r="BP20" s="1082">
        <v>2.46E-2</v>
      </c>
      <c r="BQ20" s="1083">
        <v>218.38900000000001</v>
      </c>
      <c r="BR20" s="1079">
        <v>373.87900000000002</v>
      </c>
      <c r="BS20" s="1082">
        <v>2.1499999999999998E-2</v>
      </c>
      <c r="BT20" s="1079">
        <v>213.03899999999999</v>
      </c>
      <c r="BU20" s="1079">
        <v>554.52300000000002</v>
      </c>
      <c r="BV20" s="1082">
        <v>1.9900000000000001E-2</v>
      </c>
      <c r="BW20" s="1082"/>
      <c r="BX20" s="1082"/>
      <c r="BY20" s="1082"/>
      <c r="BZ20" s="1082"/>
      <c r="CA20" s="1082"/>
      <c r="CB20" s="1082"/>
      <c r="CC20" s="1082"/>
    </row>
    <row r="21" spans="3:81">
      <c r="C21" s="1081"/>
      <c r="D21" s="1084" t="s">
        <v>1612</v>
      </c>
      <c r="E21" s="1085"/>
      <c r="F21" s="1086">
        <v>0.33200000000000002</v>
      </c>
      <c r="G21" s="1086">
        <v>166.41399999999999</v>
      </c>
      <c r="H21" s="1087">
        <v>6.3399999999999998E-2</v>
      </c>
      <c r="I21" s="1081"/>
      <c r="J21" s="1086">
        <v>1.393</v>
      </c>
      <c r="K21" s="1086">
        <v>262.72500000000002</v>
      </c>
      <c r="L21" s="1087">
        <v>6.4100000000000004E-2</v>
      </c>
      <c r="M21" s="1081"/>
      <c r="N21" s="1086">
        <v>1.079</v>
      </c>
      <c r="O21" s="1086">
        <v>264.98099999999999</v>
      </c>
      <c r="P21" s="1087">
        <v>6.3600000000000004E-2</v>
      </c>
      <c r="Q21" s="1081"/>
      <c r="R21" s="1086">
        <v>2.2469999999999999</v>
      </c>
      <c r="S21" s="1086">
        <v>314.43299999999999</v>
      </c>
      <c r="T21" s="1087">
        <v>6.2700000000000006E-2</v>
      </c>
      <c r="U21" s="1081"/>
      <c r="V21" s="1086">
        <v>1.9219999999999999</v>
      </c>
      <c r="W21" s="1086">
        <v>363.47899999999998</v>
      </c>
      <c r="X21" s="1087">
        <v>5.8200000000000002E-2</v>
      </c>
      <c r="Y21" s="1081"/>
      <c r="Z21" s="1086">
        <v>1.575</v>
      </c>
      <c r="AA21" s="1086">
        <v>218.53299999999999</v>
      </c>
      <c r="AB21" s="1087">
        <v>5.8099999999999999E-2</v>
      </c>
      <c r="AC21" s="1081"/>
      <c r="AD21" s="1086">
        <v>1.0069999999999999</v>
      </c>
      <c r="AE21" s="1086">
        <v>214.11099999999999</v>
      </c>
      <c r="AF21" s="1087">
        <v>6.2799999999999995E-2</v>
      </c>
      <c r="AG21" s="1081"/>
      <c r="AH21" s="1086">
        <v>1.222</v>
      </c>
      <c r="AI21" s="1086">
        <v>235.64699999999999</v>
      </c>
      <c r="AJ21" s="1087">
        <v>6.3600000000000004E-2</v>
      </c>
      <c r="AK21" s="1088"/>
      <c r="AL21" s="1086">
        <v>1.028</v>
      </c>
      <c r="AM21" s="1086">
        <v>206.79499999999999</v>
      </c>
      <c r="AN21" s="1087">
        <v>6.0999999999999999E-2</v>
      </c>
      <c r="AO21" s="1081"/>
      <c r="AP21" s="1086">
        <v>1.139</v>
      </c>
      <c r="AQ21" s="1086">
        <v>253.761</v>
      </c>
      <c r="AR21" s="1087">
        <v>6.0299999999999999E-2</v>
      </c>
      <c r="AS21" s="1088"/>
      <c r="AT21" s="1089">
        <v>2395</v>
      </c>
      <c r="AU21" s="1089">
        <v>338829</v>
      </c>
      <c r="AV21" s="1088">
        <v>6.0100000000000001E-2</v>
      </c>
      <c r="AW21" s="1088"/>
      <c r="AX21" s="1089">
        <v>3037</v>
      </c>
      <c r="AY21" s="1089">
        <v>300725</v>
      </c>
      <c r="AZ21" s="1088">
        <v>5.7200000000000001E-2</v>
      </c>
      <c r="BA21" s="1081"/>
      <c r="BB21" s="1089">
        <v>1.9630000000000001</v>
      </c>
      <c r="BC21" s="1089">
        <v>209.40600000000001</v>
      </c>
      <c r="BD21" s="1088">
        <v>5.6000000000000001E-2</v>
      </c>
      <c r="BE21" s="1081"/>
      <c r="BF21" s="1089">
        <v>2.516</v>
      </c>
      <c r="BG21" s="1089">
        <v>262.89100000000002</v>
      </c>
      <c r="BH21" s="1088">
        <v>5.5899999999999998E-2</v>
      </c>
      <c r="BI21" s="1081"/>
      <c r="BJ21" s="1089">
        <v>2.5310000000000001</v>
      </c>
      <c r="BK21" s="1089">
        <v>299.29000000000002</v>
      </c>
      <c r="BL21" s="1090">
        <v>5.3699999999999998E-2</v>
      </c>
      <c r="BM21" s="1081"/>
      <c r="BN21" s="1086">
        <v>2.4550000000000001</v>
      </c>
      <c r="BO21" s="1086">
        <v>321.57799999999997</v>
      </c>
      <c r="BP21" s="1087">
        <v>5.2200000000000003E-2</v>
      </c>
      <c r="BQ21" s="1091">
        <v>2.0150000000000001</v>
      </c>
      <c r="BR21" s="1086">
        <v>218.227</v>
      </c>
      <c r="BS21" s="1087">
        <v>4.8300000000000003E-2</v>
      </c>
      <c r="BT21" s="1086">
        <v>1.5760000000000001</v>
      </c>
      <c r="BU21" s="1086">
        <v>212.64400000000001</v>
      </c>
      <c r="BV21" s="1087">
        <v>4.7E-2</v>
      </c>
      <c r="BW21" s="1087"/>
      <c r="BX21" s="1087"/>
      <c r="BY21" s="1087"/>
      <c r="BZ21" s="1087"/>
      <c r="CA21" s="1087"/>
      <c r="CB21" s="1087"/>
      <c r="CC21" s="1087"/>
    </row>
    <row r="22" spans="3:81">
      <c r="C22" s="1073"/>
      <c r="D22" s="1073"/>
      <c r="E22" s="1073"/>
      <c r="F22" s="1073"/>
      <c r="G22" s="1073"/>
      <c r="H22" s="1092"/>
      <c r="I22" s="1073"/>
      <c r="J22" s="1073"/>
      <c r="K22" s="1073"/>
      <c r="L22" s="1092"/>
      <c r="M22" s="1073"/>
      <c r="N22" s="1073"/>
      <c r="O22" s="1073"/>
      <c r="P22" s="1092"/>
      <c r="Q22" s="1073"/>
      <c r="R22" s="1073"/>
      <c r="S22" s="1073"/>
      <c r="T22" s="1092"/>
      <c r="U22" s="1073"/>
      <c r="V22" s="1073"/>
      <c r="W22" s="1073"/>
      <c r="X22" s="1092"/>
      <c r="Y22" s="1073"/>
      <c r="Z22" s="1073"/>
      <c r="AA22" s="1073"/>
      <c r="AB22" s="1092"/>
      <c r="AC22" s="1073"/>
      <c r="AD22" s="1073"/>
      <c r="AE22" s="1073"/>
      <c r="AF22" s="1092"/>
      <c r="AG22" s="1073"/>
      <c r="AH22" s="1073"/>
      <c r="AI22" s="1073"/>
      <c r="AJ22" s="1092"/>
      <c r="AK22" s="1093"/>
      <c r="AL22" s="1073"/>
      <c r="AM22" s="1073"/>
      <c r="AN22" s="1092"/>
      <c r="AO22" s="1073"/>
      <c r="AP22" s="1073"/>
      <c r="AQ22" s="1073"/>
      <c r="AR22" s="1092"/>
      <c r="AS22" s="1093"/>
      <c r="AT22" s="1094"/>
      <c r="AU22" s="1094"/>
      <c r="AV22" s="1093"/>
      <c r="AW22" s="1093"/>
      <c r="AX22" s="1094"/>
      <c r="AY22" s="1094"/>
      <c r="AZ22" s="1093"/>
      <c r="BA22" s="1073"/>
      <c r="BB22" s="1094"/>
      <c r="BC22" s="1094"/>
      <c r="BD22" s="1093"/>
      <c r="BE22" s="1073"/>
      <c r="BF22" s="1094"/>
      <c r="BG22" s="1094"/>
      <c r="BH22" s="1093"/>
      <c r="BI22" s="1073"/>
      <c r="BJ22" s="1094"/>
      <c r="BK22" s="1094"/>
      <c r="BL22" s="1095"/>
      <c r="BM22" s="1073"/>
      <c r="BN22" s="1073"/>
      <c r="BO22" s="1073"/>
      <c r="BP22" s="1092"/>
      <c r="BQ22" s="1073"/>
      <c r="BR22" s="1073"/>
      <c r="BS22" s="1092"/>
      <c r="BT22" s="1073"/>
      <c r="BU22" s="1073"/>
      <c r="BV22" s="1092"/>
      <c r="BW22" s="1096"/>
      <c r="BX22" s="1096"/>
      <c r="BY22" s="1096"/>
      <c r="BZ22" s="1096"/>
      <c r="CA22" s="1096"/>
      <c r="CB22" s="1096"/>
      <c r="CC22" s="1096"/>
    </row>
    <row r="23" spans="3:81">
      <c r="C23" s="1081" t="s">
        <v>1613</v>
      </c>
      <c r="D23" s="1071"/>
      <c r="E23" s="1071"/>
      <c r="F23" s="1071"/>
      <c r="G23" s="1071"/>
      <c r="H23" s="1096"/>
      <c r="I23" s="1071"/>
      <c r="J23" s="1071"/>
      <c r="K23" s="1071"/>
      <c r="L23" s="1096"/>
      <c r="M23" s="1071"/>
      <c r="N23" s="1071"/>
      <c r="O23" s="1071"/>
      <c r="P23" s="1096"/>
      <c r="Q23" s="1071"/>
      <c r="R23" s="1071"/>
      <c r="S23" s="1071"/>
      <c r="T23" s="1096"/>
      <c r="U23" s="1071"/>
      <c r="V23" s="1071"/>
      <c r="W23" s="1071"/>
      <c r="X23" s="1096"/>
      <c r="Y23" s="1071"/>
      <c r="Z23" s="1071"/>
      <c r="AA23" s="1071"/>
      <c r="AB23" s="1096"/>
      <c r="AC23" s="1071"/>
      <c r="AD23" s="1071"/>
      <c r="AE23" s="1071"/>
      <c r="AF23" s="1096"/>
      <c r="AG23" s="1071"/>
      <c r="AH23" s="1071"/>
      <c r="AI23" s="1071"/>
      <c r="AJ23" s="1096"/>
      <c r="AK23" s="1077"/>
      <c r="AL23" s="1071"/>
      <c r="AM23" s="1071"/>
      <c r="AN23" s="1096"/>
      <c r="AO23" s="1071"/>
      <c r="AP23" s="1071"/>
      <c r="AQ23" s="1071"/>
      <c r="AR23" s="1096"/>
      <c r="AS23" s="1077"/>
      <c r="AT23" s="1078"/>
      <c r="AU23" s="1078"/>
      <c r="AV23" s="1077"/>
      <c r="AW23" s="1077"/>
      <c r="AX23" s="1078"/>
      <c r="AY23" s="1078"/>
      <c r="AZ23" s="1077"/>
      <c r="BA23" s="1071"/>
      <c r="BB23" s="1078"/>
      <c r="BC23" s="1078"/>
      <c r="BD23" s="1077"/>
      <c r="BE23" s="1071"/>
      <c r="BF23" s="1078"/>
      <c r="BG23" s="1078"/>
      <c r="BH23" s="1077"/>
      <c r="BI23" s="1071"/>
      <c r="BJ23" s="1078"/>
      <c r="BK23" s="1078"/>
      <c r="BL23" s="1076"/>
      <c r="BM23" s="1071"/>
      <c r="BN23" s="1071"/>
      <c r="BO23" s="1071"/>
      <c r="BP23" s="1096"/>
      <c r="BQ23" s="1071"/>
      <c r="BR23" s="1071"/>
      <c r="BS23" s="1096"/>
      <c r="BT23" s="1071"/>
      <c r="BU23" s="1071"/>
      <c r="BV23" s="1096"/>
      <c r="BW23" s="1096"/>
      <c r="BX23" s="1096"/>
      <c r="BY23" s="1096"/>
      <c r="BZ23" s="1096"/>
      <c r="CA23" s="1096"/>
      <c r="CB23" s="1096"/>
      <c r="CC23" s="1096"/>
    </row>
    <row r="24" spans="3:81">
      <c r="C24" s="1071"/>
      <c r="D24" s="1097" t="s">
        <v>1614</v>
      </c>
      <c r="E24" s="1097"/>
      <c r="F24" s="1098">
        <v>96.960999999999999</v>
      </c>
      <c r="G24" s="1098">
        <v>166.41399999999999</v>
      </c>
      <c r="H24" s="1099">
        <v>4.4999999999999998E-2</v>
      </c>
      <c r="I24" s="1100"/>
      <c r="J24" s="1098">
        <v>144.12200000000001</v>
      </c>
      <c r="K24" s="1098">
        <v>262.72500000000002</v>
      </c>
      <c r="L24" s="1099">
        <v>4.5400000000000003E-2</v>
      </c>
      <c r="M24" s="1100"/>
      <c r="N24" s="1098">
        <v>169.245</v>
      </c>
      <c r="O24" s="1098">
        <v>264.98099999999999</v>
      </c>
      <c r="P24" s="1099">
        <v>4.3900000000000002E-2</v>
      </c>
      <c r="Q24" s="1100"/>
      <c r="R24" s="1098">
        <v>173.66399999999999</v>
      </c>
      <c r="S24" s="1098">
        <v>314.43299999999999</v>
      </c>
      <c r="T24" s="1099">
        <v>4.3499999999999997E-2</v>
      </c>
      <c r="U24" s="1100"/>
      <c r="V24" s="1098">
        <v>211.62799999999999</v>
      </c>
      <c r="W24" s="1098">
        <v>363.47899999999998</v>
      </c>
      <c r="X24" s="1099">
        <v>3.9899999999999998E-2</v>
      </c>
      <c r="Y24" s="1100"/>
      <c r="Z24" s="1098">
        <v>136.59899999999999</v>
      </c>
      <c r="AA24" s="1098">
        <v>218.53299999999999</v>
      </c>
      <c r="AB24" s="1099">
        <v>4.1099999999999998E-2</v>
      </c>
      <c r="AC24" s="1100"/>
      <c r="AD24" s="1098">
        <v>123.536</v>
      </c>
      <c r="AE24" s="1098">
        <v>214.11099999999999</v>
      </c>
      <c r="AF24" s="1099">
        <v>4.4499999999999998E-2</v>
      </c>
      <c r="AG24" s="1100"/>
      <c r="AH24" s="1098">
        <v>143.887</v>
      </c>
      <c r="AI24" s="1098">
        <v>235.64699999999999</v>
      </c>
      <c r="AJ24" s="1099">
        <v>4.5499999999999999E-2</v>
      </c>
      <c r="AK24" s="1101"/>
      <c r="AL24" s="1098">
        <v>128.714</v>
      </c>
      <c r="AM24" s="1098">
        <v>206.79499999999999</v>
      </c>
      <c r="AN24" s="1099">
        <v>4.3400000000000001E-2</v>
      </c>
      <c r="AO24" s="1100"/>
      <c r="AP24" s="1098">
        <v>166.154</v>
      </c>
      <c r="AQ24" s="1098">
        <v>253.761</v>
      </c>
      <c r="AR24" s="1099">
        <v>4.2299999999999997E-2</v>
      </c>
      <c r="AS24" s="1101"/>
      <c r="AT24" s="1102"/>
      <c r="AU24" s="1102"/>
      <c r="AV24" s="1101"/>
      <c r="AW24" s="1101"/>
      <c r="AX24" s="1102"/>
      <c r="AY24" s="1102"/>
      <c r="AZ24" s="1101"/>
      <c r="BA24" s="1100"/>
      <c r="BB24" s="1102">
        <v>108.69199999999999</v>
      </c>
      <c r="BC24" s="1102">
        <v>209.40600000000001</v>
      </c>
      <c r="BD24" s="1101">
        <v>4.0399999999999998E-2</v>
      </c>
      <c r="BE24" s="1100"/>
      <c r="BF24" s="1102">
        <v>127.29600000000001</v>
      </c>
      <c r="BG24" s="1102">
        <v>262.89100000000002</v>
      </c>
      <c r="BH24" s="1101">
        <v>4.0899999999999999E-2</v>
      </c>
      <c r="BI24" s="1100"/>
      <c r="BJ24" s="1102">
        <v>166.505</v>
      </c>
      <c r="BK24" s="1102">
        <v>299.29000000000002</v>
      </c>
      <c r="BL24" s="1099">
        <v>3.8600000000000002E-2</v>
      </c>
      <c r="BM24" s="1100"/>
      <c r="BN24" s="1098">
        <v>185.41800000000001</v>
      </c>
      <c r="BO24" s="1098">
        <v>321.57799999999997</v>
      </c>
      <c r="BP24" s="1099">
        <v>3.7100000000000001E-2</v>
      </c>
      <c r="BQ24" s="1098">
        <v>123.803</v>
      </c>
      <c r="BR24" s="1098">
        <v>218.227</v>
      </c>
      <c r="BS24" s="1099">
        <v>3.4000000000000002E-2</v>
      </c>
      <c r="BT24" s="1098">
        <v>97.463999999999999</v>
      </c>
      <c r="BU24" s="1098">
        <v>212.64400000000001</v>
      </c>
      <c r="BV24" s="1099">
        <v>3.2899999999999999E-2</v>
      </c>
      <c r="BW24" s="1090"/>
      <c r="BX24" s="1090"/>
      <c r="BY24" s="1090"/>
      <c r="BZ24" s="1090"/>
      <c r="CA24" s="1090"/>
      <c r="CB24" s="1090"/>
      <c r="CC24" s="1090"/>
    </row>
    <row r="25" spans="3:81">
      <c r="C25" s="1071"/>
      <c r="D25" s="1103" t="s">
        <v>1615</v>
      </c>
      <c r="E25" s="1104"/>
      <c r="F25" s="1105"/>
      <c r="G25" s="1105"/>
      <c r="H25" s="1082"/>
      <c r="I25" s="1106"/>
      <c r="J25" s="1105"/>
      <c r="K25" s="1105"/>
      <c r="L25" s="1082"/>
      <c r="M25" s="1106"/>
      <c r="N25" s="1105"/>
      <c r="O25" s="1105"/>
      <c r="P25" s="1082"/>
      <c r="Q25" s="1106"/>
      <c r="R25" s="1105"/>
      <c r="S25" s="1105"/>
      <c r="T25" s="1082"/>
      <c r="U25" s="1106"/>
      <c r="V25" s="1105"/>
      <c r="W25" s="1105"/>
      <c r="X25" s="1082"/>
      <c r="Y25" s="1106"/>
      <c r="Z25" s="1105"/>
      <c r="AA25" s="1105"/>
      <c r="AB25" s="1082"/>
      <c r="AC25" s="1106"/>
      <c r="AD25" s="1105">
        <v>169.66399999999999</v>
      </c>
      <c r="AE25" s="1105">
        <v>214.11099999999999</v>
      </c>
      <c r="AF25" s="1082">
        <v>3.85E-2</v>
      </c>
      <c r="AG25" s="1106"/>
      <c r="AH25" s="1105">
        <v>179.554</v>
      </c>
      <c r="AI25" s="1105">
        <v>235.64699999999999</v>
      </c>
      <c r="AJ25" s="1082">
        <v>3.9899999999999998E-2</v>
      </c>
      <c r="AK25" s="1077"/>
      <c r="AL25" s="1105">
        <v>170.60499999999999</v>
      </c>
      <c r="AM25" s="1105">
        <v>206.79499999999999</v>
      </c>
      <c r="AN25" s="1082">
        <v>3.7999999999999999E-2</v>
      </c>
      <c r="AO25" s="1106"/>
      <c r="AP25" s="1105">
        <v>212.292</v>
      </c>
      <c r="AQ25" s="1105">
        <v>253.761</v>
      </c>
      <c r="AR25" s="1082">
        <v>3.6600000000000001E-2</v>
      </c>
      <c r="AS25" s="1077"/>
      <c r="AT25" s="1107"/>
      <c r="AU25" s="1107"/>
      <c r="AV25" s="1077"/>
      <c r="AW25" s="1077"/>
      <c r="AX25" s="1107"/>
      <c r="AY25" s="1107"/>
      <c r="AZ25" s="1077"/>
      <c r="BA25" s="1106"/>
      <c r="BB25" s="1107">
        <v>148.934</v>
      </c>
      <c r="BC25" s="1107">
        <v>209.40600000000001</v>
      </c>
      <c r="BD25" s="1077">
        <v>3.04E-2</v>
      </c>
      <c r="BE25" s="1106"/>
      <c r="BF25" s="1107">
        <v>190.53299999999999</v>
      </c>
      <c r="BG25" s="1107">
        <v>262.89100000000002</v>
      </c>
      <c r="BH25" s="1077">
        <v>3.1E-2</v>
      </c>
      <c r="BI25" s="1071"/>
      <c r="BJ25" s="1107">
        <v>228.01400000000001</v>
      </c>
      <c r="BK25" s="1107">
        <v>299.29000000000002</v>
      </c>
      <c r="BL25" s="1076">
        <v>2.9100000000000001E-2</v>
      </c>
      <c r="BM25" s="1071"/>
      <c r="BN25" s="1105">
        <v>250.27</v>
      </c>
      <c r="BO25" s="1105">
        <v>321.57799999999997</v>
      </c>
      <c r="BP25" s="1082">
        <v>2.8899999999999999E-2</v>
      </c>
      <c r="BQ25" s="1105">
        <v>175.06899999999999</v>
      </c>
      <c r="BR25" s="1105">
        <v>218.227</v>
      </c>
      <c r="BS25" s="1082">
        <v>2.4400000000000002E-2</v>
      </c>
      <c r="BT25" s="1105">
        <v>153.79599999999999</v>
      </c>
      <c r="BU25" s="1105">
        <v>212.64400000000001</v>
      </c>
      <c r="BV25" s="1082">
        <v>2.3800000000000002E-2</v>
      </c>
      <c r="BW25" s="1082"/>
      <c r="BX25" s="1082"/>
      <c r="BY25" s="1082"/>
      <c r="BZ25" s="1082"/>
      <c r="CA25" s="1082"/>
      <c r="CB25" s="1082"/>
      <c r="CC25" s="1082"/>
    </row>
    <row r="26" spans="3:81">
      <c r="C26" s="1071"/>
      <c r="D26" s="1103" t="s">
        <v>1616</v>
      </c>
      <c r="E26" s="1104"/>
      <c r="F26" s="1105"/>
      <c r="G26" s="1105"/>
      <c r="H26" s="1082"/>
      <c r="I26" s="1106"/>
      <c r="J26" s="1105"/>
      <c r="K26" s="1105"/>
      <c r="L26" s="1082"/>
      <c r="M26" s="1106"/>
      <c r="N26" s="1105"/>
      <c r="O26" s="1105"/>
      <c r="P26" s="1082"/>
      <c r="Q26" s="1106"/>
      <c r="R26" s="1105"/>
      <c r="S26" s="1105"/>
      <c r="T26" s="1082"/>
      <c r="U26" s="1106"/>
      <c r="V26" s="1105"/>
      <c r="W26" s="1105"/>
      <c r="X26" s="1082"/>
      <c r="Y26" s="1106"/>
      <c r="Z26" s="1105"/>
      <c r="AA26" s="1105"/>
      <c r="AB26" s="1082"/>
      <c r="AC26" s="1106"/>
      <c r="AD26" s="1105">
        <v>123.536</v>
      </c>
      <c r="AE26" s="1105">
        <v>169.49700000000001</v>
      </c>
      <c r="AF26" s="1082">
        <v>4.9099999999999998E-2</v>
      </c>
      <c r="AG26" s="1106"/>
      <c r="AH26" s="1105">
        <v>143.887</v>
      </c>
      <c r="AI26" s="1105">
        <v>179.316</v>
      </c>
      <c r="AJ26" s="1082">
        <v>4.9599999999999998E-2</v>
      </c>
      <c r="AK26" s="1077"/>
      <c r="AL26" s="1105">
        <v>128.714</v>
      </c>
      <c r="AM26" s="1105">
        <v>170.59399999999999</v>
      </c>
      <c r="AN26" s="1082">
        <v>4.7500000000000001E-2</v>
      </c>
      <c r="AO26" s="1106"/>
      <c r="AP26" s="1105">
        <v>166.154</v>
      </c>
      <c r="AQ26" s="1105">
        <v>212.03100000000001</v>
      </c>
      <c r="AR26" s="1082">
        <v>4.6600000000000003E-2</v>
      </c>
      <c r="AS26" s="1077"/>
      <c r="AT26" s="1107"/>
      <c r="AU26" s="1107"/>
      <c r="AV26" s="1077"/>
      <c r="AW26" s="1077"/>
      <c r="AX26" s="1107"/>
      <c r="AY26" s="1107"/>
      <c r="AZ26" s="1077"/>
      <c r="BA26" s="1106"/>
      <c r="BB26" s="1107">
        <v>108.69199999999999</v>
      </c>
      <c r="BC26" s="1107">
        <v>148.81299999999999</v>
      </c>
      <c r="BD26" s="1077">
        <v>5.2999999999999999E-2</v>
      </c>
      <c r="BE26" s="1106"/>
      <c r="BF26" s="1107">
        <v>127.29300000000001</v>
      </c>
      <c r="BG26" s="1107">
        <v>190.38300000000001</v>
      </c>
      <c r="BH26" s="1077">
        <v>5.33E-2</v>
      </c>
      <c r="BI26" s="1071"/>
      <c r="BJ26" s="1107">
        <v>166.505</v>
      </c>
      <c r="BK26" s="1107">
        <v>227.81899999999999</v>
      </c>
      <c r="BL26" s="1076">
        <v>5.04E-2</v>
      </c>
      <c r="BM26" s="1071"/>
      <c r="BN26" s="1105">
        <v>185.41800000000001</v>
      </c>
      <c r="BO26" s="1105">
        <v>250.24799999999999</v>
      </c>
      <c r="BP26" s="1082">
        <v>4.6800000000000001E-2</v>
      </c>
      <c r="BQ26" s="1105">
        <v>123.803</v>
      </c>
      <c r="BR26" s="1105">
        <v>174.82499999999999</v>
      </c>
      <c r="BS26" s="1082">
        <v>4.65E-2</v>
      </c>
      <c r="BT26" s="1105">
        <v>97.463999999999999</v>
      </c>
      <c r="BU26" s="1105">
        <v>153.66999999999999</v>
      </c>
      <c r="BV26" s="1082">
        <v>4.4299999999999999E-2</v>
      </c>
      <c r="BW26" s="1082"/>
      <c r="BX26" s="1082"/>
      <c r="BY26" s="1082"/>
      <c r="BZ26" s="1082"/>
      <c r="CA26" s="1082"/>
      <c r="CB26" s="1082"/>
      <c r="CC26" s="1082"/>
    </row>
    <row r="27" spans="3:81">
      <c r="C27" s="1071"/>
      <c r="D27" s="1097" t="s">
        <v>1617</v>
      </c>
      <c r="E27" s="1097"/>
      <c r="F27" s="1098">
        <v>0.33200000000000002</v>
      </c>
      <c r="G27" s="1098">
        <v>96.927999999999997</v>
      </c>
      <c r="H27" s="1108">
        <v>9.8199999999999996E-2</v>
      </c>
      <c r="I27" s="1100"/>
      <c r="J27" s="1098">
        <v>1.393</v>
      </c>
      <c r="K27" s="1098">
        <v>143.916</v>
      </c>
      <c r="L27" s="1108">
        <v>9.9000000000000005E-2</v>
      </c>
      <c r="M27" s="1100"/>
      <c r="N27" s="1098">
        <v>1.079</v>
      </c>
      <c r="O27" s="1098">
        <v>169.19499999999999</v>
      </c>
      <c r="P27" s="1108">
        <v>9.8299999999999998E-2</v>
      </c>
      <c r="Q27" s="1100"/>
      <c r="R27" s="1098">
        <v>2.2469999999999999</v>
      </c>
      <c r="S27" s="1098">
        <v>173.43899999999999</v>
      </c>
      <c r="T27" s="1108">
        <v>9.6799999999999997E-2</v>
      </c>
      <c r="U27" s="1100"/>
      <c r="V27" s="1098">
        <v>1.9219999999999999</v>
      </c>
      <c r="W27" s="1098">
        <v>211.59</v>
      </c>
      <c r="X27" s="1108">
        <v>9.7299999999999998E-2</v>
      </c>
      <c r="Y27" s="1100"/>
      <c r="Z27" s="1098">
        <v>1.575</v>
      </c>
      <c r="AA27" s="1098">
        <v>136.5</v>
      </c>
      <c r="AB27" s="1108">
        <v>9.5299999999999996E-2</v>
      </c>
      <c r="AC27" s="1100"/>
      <c r="AD27" s="1098">
        <v>1.0069999999999999</v>
      </c>
      <c r="AE27" s="1098">
        <v>123.51600000000001</v>
      </c>
      <c r="AF27" s="1108">
        <v>0.10009999999999999</v>
      </c>
      <c r="AG27" s="1100"/>
      <c r="AH27" s="1098">
        <v>1.222</v>
      </c>
      <c r="AI27" s="1098">
        <v>143.37899999999999</v>
      </c>
      <c r="AJ27" s="1108">
        <v>0.10059999999999999</v>
      </c>
      <c r="AK27" s="1101"/>
      <c r="AL27" s="1098">
        <v>1.028</v>
      </c>
      <c r="AM27" s="1098">
        <v>128.672</v>
      </c>
      <c r="AN27" s="1108">
        <v>9.8100000000000007E-2</v>
      </c>
      <c r="AO27" s="1100"/>
      <c r="AP27" s="1098">
        <v>1.139</v>
      </c>
      <c r="AQ27" s="1098">
        <v>165.6</v>
      </c>
      <c r="AR27" s="1108">
        <v>9.74E-2</v>
      </c>
      <c r="AS27" s="1101"/>
      <c r="AT27" s="1102"/>
      <c r="AU27" s="1102"/>
      <c r="AV27" s="1101"/>
      <c r="AW27" s="1101"/>
      <c r="AX27" s="1102"/>
      <c r="AY27" s="1102"/>
      <c r="AZ27" s="1101"/>
      <c r="BA27" s="1100"/>
      <c r="BB27" s="1102">
        <v>1.9630000000000001</v>
      </c>
      <c r="BC27" s="1102">
        <v>108.598</v>
      </c>
      <c r="BD27" s="1101">
        <v>8.7599999999999997E-2</v>
      </c>
      <c r="BE27" s="1100"/>
      <c r="BF27" s="1102">
        <v>2.516</v>
      </c>
      <c r="BG27" s="1102">
        <v>127.279</v>
      </c>
      <c r="BH27" s="1101">
        <v>8.6400000000000005E-2</v>
      </c>
      <c r="BI27" s="1100"/>
      <c r="BJ27" s="1102">
        <v>2.5310000000000001</v>
      </c>
      <c r="BK27" s="1102">
        <v>166.34899999999999</v>
      </c>
      <c r="BL27" s="1099">
        <v>8.4099999999999994E-2</v>
      </c>
      <c r="BM27" s="1100"/>
      <c r="BN27" s="1098">
        <v>2.4550000000000001</v>
      </c>
      <c r="BO27" s="1098">
        <v>184.785</v>
      </c>
      <c r="BP27" s="1108">
        <v>8.2500000000000004E-2</v>
      </c>
      <c r="BQ27" s="1098">
        <v>2.0150000000000001</v>
      </c>
      <c r="BR27" s="1098">
        <v>123.803</v>
      </c>
      <c r="BS27" s="1108">
        <v>7.8299999999999995E-2</v>
      </c>
      <c r="BT27" s="1098">
        <v>1.5760000000000001</v>
      </c>
      <c r="BU27" s="1098">
        <v>97.397999999999996</v>
      </c>
      <c r="BV27" s="1108">
        <v>7.6399999999999996E-2</v>
      </c>
      <c r="BW27" s="1087"/>
      <c r="BX27" s="1087"/>
      <c r="BY27" s="1087"/>
      <c r="BZ27" s="1087"/>
      <c r="CA27" s="1087"/>
      <c r="CB27" s="1087"/>
      <c r="CC27" s="1087"/>
    </row>
    <row r="28" spans="3:81">
      <c r="C28" s="1071"/>
      <c r="D28" s="1103" t="s">
        <v>1618</v>
      </c>
      <c r="E28" s="1104"/>
      <c r="F28" s="1105"/>
      <c r="G28" s="1105"/>
      <c r="H28" s="1082"/>
      <c r="I28" s="1106"/>
      <c r="J28" s="1105"/>
      <c r="K28" s="1105"/>
      <c r="L28" s="1082"/>
      <c r="M28" s="1106"/>
      <c r="N28" s="1105"/>
      <c r="O28" s="1105"/>
      <c r="P28" s="1082"/>
      <c r="Q28" s="1106"/>
      <c r="R28" s="1105"/>
      <c r="S28" s="1105"/>
      <c r="T28" s="1082"/>
      <c r="U28" s="1106"/>
      <c r="V28" s="1105"/>
      <c r="W28" s="1105"/>
      <c r="X28" s="1082"/>
      <c r="Y28" s="1106"/>
      <c r="Z28" s="1105"/>
      <c r="AA28" s="1105"/>
      <c r="AB28" s="1082"/>
      <c r="AC28" s="1106"/>
      <c r="AD28" s="1105">
        <v>76.075000000000003</v>
      </c>
      <c r="AE28" s="1105">
        <v>123.51600000000001</v>
      </c>
      <c r="AF28" s="1082">
        <v>9.0499999999999997E-2</v>
      </c>
      <c r="AG28" s="1106"/>
      <c r="AH28" s="1105">
        <v>85.706000000000003</v>
      </c>
      <c r="AI28" s="1105">
        <v>143.37899999999999</v>
      </c>
      <c r="AJ28" s="1082">
        <v>9.1499999999999998E-2</v>
      </c>
      <c r="AK28" s="1077"/>
      <c r="AL28" s="1105">
        <v>86.875</v>
      </c>
      <c r="AM28" s="1105">
        <v>128.672</v>
      </c>
      <c r="AN28" s="1082">
        <v>8.9300000000000004E-2</v>
      </c>
      <c r="AO28" s="1106"/>
      <c r="AP28" s="1105">
        <v>96.483000000000004</v>
      </c>
      <c r="AQ28" s="1105">
        <v>165.6</v>
      </c>
      <c r="AR28" s="1082">
        <v>8.8999999999999996E-2</v>
      </c>
      <c r="AS28" s="1077"/>
      <c r="AT28" s="1107"/>
      <c r="AU28" s="1107"/>
      <c r="AV28" s="1077"/>
      <c r="AW28" s="1077"/>
      <c r="AX28" s="1107"/>
      <c r="AY28" s="1107"/>
      <c r="AZ28" s="1077"/>
      <c r="BA28" s="1106"/>
      <c r="BB28" s="1107">
        <v>64.846000000000004</v>
      </c>
      <c r="BC28" s="1107">
        <v>108.598</v>
      </c>
      <c r="BD28" s="1077">
        <v>7.3200000000000001E-2</v>
      </c>
      <c r="BE28" s="1106"/>
      <c r="BF28" s="1107">
        <v>73.561000000000007</v>
      </c>
      <c r="BG28" s="1107">
        <v>127.279</v>
      </c>
      <c r="BH28" s="1077">
        <v>7.2099999999999997E-2</v>
      </c>
      <c r="BI28" s="1071"/>
      <c r="BJ28" s="1107">
        <v>87.646000000000001</v>
      </c>
      <c r="BK28" s="1107">
        <v>166.34899999999999</v>
      </c>
      <c r="BL28" s="1076">
        <v>6.9800000000000001E-2</v>
      </c>
      <c r="BM28" s="1071"/>
      <c r="BN28" s="1105">
        <v>109.462</v>
      </c>
      <c r="BO28" s="1105">
        <v>184.785</v>
      </c>
      <c r="BP28" s="1082">
        <v>6.8500000000000005E-2</v>
      </c>
      <c r="BQ28" s="1105">
        <v>79.47</v>
      </c>
      <c r="BR28" s="1105">
        <v>123.803</v>
      </c>
      <c r="BS28" s="1082">
        <v>6.3700000000000007E-2</v>
      </c>
      <c r="BT28" s="1105">
        <v>57.814999999999998</v>
      </c>
      <c r="BU28" s="1105">
        <v>97.397999999999996</v>
      </c>
      <c r="BV28" s="1082">
        <v>6.2199999999999998E-2</v>
      </c>
      <c r="BW28" s="1082"/>
      <c r="BX28" s="1082"/>
      <c r="BY28" s="1082"/>
      <c r="BZ28" s="1082"/>
      <c r="CA28" s="1082"/>
      <c r="CB28" s="1082"/>
      <c r="CC28" s="1082"/>
    </row>
    <row r="29" spans="3:81">
      <c r="C29" s="1071"/>
      <c r="D29" s="1103" t="s">
        <v>1619</v>
      </c>
      <c r="E29" s="1104"/>
      <c r="F29" s="1105"/>
      <c r="G29" s="1105"/>
      <c r="H29" s="1082"/>
      <c r="I29" s="1106"/>
      <c r="J29" s="1105"/>
      <c r="K29" s="1105"/>
      <c r="L29" s="1082"/>
      <c r="M29" s="1106"/>
      <c r="N29" s="1105"/>
      <c r="O29" s="1105"/>
      <c r="P29" s="1082"/>
      <c r="Q29" s="1106"/>
      <c r="R29" s="1105"/>
      <c r="S29" s="1105"/>
      <c r="T29" s="1082"/>
      <c r="U29" s="1106"/>
      <c r="V29" s="1105"/>
      <c r="W29" s="1105"/>
      <c r="X29" s="1082"/>
      <c r="Y29" s="1106"/>
      <c r="Z29" s="1105"/>
      <c r="AA29" s="1105"/>
      <c r="AB29" s="1082"/>
      <c r="AC29" s="1106"/>
      <c r="AD29" s="1105">
        <v>1.0069999999999999</v>
      </c>
      <c r="AE29" s="1105">
        <v>76.052000000000007</v>
      </c>
      <c r="AF29" s="1082">
        <v>0.1206</v>
      </c>
      <c r="AG29" s="1106"/>
      <c r="AH29" s="1105">
        <v>1.222</v>
      </c>
      <c r="AI29" s="1105">
        <v>85.67</v>
      </c>
      <c r="AJ29" s="1082">
        <v>0.1206</v>
      </c>
      <c r="AK29" s="1077"/>
      <c r="AL29" s="1105">
        <v>1.028</v>
      </c>
      <c r="AM29" s="1105">
        <v>86.757000000000005</v>
      </c>
      <c r="AN29" s="1082">
        <v>0.1177</v>
      </c>
      <c r="AO29" s="1106"/>
      <c r="AP29" s="1105">
        <v>1.139</v>
      </c>
      <c r="AQ29" s="1105">
        <v>96.164000000000001</v>
      </c>
      <c r="AR29" s="1082">
        <v>0.11650000000000001</v>
      </c>
      <c r="AS29" s="1077"/>
      <c r="AT29" s="1109"/>
      <c r="AU29" s="1109"/>
      <c r="AV29" s="1077"/>
      <c r="AW29" s="1077"/>
      <c r="AX29" s="1109"/>
      <c r="AY29" s="1109"/>
      <c r="AZ29" s="1077"/>
      <c r="BA29" s="1106"/>
      <c r="BB29" s="1109">
        <v>1.9630000000000001</v>
      </c>
      <c r="BC29" s="1109">
        <v>64.747</v>
      </c>
      <c r="BD29" s="1077">
        <v>0.1179</v>
      </c>
      <c r="BE29" s="1106"/>
      <c r="BF29" s="1109">
        <v>2.516</v>
      </c>
      <c r="BG29" s="1109">
        <v>73.504000000000005</v>
      </c>
      <c r="BH29" s="1077">
        <v>0.1163</v>
      </c>
      <c r="BI29" s="1071"/>
      <c r="BJ29" s="1109">
        <v>2.5310000000000001</v>
      </c>
      <c r="BK29" s="1109">
        <v>87.6</v>
      </c>
      <c r="BL29" s="1076">
        <v>0.11380000000000001</v>
      </c>
      <c r="BM29" s="1071"/>
      <c r="BN29" s="1105">
        <v>2.4550000000000001</v>
      </c>
      <c r="BO29" s="1105">
        <v>109.40600000000001</v>
      </c>
      <c r="BP29" s="1082">
        <v>0.1114</v>
      </c>
      <c r="BQ29" s="1105">
        <v>2.0150000000000001</v>
      </c>
      <c r="BR29" s="1105">
        <v>78.783000000000001</v>
      </c>
      <c r="BS29" s="1082">
        <v>0.1099</v>
      </c>
      <c r="BT29" s="1105">
        <v>1.5760000000000001</v>
      </c>
      <c r="BU29" s="1105">
        <v>57.448</v>
      </c>
      <c r="BV29" s="1082">
        <v>0.10730000000000001</v>
      </c>
      <c r="BW29" s="1082"/>
      <c r="BX29" s="1082"/>
      <c r="BY29" s="1082"/>
      <c r="BZ29" s="1082"/>
      <c r="CA29" s="1082"/>
      <c r="CB29" s="1082"/>
      <c r="CC29" s="1082"/>
    </row>
    <row r="30" spans="3:81">
      <c r="BL30" s="1110"/>
      <c r="BO30" s="1071"/>
      <c r="BP30" s="1071"/>
      <c r="BU30" s="1071"/>
      <c r="BV30" s="1071"/>
    </row>
    <row r="31" spans="3:81">
      <c r="D31" s="1072" t="s">
        <v>1620</v>
      </c>
      <c r="E31" s="1111">
        <v>2022</v>
      </c>
      <c r="F31" s="1073"/>
      <c r="G31" s="1073"/>
      <c r="H31" s="1073"/>
      <c r="I31" s="1073"/>
      <c r="J31" s="1073"/>
      <c r="K31" s="1073"/>
      <c r="L31" s="1073"/>
      <c r="M31" s="1073"/>
      <c r="BO31" s="1071"/>
      <c r="BP31" s="1071"/>
      <c r="BU31" s="1071"/>
      <c r="BV31" s="1071"/>
    </row>
    <row r="32" spans="3:81">
      <c r="D32" s="1081" t="s">
        <v>1621</v>
      </c>
      <c r="E32" s="1112"/>
      <c r="F32" s="1071"/>
      <c r="G32" s="1071"/>
      <c r="H32" s="1071"/>
      <c r="I32" s="1071"/>
      <c r="J32" s="1071"/>
      <c r="K32" s="1071"/>
      <c r="L32" s="1071"/>
      <c r="M32" s="1071"/>
      <c r="BO32" s="1071"/>
      <c r="BP32" s="1071"/>
      <c r="BU32" s="1071"/>
      <c r="BV32" s="1071"/>
    </row>
    <row r="33" spans="2:74">
      <c r="D33" s="1081" t="s">
        <v>1622</v>
      </c>
      <c r="E33" s="1113" t="s">
        <v>1612</v>
      </c>
      <c r="F33" s="1071"/>
      <c r="G33" s="1071"/>
      <c r="H33" s="1071"/>
      <c r="I33" s="1071"/>
      <c r="J33" s="1071"/>
      <c r="K33" s="1071"/>
      <c r="L33" s="1071"/>
      <c r="M33" s="1071"/>
    </row>
    <row r="34" spans="2:74">
      <c r="D34" s="1114" t="s">
        <v>1623</v>
      </c>
      <c r="E34" s="1115">
        <f>BS21</f>
        <v>4.8300000000000003E-2</v>
      </c>
      <c r="F34" s="1116"/>
      <c r="G34" s="1117"/>
      <c r="H34" s="1117"/>
      <c r="I34" s="1117"/>
      <c r="J34" s="1116"/>
      <c r="K34" s="1117"/>
      <c r="L34" s="1117"/>
      <c r="M34" s="1117"/>
      <c r="N34" s="1118"/>
      <c r="R34" s="1118"/>
    </row>
    <row r="36" spans="2:74">
      <c r="B36" s="1071"/>
      <c r="C36" s="1071"/>
      <c r="D36" s="1071"/>
      <c r="E36" s="1071"/>
      <c r="F36" s="1071"/>
      <c r="G36" s="1071"/>
      <c r="H36" s="1071"/>
      <c r="I36" s="1071"/>
      <c r="J36" s="1071"/>
      <c r="K36" s="1071"/>
      <c r="L36" s="1071"/>
      <c r="M36" s="1071"/>
      <c r="N36" s="1071"/>
      <c r="O36" s="1071"/>
      <c r="P36" s="1071"/>
      <c r="Q36" s="1071"/>
      <c r="R36" s="1071"/>
      <c r="S36" s="1071"/>
      <c r="T36" s="1071"/>
      <c r="U36" s="1071"/>
      <c r="V36" s="1071"/>
      <c r="W36" s="1071"/>
      <c r="X36" s="1071"/>
      <c r="Y36" s="1071"/>
      <c r="Z36" s="1071"/>
      <c r="AA36" s="1071"/>
      <c r="AB36" s="1071"/>
      <c r="AC36" s="1071"/>
      <c r="AD36" s="1071"/>
      <c r="AE36" s="1071"/>
      <c r="AF36" s="1071"/>
      <c r="AG36" s="1071"/>
      <c r="AH36" s="1071"/>
      <c r="AI36" s="1071"/>
      <c r="AJ36" s="1071"/>
      <c r="AK36" s="1071"/>
      <c r="AL36" s="1071"/>
      <c r="AM36" s="1071"/>
      <c r="AN36" s="1071"/>
      <c r="AO36" s="1071"/>
      <c r="AP36" s="1071"/>
      <c r="AQ36" s="1071"/>
      <c r="AR36" s="1071"/>
      <c r="AS36" s="1071"/>
      <c r="AT36" s="1071"/>
      <c r="AU36" s="1071"/>
      <c r="AV36" s="1071"/>
      <c r="AW36" s="1071"/>
      <c r="AX36" s="1071"/>
      <c r="AY36" s="1071"/>
      <c r="AZ36" s="1071"/>
      <c r="BA36" s="1071"/>
      <c r="BB36" s="1071"/>
      <c r="BC36" s="1071"/>
      <c r="BD36" s="1071"/>
      <c r="BE36" s="1071"/>
      <c r="BF36" s="1071"/>
      <c r="BG36" s="1071"/>
      <c r="BH36" s="1071"/>
      <c r="BI36" s="1071"/>
      <c r="BJ36" s="1071"/>
      <c r="BK36" s="1071"/>
      <c r="BL36" s="1071"/>
      <c r="BM36" s="1071"/>
    </row>
    <row r="37" spans="2:74">
      <c r="B37" s="1071"/>
      <c r="C37" s="1071"/>
      <c r="D37" s="1071"/>
      <c r="E37" s="1071"/>
      <c r="F37" s="1071"/>
      <c r="G37" s="1071"/>
      <c r="H37" s="1071"/>
      <c r="I37" s="1071"/>
      <c r="J37" s="1071"/>
      <c r="K37" s="1071"/>
      <c r="L37" s="1071"/>
      <c r="M37" s="1071"/>
      <c r="N37" s="1071"/>
      <c r="O37" s="1071"/>
      <c r="P37" s="1071"/>
      <c r="Q37" s="1071"/>
      <c r="R37" s="1071"/>
      <c r="S37" s="1071"/>
      <c r="T37" s="1071"/>
      <c r="U37" s="1071"/>
      <c r="V37" s="1071"/>
      <c r="W37" s="1071"/>
      <c r="X37" s="1071"/>
      <c r="Y37" s="1071"/>
      <c r="Z37" s="1071"/>
      <c r="AA37" s="1071"/>
      <c r="AB37" s="1071"/>
      <c r="AC37" s="1071"/>
      <c r="AD37" s="1071"/>
      <c r="AE37" s="1071"/>
      <c r="AF37" s="1071"/>
      <c r="AG37" s="1071"/>
      <c r="AH37" s="1071"/>
      <c r="AI37" s="1071"/>
      <c r="AJ37" s="1071"/>
      <c r="AK37" s="1071"/>
      <c r="AL37" s="1071"/>
      <c r="AM37" s="1071"/>
      <c r="AN37" s="1071"/>
      <c r="AO37" s="1071"/>
      <c r="AP37" s="1071"/>
      <c r="AQ37" s="1071"/>
      <c r="AR37" s="1071"/>
      <c r="AS37" s="1071"/>
      <c r="AT37" s="1071"/>
      <c r="AU37" s="1071"/>
      <c r="AV37" s="1071"/>
      <c r="AW37" s="1071"/>
      <c r="AX37" s="1071"/>
      <c r="AY37" s="1071"/>
      <c r="AZ37" s="1071"/>
      <c r="BA37" s="1071"/>
      <c r="BB37" s="1071"/>
      <c r="BC37" s="1071"/>
      <c r="BD37" s="1071"/>
      <c r="BE37" s="1071"/>
      <c r="BF37" s="1071"/>
      <c r="BG37" s="1071"/>
      <c r="BH37" s="1071"/>
      <c r="BI37" s="1071"/>
      <c r="BJ37" s="1071"/>
      <c r="BK37" s="1071"/>
      <c r="BL37" s="1071"/>
      <c r="BM37" s="1071"/>
      <c r="BN37" s="1071"/>
      <c r="BO37" s="1071"/>
      <c r="BP37" s="1071"/>
      <c r="BT37" s="1071"/>
      <c r="BU37" s="1071"/>
      <c r="BV37" s="1071"/>
    </row>
    <row r="38" spans="2:74" ht="15.75">
      <c r="C38" s="1119" t="s">
        <v>1624</v>
      </c>
      <c r="D38" s="1120"/>
      <c r="E38" s="1120"/>
    </row>
    <row r="39" spans="2:74" ht="25.35" customHeight="1">
      <c r="C39" s="1121">
        <v>1</v>
      </c>
      <c r="D39" s="1122" t="s">
        <v>1625</v>
      </c>
      <c r="E39" s="1123"/>
    </row>
    <row r="41" spans="2:74">
      <c r="AR41" s="1118"/>
      <c r="AV41" s="1118"/>
      <c r="AZ41" s="1118"/>
      <c r="BD41" s="1118"/>
      <c r="BH41" s="1118"/>
      <c r="BL41" s="1118"/>
    </row>
    <row r="42" spans="2:74">
      <c r="AR42" s="1118"/>
      <c r="AV42" s="1118"/>
      <c r="AZ42" s="1118"/>
      <c r="BD42" s="1118"/>
      <c r="BH42" s="1118"/>
      <c r="BL42" s="1118"/>
    </row>
    <row r="43" spans="2:74">
      <c r="AR43" s="1118"/>
      <c r="AV43" s="1118"/>
      <c r="AZ43" s="1118"/>
      <c r="BD43" s="1118"/>
      <c r="BH43" s="1118"/>
      <c r="BL43" s="1118"/>
    </row>
    <row r="44" spans="2:74">
      <c r="D44" s="1124"/>
    </row>
    <row r="45" spans="2:74">
      <c r="H45" s="1118">
        <v>5.0999999999999997E-2</v>
      </c>
      <c r="L45" s="1118">
        <v>4.8000000000000001E-2</v>
      </c>
      <c r="P45" s="1118">
        <v>4.5999999999999999E-2</v>
      </c>
      <c r="T45" s="1118">
        <v>4.9000000000000002E-2</v>
      </c>
      <c r="X45" s="1118">
        <v>4.4999999999999998E-2</v>
      </c>
      <c r="AB45" s="1118">
        <v>0.03</v>
      </c>
      <c r="AF45" s="1118">
        <v>4.5999999999999999E-2</v>
      </c>
      <c r="AJ45" s="1118">
        <v>4.1000000000000002E-2</v>
      </c>
      <c r="AN45" s="1118">
        <v>2.4799999999999999E-2</v>
      </c>
      <c r="AR45" s="1118">
        <v>2.41E-2</v>
      </c>
      <c r="BH45" s="1070">
        <v>2.7199999999999998E-2</v>
      </c>
    </row>
    <row r="48" spans="2:74">
      <c r="H48" s="1118">
        <v>7.1999999999999995E-2</v>
      </c>
      <c r="L48" s="1118">
        <v>7.1999999999999995E-2</v>
      </c>
      <c r="P48" s="1118">
        <v>7.0999999999999994E-2</v>
      </c>
      <c r="T48" s="1118">
        <v>7.0999999999999994E-2</v>
      </c>
      <c r="X48" s="1118">
        <v>7.0999999999999994E-2</v>
      </c>
      <c r="AB48" s="1118">
        <v>6.5000000000000002E-2</v>
      </c>
      <c r="AF48" s="1118">
        <v>6.7000000000000004E-2</v>
      </c>
      <c r="AJ48" s="1118">
        <v>6.7000000000000004E-2</v>
      </c>
      <c r="AN48" s="1118">
        <v>6.6199999999999995E-2</v>
      </c>
      <c r="AR48" s="1118">
        <v>6.7000000000000004E-2</v>
      </c>
      <c r="BD48" s="1070">
        <v>6.9000000000000006E-2</v>
      </c>
      <c r="BH48" s="1070">
        <v>6.9400000000000003E-2</v>
      </c>
    </row>
    <row r="51" spans="8:64">
      <c r="H51" s="1118">
        <v>5.9299999999999999E-2</v>
      </c>
      <c r="L51" s="1118">
        <v>6.1400000000000003E-2</v>
      </c>
      <c r="P51" s="1118">
        <v>6.2799999999999995E-2</v>
      </c>
      <c r="T51" s="1118">
        <v>6.3500000000000001E-2</v>
      </c>
      <c r="X51" s="1118">
        <v>6.2300000000000001E-2</v>
      </c>
      <c r="AB51" s="1118">
        <v>5.7299999999999997E-2</v>
      </c>
      <c r="AF51" s="1118">
        <v>5.1799999999999999E-2</v>
      </c>
      <c r="AJ51" s="1118">
        <v>5.9900000000000002E-2</v>
      </c>
      <c r="AN51" s="1118">
        <v>6.1400000000000003E-2</v>
      </c>
      <c r="AR51" s="1118">
        <v>6.1100000000000002E-2</v>
      </c>
      <c r="AV51" s="1118">
        <v>6.1800000000000001E-2</v>
      </c>
      <c r="AZ51" s="1118">
        <v>6.2100000000000002E-2</v>
      </c>
      <c r="BD51" s="1118">
        <v>6.0299999999999999E-2</v>
      </c>
      <c r="BH51" s="1118">
        <v>5.9700000000000003E-2</v>
      </c>
      <c r="BL51" s="1118"/>
    </row>
  </sheetData>
  <mergeCells count="2">
    <mergeCell ref="BQ3:BS3"/>
    <mergeCell ref="BT3:BV3"/>
  </mergeCells>
  <dataValidations count="1">
    <dataValidation type="list" allowBlank="1" showInputMessage="1" showErrorMessage="1" sqref="E33" xr:uid="{00000000-0002-0000-1700-000001000000}">
      <formula1>"'3-5,'6-8,'9-10,1st,2nd,3rd,4th,5th,6th,7th,8th,9th,10th,10a,10b,10w,10x,10y,10z"</formula1>
    </dataValidation>
  </dataValidations>
  <printOptions horizontalCentered="1"/>
  <pageMargins left="0.5" right="0.5" top="0.75" bottom="0.5" header="0.25" footer="0.25"/>
  <pageSetup scale="56" orientation="landscape" r:id="rId1"/>
  <headerFooter alignWithMargins="0">
    <oddHeader>&amp;R&amp;"Arial"&amp;8&amp;K000000Confidential&amp;1#</oddHeader>
  </headerFooter>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1">
    <tabColor theme="7"/>
    <pageSetUpPr fitToPage="1"/>
  </sheetPr>
  <dimension ref="A1:J41"/>
  <sheetViews>
    <sheetView showGridLines="0" zoomScale="95" zoomScaleNormal="95" zoomScaleSheetLayoutView="74" workbookViewId="0">
      <selection activeCell="E10" sqref="E10"/>
    </sheetView>
  </sheetViews>
  <sheetFormatPr defaultColWidth="8.88671875" defaultRowHeight="11.25"/>
  <cols>
    <col min="1" max="1" width="3.109375" style="229" customWidth="1"/>
    <col min="2" max="2" width="18.5546875" style="229" bestFit="1" customWidth="1"/>
    <col min="3" max="6" width="11.44140625" style="229" customWidth="1"/>
    <col min="7" max="7" width="13.44140625" style="229" customWidth="1"/>
    <col min="8" max="8" width="2.88671875" style="229" customWidth="1"/>
    <col min="9" max="16384" width="8.88671875" style="229"/>
  </cols>
  <sheetData>
    <row r="1" spans="1:10" s="392" customFormat="1"/>
    <row r="3" spans="1:10" s="1133" customFormat="1" ht="61.35" customHeight="1">
      <c r="B3" s="1139" t="s">
        <v>94</v>
      </c>
      <c r="C3" s="1140" t="s">
        <v>1427</v>
      </c>
      <c r="D3" s="1141" t="s">
        <v>1765</v>
      </c>
      <c r="E3" s="1142" t="s">
        <v>1766</v>
      </c>
      <c r="F3" s="1142" t="s">
        <v>1767</v>
      </c>
      <c r="G3" s="1142" t="s">
        <v>1768</v>
      </c>
      <c r="I3" s="229"/>
      <c r="J3" s="229"/>
    </row>
    <row r="4" spans="1:10">
      <c r="A4" s="436">
        <v>1</v>
      </c>
      <c r="B4" s="1134" t="str">
        <f>'GPC Data'!E22</f>
        <v>Comp 1</v>
      </c>
      <c r="C4" s="1134">
        <f>'GPC Data'!D22</f>
        <v>0</v>
      </c>
      <c r="D4" s="1135">
        <f>'GPC Data'!F56</f>
        <v>0</v>
      </c>
      <c r="E4" s="1136">
        <f>'GPC Data'!G56</f>
        <v>0</v>
      </c>
      <c r="F4" s="1136">
        <f>'GPC Data'!H56</f>
        <v>0</v>
      </c>
      <c r="G4" s="1137" t="str">
        <f>IFERROR(F4/E4,"-")</f>
        <v>-</v>
      </c>
    </row>
    <row r="5" spans="1:10">
      <c r="A5" s="436">
        <v>2</v>
      </c>
      <c r="B5" s="771" t="str">
        <f>'GPC Data'!E23</f>
        <v>Comp 2</v>
      </c>
      <c r="C5" s="771">
        <f>'GPC Data'!D23</f>
        <v>0</v>
      </c>
      <c r="D5" s="1138">
        <f>'GPC Data'!F57</f>
        <v>0</v>
      </c>
      <c r="E5" s="148">
        <f>'GPC Data'!G57</f>
        <v>0</v>
      </c>
      <c r="F5" s="148">
        <f>'GPC Data'!H57</f>
        <v>0</v>
      </c>
      <c r="G5" s="413" t="str">
        <f t="shared" ref="G5:G13" si="0">IFERROR(F5/E5,"-")</f>
        <v>-</v>
      </c>
    </row>
    <row r="6" spans="1:10" s="232" customFormat="1">
      <c r="A6" s="436">
        <v>3</v>
      </c>
      <c r="B6" s="771" t="str">
        <f>'GPC Data'!E24</f>
        <v>Comp 3</v>
      </c>
      <c r="C6" s="771">
        <f>'GPC Data'!D24</f>
        <v>0</v>
      </c>
      <c r="D6" s="1138">
        <f>'GPC Data'!F58</f>
        <v>0</v>
      </c>
      <c r="E6" s="148">
        <f>'GPC Data'!G58</f>
        <v>0</v>
      </c>
      <c r="F6" s="148">
        <f>'GPC Data'!H58</f>
        <v>0</v>
      </c>
      <c r="G6" s="413" t="str">
        <f t="shared" si="0"/>
        <v>-</v>
      </c>
      <c r="I6" s="229"/>
      <c r="J6" s="229"/>
    </row>
    <row r="7" spans="1:10" s="232" customFormat="1">
      <c r="A7" s="436">
        <v>4</v>
      </c>
      <c r="B7" s="771" t="str">
        <f>'GPC Data'!E25</f>
        <v>Comp 4</v>
      </c>
      <c r="C7" s="771">
        <f>'GPC Data'!D25</f>
        <v>0</v>
      </c>
      <c r="D7" s="1138">
        <f>'GPC Data'!F59</f>
        <v>0</v>
      </c>
      <c r="E7" s="148">
        <f>'GPC Data'!G59</f>
        <v>0</v>
      </c>
      <c r="F7" s="148">
        <f>'GPC Data'!H59</f>
        <v>0</v>
      </c>
      <c r="G7" s="413" t="str">
        <f t="shared" si="0"/>
        <v>-</v>
      </c>
      <c r="I7" s="229"/>
      <c r="J7" s="229"/>
    </row>
    <row r="8" spans="1:10" s="232" customFormat="1">
      <c r="A8" s="436">
        <v>5</v>
      </c>
      <c r="B8" s="771" t="str">
        <f>'GPC Data'!E26</f>
        <v>Comp 5</v>
      </c>
      <c r="C8" s="771">
        <f>'GPC Data'!D26</f>
        <v>0</v>
      </c>
      <c r="D8" s="1138">
        <f>'GPC Data'!F60</f>
        <v>0</v>
      </c>
      <c r="E8" s="148">
        <f>'GPC Data'!G60</f>
        <v>0</v>
      </c>
      <c r="F8" s="148">
        <f>'GPC Data'!H60</f>
        <v>0</v>
      </c>
      <c r="G8" s="413" t="str">
        <f t="shared" si="0"/>
        <v>-</v>
      </c>
      <c r="I8" s="229"/>
      <c r="J8" s="229"/>
    </row>
    <row r="9" spans="1:10" s="232" customFormat="1">
      <c r="A9" s="436">
        <v>6</v>
      </c>
      <c r="B9" s="771" t="str">
        <f>'GPC Data'!E27</f>
        <v>Comp 6</v>
      </c>
      <c r="C9" s="771">
        <f>'GPC Data'!D27</f>
        <v>0</v>
      </c>
      <c r="D9" s="1138">
        <f>'GPC Data'!F61</f>
        <v>0</v>
      </c>
      <c r="E9" s="148">
        <f>'GPC Data'!G61</f>
        <v>0</v>
      </c>
      <c r="F9" s="148">
        <f>'GPC Data'!H61</f>
        <v>0</v>
      </c>
      <c r="G9" s="413" t="str">
        <f t="shared" si="0"/>
        <v>-</v>
      </c>
      <c r="I9" s="229"/>
      <c r="J9" s="229"/>
    </row>
    <row r="10" spans="1:10">
      <c r="A10" s="436">
        <v>7</v>
      </c>
      <c r="B10" s="771" t="str">
        <f>'GPC Data'!E28</f>
        <v>Comp 7</v>
      </c>
      <c r="C10" s="771">
        <f>'GPC Data'!D28</f>
        <v>0</v>
      </c>
      <c r="D10" s="1138">
        <f>'GPC Data'!F62</f>
        <v>0</v>
      </c>
      <c r="E10" s="148">
        <f>'GPC Data'!G62</f>
        <v>0</v>
      </c>
      <c r="F10" s="148">
        <f>'GPC Data'!H62</f>
        <v>0</v>
      </c>
      <c r="G10" s="413" t="str">
        <f t="shared" si="0"/>
        <v>-</v>
      </c>
    </row>
    <row r="11" spans="1:10">
      <c r="A11" s="436">
        <v>8</v>
      </c>
      <c r="B11" s="771" t="str">
        <f>'GPC Data'!E29</f>
        <v>Comp 8</v>
      </c>
      <c r="C11" s="771">
        <f>'GPC Data'!D29</f>
        <v>0</v>
      </c>
      <c r="D11" s="1138">
        <f>'GPC Data'!F63</f>
        <v>0</v>
      </c>
      <c r="E11" s="148">
        <f>'GPC Data'!G63</f>
        <v>0</v>
      </c>
      <c r="F11" s="148">
        <f>'GPC Data'!H63</f>
        <v>0</v>
      </c>
      <c r="G11" s="413" t="str">
        <f t="shared" si="0"/>
        <v>-</v>
      </c>
    </row>
    <row r="12" spans="1:10">
      <c r="A12" s="436">
        <v>9</v>
      </c>
      <c r="B12" s="771" t="str">
        <f>'GPC Data'!E30</f>
        <v>Comp 9</v>
      </c>
      <c r="C12" s="771">
        <f>'GPC Data'!D30</f>
        <v>0</v>
      </c>
      <c r="D12" s="1138">
        <f>'GPC Data'!F64</f>
        <v>0</v>
      </c>
      <c r="E12" s="148">
        <f>'GPC Data'!G64</f>
        <v>0</v>
      </c>
      <c r="F12" s="148">
        <f>'GPC Data'!H64</f>
        <v>0</v>
      </c>
      <c r="G12" s="413" t="str">
        <f t="shared" si="0"/>
        <v>-</v>
      </c>
    </row>
    <row r="13" spans="1:10">
      <c r="A13" s="436">
        <v>10</v>
      </c>
      <c r="B13" s="771" t="str">
        <f>'GPC Data'!E31</f>
        <v>Comp 10</v>
      </c>
      <c r="C13" s="771">
        <f>'GPC Data'!D31</f>
        <v>0</v>
      </c>
      <c r="D13" s="1138">
        <f>'GPC Data'!F65</f>
        <v>0</v>
      </c>
      <c r="E13" s="148">
        <f>'GPC Data'!G65</f>
        <v>0</v>
      </c>
      <c r="F13" s="148">
        <f>'GPC Data'!H65</f>
        <v>0</v>
      </c>
      <c r="G13" s="413" t="str">
        <f t="shared" si="0"/>
        <v>-</v>
      </c>
    </row>
    <row r="14" spans="1:10">
      <c r="A14" s="436"/>
      <c r="B14" s="771" t="str">
        <f>'GPC Data'!E32</f>
        <v>Comp 11</v>
      </c>
      <c r="C14" s="771">
        <f>'GPC Data'!D32</f>
        <v>0</v>
      </c>
      <c r="D14" s="1138">
        <f>'GPC Data'!F66</f>
        <v>0</v>
      </c>
      <c r="E14" s="148">
        <f>'GPC Data'!G66</f>
        <v>0</v>
      </c>
      <c r="F14" s="148">
        <f>'GPC Data'!H66</f>
        <v>0</v>
      </c>
      <c r="G14" s="413" t="str">
        <f t="shared" ref="G14:G33" si="1">IFERROR(F14/E14,"-")</f>
        <v>-</v>
      </c>
    </row>
    <row r="15" spans="1:10">
      <c r="A15" s="436"/>
      <c r="B15" s="771" t="str">
        <f>'GPC Data'!E33</f>
        <v>Comp 12</v>
      </c>
      <c r="C15" s="771">
        <f>'GPC Data'!D33</f>
        <v>0</v>
      </c>
      <c r="D15" s="1138">
        <f>'GPC Data'!F67</f>
        <v>0</v>
      </c>
      <c r="E15" s="148">
        <f>'GPC Data'!G67</f>
        <v>0</v>
      </c>
      <c r="F15" s="148">
        <f>'GPC Data'!H67</f>
        <v>0</v>
      </c>
      <c r="G15" s="413" t="str">
        <f t="shared" si="1"/>
        <v>-</v>
      </c>
    </row>
    <row r="16" spans="1:10">
      <c r="A16" s="436"/>
      <c r="B16" s="771" t="str">
        <f>'GPC Data'!E34</f>
        <v>Comp 13</v>
      </c>
      <c r="C16" s="771">
        <f>'GPC Data'!D34</f>
        <v>0</v>
      </c>
      <c r="D16" s="1138">
        <f>'GPC Data'!F68</f>
        <v>0</v>
      </c>
      <c r="E16" s="148">
        <f>'GPC Data'!G68</f>
        <v>0</v>
      </c>
      <c r="F16" s="148">
        <f>'GPC Data'!H68</f>
        <v>0</v>
      </c>
      <c r="G16" s="413" t="str">
        <f t="shared" si="1"/>
        <v>-</v>
      </c>
    </row>
    <row r="17" spans="1:7">
      <c r="A17" s="436"/>
      <c r="B17" s="771" t="str">
        <f>'GPC Data'!E35</f>
        <v>Comp 14</v>
      </c>
      <c r="C17" s="771">
        <f>'GPC Data'!D35</f>
        <v>0</v>
      </c>
      <c r="D17" s="1138">
        <f>'GPC Data'!F69</f>
        <v>0</v>
      </c>
      <c r="E17" s="148">
        <f>'GPC Data'!G69</f>
        <v>0</v>
      </c>
      <c r="F17" s="148">
        <f>'GPC Data'!H69</f>
        <v>0</v>
      </c>
      <c r="G17" s="413" t="str">
        <f t="shared" si="1"/>
        <v>-</v>
      </c>
    </row>
    <row r="18" spans="1:7">
      <c r="A18" s="436"/>
      <c r="B18" s="771" t="str">
        <f>'GPC Data'!E36</f>
        <v>Comp 15</v>
      </c>
      <c r="C18" s="771">
        <f>'GPC Data'!D36</f>
        <v>0</v>
      </c>
      <c r="D18" s="1138">
        <f>'GPC Data'!F70</f>
        <v>0</v>
      </c>
      <c r="E18" s="148">
        <f>'GPC Data'!G70</f>
        <v>0</v>
      </c>
      <c r="F18" s="148">
        <f>'GPC Data'!H70</f>
        <v>0</v>
      </c>
      <c r="G18" s="413" t="str">
        <f t="shared" si="1"/>
        <v>-</v>
      </c>
    </row>
    <row r="19" spans="1:7">
      <c r="A19" s="436"/>
      <c r="B19" s="771" t="str">
        <f>'GPC Data'!E37</f>
        <v>Comp 16</v>
      </c>
      <c r="C19" s="771">
        <f>'GPC Data'!D37</f>
        <v>0</v>
      </c>
      <c r="D19" s="1138">
        <f>'GPC Data'!F71</f>
        <v>0</v>
      </c>
      <c r="E19" s="148">
        <f>'GPC Data'!G71</f>
        <v>0</v>
      </c>
      <c r="F19" s="148">
        <f>'GPC Data'!H71</f>
        <v>0</v>
      </c>
      <c r="G19" s="413" t="str">
        <f t="shared" si="1"/>
        <v>-</v>
      </c>
    </row>
    <row r="20" spans="1:7">
      <c r="A20" s="436"/>
      <c r="B20" s="771" t="str">
        <f>'GPC Data'!E38</f>
        <v>Comp 17</v>
      </c>
      <c r="C20" s="771">
        <f>'GPC Data'!D38</f>
        <v>0</v>
      </c>
      <c r="D20" s="1138">
        <f>'GPC Data'!F72</f>
        <v>0</v>
      </c>
      <c r="E20" s="148">
        <f>'GPC Data'!G72</f>
        <v>0</v>
      </c>
      <c r="F20" s="148">
        <f>'GPC Data'!H72</f>
        <v>0</v>
      </c>
      <c r="G20" s="413" t="str">
        <f t="shared" si="1"/>
        <v>-</v>
      </c>
    </row>
    <row r="21" spans="1:7">
      <c r="A21" s="436"/>
      <c r="B21" s="771" t="str">
        <f>'GPC Data'!E39</f>
        <v>Comp 18</v>
      </c>
      <c r="C21" s="771">
        <f>'GPC Data'!D39</f>
        <v>0</v>
      </c>
      <c r="D21" s="1138">
        <f>'GPC Data'!F73</f>
        <v>0</v>
      </c>
      <c r="E21" s="148">
        <f>'GPC Data'!G73</f>
        <v>0</v>
      </c>
      <c r="F21" s="148">
        <f>'GPC Data'!H73</f>
        <v>0</v>
      </c>
      <c r="G21" s="413" t="str">
        <f t="shared" si="1"/>
        <v>-</v>
      </c>
    </row>
    <row r="22" spans="1:7">
      <c r="A22" s="436"/>
      <c r="B22" s="771" t="str">
        <f>'GPC Data'!E40</f>
        <v>Comp 19</v>
      </c>
      <c r="C22" s="771">
        <f>'GPC Data'!D40</f>
        <v>0</v>
      </c>
      <c r="D22" s="1138">
        <f>'GPC Data'!F74</f>
        <v>0</v>
      </c>
      <c r="E22" s="148">
        <f>'GPC Data'!G74</f>
        <v>0</v>
      </c>
      <c r="F22" s="148">
        <f>'GPC Data'!H74</f>
        <v>0</v>
      </c>
      <c r="G22" s="413" t="str">
        <f t="shared" si="1"/>
        <v>-</v>
      </c>
    </row>
    <row r="23" spans="1:7">
      <c r="A23" s="436"/>
      <c r="B23" s="771" t="str">
        <f>'GPC Data'!E41</f>
        <v>Comp 20</v>
      </c>
      <c r="C23" s="771">
        <f>'GPC Data'!D41</f>
        <v>0</v>
      </c>
      <c r="D23" s="1138">
        <f>'GPC Data'!F75</f>
        <v>0</v>
      </c>
      <c r="E23" s="148">
        <f>'GPC Data'!G75</f>
        <v>0</v>
      </c>
      <c r="F23" s="148">
        <f>'GPC Data'!H75</f>
        <v>0</v>
      </c>
      <c r="G23" s="413" t="str">
        <f t="shared" si="1"/>
        <v>-</v>
      </c>
    </row>
    <row r="24" spans="1:7">
      <c r="A24" s="436"/>
      <c r="B24" s="771" t="str">
        <f>'GPC Data'!E42</f>
        <v>Comp 21</v>
      </c>
      <c r="C24" s="771">
        <f>'GPC Data'!D42</f>
        <v>0</v>
      </c>
      <c r="D24" s="1138">
        <f>'GPC Data'!F76</f>
        <v>0</v>
      </c>
      <c r="E24" s="148">
        <f>'GPC Data'!G76</f>
        <v>0</v>
      </c>
      <c r="F24" s="148">
        <f>'GPC Data'!H76</f>
        <v>0</v>
      </c>
      <c r="G24" s="413" t="str">
        <f t="shared" si="1"/>
        <v>-</v>
      </c>
    </row>
    <row r="25" spans="1:7">
      <c r="A25" s="436"/>
      <c r="B25" s="771" t="str">
        <f>'GPC Data'!E43</f>
        <v>Comp 22</v>
      </c>
      <c r="C25" s="771">
        <f>'GPC Data'!D43</f>
        <v>0</v>
      </c>
      <c r="D25" s="1138">
        <f>'GPC Data'!F77</f>
        <v>0</v>
      </c>
      <c r="E25" s="148">
        <f>'GPC Data'!G77</f>
        <v>0</v>
      </c>
      <c r="F25" s="148">
        <f>'GPC Data'!H77</f>
        <v>0</v>
      </c>
      <c r="G25" s="413" t="str">
        <f t="shared" si="1"/>
        <v>-</v>
      </c>
    </row>
    <row r="26" spans="1:7">
      <c r="A26" s="436"/>
      <c r="B26" s="771" t="str">
        <f>'GPC Data'!E44</f>
        <v>Comp 23</v>
      </c>
      <c r="C26" s="771">
        <f>'GPC Data'!D44</f>
        <v>0</v>
      </c>
      <c r="D26" s="1138">
        <f>'GPC Data'!F78</f>
        <v>0</v>
      </c>
      <c r="E26" s="148">
        <f>'GPC Data'!G78</f>
        <v>0</v>
      </c>
      <c r="F26" s="148">
        <f>'GPC Data'!H78</f>
        <v>0</v>
      </c>
      <c r="G26" s="413" t="str">
        <f t="shared" si="1"/>
        <v>-</v>
      </c>
    </row>
    <row r="27" spans="1:7">
      <c r="A27" s="436"/>
      <c r="B27" s="771" t="str">
        <f>'GPC Data'!E45</f>
        <v>Comp 24</v>
      </c>
      <c r="C27" s="771">
        <f>'GPC Data'!D45</f>
        <v>0</v>
      </c>
      <c r="D27" s="1138">
        <f>'GPC Data'!F79</f>
        <v>0</v>
      </c>
      <c r="E27" s="148">
        <f>'GPC Data'!G79</f>
        <v>0</v>
      </c>
      <c r="F27" s="148">
        <f>'GPC Data'!H79</f>
        <v>0</v>
      </c>
      <c r="G27" s="413" t="str">
        <f t="shared" si="1"/>
        <v>-</v>
      </c>
    </row>
    <row r="28" spans="1:7">
      <c r="A28" s="436"/>
      <c r="B28" s="771" t="str">
        <f>'GPC Data'!E46</f>
        <v>Comp 25</v>
      </c>
      <c r="C28" s="771">
        <f>'GPC Data'!D46</f>
        <v>0</v>
      </c>
      <c r="D28" s="1138">
        <f>'GPC Data'!F80</f>
        <v>0</v>
      </c>
      <c r="E28" s="148">
        <f>'GPC Data'!G80</f>
        <v>0</v>
      </c>
      <c r="F28" s="148">
        <f>'GPC Data'!H80</f>
        <v>0</v>
      </c>
      <c r="G28" s="413" t="str">
        <f t="shared" si="1"/>
        <v>-</v>
      </c>
    </row>
    <row r="29" spans="1:7">
      <c r="A29" s="436"/>
      <c r="B29" s="771" t="str">
        <f>'GPC Data'!E47</f>
        <v>Comp 26</v>
      </c>
      <c r="C29" s="771">
        <f>'GPC Data'!D47</f>
        <v>0</v>
      </c>
      <c r="D29" s="1138">
        <f>'GPC Data'!F81</f>
        <v>0</v>
      </c>
      <c r="E29" s="148">
        <f>'GPC Data'!G81</f>
        <v>0</v>
      </c>
      <c r="F29" s="148">
        <f>'GPC Data'!H81</f>
        <v>0</v>
      </c>
      <c r="G29" s="413" t="str">
        <f t="shared" si="1"/>
        <v>-</v>
      </c>
    </row>
    <row r="30" spans="1:7">
      <c r="A30" s="436"/>
      <c r="B30" s="771" t="str">
        <f>'GPC Data'!E48</f>
        <v>Comp 27</v>
      </c>
      <c r="C30" s="771">
        <f>'GPC Data'!D48</f>
        <v>0</v>
      </c>
      <c r="D30" s="1138">
        <f>'GPC Data'!F82</f>
        <v>0</v>
      </c>
      <c r="E30" s="148">
        <f>'GPC Data'!G82</f>
        <v>0</v>
      </c>
      <c r="F30" s="148">
        <f>'GPC Data'!H82</f>
        <v>0</v>
      </c>
      <c r="G30" s="413" t="str">
        <f t="shared" si="1"/>
        <v>-</v>
      </c>
    </row>
    <row r="31" spans="1:7">
      <c r="A31" s="436"/>
      <c r="B31" s="771" t="str">
        <f>'GPC Data'!E49</f>
        <v>Comp 28</v>
      </c>
      <c r="C31" s="771">
        <f>'GPC Data'!D49</f>
        <v>0</v>
      </c>
      <c r="D31" s="1138">
        <f>'GPC Data'!F83</f>
        <v>0</v>
      </c>
      <c r="E31" s="148">
        <f>'GPC Data'!G83</f>
        <v>0</v>
      </c>
      <c r="F31" s="148">
        <f>'GPC Data'!H83</f>
        <v>0</v>
      </c>
      <c r="G31" s="413" t="str">
        <f t="shared" si="1"/>
        <v>-</v>
      </c>
    </row>
    <row r="32" spans="1:7">
      <c r="A32" s="436"/>
      <c r="B32" s="771" t="str">
        <f>'GPC Data'!E50</f>
        <v>Comp 29</v>
      </c>
      <c r="C32" s="771">
        <f>'GPC Data'!D50</f>
        <v>0</v>
      </c>
      <c r="D32" s="1138">
        <f>'GPC Data'!F84</f>
        <v>0</v>
      </c>
      <c r="E32" s="148">
        <f>'GPC Data'!G84</f>
        <v>0</v>
      </c>
      <c r="F32" s="148">
        <f>'GPC Data'!H84</f>
        <v>0</v>
      </c>
      <c r="G32" s="413" t="str">
        <f t="shared" si="1"/>
        <v>-</v>
      </c>
    </row>
    <row r="33" spans="1:7">
      <c r="A33" s="436"/>
      <c r="B33" s="771" t="str">
        <f>'GPC Data'!E51</f>
        <v>Comp 30</v>
      </c>
      <c r="C33" s="771">
        <f>'GPC Data'!D51</f>
        <v>0</v>
      </c>
      <c r="D33" s="1138">
        <f>'GPC Data'!F85</f>
        <v>0</v>
      </c>
      <c r="E33" s="148">
        <f>'GPC Data'!G85</f>
        <v>0</v>
      </c>
      <c r="F33" s="148">
        <f>'GPC Data'!H85</f>
        <v>0</v>
      </c>
      <c r="G33" s="413" t="str">
        <f t="shared" si="1"/>
        <v>-</v>
      </c>
    </row>
    <row r="34" spans="1:7">
      <c r="B34" s="910" t="str">
        <f>"As of "&amp;TEXT(valuation.date,"d mmmm yyy")&amp;"."&amp;" Average daily trading volume is based on daily trading volume taken at weekly intervals over the last 52 weeks."</f>
        <v>As of 30 September 2024. Average daily trading volume is based on daily trading volume taken at weekly intervals over the last 52 weeks.</v>
      </c>
      <c r="G34" s="977"/>
    </row>
    <row r="35" spans="1:7">
      <c r="G35" s="977"/>
    </row>
    <row r="36" spans="1:7">
      <c r="G36" s="977"/>
    </row>
    <row r="37" spans="1:7">
      <c r="G37" s="977"/>
    </row>
    <row r="38" spans="1:7">
      <c r="G38" s="977"/>
    </row>
    <row r="39" spans="1:7">
      <c r="G39" s="977"/>
    </row>
    <row r="40" spans="1:7">
      <c r="G40" s="977"/>
    </row>
    <row r="41" spans="1:7">
      <c r="G41" s="977"/>
    </row>
  </sheetData>
  <conditionalFormatting sqref="B4:C33">
    <cfRule type="expression" dxfId="0" priority="1">
      <formula>$AY4="Yes"</formula>
    </cfRule>
  </conditionalFormatting>
  <printOptions horizontalCentered="1"/>
  <pageMargins left="0.5" right="0.5" top="0.75" bottom="0.5" header="0.25" footer="0.25"/>
  <pageSetup orientation="landscape" r:id="rId1"/>
  <headerFooter alignWithMargins="0">
    <oddHeader>&amp;R&amp;"Arial"&amp;8&amp;K000000Confidential&amp;1#</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
    <tabColor theme="7"/>
  </sheetPr>
  <dimension ref="A1:B168"/>
  <sheetViews>
    <sheetView showGridLines="0" topLeftCell="A150" zoomScale="80" zoomScaleNormal="80" workbookViewId="0">
      <selection activeCell="A2" sqref="A2"/>
    </sheetView>
  </sheetViews>
  <sheetFormatPr defaultColWidth="9.109375" defaultRowHeight="15"/>
  <cols>
    <col min="1" max="1" width="20.5546875" style="1143" bestFit="1" customWidth="1"/>
    <col min="2" max="2" width="11.5546875" style="1143" customWidth="1"/>
    <col min="3" max="16384" width="9.109375" style="1143"/>
  </cols>
  <sheetData>
    <row r="1" spans="1:2">
      <c r="A1" s="1143" t="s">
        <v>2537</v>
      </c>
    </row>
    <row r="2" spans="1:2">
      <c r="A2" s="1258" t="s">
        <v>2538</v>
      </c>
      <c r="B2" s="1258">
        <v>2024</v>
      </c>
    </row>
    <row r="4" spans="1:2" ht="31.5">
      <c r="A4" s="1256" t="s">
        <v>96</v>
      </c>
      <c r="B4" s="1257" t="s">
        <v>2536</v>
      </c>
    </row>
    <row r="5" spans="1:2" ht="15.75">
      <c r="A5" s="1254" t="s">
        <v>1769</v>
      </c>
      <c r="B5" s="1255">
        <v>20</v>
      </c>
    </row>
    <row r="6" spans="1:2" ht="15.75">
      <c r="A6" s="1254" t="s">
        <v>1629</v>
      </c>
      <c r="B6" s="1255">
        <v>15</v>
      </c>
    </row>
    <row r="7" spans="1:2" ht="15.75">
      <c r="A7" s="1254" t="s">
        <v>1746</v>
      </c>
      <c r="B7" s="1255">
        <v>26</v>
      </c>
    </row>
    <row r="8" spans="1:2" ht="15.75">
      <c r="A8" s="1254" t="s">
        <v>1635</v>
      </c>
      <c r="B8" s="1255">
        <v>25</v>
      </c>
    </row>
    <row r="9" spans="1:2" ht="15.75">
      <c r="A9" s="1254" t="s">
        <v>153</v>
      </c>
      <c r="B9" s="1255">
        <v>35</v>
      </c>
    </row>
    <row r="10" spans="1:2" ht="15.75">
      <c r="A10" s="1254" t="s">
        <v>1640</v>
      </c>
      <c r="B10" s="1255">
        <v>18</v>
      </c>
    </row>
    <row r="11" spans="1:2" ht="15.75">
      <c r="A11" s="1254" t="s">
        <v>1642</v>
      </c>
      <c r="B11" s="1255">
        <v>25</v>
      </c>
    </row>
    <row r="12" spans="1:2" ht="15.75">
      <c r="A12" s="1254" t="s">
        <v>154</v>
      </c>
      <c r="B12" s="1255">
        <v>30</v>
      </c>
    </row>
    <row r="13" spans="1:2" ht="15.75">
      <c r="A13" s="1254" t="s">
        <v>155</v>
      </c>
      <c r="B13" s="1255">
        <v>23</v>
      </c>
    </row>
    <row r="14" spans="1:2" ht="15.75">
      <c r="A14" s="1254" t="s">
        <v>1646</v>
      </c>
      <c r="B14" s="1255">
        <v>20</v>
      </c>
    </row>
    <row r="15" spans="1:2" ht="15.75">
      <c r="A15" s="1254" t="s">
        <v>1649</v>
      </c>
      <c r="B15" s="1255">
        <v>0</v>
      </c>
    </row>
    <row r="16" spans="1:2" ht="15.75">
      <c r="A16" s="1254" t="s">
        <v>1650</v>
      </c>
      <c r="B16" s="1255">
        <v>0</v>
      </c>
    </row>
    <row r="17" spans="1:2" ht="15.75">
      <c r="A17" s="1254" t="s">
        <v>1652</v>
      </c>
      <c r="B17" s="1255">
        <v>27.5</v>
      </c>
    </row>
    <row r="18" spans="1:2" ht="15.75">
      <c r="A18" s="1254" t="s">
        <v>1653</v>
      </c>
      <c r="B18" s="1255">
        <v>5.5</v>
      </c>
    </row>
    <row r="19" spans="1:2" ht="15.75">
      <c r="A19" s="1254" t="s">
        <v>1655</v>
      </c>
      <c r="B19" s="1255">
        <v>20</v>
      </c>
    </row>
    <row r="20" spans="1:2" ht="15.75">
      <c r="A20" s="1254" t="s">
        <v>156</v>
      </c>
      <c r="B20" s="1255">
        <v>25</v>
      </c>
    </row>
    <row r="21" spans="1:2" ht="15.75">
      <c r="A21" s="1254" t="s">
        <v>1658</v>
      </c>
      <c r="B21" s="1255">
        <v>30</v>
      </c>
    </row>
    <row r="22" spans="1:2" ht="15.75">
      <c r="A22" s="1254" t="s">
        <v>1659</v>
      </c>
      <c r="B22" s="1255">
        <v>0</v>
      </c>
    </row>
    <row r="23" spans="1:2" ht="15.75">
      <c r="A23" s="1254" t="s">
        <v>1660</v>
      </c>
      <c r="B23" s="1255">
        <v>25</v>
      </c>
    </row>
    <row r="24" spans="1:2" ht="15.75">
      <c r="A24" s="1254" t="s">
        <v>1661</v>
      </c>
      <c r="B24" s="1255">
        <v>10</v>
      </c>
    </row>
    <row r="25" spans="1:2" ht="15.75">
      <c r="A25" s="1254" t="s">
        <v>1662</v>
      </c>
      <c r="B25" s="1255">
        <v>22</v>
      </c>
    </row>
    <row r="26" spans="1:2" ht="15.75">
      <c r="A26" s="1254" t="s">
        <v>157</v>
      </c>
      <c r="B26" s="1255">
        <v>34</v>
      </c>
    </row>
    <row r="27" spans="1:2" ht="15.75">
      <c r="A27" s="1254" t="s">
        <v>1747</v>
      </c>
      <c r="B27" s="1255">
        <v>18.5</v>
      </c>
    </row>
    <row r="28" spans="1:2" ht="15.75">
      <c r="A28" s="1254" t="s">
        <v>158</v>
      </c>
      <c r="B28" s="1255">
        <v>10</v>
      </c>
    </row>
    <row r="29" spans="1:2" ht="15.75">
      <c r="A29" s="1254" t="s">
        <v>1664</v>
      </c>
      <c r="B29" s="1255">
        <v>27.5</v>
      </c>
    </row>
    <row r="30" spans="1:2" ht="15.75">
      <c r="A30" s="1254" t="s">
        <v>1665</v>
      </c>
      <c r="B30" s="1255">
        <v>20</v>
      </c>
    </row>
    <row r="31" spans="1:2" ht="15.75">
      <c r="A31" s="1254" t="s">
        <v>1666</v>
      </c>
      <c r="B31" s="1255">
        <v>33</v>
      </c>
    </row>
    <row r="32" spans="1:2" ht="15.75">
      <c r="A32" s="1254" t="s">
        <v>159</v>
      </c>
      <c r="B32" s="1255">
        <v>26.5</v>
      </c>
    </row>
    <row r="33" spans="1:2" ht="15.75">
      <c r="A33" s="1254" t="s">
        <v>1668</v>
      </c>
      <c r="B33" s="1255">
        <v>0</v>
      </c>
    </row>
    <row r="34" spans="1:2" ht="15.75">
      <c r="A34" s="1254" t="s">
        <v>2521</v>
      </c>
      <c r="B34" s="1255">
        <v>35</v>
      </c>
    </row>
    <row r="35" spans="1:2" ht="15.75">
      <c r="A35" s="1254" t="s">
        <v>160</v>
      </c>
      <c r="B35" s="1255">
        <v>27</v>
      </c>
    </row>
    <row r="36" spans="1:2" ht="15.75">
      <c r="A36" s="1254" t="s">
        <v>161</v>
      </c>
      <c r="B36" s="1255">
        <v>25</v>
      </c>
    </row>
    <row r="37" spans="1:2" ht="15.75">
      <c r="A37" s="1254" t="s">
        <v>1669</v>
      </c>
      <c r="B37" s="1255">
        <v>35</v>
      </c>
    </row>
    <row r="38" spans="1:2" ht="15.75">
      <c r="A38" s="1254" t="s">
        <v>2522</v>
      </c>
      <c r="B38" s="1255">
        <v>30</v>
      </c>
    </row>
    <row r="39" spans="1:2" ht="15.75">
      <c r="A39" s="1254" t="s">
        <v>1673</v>
      </c>
      <c r="B39" s="1255">
        <v>30</v>
      </c>
    </row>
    <row r="40" spans="1:2" ht="15.75">
      <c r="A40" s="1254" t="s">
        <v>162</v>
      </c>
      <c r="B40" s="1255">
        <v>18</v>
      </c>
    </row>
    <row r="41" spans="1:2" ht="15.75">
      <c r="A41" s="1254" t="s">
        <v>1675</v>
      </c>
      <c r="B41" s="1255">
        <v>12.5</v>
      </c>
    </row>
    <row r="42" spans="1:2" ht="15.75">
      <c r="A42" s="1254" t="s">
        <v>163</v>
      </c>
      <c r="B42" s="1255">
        <v>21</v>
      </c>
    </row>
    <row r="43" spans="1:2" ht="15.75">
      <c r="A43" s="1254" t="s">
        <v>164</v>
      </c>
      <c r="B43" s="1255">
        <v>22</v>
      </c>
    </row>
    <row r="44" spans="1:2" ht="15.75">
      <c r="A44" s="1254" t="s">
        <v>1676</v>
      </c>
      <c r="B44" s="1255">
        <v>27</v>
      </c>
    </row>
    <row r="45" spans="1:2" ht="15.75">
      <c r="A45" s="1254" t="s">
        <v>1677</v>
      </c>
      <c r="B45" s="1255">
        <v>25</v>
      </c>
    </row>
    <row r="46" spans="1:2" ht="15.75">
      <c r="A46" s="1254" t="s">
        <v>165</v>
      </c>
      <c r="B46" s="1255">
        <v>22.5</v>
      </c>
    </row>
    <row r="47" spans="1:2" ht="15.75">
      <c r="A47" s="1254" t="s">
        <v>1679</v>
      </c>
      <c r="B47" s="1255">
        <v>30</v>
      </c>
    </row>
    <row r="48" spans="1:2" ht="15.75">
      <c r="A48" s="1254" t="s">
        <v>2523</v>
      </c>
      <c r="B48" s="1255">
        <v>35</v>
      </c>
    </row>
    <row r="49" spans="1:2" ht="15.75">
      <c r="A49" s="1254" t="s">
        <v>1680</v>
      </c>
      <c r="B49" s="1255">
        <v>20</v>
      </c>
    </row>
    <row r="50" spans="1:2" ht="15.75">
      <c r="A50" s="1254" t="s">
        <v>1681</v>
      </c>
      <c r="B50" s="1255">
        <v>30</v>
      </c>
    </row>
    <row r="51" spans="1:2" ht="15.75">
      <c r="A51" s="1254" t="s">
        <v>2524</v>
      </c>
      <c r="B51" s="1255">
        <v>23</v>
      </c>
    </row>
    <row r="52" spans="1:2" ht="15.75">
      <c r="A52" s="1254" t="s">
        <v>2525</v>
      </c>
      <c r="B52" s="1255">
        <v>21.2</v>
      </c>
    </row>
    <row r="53" spans="1:2" ht="15.75">
      <c r="A53" s="1254" t="s">
        <v>1682</v>
      </c>
      <c r="B53" s="1255">
        <v>20</v>
      </c>
    </row>
    <row r="54" spans="1:2" ht="15.75">
      <c r="A54" s="1254" t="s">
        <v>1683</v>
      </c>
      <c r="B54" s="1255">
        <v>20</v>
      </c>
    </row>
    <row r="55" spans="1:2" ht="15.75">
      <c r="A55" s="1254" t="s">
        <v>166</v>
      </c>
      <c r="B55" s="1255">
        <v>25</v>
      </c>
    </row>
    <row r="56" spans="1:2" ht="15.75">
      <c r="A56" s="1254" t="s">
        <v>1684</v>
      </c>
      <c r="B56" s="1255">
        <v>30</v>
      </c>
    </row>
    <row r="57" spans="1:2" ht="15.75">
      <c r="A57" s="1254" t="s">
        <v>1748</v>
      </c>
      <c r="B57" s="1255">
        <v>27</v>
      </c>
    </row>
    <row r="58" spans="1:2" ht="15.75">
      <c r="A58" s="1254" t="s">
        <v>1685</v>
      </c>
      <c r="B58" s="1255">
        <v>15</v>
      </c>
    </row>
    <row r="59" spans="1:2" ht="15.75">
      <c r="A59" s="1254" t="s">
        <v>167</v>
      </c>
      <c r="B59" s="1255">
        <v>30</v>
      </c>
    </row>
    <row r="60" spans="1:2" ht="15.75">
      <c r="A60" s="1254" t="s">
        <v>1686</v>
      </c>
      <c r="B60" s="1255">
        <v>25</v>
      </c>
    </row>
    <row r="61" spans="1:2" ht="15.75">
      <c r="A61" s="1254" t="s">
        <v>1687</v>
      </c>
      <c r="B61" s="1255">
        <v>22</v>
      </c>
    </row>
    <row r="62" spans="1:2" ht="15.75">
      <c r="A62" s="1254" t="s">
        <v>2526</v>
      </c>
      <c r="B62" s="1255">
        <v>21</v>
      </c>
    </row>
    <row r="63" spans="1:2" ht="15.75">
      <c r="A63" s="1254" t="s">
        <v>1688</v>
      </c>
      <c r="B63" s="1255">
        <v>25</v>
      </c>
    </row>
    <row r="64" spans="1:2" ht="15.75">
      <c r="A64" s="1254" t="s">
        <v>1749</v>
      </c>
      <c r="B64" s="1255">
        <v>35</v>
      </c>
    </row>
    <row r="65" spans="1:2" ht="15.75">
      <c r="A65" s="1254" t="s">
        <v>1690</v>
      </c>
      <c r="B65" s="1255">
        <v>25</v>
      </c>
    </row>
    <row r="66" spans="1:2" ht="15.75">
      <c r="A66" s="1254" t="s">
        <v>168</v>
      </c>
      <c r="B66" s="1255">
        <v>16.5</v>
      </c>
    </row>
    <row r="67" spans="1:2" ht="15.75">
      <c r="A67" s="1254" t="s">
        <v>169</v>
      </c>
      <c r="B67" s="1255">
        <v>9</v>
      </c>
    </row>
    <row r="68" spans="1:2" ht="15.75">
      <c r="A68" s="1254" t="s">
        <v>170</v>
      </c>
      <c r="B68" s="1255">
        <v>21</v>
      </c>
    </row>
    <row r="69" spans="1:2" ht="15.75">
      <c r="A69" s="1254" t="s">
        <v>171</v>
      </c>
      <c r="B69" s="1255">
        <v>34.94</v>
      </c>
    </row>
    <row r="70" spans="1:2" ht="15.75">
      <c r="A70" s="1254" t="s">
        <v>172</v>
      </c>
      <c r="B70" s="1255">
        <v>22</v>
      </c>
    </row>
    <row r="71" spans="1:2" ht="15.75">
      <c r="A71" s="1254" t="s">
        <v>1691</v>
      </c>
      <c r="B71" s="1255">
        <v>15</v>
      </c>
    </row>
    <row r="72" spans="1:2" ht="15.75">
      <c r="A72" s="1254" t="s">
        <v>173</v>
      </c>
      <c r="B72" s="1255">
        <v>12.5</v>
      </c>
    </row>
    <row r="73" spans="1:2" ht="15.75">
      <c r="A73" s="1254" t="s">
        <v>1692</v>
      </c>
      <c r="B73" s="1255">
        <v>0</v>
      </c>
    </row>
    <row r="74" spans="1:2" ht="15.75">
      <c r="A74" s="1254" t="s">
        <v>174</v>
      </c>
      <c r="B74" s="1255">
        <v>23</v>
      </c>
    </row>
    <row r="75" spans="1:2" ht="15.75">
      <c r="A75" s="1254" t="s">
        <v>175</v>
      </c>
      <c r="B75" s="1255">
        <v>24</v>
      </c>
    </row>
    <row r="76" spans="1:2" ht="15.75">
      <c r="A76" s="1254" t="s">
        <v>1775</v>
      </c>
      <c r="B76" s="1255">
        <v>25</v>
      </c>
    </row>
    <row r="77" spans="1:2" ht="15.75">
      <c r="A77" s="1254" t="s">
        <v>1693</v>
      </c>
      <c r="B77" s="1255">
        <v>25</v>
      </c>
    </row>
    <row r="78" spans="1:2" ht="15.75">
      <c r="A78" s="1254" t="s">
        <v>176</v>
      </c>
      <c r="B78" s="1255">
        <v>30.62</v>
      </c>
    </row>
    <row r="79" spans="1:2" ht="15.75">
      <c r="A79" s="1254" t="s">
        <v>1695</v>
      </c>
      <c r="B79" s="1255">
        <v>20</v>
      </c>
    </row>
    <row r="80" spans="1:2" ht="15.75">
      <c r="A80" s="1254" t="s">
        <v>1696</v>
      </c>
      <c r="B80" s="1255">
        <v>20</v>
      </c>
    </row>
    <row r="81" spans="1:2" ht="15.75">
      <c r="A81" s="1254" t="s">
        <v>177</v>
      </c>
      <c r="B81" s="1255">
        <v>30</v>
      </c>
    </row>
    <row r="82" spans="1:2" ht="15.75">
      <c r="A82" s="1254" t="s">
        <v>2527</v>
      </c>
      <c r="B82" s="1255">
        <v>10</v>
      </c>
    </row>
    <row r="83" spans="1:2" ht="15.75">
      <c r="A83" s="1254" t="s">
        <v>1697</v>
      </c>
      <c r="B83" s="1255">
        <v>15</v>
      </c>
    </row>
    <row r="84" spans="1:2" ht="15.75">
      <c r="A84" s="1254" t="s">
        <v>1699</v>
      </c>
      <c r="B84" s="1255">
        <v>20</v>
      </c>
    </row>
    <row r="85" spans="1:2" ht="15.75">
      <c r="A85" s="1254" t="s">
        <v>1700</v>
      </c>
      <c r="B85" s="1255">
        <v>20</v>
      </c>
    </row>
    <row r="86" spans="1:2" ht="15.75">
      <c r="A86" s="1254" t="s">
        <v>1701</v>
      </c>
      <c r="B86" s="1255">
        <v>17</v>
      </c>
    </row>
    <row r="87" spans="1:2" ht="15.75">
      <c r="A87" s="1254" t="s">
        <v>2528</v>
      </c>
      <c r="B87" s="1255">
        <v>25</v>
      </c>
    </row>
    <row r="88" spans="1:2" ht="15.75">
      <c r="A88" s="1254" t="s">
        <v>1756</v>
      </c>
      <c r="B88" s="1255">
        <v>20</v>
      </c>
    </row>
    <row r="89" spans="1:2" ht="15.75">
      <c r="A89" s="1254" t="s">
        <v>1702</v>
      </c>
      <c r="B89" s="1255">
        <v>12.5</v>
      </c>
    </row>
    <row r="90" spans="1:2" ht="15.75">
      <c r="A90" s="1254" t="s">
        <v>1703</v>
      </c>
      <c r="B90" s="1255">
        <v>15</v>
      </c>
    </row>
    <row r="91" spans="1:2" ht="15.75">
      <c r="A91" s="1254" t="s">
        <v>178</v>
      </c>
      <c r="B91" s="1255">
        <v>24.94</v>
      </c>
    </row>
    <row r="92" spans="1:2" ht="15.75">
      <c r="A92" s="1254" t="s">
        <v>1776</v>
      </c>
      <c r="B92" s="1255">
        <v>12</v>
      </c>
    </row>
    <row r="93" spans="1:2" ht="15.75">
      <c r="A93" s="1254" t="s">
        <v>1704</v>
      </c>
      <c r="B93" s="1255">
        <v>10</v>
      </c>
    </row>
    <row r="94" spans="1:2" ht="15.75">
      <c r="A94" s="1254" t="s">
        <v>1757</v>
      </c>
      <c r="B94" s="1255">
        <v>20</v>
      </c>
    </row>
    <row r="95" spans="1:2" ht="15.75">
      <c r="A95" s="1254" t="s">
        <v>1758</v>
      </c>
      <c r="B95" s="1255">
        <v>30</v>
      </c>
    </row>
    <row r="96" spans="1:2" ht="15.75">
      <c r="A96" s="1254" t="s">
        <v>179</v>
      </c>
      <c r="B96" s="1255">
        <v>24</v>
      </c>
    </row>
    <row r="97" spans="1:2" ht="15.75">
      <c r="A97" s="1254" t="s">
        <v>1705</v>
      </c>
      <c r="B97" s="1255">
        <v>15</v>
      </c>
    </row>
    <row r="98" spans="1:2" ht="15.75">
      <c r="A98" s="1254" t="s">
        <v>1707</v>
      </c>
      <c r="B98" s="1255">
        <v>35</v>
      </c>
    </row>
    <row r="99" spans="1:2" ht="15.75">
      <c r="A99" s="1254" t="s">
        <v>2529</v>
      </c>
      <c r="B99" s="1255">
        <v>25</v>
      </c>
    </row>
    <row r="100" spans="1:2" ht="15.75">
      <c r="A100" s="1254" t="s">
        <v>1708</v>
      </c>
      <c r="B100" s="1255">
        <v>15</v>
      </c>
    </row>
    <row r="101" spans="1:2" ht="15.75">
      <c r="A101" s="1254" t="s">
        <v>180</v>
      </c>
      <c r="B101" s="1255">
        <v>30</v>
      </c>
    </row>
    <row r="102" spans="1:2" ht="15.75">
      <c r="A102" s="1254" t="s">
        <v>2530</v>
      </c>
      <c r="B102" s="1255">
        <v>21</v>
      </c>
    </row>
    <row r="103" spans="1:2" ht="15.75">
      <c r="A103" s="1254" t="s">
        <v>1709</v>
      </c>
      <c r="B103" s="1255">
        <v>12</v>
      </c>
    </row>
    <row r="104" spans="1:2" ht="15.75">
      <c r="A104" s="1254" t="s">
        <v>1710</v>
      </c>
      <c r="B104" s="1255">
        <v>25</v>
      </c>
    </row>
    <row r="105" spans="1:2" ht="15.75">
      <c r="A105" s="1254" t="s">
        <v>1711</v>
      </c>
      <c r="B105" s="1255">
        <v>9</v>
      </c>
    </row>
    <row r="106" spans="1:2" ht="15.75">
      <c r="A106" s="1254" t="s">
        <v>181</v>
      </c>
      <c r="B106" s="1255">
        <v>32</v>
      </c>
    </row>
    <row r="107" spans="1:2" ht="15.75">
      <c r="A107" s="1254" t="s">
        <v>1713</v>
      </c>
      <c r="B107" s="1255">
        <v>32</v>
      </c>
    </row>
    <row r="108" spans="1:2" ht="15.75">
      <c r="A108" s="1254" t="s">
        <v>1759</v>
      </c>
      <c r="B108" s="1255">
        <v>22</v>
      </c>
    </row>
    <row r="109" spans="1:2" ht="15.75">
      <c r="A109" s="1254" t="s">
        <v>1714</v>
      </c>
      <c r="B109" s="1255">
        <v>32</v>
      </c>
    </row>
    <row r="110" spans="1:2" ht="15.75">
      <c r="A110" s="1254" t="s">
        <v>182</v>
      </c>
      <c r="B110" s="1255">
        <v>25.8</v>
      </c>
    </row>
    <row r="111" spans="1:2" ht="15.75">
      <c r="A111" s="1254" t="s">
        <v>183</v>
      </c>
      <c r="B111" s="1255">
        <v>28</v>
      </c>
    </row>
    <row r="112" spans="1:2" ht="15.75">
      <c r="A112" s="1254" t="s">
        <v>1715</v>
      </c>
      <c r="B112" s="1255">
        <v>30</v>
      </c>
    </row>
    <row r="113" spans="1:2" ht="15.75">
      <c r="A113" s="1254" t="s">
        <v>184</v>
      </c>
      <c r="B113" s="1255">
        <v>30</v>
      </c>
    </row>
    <row r="114" spans="1:2" ht="15.75">
      <c r="A114" s="1254" t="s">
        <v>185</v>
      </c>
      <c r="B114" s="1255">
        <v>22</v>
      </c>
    </row>
    <row r="115" spans="1:2" ht="15.75">
      <c r="A115" s="1254" t="s">
        <v>1717</v>
      </c>
      <c r="B115" s="1255">
        <v>15</v>
      </c>
    </row>
    <row r="116" spans="1:2" ht="15.75">
      <c r="A116" s="1254" t="s">
        <v>1718</v>
      </c>
      <c r="B116" s="1255">
        <v>29</v>
      </c>
    </row>
    <row r="117" spans="1:2" ht="15.75">
      <c r="A117" s="1254" t="s">
        <v>1719</v>
      </c>
      <c r="B117" s="1255">
        <v>25</v>
      </c>
    </row>
    <row r="118" spans="1:2" ht="15.75">
      <c r="A118" s="1254" t="s">
        <v>1720</v>
      </c>
      <c r="B118" s="1255">
        <v>30</v>
      </c>
    </row>
    <row r="119" spans="1:2" ht="15.75">
      <c r="A119" s="1254" t="s">
        <v>1721</v>
      </c>
      <c r="B119" s="1255">
        <v>10</v>
      </c>
    </row>
    <row r="120" spans="1:2" ht="15.75">
      <c r="A120" s="1254" t="s">
        <v>1722</v>
      </c>
      <c r="B120" s="1255">
        <v>29.5</v>
      </c>
    </row>
    <row r="121" spans="1:2" ht="15.75">
      <c r="A121" s="1254" t="s">
        <v>186</v>
      </c>
      <c r="B121" s="1255">
        <v>25</v>
      </c>
    </row>
    <row r="122" spans="1:2" ht="15.75">
      <c r="A122" s="1254" t="s">
        <v>187</v>
      </c>
      <c r="B122" s="1255">
        <v>19</v>
      </c>
    </row>
    <row r="123" spans="1:2" ht="15.75">
      <c r="A123" s="1254" t="s">
        <v>1723</v>
      </c>
      <c r="B123" s="1255">
        <v>21</v>
      </c>
    </row>
    <row r="124" spans="1:2" ht="15.75">
      <c r="A124" s="1254" t="s">
        <v>2531</v>
      </c>
      <c r="B124" s="1255">
        <v>37.5</v>
      </c>
    </row>
    <row r="125" spans="1:2" ht="15.75">
      <c r="A125" s="1254" t="s">
        <v>188</v>
      </c>
      <c r="B125" s="1255">
        <v>10</v>
      </c>
    </row>
    <row r="126" spans="1:2" ht="15.75">
      <c r="A126" s="1254" t="s">
        <v>2532</v>
      </c>
      <c r="B126" s="1255">
        <v>28</v>
      </c>
    </row>
    <row r="127" spans="1:2" ht="15.75">
      <c r="A127" s="1254" t="s">
        <v>189</v>
      </c>
      <c r="B127" s="1255">
        <v>16</v>
      </c>
    </row>
    <row r="128" spans="1:2" ht="15.75">
      <c r="A128" s="1254" t="s">
        <v>190</v>
      </c>
      <c r="B128" s="1255">
        <v>20</v>
      </c>
    </row>
    <row r="129" spans="1:2" ht="15.75">
      <c r="A129" s="1254" t="s">
        <v>1725</v>
      </c>
      <c r="B129" s="1255">
        <v>28</v>
      </c>
    </row>
    <row r="130" spans="1:2" ht="15.75">
      <c r="A130" s="1254" t="s">
        <v>1779</v>
      </c>
      <c r="B130" s="1255">
        <v>27</v>
      </c>
    </row>
    <row r="131" spans="1:2" ht="15.75">
      <c r="A131" s="1254" t="s">
        <v>191</v>
      </c>
      <c r="B131" s="1255">
        <v>20</v>
      </c>
    </row>
    <row r="132" spans="1:2" ht="15.75">
      <c r="A132" s="1254" t="s">
        <v>1726</v>
      </c>
      <c r="B132" s="1255">
        <v>30</v>
      </c>
    </row>
    <row r="133" spans="1:2" ht="15.75">
      <c r="A133" s="1254" t="s">
        <v>1727</v>
      </c>
      <c r="B133" s="1255">
        <v>15</v>
      </c>
    </row>
    <row r="134" spans="1:2" ht="15.75">
      <c r="A134" s="1254" t="s">
        <v>2533</v>
      </c>
      <c r="B134" s="1255">
        <v>33</v>
      </c>
    </row>
    <row r="135" spans="1:2" ht="15.75">
      <c r="A135" s="1254" t="s">
        <v>1760</v>
      </c>
      <c r="B135" s="1255">
        <v>25</v>
      </c>
    </row>
    <row r="136" spans="1:2" ht="15.75">
      <c r="A136" s="1254" t="s">
        <v>192</v>
      </c>
      <c r="B136" s="1255">
        <v>17</v>
      </c>
    </row>
    <row r="137" spans="1:2" ht="15.75">
      <c r="A137" s="1254" t="s">
        <v>1729</v>
      </c>
      <c r="B137" s="1255">
        <v>21</v>
      </c>
    </row>
    <row r="138" spans="1:2" ht="15.75">
      <c r="A138" s="1254" t="s">
        <v>1730</v>
      </c>
      <c r="B138" s="1255">
        <v>22</v>
      </c>
    </row>
    <row r="139" spans="1:2" ht="15.75">
      <c r="A139" s="1254" t="s">
        <v>1731</v>
      </c>
      <c r="B139" s="1255">
        <v>30</v>
      </c>
    </row>
    <row r="140" spans="1:2" ht="15.75">
      <c r="A140" s="1254" t="s">
        <v>193</v>
      </c>
      <c r="B140" s="1255">
        <v>27</v>
      </c>
    </row>
    <row r="141" spans="1:2" ht="15.75">
      <c r="A141" s="1254" t="s">
        <v>2213</v>
      </c>
      <c r="B141" s="1255">
        <v>24</v>
      </c>
    </row>
    <row r="142" spans="1:2" ht="15.75">
      <c r="A142" s="1254" t="s">
        <v>194</v>
      </c>
      <c r="B142" s="1255">
        <v>25</v>
      </c>
    </row>
    <row r="143" spans="1:2" ht="15.75">
      <c r="A143" s="1254" t="s">
        <v>195</v>
      </c>
      <c r="B143" s="1255">
        <v>30</v>
      </c>
    </row>
    <row r="144" spans="1:2" ht="15.75">
      <c r="A144" s="1254" t="s">
        <v>1762</v>
      </c>
      <c r="B144" s="1255">
        <v>35</v>
      </c>
    </row>
    <row r="145" spans="1:2" ht="15.75">
      <c r="A145" s="1254" t="s">
        <v>1734</v>
      </c>
      <c r="B145" s="1255">
        <v>36</v>
      </c>
    </row>
    <row r="146" spans="1:2" ht="15.75">
      <c r="A146" s="1254" t="s">
        <v>1735</v>
      </c>
      <c r="B146" s="1255">
        <v>27.5</v>
      </c>
    </row>
    <row r="147" spans="1:2" ht="15.75">
      <c r="A147" s="1254" t="s">
        <v>196</v>
      </c>
      <c r="B147" s="1255">
        <v>20.6</v>
      </c>
    </row>
    <row r="148" spans="1:2" ht="15.75">
      <c r="A148" s="1254" t="s">
        <v>197</v>
      </c>
      <c r="B148" s="1255">
        <v>14.6</v>
      </c>
    </row>
    <row r="149" spans="1:2" ht="15.75">
      <c r="A149" s="1254" t="s">
        <v>1763</v>
      </c>
      <c r="B149" s="1255">
        <v>28</v>
      </c>
    </row>
    <row r="150" spans="1:2" ht="15.75">
      <c r="A150" s="1254" t="s">
        <v>198</v>
      </c>
      <c r="B150" s="1255">
        <v>20</v>
      </c>
    </row>
    <row r="151" spans="1:2" ht="15.75">
      <c r="A151" s="1254" t="s">
        <v>1737</v>
      </c>
      <c r="B151" s="1255">
        <v>30</v>
      </c>
    </row>
    <row r="152" spans="1:2" ht="15.75">
      <c r="A152" s="1254" t="s">
        <v>199</v>
      </c>
      <c r="B152" s="1255">
        <v>20</v>
      </c>
    </row>
    <row r="153" spans="1:2" ht="15.75">
      <c r="A153" s="1254" t="s">
        <v>2534</v>
      </c>
      <c r="B153" s="1255">
        <v>25</v>
      </c>
    </row>
    <row r="154" spans="1:2" ht="15.75">
      <c r="A154" s="1254" t="s">
        <v>2535</v>
      </c>
      <c r="B154" s="1255">
        <v>30</v>
      </c>
    </row>
    <row r="155" spans="1:2" ht="15.75">
      <c r="A155" s="1254" t="s">
        <v>1739</v>
      </c>
      <c r="B155" s="1255">
        <v>15</v>
      </c>
    </row>
    <row r="156" spans="1:2" ht="15.75">
      <c r="A156" s="1254" t="s">
        <v>200</v>
      </c>
      <c r="B156" s="1255">
        <v>25</v>
      </c>
    </row>
    <row r="157" spans="1:2" ht="15.75">
      <c r="A157" s="1254" t="s">
        <v>1740</v>
      </c>
      <c r="B157" s="1255">
        <v>30</v>
      </c>
    </row>
    <row r="158" spans="1:2" ht="15.75">
      <c r="A158" s="1254" t="s">
        <v>1741</v>
      </c>
      <c r="B158" s="1255">
        <v>18</v>
      </c>
    </row>
    <row r="159" spans="1:2" ht="15.75">
      <c r="A159" s="1254" t="s">
        <v>1742</v>
      </c>
      <c r="B159" s="1255">
        <v>9</v>
      </c>
    </row>
    <row r="160" spans="1:2" ht="15.75">
      <c r="A160" s="1254" t="s">
        <v>201</v>
      </c>
      <c r="B160" s="1255">
        <v>25</v>
      </c>
    </row>
    <row r="161" spans="1:2" ht="15.75">
      <c r="A161" s="1254" t="s">
        <v>202</v>
      </c>
      <c r="B161" s="1255">
        <v>21</v>
      </c>
    </row>
    <row r="162" spans="1:2" ht="15.75">
      <c r="A162" s="1254" t="s">
        <v>1743</v>
      </c>
      <c r="B162" s="1255">
        <v>25</v>
      </c>
    </row>
    <row r="163" spans="1:2" ht="15.75">
      <c r="A163" s="1254" t="s">
        <v>1744</v>
      </c>
      <c r="B163" s="1255">
        <v>15</v>
      </c>
    </row>
    <row r="164" spans="1:2" ht="15.75">
      <c r="A164" s="1254" t="s">
        <v>1780</v>
      </c>
      <c r="B164" s="1255">
        <v>0</v>
      </c>
    </row>
    <row r="165" spans="1:2" ht="15.75">
      <c r="A165" s="1254" t="s">
        <v>1745</v>
      </c>
      <c r="B165" s="1255">
        <v>34</v>
      </c>
    </row>
    <row r="166" spans="1:2" ht="15.75">
      <c r="A166" s="1254" t="s">
        <v>203</v>
      </c>
      <c r="B166" s="1255">
        <v>20</v>
      </c>
    </row>
    <row r="167" spans="1:2" ht="15.75">
      <c r="A167" s="1254" t="s">
        <v>204</v>
      </c>
      <c r="B167" s="1255">
        <v>30</v>
      </c>
    </row>
    <row r="168" spans="1:2" ht="15.75">
      <c r="A168" s="1254" t="s">
        <v>1764</v>
      </c>
      <c r="B168" s="1255">
        <v>24.72</v>
      </c>
    </row>
  </sheetData>
  <hyperlinks>
    <hyperlink ref="A5" r:id="rId1" display="https://tradingeconomics.com/afghanistan/corporate-tax-rate" xr:uid="{684933CE-BCBB-4FC4-AB16-721A93E42701}"/>
    <hyperlink ref="A6" r:id="rId2" display="https://tradingeconomics.com/albania/corporate-tax-rate" xr:uid="{C9DAD922-34EC-414B-9C35-49F2DA72BB42}"/>
    <hyperlink ref="A7" r:id="rId3" display="https://tradingeconomics.com/algeria/corporate-tax-rate" xr:uid="{FC6065EE-22B5-4DAF-9DB4-0217424AA40D}"/>
    <hyperlink ref="A8" r:id="rId4" display="https://tradingeconomics.com/angola/corporate-tax-rate" xr:uid="{8501E4FF-8921-4C74-9EAE-EE4F998A3B31}"/>
    <hyperlink ref="A9" r:id="rId5" display="https://tradingeconomics.com/argentina/corporate-tax-rate" xr:uid="{51B1B716-E0CE-44CF-AF7B-A694DB4F6817}"/>
    <hyperlink ref="A10" r:id="rId6" display="https://tradingeconomics.com/armenia/corporate-tax-rate" xr:uid="{70BE3132-2F53-4421-BAE5-C4D8B89700D3}"/>
    <hyperlink ref="A11" r:id="rId7" display="https://tradingeconomics.com/aruba/corporate-tax-rate" xr:uid="{E0CF98E4-5D52-42E1-8621-E34A1C28A533}"/>
    <hyperlink ref="A12" r:id="rId8" display="https://tradingeconomics.com/australia/corporate-tax-rate" xr:uid="{13D750F2-A03C-4B77-A741-0CC2D2828AA5}"/>
    <hyperlink ref="A13" r:id="rId9" display="https://tradingeconomics.com/austria/corporate-tax-rate" xr:uid="{B17483DD-DCD2-4F27-81AE-612CC433FE06}"/>
    <hyperlink ref="A14" r:id="rId10" display="https://tradingeconomics.com/azerbaijan/corporate-tax-rate" xr:uid="{FD48BBDC-3073-4613-8C20-FFB0878BD78B}"/>
    <hyperlink ref="A15" r:id="rId11" display="https://tradingeconomics.com/bahamas/corporate-tax-rate" xr:uid="{7395E6D6-AD0E-4DD1-8CE2-F5C157F5B84C}"/>
    <hyperlink ref="A16" r:id="rId12" display="https://tradingeconomics.com/bahrain/corporate-tax-rate" xr:uid="{5222E384-1C76-42E8-B95C-26AD3C39A9FB}"/>
    <hyperlink ref="A17" r:id="rId13" display="https://tradingeconomics.com/bangladesh/corporate-tax-rate" xr:uid="{09B7A1CE-D96A-4F8D-B788-FB0CE675376E}"/>
    <hyperlink ref="A18" r:id="rId14" display="https://tradingeconomics.com/barbados/corporate-tax-rate" xr:uid="{6254BFEA-AE00-4E9E-A965-A09EEB687AFB}"/>
    <hyperlink ref="A19" r:id="rId15" display="https://tradingeconomics.com/belarus/corporate-tax-rate" xr:uid="{1B8009B4-2A24-4D02-8C5F-CF30460A1D79}"/>
    <hyperlink ref="A20" r:id="rId16" display="https://tradingeconomics.com/belgium/corporate-tax-rate" xr:uid="{CFDA52FD-DD45-4A7E-A3D3-4C47A0AEBBCE}"/>
    <hyperlink ref="A21" r:id="rId17" display="https://tradingeconomics.com/benin/corporate-tax-rate" xr:uid="{D7513B0B-0348-4530-AD9C-B447C769D367}"/>
    <hyperlink ref="A22" r:id="rId18" display="https://tradingeconomics.com/bermuda/corporate-tax-rate" xr:uid="{157C118D-2959-4EB8-90FF-1FA8FAE31F66}"/>
    <hyperlink ref="A23" r:id="rId19" display="https://tradingeconomics.com/bolivia/corporate-tax-rate" xr:uid="{E54E0D76-D6C3-455E-9330-62E9C46257D8}"/>
    <hyperlink ref="A24" r:id="rId20" display="https://tradingeconomics.com/bosnia-and-herzegovina/corporate-tax-rate" xr:uid="{3735FFF8-D2AB-40F0-94FF-B6FFB2483A02}"/>
    <hyperlink ref="A25" r:id="rId21" display="https://tradingeconomics.com/botswana/corporate-tax-rate" xr:uid="{76172D37-29DB-4069-9B2B-0EBC8D919EE1}"/>
    <hyperlink ref="A26" r:id="rId22" display="https://tradingeconomics.com/brazil/corporate-tax-rate" xr:uid="{F4C93E42-B1AE-4784-BC42-6ADDF891D0BD}"/>
    <hyperlink ref="A27" r:id="rId23" display="https://tradingeconomics.com/brunei/corporate-tax-rate" xr:uid="{41ABEB24-9709-4976-8B0A-7AEBD1F9091B}"/>
    <hyperlink ref="A28" r:id="rId24" display="https://tradingeconomics.com/bulgaria/corporate-tax-rate" xr:uid="{5DE4EB64-FBAD-4E85-B7B3-A07A1728DDFC}"/>
    <hyperlink ref="A29" r:id="rId25" display="https://tradingeconomics.com/burkina-faso/corporate-tax-rate" xr:uid="{381783A6-8225-4CCF-BBC2-E0E74470D70F}"/>
    <hyperlink ref="A30" r:id="rId26" display="https://tradingeconomics.com/cambodia/corporate-tax-rate" xr:uid="{564F3A13-1E83-4D2E-805D-AB2119B1C242}"/>
    <hyperlink ref="A31" r:id="rId27" display="https://tradingeconomics.com/cameroon/corporate-tax-rate" xr:uid="{88295E1A-2F44-492C-836C-98A8B676A1EC}"/>
    <hyperlink ref="A32" r:id="rId28" display="https://tradingeconomics.com/canada/corporate-tax-rate" xr:uid="{E968C6E4-87ED-477C-B6B1-5D71347D2E32}"/>
    <hyperlink ref="A33" r:id="rId29" display="https://tradingeconomics.com/cayman-islands/corporate-tax-rate" xr:uid="{5782A640-9341-40EA-8814-67AFD34DA3B1}"/>
    <hyperlink ref="A34" r:id="rId30" display="https://tradingeconomics.com/chad/corporate-tax-rate" xr:uid="{72C0E508-BFFD-4A18-85AF-825B536A9022}"/>
    <hyperlink ref="A35" r:id="rId31" display="https://tradingeconomics.com/chile/corporate-tax-rate" xr:uid="{156EF4BB-BB18-4F49-8742-12A1F2D4F171}"/>
    <hyperlink ref="A36" r:id="rId32" display="https://tradingeconomics.com/china/corporate-tax-rate" xr:uid="{571C84F3-20EA-4CF2-8F30-E0B6DCB9916A}"/>
    <hyperlink ref="A37" r:id="rId33" display="https://tradingeconomics.com/colombia/corporate-tax-rate" xr:uid="{A4014CDE-4FFF-4D99-9A8C-107A47F3BFB5}"/>
    <hyperlink ref="A38" r:id="rId34" display="https://tradingeconomics.com/congo/corporate-tax-rate" xr:uid="{6417B1EA-2308-4BC9-AE09-8BF769F7E15D}"/>
    <hyperlink ref="A39" r:id="rId35" display="https://tradingeconomics.com/costa-rica/corporate-tax-rate" xr:uid="{88F2D2E8-B2A2-4767-ABD1-A7A31ED85510}"/>
    <hyperlink ref="A40" r:id="rId36" display="https://tradingeconomics.com/croatia/corporate-tax-rate" xr:uid="{986AB557-FDF3-49E0-AB8C-F2E5904CCFCA}"/>
    <hyperlink ref="A41" r:id="rId37" display="https://tradingeconomics.com/cyprus/corporate-tax-rate" xr:uid="{A4A2B493-5C3E-48A0-9B8D-59FF64242684}"/>
    <hyperlink ref="A42" r:id="rId38" display="https://tradingeconomics.com/czech-republic/corporate-tax-rate" xr:uid="{A0D8B7DD-A18C-407F-8851-4DD9FEED59A5}"/>
    <hyperlink ref="A43" r:id="rId39" display="https://tradingeconomics.com/denmark/corporate-tax-rate" xr:uid="{84A8DA0F-C454-493F-916E-2394FC6FCD0B}"/>
    <hyperlink ref="A44" r:id="rId40" display="https://tradingeconomics.com/dominican-republic/corporate-tax-rate" xr:uid="{6D6920E3-AED8-473B-861C-92CE54BBA53A}"/>
    <hyperlink ref="A45" r:id="rId41" display="https://tradingeconomics.com/ecuador/corporate-tax-rate" xr:uid="{C3900F28-46CE-4806-8DE9-D0FFFCC7AC13}"/>
    <hyperlink ref="A46" r:id="rId42" display="https://tradingeconomics.com/egypt/corporate-tax-rate" xr:uid="{07CF71AE-1221-47CF-8EDD-EAC0D1472A40}"/>
    <hyperlink ref="A47" r:id="rId43" display="https://tradingeconomics.com/el-salvador/corporate-tax-rate" xr:uid="{EA7F5AF0-8804-4662-A28B-40AFF5DD20C7}"/>
    <hyperlink ref="A48" r:id="rId44" display="https://tradingeconomics.com/equatorial-guinea/corporate-tax-rate" xr:uid="{D558C705-46C4-47A2-B0C9-28B6C6C48C03}"/>
    <hyperlink ref="A49" r:id="rId45" display="https://tradingeconomics.com/estonia/corporate-tax-rate" xr:uid="{FD7D3671-66FD-4F72-B1D8-6C0140C81096}"/>
    <hyperlink ref="A50" r:id="rId46" display="https://tradingeconomics.com/ethiopia/corporate-tax-rate" xr:uid="{EEA61DA6-EB85-4C8F-AE1C-FB21A70C570D}"/>
    <hyperlink ref="A51" r:id="rId47" display="https://tradingeconomics.com/euro-area/corporate-tax-rate" xr:uid="{4220B72E-19B5-4AD2-9ECB-D453BC689180}"/>
    <hyperlink ref="A52" r:id="rId48" display="https://tradingeconomics.com/european-union/corporate-tax-rate" xr:uid="{BBA54A97-FF3F-42F2-BE48-4AAC42E9CE0D}"/>
    <hyperlink ref="A53" r:id="rId49" display="https://tradingeconomics.com/fiji/corporate-tax-rate" xr:uid="{D3ECB105-11DD-419B-A8BC-3E6B5D97416E}"/>
    <hyperlink ref="A54" r:id="rId50" display="https://tradingeconomics.com/finland/corporate-tax-rate" xr:uid="{B4DCE689-EA8D-40DE-9DDA-5EE9D8AC770E}"/>
    <hyperlink ref="A55" r:id="rId51" display="https://tradingeconomics.com/france/corporate-tax-rate" xr:uid="{FDFC4DEB-FE4C-4F2F-A171-FC5C8DEA06C8}"/>
    <hyperlink ref="A56" r:id="rId52" display="https://tradingeconomics.com/gabon/corporate-tax-rate" xr:uid="{FFE42C8C-E3F0-4A23-B6CE-70361D7C58D9}"/>
    <hyperlink ref="A57" r:id="rId53" display="https://tradingeconomics.com/gambia/corporate-tax-rate" xr:uid="{7E686768-7CA1-4556-BB1D-01614EF00207}"/>
    <hyperlink ref="A58" r:id="rId54" display="https://tradingeconomics.com/georgia/corporate-tax-rate" xr:uid="{078E26F0-1B27-4F6F-BA99-8D2EC52E62B8}"/>
    <hyperlink ref="A59" r:id="rId55" display="https://tradingeconomics.com/germany/corporate-tax-rate" xr:uid="{8DF11619-E8D3-4BB6-9728-B14E676C7D2D}"/>
    <hyperlink ref="A60" r:id="rId56" display="https://tradingeconomics.com/ghana/corporate-tax-rate" xr:uid="{CF0C560F-551B-4DF1-8715-DE4D9F50E6BD}"/>
    <hyperlink ref="A61" r:id="rId57" display="https://tradingeconomics.com/greece/corporate-tax-rate" xr:uid="{5293CF3B-AD59-4509-A61B-5B7A8032F994}"/>
    <hyperlink ref="A62" r:id="rId58" display="https://tradingeconomics.com/guam/corporate-tax-rate" xr:uid="{786B6552-6504-4B3E-9E98-60BF5116B1A0}"/>
    <hyperlink ref="A63" r:id="rId59" display="https://tradingeconomics.com/guatemala/corporate-tax-rate" xr:uid="{A1635C57-0935-4B7A-BEBA-CC69A5A25B45}"/>
    <hyperlink ref="A64" r:id="rId60" display="https://tradingeconomics.com/guinea/corporate-tax-rate" xr:uid="{4042569C-862B-43C4-B338-522AC36BBF2F}"/>
    <hyperlink ref="A65" r:id="rId61" display="https://tradingeconomics.com/honduras/corporate-tax-rate" xr:uid="{ABD46C73-035B-4FB2-A809-C3CD74AFBF9C}"/>
    <hyperlink ref="A66" r:id="rId62" display="https://tradingeconomics.com/hong-kong/corporate-tax-rate" xr:uid="{9A741335-86D3-4068-BC73-77CCEB17F95D}"/>
    <hyperlink ref="A67" r:id="rId63" display="https://tradingeconomics.com/hungary/corporate-tax-rate" xr:uid="{517AF755-8A2F-49BE-8F5D-917BCF1EE28E}"/>
    <hyperlink ref="A68" r:id="rId64" display="https://tradingeconomics.com/iceland/corporate-tax-rate" xr:uid="{71857E35-0129-4FD5-BD24-83635E4F4FB9}"/>
    <hyperlink ref="A69" r:id="rId65" display="https://tradingeconomics.com/india/corporate-tax-rate" xr:uid="{C601A52E-EEAD-47B5-8D71-964EE313C454}"/>
    <hyperlink ref="A70" r:id="rId66" display="https://tradingeconomics.com/indonesia/corporate-tax-rate" xr:uid="{00E0DDC7-90A5-4B1A-BBA5-108616676F3C}"/>
    <hyperlink ref="A71" r:id="rId67" display="https://tradingeconomics.com/iraq/corporate-tax-rate" xr:uid="{D0D3F66D-6ABA-4396-B88E-A187BFEB61A2}"/>
    <hyperlink ref="A72" r:id="rId68" display="https://tradingeconomics.com/ireland/corporate-tax-rate" xr:uid="{FB397E84-F5CA-4860-B0E4-0AD34913AB36}"/>
    <hyperlink ref="A73" r:id="rId69" display="https://tradingeconomics.com/isle-of-man/corporate-tax-rate" xr:uid="{F82E29A9-1C1B-4973-A939-B082CF346CAA}"/>
    <hyperlink ref="A74" r:id="rId70" display="https://tradingeconomics.com/israel/corporate-tax-rate" xr:uid="{2A48C6FB-F28C-4E0D-86C3-1295E70A74DA}"/>
    <hyperlink ref="A75" r:id="rId71" display="https://tradingeconomics.com/italy/corporate-tax-rate" xr:uid="{2A1F5B05-3D49-4BA9-9D25-DB795CD32331}"/>
    <hyperlink ref="A76" r:id="rId72" display="https://tradingeconomics.com/ivory-coast/corporate-tax-rate" xr:uid="{62889EBB-DBC1-4E97-A90C-B7363FED9194}"/>
    <hyperlink ref="A77" r:id="rId73" display="https://tradingeconomics.com/jamaica/corporate-tax-rate" xr:uid="{99641B74-517D-4067-9415-C11EDB6F1936}"/>
    <hyperlink ref="A78" r:id="rId74" display="https://tradingeconomics.com/japan/corporate-tax-rate" xr:uid="{589AB70C-45B7-40FA-ACFC-F41476226BBA}"/>
    <hyperlink ref="A79" r:id="rId75" display="https://tradingeconomics.com/jordan/corporate-tax-rate" xr:uid="{BBD706BF-DE23-4D51-B406-B590B735E440}"/>
    <hyperlink ref="A80" r:id="rId76" display="https://tradingeconomics.com/kazakhstan/corporate-tax-rate" xr:uid="{4CA147EA-A5FA-4941-B182-0CFDD24D47C4}"/>
    <hyperlink ref="A81" r:id="rId77" display="https://tradingeconomics.com/kenya/corporate-tax-rate" xr:uid="{3DBA06DD-949F-44BE-A60A-27879295F661}"/>
    <hyperlink ref="A82" r:id="rId78" display="https://tradingeconomics.com/kosovo/corporate-tax-rate" xr:uid="{9CD106DD-256C-448A-930B-258D31439967}"/>
    <hyperlink ref="A83" r:id="rId79" display="https://tradingeconomics.com/kuwait/corporate-tax-rate" xr:uid="{DA8BB275-7362-4F05-AD3E-A93BE45FB453}"/>
    <hyperlink ref="A84" r:id="rId80" display="https://tradingeconomics.com/laos/corporate-tax-rate" xr:uid="{8A2409DB-04CA-4657-AECD-1DCA724CE46F}"/>
    <hyperlink ref="A85" r:id="rId81" display="https://tradingeconomics.com/latvia/corporate-tax-rate" xr:uid="{77066E5D-BED4-4A47-8339-3B6C0CC72357}"/>
    <hyperlink ref="A86" r:id="rId82" display="https://tradingeconomics.com/lebanon/corporate-tax-rate" xr:uid="{B113F91A-0B9D-4BA2-A7E5-56CA8B53E901}"/>
    <hyperlink ref="A87" r:id="rId83" display="https://tradingeconomics.com/lesotho/corporate-tax-rate" xr:uid="{9D7D6451-3B55-410C-9D22-6AD6402B4705}"/>
    <hyperlink ref="A88" r:id="rId84" display="https://tradingeconomics.com/libya/corporate-tax-rate" xr:uid="{880E707C-4CB2-4DE5-9317-0B162DC1B7B4}"/>
    <hyperlink ref="A89" r:id="rId85" display="https://tradingeconomics.com/liechtenstein/corporate-tax-rate" xr:uid="{B53784CA-586A-4385-8903-00599B31A814}"/>
    <hyperlink ref="A90" r:id="rId86" display="https://tradingeconomics.com/lithuania/corporate-tax-rate" xr:uid="{1D96E83C-C075-4976-98E6-38C116D64AB1}"/>
    <hyperlink ref="A91" r:id="rId87" display="https://tradingeconomics.com/luxembourg/corporate-tax-rate" xr:uid="{E078B6DE-D5BF-44DA-9312-E2534337D131}"/>
    <hyperlink ref="A92" r:id="rId88" display="https://tradingeconomics.com/macau/corporate-tax-rate" xr:uid="{32F40151-F07B-43D0-9DA6-5F3F4A2A573A}"/>
    <hyperlink ref="A93" r:id="rId89" display="https://tradingeconomics.com/macedonia/corporate-tax-rate" xr:uid="{9FB3BE0F-750A-4795-BD2D-34172C50DFFA}"/>
    <hyperlink ref="A94" r:id="rId90" display="https://tradingeconomics.com/madagascar/corporate-tax-rate" xr:uid="{45F93D6F-A50C-44F9-988C-62008DE1F04C}"/>
    <hyperlink ref="A95" r:id="rId91" display="https://tradingeconomics.com/malawi/corporate-tax-rate" xr:uid="{F34B699A-4670-49A2-8BAB-9DD8DDB0B759}"/>
    <hyperlink ref="A96" r:id="rId92" display="https://tradingeconomics.com/malaysia/corporate-tax-rate" xr:uid="{6209BA90-59E2-42C3-B212-AC5FBC430A5C}"/>
    <hyperlink ref="A97" r:id="rId93" display="https://tradingeconomics.com/maldives/corporate-tax-rate" xr:uid="{405551BB-E44C-4449-85B1-7E9C895B0D0E}"/>
    <hyperlink ref="A98" r:id="rId94" display="https://tradingeconomics.com/malta/corporate-tax-rate" xr:uid="{DEDCB4C0-C5ED-4C48-B356-2FACF3F3FB72}"/>
    <hyperlink ref="A99" r:id="rId95" display="https://tradingeconomics.com/mauritania/corporate-tax-rate" xr:uid="{4C8AFFE8-F19F-4109-AAF1-C4639A51C9DB}"/>
    <hyperlink ref="A100" r:id="rId96" display="https://tradingeconomics.com/mauritius/corporate-tax-rate" xr:uid="{05E68C3C-B2ED-496E-BDC5-EF72ED823E4D}"/>
    <hyperlink ref="A101" r:id="rId97" display="https://tradingeconomics.com/mexico/corporate-tax-rate" xr:uid="{CF282EBD-E251-494E-9D54-38272A7FF7C1}"/>
    <hyperlink ref="A102" r:id="rId98" display="https://tradingeconomics.com/micronesia/corporate-tax-rate" xr:uid="{863D5ED2-C0D7-4980-B5B4-77A5373D36D8}"/>
    <hyperlink ref="A103" r:id="rId99" display="https://tradingeconomics.com/moldova/corporate-tax-rate" xr:uid="{C7329587-CDE8-4193-A434-3CD5B9721263}"/>
    <hyperlink ref="A104" r:id="rId100" display="https://tradingeconomics.com/mongolia/corporate-tax-rate" xr:uid="{91B3519F-A3A0-4571-B189-CA08609DD151}"/>
    <hyperlink ref="A105" r:id="rId101" display="https://tradingeconomics.com/montenegro/corporate-tax-rate" xr:uid="{A08B5F41-B979-4E68-8A73-9EF905E3E79C}"/>
    <hyperlink ref="A106" r:id="rId102" display="https://tradingeconomics.com/morocco/corporate-tax-rate" xr:uid="{F02E8DEB-7942-4020-8936-686543D2FA4A}"/>
    <hyperlink ref="A107" r:id="rId103" display="https://tradingeconomics.com/mozambique/corporate-tax-rate" xr:uid="{A673FAB1-7515-4A92-B94A-0C608D4CBB1C}"/>
    <hyperlink ref="A108" r:id="rId104" display="https://tradingeconomics.com/myanmar/corporate-tax-rate" xr:uid="{82BCDCC7-05DC-475F-A59E-023BA9993AB1}"/>
    <hyperlink ref="A109" r:id="rId105" display="https://tradingeconomics.com/namibia/corporate-tax-rate" xr:uid="{541E9DF9-076C-4F4A-B2D8-B2A3FD8E92D0}"/>
    <hyperlink ref="A110" r:id="rId106" display="https://tradingeconomics.com/netherlands/corporate-tax-rate" xr:uid="{D1FC0516-CAFD-4899-BDC8-20897A80DB18}"/>
    <hyperlink ref="A111" r:id="rId107" display="https://tradingeconomics.com/new-zealand/corporate-tax-rate" xr:uid="{F9771902-C0F7-4937-BFEF-7EE01595826F}"/>
    <hyperlink ref="A112" r:id="rId108" display="https://tradingeconomics.com/nicaragua/corporate-tax-rate" xr:uid="{A6734A48-C007-465E-813F-20B0CA293860}"/>
    <hyperlink ref="A113" r:id="rId109" display="https://tradingeconomics.com/nigeria/corporate-tax-rate" xr:uid="{59F2FDD6-7087-4FB5-B2AC-9A9437B39D02}"/>
    <hyperlink ref="A114" r:id="rId110" display="https://tradingeconomics.com/norway/corporate-tax-rate" xr:uid="{FEE440AD-DC37-4CAB-A84F-BBB0F88F6940}"/>
    <hyperlink ref="A115" r:id="rId111" display="https://tradingeconomics.com/oman/corporate-tax-rate" xr:uid="{965E7BD7-1E51-4041-877B-67CF4D08436B}"/>
    <hyperlink ref="A116" r:id="rId112" display="https://tradingeconomics.com/pakistan/corporate-tax-rate" xr:uid="{BC6355B4-8F1E-4025-81B6-BA32ACB0979F}"/>
    <hyperlink ref="A117" r:id="rId113" display="https://tradingeconomics.com/panama/corporate-tax-rate" xr:uid="{ACFB1198-01CE-47F6-AA79-599085758CA6}"/>
    <hyperlink ref="A118" r:id="rId114" display="https://tradingeconomics.com/papua-new-guinea/corporate-tax-rate" xr:uid="{290DB19A-5D12-438D-B8F6-68C1A1AAFA62}"/>
    <hyperlink ref="A119" r:id="rId115" display="https://tradingeconomics.com/paraguay/corporate-tax-rate" xr:uid="{86A13AAA-67CC-4BE5-840D-D8DD0A91DCD2}"/>
    <hyperlink ref="A120" r:id="rId116" display="https://tradingeconomics.com/peru/corporate-tax-rate" xr:uid="{8F590DA7-CB6E-4654-BBF5-7DF59D0D9892}"/>
    <hyperlink ref="A121" r:id="rId117" display="https://tradingeconomics.com/philippines/corporate-tax-rate" xr:uid="{0ABFB4DD-16E1-45E2-B834-C6B9876FF533}"/>
    <hyperlink ref="A122" r:id="rId118" display="https://tradingeconomics.com/poland/corporate-tax-rate" xr:uid="{FB4BF37A-4547-4191-A2BF-117CFF00554E}"/>
    <hyperlink ref="A123" r:id="rId119" display="https://tradingeconomics.com/portugal/corporate-tax-rate" xr:uid="{49E2DD78-A865-4F4E-8B48-73C46ED4218D}"/>
    <hyperlink ref="A124" r:id="rId120" display="https://tradingeconomics.com/puerto-rico/corporate-tax-rate" xr:uid="{E1DD7F49-7527-497D-8D01-F1853115AA4A}"/>
    <hyperlink ref="A125" r:id="rId121" display="https://tradingeconomics.com/qatar/corporate-tax-rate" xr:uid="{DA899C37-2BFA-4D5C-998E-BC1A1480AB21}"/>
    <hyperlink ref="A126" r:id="rId122" display="https://tradingeconomics.com/republic-of-the-congo/corporate-tax-rate" xr:uid="{46163758-1F69-4FC4-93BA-C0126102F77C}"/>
    <hyperlink ref="A127" r:id="rId123" display="https://tradingeconomics.com/romania/corporate-tax-rate" xr:uid="{464DAE7B-9098-40A8-BE4D-B86195065FBA}"/>
    <hyperlink ref="A128" r:id="rId124" display="https://tradingeconomics.com/russia/corporate-tax-rate" xr:uid="{D26B0DA0-330F-4C29-8235-ACDF9D7E2411}"/>
    <hyperlink ref="A129" r:id="rId125" display="https://tradingeconomics.com/rwanda/corporate-tax-rate" xr:uid="{C0277B67-4254-42C8-8FBF-709EAA0A3318}"/>
    <hyperlink ref="A130" r:id="rId126" display="https://tradingeconomics.com/samoa/corporate-tax-rate" xr:uid="{D57CE6FD-29D7-4708-ABFB-14B746216B28}"/>
    <hyperlink ref="A131" r:id="rId127" display="https://tradingeconomics.com/saudi-arabia/corporate-tax-rate" xr:uid="{A007F066-9D12-4D0E-B6A0-A8249180C7CB}"/>
    <hyperlink ref="A132" r:id="rId128" display="https://tradingeconomics.com/senegal/corporate-tax-rate" xr:uid="{E7EF202A-AACB-4571-A7A2-F611C3914BB0}"/>
    <hyperlink ref="A133" r:id="rId129" display="https://tradingeconomics.com/serbia/corporate-tax-rate" xr:uid="{F75C1662-81D1-402C-9966-A855B95D5EBA}"/>
    <hyperlink ref="A134" r:id="rId130" display="https://tradingeconomics.com/seychelles/corporate-tax-rate" xr:uid="{08AA56D9-8147-47B3-AE58-E01172FB29BA}"/>
    <hyperlink ref="A135" r:id="rId131" display="https://tradingeconomics.com/sierra-leone/corporate-tax-rate" xr:uid="{3A3817CA-BEE5-4F9B-AC00-6D95AB42FCB4}"/>
    <hyperlink ref="A136" r:id="rId132" display="https://tradingeconomics.com/singapore/corporate-tax-rate" xr:uid="{2CCAFB11-A240-4F67-945E-0FFEE90F286B}"/>
    <hyperlink ref="A137" r:id="rId133" display="https://tradingeconomics.com/slovakia/corporate-tax-rate" xr:uid="{89C5E0BC-AA62-4076-A543-B2AE78CF9DE6}"/>
    <hyperlink ref="A138" r:id="rId134" display="https://tradingeconomics.com/slovenia/corporate-tax-rate" xr:uid="{640A8437-5F89-4535-94E5-912019123B4F}"/>
    <hyperlink ref="A139" r:id="rId135" display="https://tradingeconomics.com/solomon-islands/corporate-tax-rate" xr:uid="{12877F50-BEAF-4D1A-A7E9-96361B0C0155}"/>
    <hyperlink ref="A140" r:id="rId136" display="https://tradingeconomics.com/south-africa/corporate-tax-rate" xr:uid="{D8CE4D2C-3571-4D56-BC3C-420758D5F059}"/>
    <hyperlink ref="A141" r:id="rId137" display="https://tradingeconomics.com/south-korea/corporate-tax-rate" xr:uid="{96C53FEF-1FB8-4C30-B6CF-3A38069088C8}"/>
    <hyperlink ref="A142" r:id="rId138" display="https://tradingeconomics.com/spain/corporate-tax-rate" xr:uid="{2B264D96-061B-43AB-88B3-09C14D15A185}"/>
    <hyperlink ref="A143" r:id="rId139" display="https://tradingeconomics.com/sri-lanka/corporate-tax-rate" xr:uid="{CE28188A-3AA9-4C91-BC88-CECB5BC79016}"/>
    <hyperlink ref="A144" r:id="rId140" display="https://tradingeconomics.com/sudan/corporate-tax-rate" xr:uid="{8A9D07D4-BF6B-47B3-90BC-3EF0CD86BC2B}"/>
    <hyperlink ref="A145" r:id="rId141" display="https://tradingeconomics.com/suriname/corporate-tax-rate" xr:uid="{3C1DA032-0D75-4565-ABBA-0E22CB4832C3}"/>
    <hyperlink ref="A146" r:id="rId142" display="https://tradingeconomics.com/swaziland/corporate-tax-rate" xr:uid="{17B4B24A-B9E9-4F8F-98EE-2A46179D8642}"/>
    <hyperlink ref="A147" r:id="rId143" display="https://tradingeconomics.com/sweden/corporate-tax-rate" xr:uid="{93191960-6218-427A-8C4B-29B0B636021A}"/>
    <hyperlink ref="A148" r:id="rId144" display="https://tradingeconomics.com/switzerland/corporate-tax-rate" xr:uid="{0C4FD467-EF8F-409E-BF59-96094BE25685}"/>
    <hyperlink ref="A149" r:id="rId145" display="https://tradingeconomics.com/syria/corporate-tax-rate" xr:uid="{8E44A700-61E2-41CB-A971-D91CA5A6E650}"/>
    <hyperlink ref="A150" r:id="rId146" display="https://tradingeconomics.com/taiwan/corporate-tax-rate" xr:uid="{21E5F245-FD63-418B-A15D-656444A1D405}"/>
    <hyperlink ref="A151" r:id="rId147" display="https://tradingeconomics.com/tanzania/corporate-tax-rate" xr:uid="{9ACFE13E-E4DD-46E7-8561-DE0854F9DE50}"/>
    <hyperlink ref="A152" r:id="rId148" display="https://tradingeconomics.com/thailand/corporate-tax-rate" xr:uid="{58DE0FED-A7C9-458D-9F5B-EC7AD16FA1B2}"/>
    <hyperlink ref="A153" r:id="rId149" display="https://tradingeconomics.com/tonga/corporate-tax-rate" xr:uid="{32F6A353-D599-4CFA-B43E-2C207E188924}"/>
    <hyperlink ref="A154" r:id="rId150" display="https://tradingeconomics.com/trinidad-and-tobago/corporate-tax-rate" xr:uid="{EAB722AD-510F-4668-94CE-A572EE6F6039}"/>
    <hyperlink ref="A155" r:id="rId151" display="https://tradingeconomics.com/tunisia/corporate-tax-rate" xr:uid="{6E20F96F-00E8-40B3-B931-0C9F2AF502B3}"/>
    <hyperlink ref="A156" r:id="rId152" display="https://tradingeconomics.com/turkey/corporate-tax-rate" xr:uid="{5AE301BB-A3F5-4FDA-8B34-B764DAAD2CE1}"/>
    <hyperlink ref="A157" r:id="rId153" display="https://tradingeconomics.com/uganda/corporate-tax-rate" xr:uid="{6023EE53-3F36-4920-9045-0BBBF453E551}"/>
    <hyperlink ref="A158" r:id="rId154" display="https://tradingeconomics.com/ukraine/corporate-tax-rate" xr:uid="{2AAABEC6-C45C-4B01-9AD3-6ADED0F1B5D4}"/>
    <hyperlink ref="A159" r:id="rId155" display="https://tradingeconomics.com/united-arab-emirates/corporate-tax-rate" xr:uid="{21847DEE-FC57-4E47-9ECD-96D6E3B54E99}"/>
    <hyperlink ref="A160" r:id="rId156" display="https://tradingeconomics.com/united-kingdom/corporate-tax-rate" xr:uid="{29727B80-DFED-4474-9313-22050F46FEBE}"/>
    <hyperlink ref="A161" r:id="rId157" display="https://tradingeconomics.com/united-states/corporate-tax-rate" xr:uid="{8AA9287D-73E0-4D0C-B52C-ADFC749B84F3}"/>
    <hyperlink ref="A162" r:id="rId158" display="https://tradingeconomics.com/uruguay/corporate-tax-rate" xr:uid="{413D511B-C35A-4591-B610-BD1DBEA024A7}"/>
    <hyperlink ref="A163" r:id="rId159" display="https://tradingeconomics.com/uzbekistan/corporate-tax-rate" xr:uid="{E6023628-48EC-4B00-9778-2FB5FAACFF67}"/>
    <hyperlink ref="A164" r:id="rId160" display="https://tradingeconomics.com/vanuatu/corporate-tax-rate" xr:uid="{2E57A689-5A19-4986-BD22-C5B540F9E2F3}"/>
    <hyperlink ref="A165" r:id="rId161" display="https://tradingeconomics.com/venezuela/corporate-tax-rate" xr:uid="{C1DC695B-F675-4392-971D-C4359B1CFC43}"/>
    <hyperlink ref="A166" r:id="rId162" display="https://tradingeconomics.com/vietnam/corporate-tax-rate" xr:uid="{EA8850E7-7E91-4D80-8533-347DF9648E85}"/>
    <hyperlink ref="A167" r:id="rId163" display="https://tradingeconomics.com/zambia/corporate-tax-rate" xr:uid="{B2DC2A20-03B8-4447-B430-C0F046242AE1}"/>
    <hyperlink ref="A168" r:id="rId164" display="https://tradingeconomics.com/zimbabwe/corporate-tax-rate" xr:uid="{2EA91062-0108-4BE7-AE4C-6AC8327DEEB3}"/>
  </hyperlinks>
  <pageMargins left="0.7" right="0.7" top="0.75" bottom="0.75" header="0.3" footer="0.3"/>
  <pageSetup paperSize="9" orientation="portrait" r:id="rId165"/>
  <headerFooter>
    <oddHeader>&amp;R&amp;"Arial"&amp;8&amp;K000000Confidential&amp;1#</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BCC8-0E87-4F3D-B3A5-D52D6CA9430D}">
  <sheetPr>
    <tabColor rgb="FF0000FF"/>
  </sheetPr>
  <dimension ref="A2:AT357"/>
  <sheetViews>
    <sheetView showGridLines="0" topLeftCell="A241" zoomScale="57" zoomScaleNormal="76" workbookViewId="0">
      <selection activeCell="G274" sqref="G274:N274"/>
    </sheetView>
  </sheetViews>
  <sheetFormatPr defaultColWidth="0" defaultRowHeight="15"/>
  <cols>
    <col min="1" max="1" width="1.6640625" style="1145" customWidth="1"/>
    <col min="2" max="2" width="2.88671875" style="1145" customWidth="1"/>
    <col min="3" max="3" width="6.109375" style="1145" customWidth="1"/>
    <col min="4" max="4" width="12.109375" style="1145" customWidth="1"/>
    <col min="5" max="5" width="9.6640625" style="1145" customWidth="1"/>
    <col min="6" max="7" width="12.44140625" style="1145" bestFit="1" customWidth="1"/>
    <col min="8" max="9" width="14.44140625" style="1145" bestFit="1" customWidth="1"/>
    <col min="10" max="10" width="12.44140625" style="1145" bestFit="1" customWidth="1"/>
    <col min="11" max="11" width="11.44140625" style="1145" bestFit="1" customWidth="1"/>
    <col min="12" max="12" width="13.6640625" style="1145" customWidth="1"/>
    <col min="13" max="13" width="10.5546875" style="1145" bestFit="1" customWidth="1"/>
    <col min="14" max="14" width="14.21875" style="1145" bestFit="1" customWidth="1"/>
    <col min="15" max="15" width="9.5546875" style="1145" bestFit="1" customWidth="1"/>
    <col min="16" max="16" width="11.88671875" style="1145" bestFit="1" customWidth="1"/>
    <col min="17" max="23" width="9.21875" style="1145" customWidth="1"/>
    <col min="24" max="46" width="8.88671875" style="1145" customWidth="1"/>
    <col min="47" max="16384" width="8.88671875" style="1145" hidden="1"/>
  </cols>
  <sheetData>
    <row r="2" spans="2:42">
      <c r="B2" s="1144" t="str">
        <f>Inputs!B2</f>
        <v>Valify - UAE Valuation Services</v>
      </c>
    </row>
    <row r="3" spans="2:42">
      <c r="B3" s="1146" t="str">
        <f>client.name.long&amp;" - Valuation Model as at "&amp;TEXT(valuation.date,"mmmm d, yyy")</f>
        <v>Hazel Lighting India - Valuation Model as at September 30, 2024</v>
      </c>
    </row>
    <row r="4" spans="2:42" s="1149" customFormat="1">
      <c r="B4" s="1147" t="s">
        <v>2520</v>
      </c>
      <c r="C4" s="1145"/>
      <c r="D4" s="1145"/>
      <c r="E4" s="1145"/>
      <c r="F4" s="1145"/>
      <c r="G4" s="1145"/>
      <c r="H4" s="1145"/>
      <c r="I4" s="1145"/>
      <c r="J4" s="1148"/>
      <c r="K4" s="1148"/>
      <c r="L4" s="1148"/>
      <c r="M4" s="1148"/>
      <c r="N4" s="1148"/>
      <c r="O4" s="1148"/>
      <c r="P4" s="1148"/>
      <c r="Q4" s="1145"/>
      <c r="AP4" s="1150"/>
    </row>
    <row r="5" spans="2:42" s="1149" customFormat="1" ht="5.0999999999999996" customHeight="1" thickBot="1">
      <c r="B5" s="1187"/>
      <c r="C5" s="1187"/>
      <c r="D5" s="1187"/>
      <c r="E5" s="1187"/>
      <c r="F5" s="1187"/>
      <c r="G5" s="1187"/>
      <c r="H5" s="1187"/>
      <c r="I5" s="1187"/>
      <c r="J5" s="1187"/>
      <c r="K5" s="1187"/>
      <c r="L5" s="1187"/>
      <c r="M5" s="1187"/>
      <c r="N5" s="1187"/>
      <c r="O5" s="1187"/>
      <c r="P5" s="1187"/>
      <c r="Q5" s="1187"/>
      <c r="R5" s="1187"/>
      <c r="S5" s="1187"/>
      <c r="T5" s="1187"/>
      <c r="U5" s="1187"/>
      <c r="V5" s="1187"/>
      <c r="W5" s="1187"/>
      <c r="X5" s="1188"/>
      <c r="Y5" s="1188"/>
      <c r="Z5" s="1188"/>
      <c r="AA5" s="1188"/>
      <c r="AB5" s="1188"/>
      <c r="AC5" s="1188"/>
      <c r="AD5" s="1188"/>
      <c r="AE5" s="1188"/>
      <c r="AF5" s="1188"/>
      <c r="AG5" s="1188"/>
      <c r="AH5" s="1188"/>
      <c r="AI5" s="1188"/>
      <c r="AJ5" s="1188"/>
      <c r="AK5" s="1188"/>
      <c r="AL5" s="1188"/>
      <c r="AP5" s="1150"/>
    </row>
    <row r="6" spans="2:42" s="1149" customFormat="1">
      <c r="AP6" s="1150"/>
    </row>
    <row r="7" spans="2:42">
      <c r="C7" s="1151"/>
      <c r="D7" s="1151"/>
      <c r="E7" s="1151"/>
      <c r="F7" s="1152" t="s">
        <v>126</v>
      </c>
      <c r="G7" s="1151"/>
      <c r="J7" s="1153" t="s">
        <v>2519</v>
      </c>
      <c r="K7" s="1153"/>
      <c r="L7" s="1153"/>
    </row>
    <row r="8" spans="2:42">
      <c r="C8" s="1151" t="s">
        <v>127</v>
      </c>
      <c r="D8" s="1151"/>
      <c r="E8" s="1151"/>
      <c r="F8" s="1151" t="s">
        <v>128</v>
      </c>
      <c r="G8" s="1151"/>
      <c r="J8" s="1154" t="s">
        <v>1853</v>
      </c>
      <c r="K8" s="1154"/>
      <c r="L8" s="1154"/>
      <c r="M8" s="1155" t="s">
        <v>2044</v>
      </c>
    </row>
    <row r="9" spans="2:42">
      <c r="C9" s="1156" t="s">
        <v>1808</v>
      </c>
      <c r="D9" s="1156" t="s">
        <v>1866</v>
      </c>
      <c r="F9" s="1157" t="s">
        <v>130</v>
      </c>
      <c r="G9" s="1158"/>
      <c r="J9" s="1154" t="s">
        <v>1854</v>
      </c>
      <c r="K9" s="1154"/>
      <c r="L9" s="1154"/>
      <c r="M9" s="1155" t="s">
        <v>2045</v>
      </c>
    </row>
    <row r="10" spans="2:42">
      <c r="C10" s="1156" t="s">
        <v>131</v>
      </c>
      <c r="D10" s="1156" t="s">
        <v>132</v>
      </c>
      <c r="F10" s="1157" t="s">
        <v>133</v>
      </c>
      <c r="G10" s="1158"/>
    </row>
    <row r="11" spans="2:42">
      <c r="C11" s="1156" t="s">
        <v>134</v>
      </c>
      <c r="D11" s="1156" t="s">
        <v>135</v>
      </c>
      <c r="F11" s="1157" t="s">
        <v>136</v>
      </c>
      <c r="G11" s="1158"/>
    </row>
    <row r="12" spans="2:42">
      <c r="C12" s="1156" t="s">
        <v>137</v>
      </c>
      <c r="D12" s="1156" t="s">
        <v>135</v>
      </c>
      <c r="F12" s="1157" t="s">
        <v>138</v>
      </c>
      <c r="G12" s="1158"/>
      <c r="J12" s="1159" t="s">
        <v>2043</v>
      </c>
    </row>
    <row r="13" spans="2:42">
      <c r="C13" s="1156" t="s">
        <v>139</v>
      </c>
      <c r="D13" s="1156" t="s">
        <v>135</v>
      </c>
      <c r="F13" s="1157" t="s">
        <v>140</v>
      </c>
      <c r="G13" s="1158"/>
    </row>
    <row r="14" spans="2:42">
      <c r="C14" s="1156" t="s">
        <v>141</v>
      </c>
      <c r="D14" s="1156" t="s">
        <v>135</v>
      </c>
      <c r="F14" s="1157" t="s">
        <v>142</v>
      </c>
      <c r="G14" s="1158"/>
    </row>
    <row r="15" spans="2:42" hidden="1">
      <c r="C15" s="1156" t="s">
        <v>143</v>
      </c>
      <c r="D15" s="1156" t="s">
        <v>144</v>
      </c>
      <c r="F15" s="1157" t="s">
        <v>145</v>
      </c>
      <c r="G15" s="1158"/>
      <c r="L15" s="1156"/>
      <c r="M15" s="1156"/>
      <c r="N15" s="1157"/>
      <c r="O15" s="1158"/>
      <c r="P15" s="1158"/>
    </row>
    <row r="16" spans="2:42" hidden="1">
      <c r="C16" s="1156" t="s">
        <v>146</v>
      </c>
      <c r="D16" s="1156" t="s">
        <v>147</v>
      </c>
      <c r="F16" s="1157" t="s">
        <v>148</v>
      </c>
      <c r="G16" s="1158"/>
      <c r="L16" s="1156"/>
      <c r="M16" s="1156"/>
      <c r="N16" s="1157"/>
      <c r="O16" s="1158"/>
      <c r="P16" s="1158"/>
    </row>
    <row r="17" spans="3:38" hidden="1">
      <c r="C17" s="1156" t="s">
        <v>149</v>
      </c>
      <c r="D17" s="1156" t="s">
        <v>135</v>
      </c>
      <c r="F17" s="1157" t="s">
        <v>150</v>
      </c>
      <c r="G17" s="1158"/>
      <c r="L17" s="1156"/>
      <c r="M17" s="1156"/>
      <c r="N17" s="1157"/>
      <c r="O17" s="1158"/>
      <c r="P17" s="1158"/>
    </row>
    <row r="18" spans="3:38">
      <c r="C18" s="1156" t="s">
        <v>151</v>
      </c>
      <c r="D18" s="1156" t="s">
        <v>135</v>
      </c>
      <c r="F18" s="1157" t="s">
        <v>152</v>
      </c>
      <c r="G18" s="1158"/>
      <c r="L18" s="1156"/>
      <c r="M18" s="1156"/>
      <c r="N18" s="1157"/>
      <c r="O18" s="1158"/>
      <c r="P18" s="1158"/>
    </row>
    <row r="19" spans="3:38">
      <c r="L19" s="1156"/>
      <c r="M19" s="1156"/>
      <c r="N19" s="1157"/>
      <c r="O19" s="1158"/>
      <c r="P19" s="1158"/>
    </row>
    <row r="20" spans="3:38">
      <c r="C20" s="1189" t="s">
        <v>1863</v>
      </c>
      <c r="D20" s="1189"/>
      <c r="E20" s="1189"/>
      <c r="F20" s="1189"/>
      <c r="G20" s="1189"/>
      <c r="H20" s="1189"/>
      <c r="I20" s="1189"/>
      <c r="J20" s="1189"/>
      <c r="K20" s="1189"/>
      <c r="L20" s="1189"/>
      <c r="M20" s="1189"/>
      <c r="N20" s="1189"/>
      <c r="O20" s="1189"/>
      <c r="P20" s="1189"/>
      <c r="Q20" s="1189"/>
      <c r="R20" s="1189"/>
      <c r="S20" s="1189"/>
      <c r="T20" s="1189"/>
      <c r="U20" s="1189"/>
      <c r="V20" s="1189"/>
      <c r="W20" s="1189"/>
      <c r="X20" s="1160"/>
      <c r="Z20" s="1160"/>
      <c r="AA20" s="1160"/>
      <c r="AB20" s="1160"/>
      <c r="AC20" s="1160"/>
      <c r="AD20" s="1160"/>
      <c r="AE20" s="1160"/>
      <c r="AF20" s="1160"/>
      <c r="AG20" s="1160"/>
      <c r="AH20" s="1160"/>
      <c r="AI20" s="1160"/>
      <c r="AJ20" s="1160"/>
      <c r="AK20" s="1160"/>
      <c r="AL20" s="1160"/>
    </row>
    <row r="21" spans="3:38" s="1162" customFormat="1" ht="36.75">
      <c r="C21" s="1190" t="s">
        <v>1861</v>
      </c>
      <c r="D21" s="1191" t="s">
        <v>93</v>
      </c>
      <c r="E21" s="1191" t="s">
        <v>94</v>
      </c>
      <c r="F21" s="1191" t="s">
        <v>95</v>
      </c>
      <c r="G21" s="1191" t="s">
        <v>1855</v>
      </c>
      <c r="H21" s="1191" t="s">
        <v>1856</v>
      </c>
      <c r="I21" s="1192" t="s">
        <v>1862</v>
      </c>
      <c r="J21" s="1192" t="s">
        <v>1857</v>
      </c>
      <c r="K21" s="1192" t="s">
        <v>1807</v>
      </c>
      <c r="L21" s="1192" t="s">
        <v>1858</v>
      </c>
      <c r="M21" s="1192" t="s">
        <v>1859</v>
      </c>
      <c r="N21" s="1192" t="s">
        <v>1860</v>
      </c>
      <c r="O21" s="1192" t="s">
        <v>1868</v>
      </c>
      <c r="P21" s="1192" t="s">
        <v>1415</v>
      </c>
      <c r="Q21" s="1192" t="s">
        <v>1912</v>
      </c>
      <c r="R21" s="1192" t="s">
        <v>1864</v>
      </c>
      <c r="S21" s="1192" t="s">
        <v>1921</v>
      </c>
      <c r="T21" s="1192"/>
      <c r="U21" s="1192"/>
      <c r="V21" s="1192"/>
      <c r="W21" s="1193"/>
      <c r="X21" s="1161"/>
      <c r="Z21" s="1161"/>
      <c r="AA21" s="1161"/>
      <c r="AB21" s="1161"/>
      <c r="AC21" s="1161"/>
      <c r="AD21" s="1161"/>
      <c r="AE21" s="1161"/>
      <c r="AF21" s="1161"/>
      <c r="AG21" s="1161"/>
      <c r="AH21" s="1161"/>
      <c r="AI21" s="1161"/>
      <c r="AJ21" s="1161"/>
      <c r="AK21" s="1161"/>
      <c r="AL21" s="1161"/>
    </row>
    <row r="22" spans="3:38">
      <c r="C22" s="1163">
        <v>1</v>
      </c>
      <c r="D22" s="1164"/>
      <c r="E22" s="1164" t="s">
        <v>1890</v>
      </c>
      <c r="F22" s="1164"/>
      <c r="G22" s="1164"/>
      <c r="H22" s="1164"/>
      <c r="I22" s="1164"/>
      <c r="J22" s="1164"/>
      <c r="K22" s="1164"/>
      <c r="L22" s="1164"/>
      <c r="M22" s="1164"/>
      <c r="N22" s="1164"/>
      <c r="O22" s="1164"/>
      <c r="P22" s="1164"/>
      <c r="Q22" s="1164"/>
      <c r="R22" s="1164"/>
      <c r="S22" s="1164"/>
      <c r="T22" s="1164"/>
      <c r="U22" s="1164"/>
      <c r="V22" s="1164"/>
      <c r="W22" s="1165"/>
      <c r="X22" s="1160"/>
      <c r="Z22" s="1160"/>
      <c r="AA22" s="1160"/>
      <c r="AB22" s="1160"/>
      <c r="AC22" s="1160"/>
      <c r="AD22" s="1160"/>
      <c r="AE22" s="1160"/>
      <c r="AF22" s="1160"/>
      <c r="AG22" s="1160"/>
      <c r="AH22" s="1160"/>
      <c r="AI22" s="1160"/>
      <c r="AJ22" s="1160"/>
      <c r="AK22" s="1160"/>
      <c r="AL22" s="1160"/>
    </row>
    <row r="23" spans="3:38">
      <c r="C23" s="1163">
        <f>C22+1</f>
        <v>2</v>
      </c>
      <c r="D23" s="1164"/>
      <c r="E23" s="1164" t="s">
        <v>1891</v>
      </c>
      <c r="F23" s="1164"/>
      <c r="G23" s="1164"/>
      <c r="H23" s="1164"/>
      <c r="I23" s="1164"/>
      <c r="J23" s="1164"/>
      <c r="K23" s="1164"/>
      <c r="L23" s="1164"/>
      <c r="M23" s="1164"/>
      <c r="N23" s="1164"/>
      <c r="O23" s="1164"/>
      <c r="P23" s="1164"/>
      <c r="Q23" s="1164"/>
      <c r="R23" s="1164"/>
      <c r="S23" s="1164"/>
      <c r="T23" s="1164"/>
      <c r="U23" s="1164"/>
      <c r="V23" s="1164"/>
      <c r="W23" s="1165"/>
      <c r="X23" s="1160"/>
      <c r="Z23" s="1160"/>
      <c r="AA23" s="1160"/>
      <c r="AB23" s="1160"/>
      <c r="AC23" s="1160"/>
      <c r="AD23" s="1160"/>
      <c r="AE23" s="1160"/>
      <c r="AF23" s="1160"/>
      <c r="AG23" s="1160"/>
      <c r="AH23" s="1160"/>
      <c r="AI23" s="1160"/>
      <c r="AJ23" s="1160"/>
      <c r="AK23" s="1160"/>
      <c r="AL23" s="1160"/>
    </row>
    <row r="24" spans="3:38">
      <c r="C24" s="1163">
        <f t="shared" ref="C24:C51" si="0">C23+1</f>
        <v>3</v>
      </c>
      <c r="D24" s="1164"/>
      <c r="E24" s="1164" t="s">
        <v>1892</v>
      </c>
      <c r="F24" s="1164"/>
      <c r="G24" s="1164"/>
      <c r="H24" s="1164"/>
      <c r="I24" s="1164"/>
      <c r="J24" s="1164"/>
      <c r="K24" s="1164"/>
      <c r="L24" s="1164"/>
      <c r="M24" s="1164"/>
      <c r="N24" s="1164"/>
      <c r="O24" s="1164"/>
      <c r="P24" s="1164"/>
      <c r="Q24" s="1164"/>
      <c r="R24" s="1164"/>
      <c r="S24" s="1164"/>
      <c r="T24" s="1164"/>
      <c r="U24" s="1164"/>
      <c r="V24" s="1164"/>
      <c r="W24" s="1165"/>
      <c r="X24" s="1160"/>
      <c r="Z24" s="1160"/>
      <c r="AA24" s="1160"/>
      <c r="AB24" s="1160"/>
      <c r="AC24" s="1160"/>
      <c r="AD24" s="1160"/>
      <c r="AE24" s="1160"/>
      <c r="AF24" s="1160"/>
      <c r="AG24" s="1160"/>
      <c r="AH24" s="1160"/>
      <c r="AI24" s="1160"/>
      <c r="AJ24" s="1160"/>
      <c r="AK24" s="1160"/>
      <c r="AL24" s="1160"/>
    </row>
    <row r="25" spans="3:38">
      <c r="C25" s="1163">
        <f t="shared" si="0"/>
        <v>4</v>
      </c>
      <c r="D25" s="1164"/>
      <c r="E25" s="1164" t="s">
        <v>1893</v>
      </c>
      <c r="F25" s="1164"/>
      <c r="G25" s="1164"/>
      <c r="H25" s="1164"/>
      <c r="I25" s="1164"/>
      <c r="J25" s="1164"/>
      <c r="K25" s="1164"/>
      <c r="L25" s="1164"/>
      <c r="M25" s="1164"/>
      <c r="N25" s="1164"/>
      <c r="O25" s="1164"/>
      <c r="P25" s="1164"/>
      <c r="Q25" s="1164"/>
      <c r="R25" s="1164"/>
      <c r="S25" s="1164"/>
      <c r="T25" s="1164"/>
      <c r="U25" s="1164"/>
      <c r="V25" s="1164"/>
      <c r="W25" s="1165"/>
      <c r="X25" s="1160"/>
      <c r="Z25" s="1160"/>
      <c r="AA25" s="1160"/>
      <c r="AB25" s="1160"/>
      <c r="AC25" s="1160"/>
      <c r="AD25" s="1160"/>
      <c r="AE25" s="1160"/>
      <c r="AF25" s="1160"/>
      <c r="AG25" s="1160"/>
      <c r="AH25" s="1160"/>
      <c r="AI25" s="1160"/>
      <c r="AJ25" s="1160"/>
      <c r="AK25" s="1160"/>
      <c r="AL25" s="1160"/>
    </row>
    <row r="26" spans="3:38">
      <c r="C26" s="1163">
        <f t="shared" si="0"/>
        <v>5</v>
      </c>
      <c r="D26" s="1164"/>
      <c r="E26" s="1164" t="s">
        <v>1894</v>
      </c>
      <c r="F26" s="1164"/>
      <c r="G26" s="1164"/>
      <c r="H26" s="1164"/>
      <c r="I26" s="1164"/>
      <c r="J26" s="1164"/>
      <c r="K26" s="1164"/>
      <c r="L26" s="1164"/>
      <c r="M26" s="1164"/>
      <c r="N26" s="1164"/>
      <c r="O26" s="1164"/>
      <c r="P26" s="1164"/>
      <c r="Q26" s="1164"/>
      <c r="R26" s="1164"/>
      <c r="S26" s="1164"/>
      <c r="T26" s="1164"/>
      <c r="U26" s="1164"/>
      <c r="V26" s="1164"/>
      <c r="W26" s="1165"/>
      <c r="X26" s="1160"/>
      <c r="Z26" s="1160"/>
      <c r="AA26" s="1160"/>
      <c r="AB26" s="1160"/>
      <c r="AC26" s="1160"/>
      <c r="AD26" s="1160"/>
      <c r="AE26" s="1160"/>
      <c r="AF26" s="1160"/>
      <c r="AG26" s="1160"/>
      <c r="AH26" s="1160"/>
      <c r="AI26" s="1160"/>
      <c r="AJ26" s="1160"/>
      <c r="AK26" s="1160"/>
      <c r="AL26" s="1160"/>
    </row>
    <row r="27" spans="3:38">
      <c r="C27" s="1163">
        <f t="shared" si="0"/>
        <v>6</v>
      </c>
      <c r="D27" s="1164"/>
      <c r="E27" s="1164" t="s">
        <v>1895</v>
      </c>
      <c r="F27" s="1164"/>
      <c r="G27" s="1164"/>
      <c r="H27" s="1164"/>
      <c r="I27" s="1164"/>
      <c r="J27" s="1164"/>
      <c r="K27" s="1164"/>
      <c r="L27" s="1164"/>
      <c r="M27" s="1164"/>
      <c r="N27" s="1164"/>
      <c r="O27" s="1164"/>
      <c r="P27" s="1164"/>
      <c r="Q27" s="1164"/>
      <c r="R27" s="1164"/>
      <c r="S27" s="1164"/>
      <c r="T27" s="1164"/>
      <c r="U27" s="1164"/>
      <c r="V27" s="1164"/>
      <c r="W27" s="1165"/>
      <c r="X27" s="1160"/>
      <c r="Z27" s="1160"/>
      <c r="AA27" s="1160"/>
      <c r="AB27" s="1160"/>
      <c r="AC27" s="1160"/>
      <c r="AD27" s="1160"/>
      <c r="AE27" s="1160"/>
      <c r="AF27" s="1160"/>
      <c r="AG27" s="1160"/>
      <c r="AH27" s="1160"/>
      <c r="AI27" s="1160"/>
      <c r="AJ27" s="1160"/>
      <c r="AK27" s="1160"/>
      <c r="AL27" s="1160"/>
    </row>
    <row r="28" spans="3:38">
      <c r="C28" s="1163">
        <f t="shared" si="0"/>
        <v>7</v>
      </c>
      <c r="D28" s="1164"/>
      <c r="E28" s="1164" t="s">
        <v>1896</v>
      </c>
      <c r="F28" s="1164"/>
      <c r="G28" s="1164"/>
      <c r="H28" s="1164"/>
      <c r="I28" s="1164"/>
      <c r="J28" s="1164"/>
      <c r="K28" s="1164"/>
      <c r="L28" s="1164"/>
      <c r="M28" s="1164"/>
      <c r="N28" s="1164"/>
      <c r="O28" s="1164"/>
      <c r="P28" s="1164"/>
      <c r="Q28" s="1164"/>
      <c r="R28" s="1164"/>
      <c r="S28" s="1164"/>
      <c r="T28" s="1164"/>
      <c r="U28" s="1164"/>
      <c r="V28" s="1164"/>
      <c r="W28" s="1165"/>
      <c r="X28" s="1160"/>
      <c r="Z28" s="1160"/>
      <c r="AA28" s="1160"/>
      <c r="AB28" s="1160"/>
      <c r="AC28" s="1160"/>
      <c r="AD28" s="1160"/>
      <c r="AE28" s="1160"/>
      <c r="AF28" s="1160"/>
      <c r="AG28" s="1160"/>
      <c r="AH28" s="1160"/>
      <c r="AI28" s="1160"/>
      <c r="AJ28" s="1160"/>
      <c r="AK28" s="1160"/>
      <c r="AL28" s="1160"/>
    </row>
    <row r="29" spans="3:38">
      <c r="C29" s="1163">
        <f t="shared" si="0"/>
        <v>8</v>
      </c>
      <c r="D29" s="1164"/>
      <c r="E29" s="1164" t="s">
        <v>1897</v>
      </c>
      <c r="F29" s="1164"/>
      <c r="G29" s="1164"/>
      <c r="H29" s="1164"/>
      <c r="I29" s="1164"/>
      <c r="J29" s="1164"/>
      <c r="K29" s="1164"/>
      <c r="L29" s="1164"/>
      <c r="M29" s="1164"/>
      <c r="N29" s="1164"/>
      <c r="O29" s="1164"/>
      <c r="P29" s="1164"/>
      <c r="Q29" s="1164"/>
      <c r="R29" s="1164"/>
      <c r="S29" s="1164"/>
      <c r="T29" s="1164"/>
      <c r="U29" s="1164"/>
      <c r="V29" s="1164"/>
      <c r="W29" s="1165"/>
      <c r="X29" s="1160"/>
      <c r="Z29" s="1160"/>
      <c r="AA29" s="1160"/>
      <c r="AB29" s="1160"/>
      <c r="AC29" s="1160"/>
      <c r="AD29" s="1160"/>
      <c r="AE29" s="1160"/>
      <c r="AF29" s="1160"/>
      <c r="AG29" s="1160"/>
      <c r="AH29" s="1160"/>
      <c r="AI29" s="1160"/>
      <c r="AJ29" s="1160"/>
      <c r="AK29" s="1160"/>
      <c r="AL29" s="1160"/>
    </row>
    <row r="30" spans="3:38">
      <c r="C30" s="1163">
        <f t="shared" si="0"/>
        <v>9</v>
      </c>
      <c r="D30" s="1164"/>
      <c r="E30" s="1164" t="s">
        <v>1898</v>
      </c>
      <c r="F30" s="1164"/>
      <c r="G30" s="1164"/>
      <c r="H30" s="1164"/>
      <c r="I30" s="1164"/>
      <c r="J30" s="1164"/>
      <c r="K30" s="1164"/>
      <c r="L30" s="1164"/>
      <c r="M30" s="1164"/>
      <c r="N30" s="1164"/>
      <c r="O30" s="1164"/>
      <c r="P30" s="1164"/>
      <c r="Q30" s="1164"/>
      <c r="R30" s="1164"/>
      <c r="S30" s="1164"/>
      <c r="T30" s="1164"/>
      <c r="U30" s="1164"/>
      <c r="V30" s="1164"/>
      <c r="W30" s="1165"/>
      <c r="X30" s="1160"/>
      <c r="Z30" s="1160"/>
      <c r="AA30" s="1160"/>
      <c r="AB30" s="1160"/>
      <c r="AC30" s="1160"/>
      <c r="AD30" s="1160"/>
      <c r="AE30" s="1160"/>
      <c r="AF30" s="1160"/>
      <c r="AG30" s="1160"/>
      <c r="AH30" s="1160"/>
      <c r="AI30" s="1160"/>
      <c r="AJ30" s="1160"/>
      <c r="AK30" s="1160"/>
      <c r="AL30" s="1160"/>
    </row>
    <row r="31" spans="3:38">
      <c r="C31" s="1163">
        <f t="shared" si="0"/>
        <v>10</v>
      </c>
      <c r="D31" s="1164"/>
      <c r="E31" s="1164" t="s">
        <v>1899</v>
      </c>
      <c r="F31" s="1164"/>
      <c r="G31" s="1164"/>
      <c r="H31" s="1164"/>
      <c r="I31" s="1164"/>
      <c r="J31" s="1164"/>
      <c r="K31" s="1164"/>
      <c r="L31" s="1164"/>
      <c r="M31" s="1164"/>
      <c r="N31" s="1164"/>
      <c r="O31" s="1164"/>
      <c r="P31" s="1164"/>
      <c r="Q31" s="1164"/>
      <c r="R31" s="1164"/>
      <c r="S31" s="1164"/>
      <c r="T31" s="1164"/>
      <c r="U31" s="1164"/>
      <c r="V31" s="1164"/>
      <c r="W31" s="1165"/>
      <c r="X31" s="1160"/>
      <c r="Z31" s="1160"/>
      <c r="AA31" s="1160"/>
      <c r="AB31" s="1160"/>
      <c r="AC31" s="1160"/>
      <c r="AD31" s="1160"/>
      <c r="AE31" s="1160"/>
      <c r="AF31" s="1160"/>
      <c r="AG31" s="1160"/>
      <c r="AH31" s="1160"/>
      <c r="AI31" s="1160"/>
      <c r="AJ31" s="1160"/>
      <c r="AK31" s="1160"/>
      <c r="AL31" s="1160"/>
    </row>
    <row r="32" spans="3:38">
      <c r="C32" s="1163">
        <f t="shared" si="0"/>
        <v>11</v>
      </c>
      <c r="D32" s="1164"/>
      <c r="E32" s="1164" t="s">
        <v>2092</v>
      </c>
      <c r="F32" s="1164"/>
      <c r="G32" s="1164"/>
      <c r="H32" s="1164"/>
      <c r="I32" s="1164"/>
      <c r="J32" s="1164"/>
      <c r="K32" s="1164"/>
      <c r="L32" s="1164"/>
      <c r="M32" s="1164"/>
      <c r="N32" s="1164"/>
      <c r="O32" s="1164"/>
      <c r="P32" s="1164"/>
      <c r="Q32" s="1164"/>
      <c r="R32" s="1164"/>
      <c r="S32" s="1164"/>
      <c r="T32" s="1164"/>
      <c r="U32" s="1164"/>
      <c r="V32" s="1164"/>
      <c r="W32" s="1165"/>
      <c r="X32" s="1160"/>
      <c r="Z32" s="1160"/>
      <c r="AA32" s="1160"/>
      <c r="AB32" s="1160"/>
      <c r="AC32" s="1160"/>
      <c r="AD32" s="1160"/>
      <c r="AE32" s="1160"/>
      <c r="AF32" s="1160"/>
      <c r="AG32" s="1160"/>
      <c r="AH32" s="1160"/>
      <c r="AI32" s="1160"/>
      <c r="AJ32" s="1160"/>
      <c r="AK32" s="1160"/>
      <c r="AL32" s="1160"/>
    </row>
    <row r="33" spans="3:38">
      <c r="C33" s="1163">
        <f t="shared" si="0"/>
        <v>12</v>
      </c>
      <c r="D33" s="1164"/>
      <c r="E33" s="1164" t="s">
        <v>2093</v>
      </c>
      <c r="F33" s="1164"/>
      <c r="G33" s="1164"/>
      <c r="H33" s="1164"/>
      <c r="I33" s="1164"/>
      <c r="J33" s="1164"/>
      <c r="K33" s="1164"/>
      <c r="L33" s="1164"/>
      <c r="M33" s="1164"/>
      <c r="N33" s="1164"/>
      <c r="O33" s="1164"/>
      <c r="P33" s="1164"/>
      <c r="Q33" s="1164"/>
      <c r="R33" s="1164"/>
      <c r="S33" s="1164"/>
      <c r="T33" s="1164"/>
      <c r="U33" s="1164"/>
      <c r="V33" s="1164"/>
      <c r="W33" s="1165"/>
      <c r="X33" s="1160"/>
      <c r="Z33" s="1160"/>
      <c r="AA33" s="1160"/>
      <c r="AB33" s="1160"/>
      <c r="AC33" s="1160"/>
      <c r="AD33" s="1160"/>
      <c r="AE33" s="1160"/>
      <c r="AF33" s="1160"/>
      <c r="AG33" s="1160"/>
      <c r="AH33" s="1160"/>
      <c r="AI33" s="1160"/>
      <c r="AJ33" s="1160"/>
      <c r="AK33" s="1160"/>
      <c r="AL33" s="1160"/>
    </row>
    <row r="34" spans="3:38">
      <c r="C34" s="1163">
        <f t="shared" si="0"/>
        <v>13</v>
      </c>
      <c r="D34" s="1164"/>
      <c r="E34" s="1164" t="s">
        <v>2094</v>
      </c>
      <c r="F34" s="1164"/>
      <c r="G34" s="1164"/>
      <c r="H34" s="1164"/>
      <c r="I34" s="1164"/>
      <c r="J34" s="1164"/>
      <c r="K34" s="1164"/>
      <c r="L34" s="1164"/>
      <c r="M34" s="1164"/>
      <c r="N34" s="1164"/>
      <c r="O34" s="1164"/>
      <c r="P34" s="1164"/>
      <c r="Q34" s="1164"/>
      <c r="R34" s="1164"/>
      <c r="S34" s="1164"/>
      <c r="T34" s="1164"/>
      <c r="U34" s="1164"/>
      <c r="V34" s="1164"/>
      <c r="W34" s="1165"/>
      <c r="X34" s="1160"/>
      <c r="Z34" s="1160"/>
      <c r="AA34" s="1160"/>
      <c r="AB34" s="1160"/>
      <c r="AC34" s="1160"/>
      <c r="AD34" s="1160"/>
      <c r="AE34" s="1160"/>
      <c r="AF34" s="1160"/>
      <c r="AG34" s="1160"/>
      <c r="AH34" s="1160"/>
      <c r="AI34" s="1160"/>
      <c r="AJ34" s="1160"/>
      <c r="AK34" s="1160"/>
      <c r="AL34" s="1160"/>
    </row>
    <row r="35" spans="3:38">
      <c r="C35" s="1163">
        <f t="shared" si="0"/>
        <v>14</v>
      </c>
      <c r="D35" s="1164"/>
      <c r="E35" s="1164" t="s">
        <v>2095</v>
      </c>
      <c r="F35" s="1164"/>
      <c r="G35" s="1164"/>
      <c r="H35" s="1164"/>
      <c r="I35" s="1164"/>
      <c r="J35" s="1164"/>
      <c r="K35" s="1164"/>
      <c r="L35" s="1164"/>
      <c r="M35" s="1164"/>
      <c r="N35" s="1164"/>
      <c r="O35" s="1164"/>
      <c r="P35" s="1164"/>
      <c r="Q35" s="1164"/>
      <c r="R35" s="1164"/>
      <c r="S35" s="1164"/>
      <c r="T35" s="1164"/>
      <c r="U35" s="1164"/>
      <c r="V35" s="1164"/>
      <c r="W35" s="1165"/>
      <c r="X35" s="1160"/>
      <c r="Z35" s="1160"/>
      <c r="AA35" s="1160"/>
      <c r="AB35" s="1160"/>
      <c r="AC35" s="1160"/>
      <c r="AD35" s="1160"/>
      <c r="AE35" s="1160"/>
      <c r="AF35" s="1160"/>
      <c r="AG35" s="1160"/>
      <c r="AH35" s="1160"/>
      <c r="AI35" s="1160"/>
      <c r="AJ35" s="1160"/>
      <c r="AK35" s="1160"/>
      <c r="AL35" s="1160"/>
    </row>
    <row r="36" spans="3:38">
      <c r="C36" s="1163">
        <f t="shared" si="0"/>
        <v>15</v>
      </c>
      <c r="D36" s="1164"/>
      <c r="E36" s="1164" t="s">
        <v>2096</v>
      </c>
      <c r="F36" s="1164"/>
      <c r="G36" s="1164"/>
      <c r="H36" s="1164"/>
      <c r="I36" s="1164"/>
      <c r="J36" s="1164"/>
      <c r="K36" s="1164"/>
      <c r="L36" s="1164"/>
      <c r="M36" s="1164"/>
      <c r="N36" s="1164"/>
      <c r="O36" s="1164"/>
      <c r="P36" s="1164"/>
      <c r="Q36" s="1164"/>
      <c r="R36" s="1164"/>
      <c r="S36" s="1164"/>
      <c r="T36" s="1164"/>
      <c r="U36" s="1164"/>
      <c r="V36" s="1164"/>
      <c r="W36" s="1165"/>
      <c r="X36" s="1160"/>
      <c r="Z36" s="1160"/>
      <c r="AA36" s="1160"/>
      <c r="AB36" s="1160"/>
      <c r="AC36" s="1160"/>
      <c r="AD36" s="1160"/>
      <c r="AE36" s="1160"/>
      <c r="AF36" s="1160"/>
      <c r="AG36" s="1160"/>
      <c r="AH36" s="1160"/>
      <c r="AI36" s="1160"/>
      <c r="AJ36" s="1160"/>
      <c r="AK36" s="1160"/>
      <c r="AL36" s="1160"/>
    </row>
    <row r="37" spans="3:38">
      <c r="C37" s="1163">
        <f t="shared" si="0"/>
        <v>16</v>
      </c>
      <c r="D37" s="1164"/>
      <c r="E37" s="1164" t="s">
        <v>2097</v>
      </c>
      <c r="F37" s="1164"/>
      <c r="G37" s="1164"/>
      <c r="H37" s="1164"/>
      <c r="I37" s="1164"/>
      <c r="J37" s="1164"/>
      <c r="K37" s="1164"/>
      <c r="L37" s="1164"/>
      <c r="M37" s="1164"/>
      <c r="N37" s="1164"/>
      <c r="O37" s="1164"/>
      <c r="P37" s="1164"/>
      <c r="Q37" s="1164"/>
      <c r="R37" s="1164"/>
      <c r="S37" s="1164"/>
      <c r="T37" s="1164"/>
      <c r="U37" s="1164"/>
      <c r="V37" s="1164"/>
      <c r="W37" s="1165"/>
      <c r="X37" s="1160"/>
      <c r="Z37" s="1160"/>
      <c r="AA37" s="1160"/>
      <c r="AB37" s="1160"/>
      <c r="AC37" s="1160"/>
      <c r="AD37" s="1160"/>
      <c r="AE37" s="1160"/>
      <c r="AF37" s="1160"/>
      <c r="AG37" s="1160"/>
      <c r="AH37" s="1160"/>
      <c r="AI37" s="1160"/>
      <c r="AJ37" s="1160"/>
      <c r="AK37" s="1160"/>
      <c r="AL37" s="1160"/>
    </row>
    <row r="38" spans="3:38">
      <c r="C38" s="1163">
        <f t="shared" si="0"/>
        <v>17</v>
      </c>
      <c r="D38" s="1164"/>
      <c r="E38" s="1164" t="s">
        <v>2098</v>
      </c>
      <c r="F38" s="1164"/>
      <c r="G38" s="1164"/>
      <c r="H38" s="1164"/>
      <c r="I38" s="1164"/>
      <c r="J38" s="1164"/>
      <c r="K38" s="1164"/>
      <c r="L38" s="1164"/>
      <c r="M38" s="1164"/>
      <c r="N38" s="1164"/>
      <c r="O38" s="1164"/>
      <c r="P38" s="1164"/>
      <c r="Q38" s="1164"/>
      <c r="R38" s="1164"/>
      <c r="S38" s="1164"/>
      <c r="T38" s="1164"/>
      <c r="U38" s="1164"/>
      <c r="V38" s="1164"/>
      <c r="W38" s="1165"/>
      <c r="X38" s="1160"/>
      <c r="Z38" s="1160"/>
      <c r="AA38" s="1160"/>
      <c r="AB38" s="1160"/>
      <c r="AC38" s="1160"/>
      <c r="AD38" s="1160"/>
      <c r="AE38" s="1160"/>
      <c r="AF38" s="1160"/>
      <c r="AG38" s="1160"/>
      <c r="AH38" s="1160"/>
      <c r="AI38" s="1160"/>
      <c r="AJ38" s="1160"/>
      <c r="AK38" s="1160"/>
      <c r="AL38" s="1160"/>
    </row>
    <row r="39" spans="3:38">
      <c r="C39" s="1163">
        <f t="shared" si="0"/>
        <v>18</v>
      </c>
      <c r="D39" s="1164"/>
      <c r="E39" s="1164" t="s">
        <v>2099</v>
      </c>
      <c r="F39" s="1164"/>
      <c r="G39" s="1164"/>
      <c r="H39" s="1164"/>
      <c r="I39" s="1164"/>
      <c r="J39" s="1164"/>
      <c r="K39" s="1164"/>
      <c r="L39" s="1164"/>
      <c r="M39" s="1164"/>
      <c r="N39" s="1164"/>
      <c r="O39" s="1164"/>
      <c r="P39" s="1164"/>
      <c r="Q39" s="1164"/>
      <c r="R39" s="1164"/>
      <c r="S39" s="1164"/>
      <c r="T39" s="1164"/>
      <c r="U39" s="1164"/>
      <c r="V39" s="1164"/>
      <c r="W39" s="1165"/>
      <c r="X39" s="1160"/>
      <c r="Z39" s="1160"/>
      <c r="AA39" s="1160"/>
      <c r="AB39" s="1160"/>
      <c r="AC39" s="1160"/>
      <c r="AD39" s="1160"/>
      <c r="AE39" s="1160"/>
      <c r="AF39" s="1160"/>
      <c r="AG39" s="1160"/>
      <c r="AH39" s="1160"/>
      <c r="AI39" s="1160"/>
      <c r="AJ39" s="1160"/>
      <c r="AK39" s="1160"/>
      <c r="AL39" s="1160"/>
    </row>
    <row r="40" spans="3:38">
      <c r="C40" s="1163">
        <f t="shared" si="0"/>
        <v>19</v>
      </c>
      <c r="D40" s="1164"/>
      <c r="E40" s="1164" t="s">
        <v>2100</v>
      </c>
      <c r="F40" s="1164"/>
      <c r="G40" s="1164"/>
      <c r="H40" s="1164"/>
      <c r="I40" s="1164"/>
      <c r="J40" s="1164"/>
      <c r="K40" s="1164"/>
      <c r="L40" s="1164"/>
      <c r="M40" s="1164"/>
      <c r="N40" s="1164"/>
      <c r="O40" s="1164"/>
      <c r="P40" s="1164"/>
      <c r="Q40" s="1164"/>
      <c r="R40" s="1164"/>
      <c r="S40" s="1164"/>
      <c r="T40" s="1164"/>
      <c r="U40" s="1164"/>
      <c r="V40" s="1164"/>
      <c r="W40" s="1165"/>
      <c r="X40" s="1160"/>
      <c r="Z40" s="1160"/>
      <c r="AA40" s="1160"/>
      <c r="AB40" s="1160"/>
      <c r="AC40" s="1160"/>
      <c r="AD40" s="1160"/>
      <c r="AE40" s="1160"/>
      <c r="AF40" s="1160"/>
      <c r="AG40" s="1160"/>
      <c r="AH40" s="1160"/>
      <c r="AI40" s="1160"/>
      <c r="AJ40" s="1160"/>
      <c r="AK40" s="1160"/>
      <c r="AL40" s="1160"/>
    </row>
    <row r="41" spans="3:38">
      <c r="C41" s="1163">
        <f t="shared" si="0"/>
        <v>20</v>
      </c>
      <c r="D41" s="1164"/>
      <c r="E41" s="1164" t="s">
        <v>2101</v>
      </c>
      <c r="F41" s="1164"/>
      <c r="G41" s="1164"/>
      <c r="H41" s="1164"/>
      <c r="I41" s="1164"/>
      <c r="J41" s="1164"/>
      <c r="K41" s="1164"/>
      <c r="L41" s="1164"/>
      <c r="M41" s="1164"/>
      <c r="N41" s="1164"/>
      <c r="O41" s="1164"/>
      <c r="P41" s="1164"/>
      <c r="Q41" s="1164"/>
      <c r="R41" s="1164"/>
      <c r="S41" s="1164"/>
      <c r="T41" s="1164"/>
      <c r="U41" s="1164"/>
      <c r="V41" s="1164"/>
      <c r="W41" s="1165"/>
      <c r="X41" s="1160"/>
      <c r="Z41" s="1160"/>
      <c r="AA41" s="1160"/>
      <c r="AB41" s="1160"/>
      <c r="AC41" s="1160"/>
      <c r="AD41" s="1160"/>
      <c r="AE41" s="1160"/>
      <c r="AF41" s="1160"/>
      <c r="AG41" s="1160"/>
      <c r="AH41" s="1160"/>
      <c r="AI41" s="1160"/>
      <c r="AJ41" s="1160"/>
      <c r="AK41" s="1160"/>
      <c r="AL41" s="1160"/>
    </row>
    <row r="42" spans="3:38">
      <c r="C42" s="1163">
        <f t="shared" si="0"/>
        <v>21</v>
      </c>
      <c r="D42" s="1164"/>
      <c r="E42" s="1164" t="s">
        <v>2102</v>
      </c>
      <c r="F42" s="1164"/>
      <c r="G42" s="1164"/>
      <c r="H42" s="1164"/>
      <c r="I42" s="1164"/>
      <c r="J42" s="1164"/>
      <c r="K42" s="1164"/>
      <c r="L42" s="1164"/>
      <c r="M42" s="1164"/>
      <c r="N42" s="1164"/>
      <c r="O42" s="1164"/>
      <c r="P42" s="1164"/>
      <c r="Q42" s="1164"/>
      <c r="R42" s="1164"/>
      <c r="S42" s="1164"/>
      <c r="T42" s="1164"/>
      <c r="U42" s="1164"/>
      <c r="V42" s="1164"/>
      <c r="W42" s="1165"/>
      <c r="X42" s="1160"/>
      <c r="Z42" s="1160"/>
      <c r="AA42" s="1160"/>
      <c r="AB42" s="1160"/>
      <c r="AC42" s="1160"/>
      <c r="AD42" s="1160"/>
      <c r="AE42" s="1160"/>
      <c r="AF42" s="1160"/>
      <c r="AG42" s="1160"/>
      <c r="AH42" s="1160"/>
      <c r="AI42" s="1160"/>
      <c r="AJ42" s="1160"/>
      <c r="AK42" s="1160"/>
      <c r="AL42" s="1160"/>
    </row>
    <row r="43" spans="3:38">
      <c r="C43" s="1163">
        <f t="shared" si="0"/>
        <v>22</v>
      </c>
      <c r="D43" s="1164"/>
      <c r="E43" s="1164" t="s">
        <v>2103</v>
      </c>
      <c r="F43" s="1164"/>
      <c r="G43" s="1164"/>
      <c r="H43" s="1164"/>
      <c r="I43" s="1164"/>
      <c r="J43" s="1164"/>
      <c r="K43" s="1164"/>
      <c r="L43" s="1164"/>
      <c r="M43" s="1164"/>
      <c r="N43" s="1164"/>
      <c r="O43" s="1164"/>
      <c r="P43" s="1164"/>
      <c r="Q43" s="1164"/>
      <c r="R43" s="1164"/>
      <c r="S43" s="1164"/>
      <c r="T43" s="1164"/>
      <c r="U43" s="1164"/>
      <c r="V43" s="1164"/>
      <c r="W43" s="1165"/>
      <c r="X43" s="1160"/>
      <c r="Z43" s="1160"/>
      <c r="AA43" s="1160"/>
      <c r="AB43" s="1160"/>
      <c r="AC43" s="1160"/>
      <c r="AD43" s="1160"/>
      <c r="AE43" s="1160"/>
      <c r="AF43" s="1160"/>
      <c r="AG43" s="1160"/>
      <c r="AH43" s="1160"/>
      <c r="AI43" s="1160"/>
      <c r="AJ43" s="1160"/>
      <c r="AK43" s="1160"/>
      <c r="AL43" s="1160"/>
    </row>
    <row r="44" spans="3:38">
      <c r="C44" s="1163">
        <f t="shared" si="0"/>
        <v>23</v>
      </c>
      <c r="D44" s="1164"/>
      <c r="E44" s="1164" t="s">
        <v>2104</v>
      </c>
      <c r="F44" s="1164"/>
      <c r="G44" s="1164"/>
      <c r="H44" s="1164"/>
      <c r="I44" s="1164"/>
      <c r="J44" s="1164"/>
      <c r="K44" s="1164"/>
      <c r="L44" s="1164"/>
      <c r="M44" s="1164"/>
      <c r="N44" s="1164"/>
      <c r="O44" s="1164"/>
      <c r="P44" s="1164"/>
      <c r="Q44" s="1164"/>
      <c r="R44" s="1164"/>
      <c r="S44" s="1164"/>
      <c r="T44" s="1164"/>
      <c r="U44" s="1164"/>
      <c r="V44" s="1164"/>
      <c r="W44" s="1165"/>
      <c r="X44" s="1160"/>
      <c r="Z44" s="1160"/>
      <c r="AA44" s="1160"/>
      <c r="AB44" s="1160"/>
      <c r="AC44" s="1160"/>
      <c r="AD44" s="1160"/>
      <c r="AE44" s="1160"/>
      <c r="AF44" s="1160"/>
      <c r="AG44" s="1160"/>
      <c r="AH44" s="1160"/>
      <c r="AI44" s="1160"/>
      <c r="AJ44" s="1160"/>
      <c r="AK44" s="1160"/>
      <c r="AL44" s="1160"/>
    </row>
    <row r="45" spans="3:38">
      <c r="C45" s="1163">
        <f t="shared" si="0"/>
        <v>24</v>
      </c>
      <c r="D45" s="1164"/>
      <c r="E45" s="1164" t="s">
        <v>2105</v>
      </c>
      <c r="F45" s="1164"/>
      <c r="G45" s="1164"/>
      <c r="H45" s="1164"/>
      <c r="I45" s="1164"/>
      <c r="J45" s="1164"/>
      <c r="K45" s="1164"/>
      <c r="L45" s="1164"/>
      <c r="M45" s="1164"/>
      <c r="N45" s="1164"/>
      <c r="O45" s="1164"/>
      <c r="P45" s="1164"/>
      <c r="Q45" s="1164"/>
      <c r="R45" s="1164"/>
      <c r="S45" s="1164"/>
      <c r="T45" s="1164"/>
      <c r="U45" s="1164"/>
      <c r="V45" s="1164"/>
      <c r="W45" s="1165"/>
      <c r="X45" s="1160"/>
      <c r="Z45" s="1160"/>
      <c r="AA45" s="1160"/>
      <c r="AB45" s="1160"/>
      <c r="AC45" s="1160"/>
      <c r="AD45" s="1160"/>
      <c r="AE45" s="1160"/>
      <c r="AF45" s="1160"/>
      <c r="AG45" s="1160"/>
      <c r="AH45" s="1160"/>
      <c r="AI45" s="1160"/>
      <c r="AJ45" s="1160"/>
      <c r="AK45" s="1160"/>
      <c r="AL45" s="1160"/>
    </row>
    <row r="46" spans="3:38">
      <c r="C46" s="1163">
        <f t="shared" si="0"/>
        <v>25</v>
      </c>
      <c r="D46" s="1164"/>
      <c r="E46" s="1164" t="s">
        <v>2106</v>
      </c>
      <c r="F46" s="1164"/>
      <c r="G46" s="1164"/>
      <c r="H46" s="1164"/>
      <c r="I46" s="1164"/>
      <c r="J46" s="1164"/>
      <c r="K46" s="1164"/>
      <c r="L46" s="1164"/>
      <c r="M46" s="1164"/>
      <c r="N46" s="1164"/>
      <c r="O46" s="1164"/>
      <c r="P46" s="1164"/>
      <c r="Q46" s="1164"/>
      <c r="R46" s="1164"/>
      <c r="S46" s="1164"/>
      <c r="T46" s="1164"/>
      <c r="U46" s="1164"/>
      <c r="V46" s="1164"/>
      <c r="W46" s="1165"/>
      <c r="X46" s="1160"/>
      <c r="Z46" s="1160"/>
      <c r="AA46" s="1160"/>
      <c r="AB46" s="1160"/>
      <c r="AC46" s="1160"/>
      <c r="AD46" s="1160"/>
      <c r="AE46" s="1160"/>
      <c r="AF46" s="1160"/>
      <c r="AG46" s="1160"/>
      <c r="AH46" s="1160"/>
      <c r="AI46" s="1160"/>
      <c r="AJ46" s="1160"/>
      <c r="AK46" s="1160"/>
      <c r="AL46" s="1160"/>
    </row>
    <row r="47" spans="3:38">
      <c r="C47" s="1163">
        <f t="shared" si="0"/>
        <v>26</v>
      </c>
      <c r="D47" s="1164"/>
      <c r="E47" s="1164" t="s">
        <v>2107</v>
      </c>
      <c r="F47" s="1164"/>
      <c r="G47" s="1164"/>
      <c r="H47" s="1164"/>
      <c r="I47" s="1164"/>
      <c r="J47" s="1164"/>
      <c r="K47" s="1164"/>
      <c r="L47" s="1164"/>
      <c r="M47" s="1164"/>
      <c r="N47" s="1164"/>
      <c r="O47" s="1164"/>
      <c r="P47" s="1164"/>
      <c r="Q47" s="1164"/>
      <c r="R47" s="1164"/>
      <c r="S47" s="1164"/>
      <c r="T47" s="1164"/>
      <c r="U47" s="1164"/>
      <c r="V47" s="1164"/>
      <c r="W47" s="1165"/>
      <c r="X47" s="1160"/>
      <c r="Z47" s="1160"/>
      <c r="AA47" s="1160"/>
      <c r="AB47" s="1160"/>
      <c r="AC47" s="1160"/>
      <c r="AD47" s="1160"/>
      <c r="AE47" s="1160"/>
      <c r="AF47" s="1160"/>
      <c r="AG47" s="1160"/>
      <c r="AH47" s="1160"/>
      <c r="AI47" s="1160"/>
      <c r="AJ47" s="1160"/>
      <c r="AK47" s="1160"/>
      <c r="AL47" s="1160"/>
    </row>
    <row r="48" spans="3:38">
      <c r="C48" s="1163">
        <f t="shared" si="0"/>
        <v>27</v>
      </c>
      <c r="D48" s="1164"/>
      <c r="E48" s="1164" t="s">
        <v>2108</v>
      </c>
      <c r="F48" s="1164"/>
      <c r="G48" s="1164"/>
      <c r="H48" s="1164"/>
      <c r="I48" s="1164"/>
      <c r="J48" s="1164"/>
      <c r="K48" s="1164"/>
      <c r="L48" s="1164"/>
      <c r="M48" s="1164"/>
      <c r="N48" s="1164"/>
      <c r="O48" s="1164"/>
      <c r="P48" s="1164"/>
      <c r="Q48" s="1164"/>
      <c r="R48" s="1164"/>
      <c r="S48" s="1164"/>
      <c r="T48" s="1164"/>
      <c r="U48" s="1164"/>
      <c r="V48" s="1164"/>
      <c r="W48" s="1165"/>
      <c r="X48" s="1160"/>
      <c r="Z48" s="1160"/>
      <c r="AA48" s="1160"/>
      <c r="AB48" s="1160"/>
      <c r="AC48" s="1160"/>
      <c r="AD48" s="1160"/>
      <c r="AE48" s="1160"/>
      <c r="AF48" s="1160"/>
      <c r="AG48" s="1160"/>
      <c r="AH48" s="1160"/>
      <c r="AI48" s="1160"/>
      <c r="AJ48" s="1160"/>
      <c r="AK48" s="1160"/>
      <c r="AL48" s="1160"/>
    </row>
    <row r="49" spans="3:38">
      <c r="C49" s="1163">
        <f t="shared" si="0"/>
        <v>28</v>
      </c>
      <c r="D49" s="1164"/>
      <c r="E49" s="1164" t="s">
        <v>2109</v>
      </c>
      <c r="F49" s="1164"/>
      <c r="G49" s="1164"/>
      <c r="H49" s="1164"/>
      <c r="I49" s="1164"/>
      <c r="J49" s="1164"/>
      <c r="K49" s="1164"/>
      <c r="L49" s="1164"/>
      <c r="M49" s="1164"/>
      <c r="N49" s="1164"/>
      <c r="O49" s="1164"/>
      <c r="P49" s="1164"/>
      <c r="Q49" s="1164"/>
      <c r="R49" s="1164"/>
      <c r="S49" s="1164"/>
      <c r="T49" s="1164"/>
      <c r="U49" s="1164"/>
      <c r="V49" s="1164"/>
      <c r="W49" s="1165"/>
      <c r="X49" s="1160"/>
      <c r="Z49" s="1160"/>
      <c r="AA49" s="1160"/>
      <c r="AB49" s="1160"/>
      <c r="AC49" s="1160"/>
      <c r="AD49" s="1160"/>
      <c r="AE49" s="1160"/>
      <c r="AF49" s="1160"/>
      <c r="AG49" s="1160"/>
      <c r="AH49" s="1160"/>
      <c r="AI49" s="1160"/>
      <c r="AJ49" s="1160"/>
      <c r="AK49" s="1160"/>
      <c r="AL49" s="1160"/>
    </row>
    <row r="50" spans="3:38">
      <c r="C50" s="1163">
        <f t="shared" si="0"/>
        <v>29</v>
      </c>
      <c r="D50" s="1164"/>
      <c r="E50" s="1164" t="s">
        <v>2110</v>
      </c>
      <c r="F50" s="1164"/>
      <c r="G50" s="1164"/>
      <c r="H50" s="1164"/>
      <c r="I50" s="1164"/>
      <c r="J50" s="1164"/>
      <c r="K50" s="1164"/>
      <c r="L50" s="1164"/>
      <c r="M50" s="1164"/>
      <c r="N50" s="1164"/>
      <c r="O50" s="1164"/>
      <c r="P50" s="1164"/>
      <c r="Q50" s="1164"/>
      <c r="R50" s="1164"/>
      <c r="S50" s="1164"/>
      <c r="T50" s="1164"/>
      <c r="U50" s="1164"/>
      <c r="V50" s="1164"/>
      <c r="W50" s="1165"/>
      <c r="X50" s="1160"/>
      <c r="Z50" s="1160"/>
      <c r="AA50" s="1160"/>
      <c r="AB50" s="1160"/>
      <c r="AC50" s="1160"/>
      <c r="AD50" s="1160"/>
      <c r="AE50" s="1160"/>
      <c r="AF50" s="1160"/>
      <c r="AG50" s="1160"/>
      <c r="AH50" s="1160"/>
      <c r="AI50" s="1160"/>
      <c r="AJ50" s="1160"/>
      <c r="AK50" s="1160"/>
      <c r="AL50" s="1160"/>
    </row>
    <row r="51" spans="3:38">
      <c r="C51" s="1166">
        <f t="shared" si="0"/>
        <v>30</v>
      </c>
      <c r="D51" s="1167"/>
      <c r="E51" s="1167" t="s">
        <v>2111</v>
      </c>
      <c r="F51" s="1167"/>
      <c r="G51" s="1167"/>
      <c r="H51" s="1167"/>
      <c r="I51" s="1167"/>
      <c r="J51" s="1167"/>
      <c r="K51" s="1167"/>
      <c r="L51" s="1167"/>
      <c r="M51" s="1167"/>
      <c r="N51" s="1167"/>
      <c r="O51" s="1167"/>
      <c r="P51" s="1167"/>
      <c r="Q51" s="1167"/>
      <c r="R51" s="1167"/>
      <c r="S51" s="1167"/>
      <c r="T51" s="1167"/>
      <c r="U51" s="1167"/>
      <c r="V51" s="1167"/>
      <c r="W51" s="1168"/>
      <c r="X51" s="1160"/>
      <c r="Z51" s="1160"/>
      <c r="AA51" s="1160"/>
      <c r="AB51" s="1160"/>
      <c r="AC51" s="1160"/>
      <c r="AD51" s="1160"/>
      <c r="AE51" s="1160"/>
      <c r="AF51" s="1160"/>
      <c r="AG51" s="1160"/>
      <c r="AH51" s="1160"/>
      <c r="AI51" s="1160"/>
      <c r="AJ51" s="1160"/>
      <c r="AK51" s="1160"/>
      <c r="AL51" s="1160"/>
    </row>
    <row r="52" spans="3:38">
      <c r="C52" s="1160"/>
      <c r="D52" s="1160"/>
      <c r="E52" s="1160"/>
      <c r="F52" s="1160"/>
      <c r="G52" s="1160"/>
      <c r="H52" s="1160"/>
      <c r="I52" s="1160"/>
      <c r="J52" s="1160"/>
      <c r="K52" s="1160"/>
      <c r="L52" s="1160"/>
      <c r="M52" s="1160"/>
      <c r="N52" s="1160"/>
      <c r="O52" s="1160"/>
      <c r="P52" s="1160"/>
      <c r="Q52" s="1160"/>
      <c r="R52" s="1160"/>
      <c r="S52" s="1160"/>
      <c r="T52" s="1160"/>
      <c r="U52" s="1160"/>
      <c r="V52" s="1160"/>
      <c r="W52" s="1160"/>
      <c r="X52" s="1160"/>
      <c r="Y52" s="1160"/>
      <c r="Z52" s="1160"/>
      <c r="AA52" s="1160"/>
      <c r="AB52" s="1160"/>
      <c r="AC52" s="1160"/>
      <c r="AD52" s="1160"/>
      <c r="AE52" s="1160"/>
      <c r="AF52" s="1160"/>
      <c r="AG52" s="1160"/>
      <c r="AH52" s="1160"/>
      <c r="AI52" s="1160"/>
      <c r="AJ52" s="1160"/>
      <c r="AK52" s="1160"/>
      <c r="AL52" s="1160"/>
    </row>
    <row r="53" spans="3:38">
      <c r="C53" s="1189" t="s">
        <v>2114</v>
      </c>
      <c r="D53" s="1189"/>
      <c r="E53" s="1189"/>
      <c r="F53" s="1189"/>
      <c r="G53" s="1189"/>
      <c r="H53" s="1189"/>
      <c r="I53" s="1189"/>
      <c r="J53" s="1189"/>
      <c r="K53" s="1189"/>
      <c r="L53" s="1189"/>
      <c r="M53" s="1189"/>
      <c r="N53" s="1189"/>
      <c r="O53" s="1189"/>
      <c r="P53" s="1189"/>
      <c r="Q53" s="1189"/>
      <c r="R53" s="1189"/>
      <c r="S53" s="1189"/>
      <c r="T53" s="1189"/>
      <c r="U53" s="1189"/>
      <c r="V53" s="1189"/>
      <c r="W53" s="1189"/>
      <c r="X53" s="1160"/>
      <c r="Y53" s="1160"/>
      <c r="Z53" s="1160"/>
      <c r="AA53" s="1160"/>
      <c r="AB53" s="1160"/>
      <c r="AC53" s="1160"/>
      <c r="AD53" s="1160"/>
      <c r="AE53" s="1160"/>
      <c r="AF53" s="1160"/>
      <c r="AG53" s="1160"/>
      <c r="AH53" s="1160"/>
      <c r="AI53" s="1160"/>
      <c r="AJ53" s="1160"/>
      <c r="AK53" s="1160"/>
      <c r="AL53" s="1160"/>
    </row>
    <row r="54" spans="3:38" ht="36">
      <c r="C54" s="1190" t="s">
        <v>1861</v>
      </c>
      <c r="D54" s="1191" t="s">
        <v>93</v>
      </c>
      <c r="E54" s="1191" t="s">
        <v>94</v>
      </c>
      <c r="F54" s="1191" t="s">
        <v>1765</v>
      </c>
      <c r="G54" s="1191" t="s">
        <v>1766</v>
      </c>
      <c r="H54" s="1191" t="s">
        <v>1767</v>
      </c>
      <c r="I54" s="1857" t="s">
        <v>2112</v>
      </c>
      <c r="J54" s="1857"/>
      <c r="K54" s="1857"/>
      <c r="L54" s="1857"/>
      <c r="M54" s="1857"/>
      <c r="N54" s="1857"/>
      <c r="O54" s="1858"/>
      <c r="P54" s="1859" t="s">
        <v>2113</v>
      </c>
      <c r="Q54" s="1857"/>
      <c r="R54" s="1857"/>
      <c r="S54" s="1857"/>
      <c r="T54" s="1857"/>
      <c r="U54" s="1857"/>
      <c r="V54" s="1857"/>
      <c r="W54" s="1193"/>
      <c r="X54" s="1160"/>
      <c r="Y54" s="1160"/>
      <c r="Z54" s="1160"/>
      <c r="AA54" s="1160"/>
      <c r="AB54" s="1160"/>
      <c r="AC54" s="1160"/>
      <c r="AD54" s="1160"/>
      <c r="AE54" s="1160"/>
      <c r="AF54" s="1160"/>
      <c r="AG54" s="1160"/>
      <c r="AH54" s="1160"/>
      <c r="AI54" s="1160"/>
      <c r="AJ54" s="1160"/>
      <c r="AK54" s="1160"/>
      <c r="AL54" s="1160"/>
    </row>
    <row r="55" spans="3:38">
      <c r="C55" s="1169"/>
      <c r="D55" s="1170"/>
      <c r="E55" s="1170"/>
      <c r="F55" s="1170"/>
      <c r="G55" s="1170"/>
      <c r="H55" s="1170"/>
      <c r="I55" s="1171" t="s">
        <v>141</v>
      </c>
      <c r="J55" s="1171" t="s">
        <v>1786</v>
      </c>
      <c r="K55" s="1171" t="s">
        <v>1450</v>
      </c>
      <c r="L55" s="1171" t="s">
        <v>1417</v>
      </c>
      <c r="M55" s="1171" t="s">
        <v>131</v>
      </c>
      <c r="N55" s="1171" t="s">
        <v>1787</v>
      </c>
      <c r="O55" s="1172" t="s">
        <v>1788</v>
      </c>
      <c r="P55" s="1171" t="s">
        <v>141</v>
      </c>
      <c r="Q55" s="1171" t="s">
        <v>1786</v>
      </c>
      <c r="R55" s="1171" t="s">
        <v>1450</v>
      </c>
      <c r="S55" s="1171" t="s">
        <v>1417</v>
      </c>
      <c r="T55" s="1171" t="s">
        <v>131</v>
      </c>
      <c r="U55" s="1171" t="s">
        <v>1787</v>
      </c>
      <c r="V55" s="1171" t="s">
        <v>1788</v>
      </c>
      <c r="W55" s="1173"/>
      <c r="X55" s="1160"/>
      <c r="Y55" s="1160"/>
      <c r="Z55" s="1160"/>
      <c r="AA55" s="1160"/>
      <c r="AB55" s="1160"/>
      <c r="AC55" s="1160"/>
      <c r="AD55" s="1160"/>
      <c r="AE55" s="1160"/>
      <c r="AF55" s="1160"/>
      <c r="AG55" s="1160"/>
      <c r="AH55" s="1160"/>
      <c r="AI55" s="1160"/>
      <c r="AJ55" s="1160"/>
      <c r="AK55" s="1160"/>
      <c r="AL55" s="1160"/>
    </row>
    <row r="56" spans="3:38">
      <c r="C56" s="1163">
        <v>1</v>
      </c>
      <c r="D56" s="1164"/>
      <c r="E56" s="1164" t="s">
        <v>1890</v>
      </c>
      <c r="F56" s="1164"/>
      <c r="G56" s="1164"/>
      <c r="H56" s="1164"/>
      <c r="I56" s="1164"/>
      <c r="J56" s="1164"/>
      <c r="K56" s="1164"/>
      <c r="L56" s="1164"/>
      <c r="M56" s="1164"/>
      <c r="N56" s="1164"/>
      <c r="O56" s="1165"/>
      <c r="P56" s="1164"/>
      <c r="Q56" s="1164"/>
      <c r="R56" s="1164"/>
      <c r="S56" s="1164"/>
      <c r="T56" s="1164"/>
      <c r="U56" s="1164"/>
      <c r="V56" s="1164"/>
      <c r="W56" s="1165"/>
      <c r="X56" s="1160"/>
      <c r="Y56" s="1160"/>
      <c r="Z56" s="1160"/>
      <c r="AA56" s="1160"/>
      <c r="AB56" s="1160"/>
      <c r="AC56" s="1160"/>
      <c r="AD56" s="1160"/>
      <c r="AE56" s="1160"/>
      <c r="AF56" s="1160"/>
      <c r="AG56" s="1160"/>
      <c r="AH56" s="1160"/>
      <c r="AI56" s="1160"/>
      <c r="AJ56" s="1160"/>
      <c r="AK56" s="1160"/>
      <c r="AL56" s="1160"/>
    </row>
    <row r="57" spans="3:38">
      <c r="C57" s="1163">
        <f>C56+1</f>
        <v>2</v>
      </c>
      <c r="D57" s="1164"/>
      <c r="E57" s="1164" t="s">
        <v>1891</v>
      </c>
      <c r="F57" s="1164"/>
      <c r="G57" s="1164"/>
      <c r="H57" s="1164"/>
      <c r="I57" s="1164"/>
      <c r="J57" s="1164"/>
      <c r="K57" s="1164"/>
      <c r="L57" s="1164"/>
      <c r="M57" s="1164"/>
      <c r="N57" s="1164"/>
      <c r="O57" s="1165"/>
      <c r="P57" s="1164"/>
      <c r="Q57" s="1164"/>
      <c r="R57" s="1164"/>
      <c r="S57" s="1164"/>
      <c r="T57" s="1164"/>
      <c r="U57" s="1164"/>
      <c r="V57" s="1164"/>
      <c r="W57" s="1165"/>
      <c r="X57" s="1160"/>
      <c r="Y57" s="1160"/>
      <c r="Z57" s="1160"/>
      <c r="AA57" s="1160"/>
      <c r="AB57" s="1160"/>
      <c r="AC57" s="1160"/>
      <c r="AD57" s="1160"/>
      <c r="AE57" s="1160"/>
      <c r="AF57" s="1160"/>
      <c r="AG57" s="1160"/>
      <c r="AH57" s="1160"/>
      <c r="AI57" s="1160"/>
      <c r="AJ57" s="1160"/>
      <c r="AK57" s="1160"/>
      <c r="AL57" s="1160"/>
    </row>
    <row r="58" spans="3:38">
      <c r="C58" s="1163">
        <f t="shared" ref="C58:C85" si="1">C57+1</f>
        <v>3</v>
      </c>
      <c r="D58" s="1164"/>
      <c r="E58" s="1164" t="s">
        <v>1892</v>
      </c>
      <c r="F58" s="1164"/>
      <c r="G58" s="1164"/>
      <c r="H58" s="1164"/>
      <c r="I58" s="1164"/>
      <c r="J58" s="1164"/>
      <c r="K58" s="1164"/>
      <c r="L58" s="1164"/>
      <c r="M58" s="1164"/>
      <c r="N58" s="1164"/>
      <c r="O58" s="1165"/>
      <c r="P58" s="1164"/>
      <c r="Q58" s="1164"/>
      <c r="R58" s="1164"/>
      <c r="S58" s="1164"/>
      <c r="T58" s="1164"/>
      <c r="U58" s="1164"/>
      <c r="V58" s="1164"/>
      <c r="W58" s="1165"/>
      <c r="X58" s="1160"/>
      <c r="Y58" s="1160"/>
      <c r="Z58" s="1160"/>
      <c r="AA58" s="1160"/>
      <c r="AB58" s="1160"/>
      <c r="AC58" s="1160"/>
      <c r="AD58" s="1160"/>
      <c r="AE58" s="1160"/>
      <c r="AF58" s="1160"/>
      <c r="AG58" s="1160"/>
      <c r="AH58" s="1160"/>
      <c r="AI58" s="1160"/>
      <c r="AJ58" s="1160"/>
      <c r="AK58" s="1160"/>
      <c r="AL58" s="1160"/>
    </row>
    <row r="59" spans="3:38">
      <c r="C59" s="1163">
        <f t="shared" si="1"/>
        <v>4</v>
      </c>
      <c r="D59" s="1164"/>
      <c r="E59" s="1164" t="s">
        <v>1893</v>
      </c>
      <c r="F59" s="1164"/>
      <c r="G59" s="1164"/>
      <c r="H59" s="1164"/>
      <c r="I59" s="1164"/>
      <c r="J59" s="1164"/>
      <c r="K59" s="1164"/>
      <c r="L59" s="1164"/>
      <c r="M59" s="1164"/>
      <c r="N59" s="1164"/>
      <c r="O59" s="1165"/>
      <c r="P59" s="1164"/>
      <c r="Q59" s="1164"/>
      <c r="R59" s="1164"/>
      <c r="S59" s="1164"/>
      <c r="T59" s="1164"/>
      <c r="U59" s="1164"/>
      <c r="V59" s="1164"/>
      <c r="W59" s="1165"/>
      <c r="X59" s="1160"/>
      <c r="Y59" s="1160"/>
      <c r="Z59" s="1160"/>
      <c r="AA59" s="1160"/>
      <c r="AB59" s="1160"/>
      <c r="AC59" s="1160"/>
      <c r="AD59" s="1160"/>
      <c r="AE59" s="1160"/>
      <c r="AF59" s="1160"/>
      <c r="AG59" s="1160"/>
      <c r="AH59" s="1160"/>
      <c r="AI59" s="1160"/>
      <c r="AJ59" s="1160"/>
      <c r="AK59" s="1160"/>
      <c r="AL59" s="1160"/>
    </row>
    <row r="60" spans="3:38">
      <c r="C60" s="1163">
        <f t="shared" si="1"/>
        <v>5</v>
      </c>
      <c r="D60" s="1164"/>
      <c r="E60" s="1164" t="s">
        <v>1894</v>
      </c>
      <c r="F60" s="1164"/>
      <c r="G60" s="1164"/>
      <c r="H60" s="1164"/>
      <c r="I60" s="1164"/>
      <c r="J60" s="1164"/>
      <c r="K60" s="1164"/>
      <c r="L60" s="1164"/>
      <c r="M60" s="1164"/>
      <c r="N60" s="1164"/>
      <c r="O60" s="1165"/>
      <c r="P60" s="1164"/>
      <c r="Q60" s="1164"/>
      <c r="R60" s="1164"/>
      <c r="S60" s="1164"/>
      <c r="T60" s="1164"/>
      <c r="U60" s="1164"/>
      <c r="V60" s="1164"/>
      <c r="W60" s="1165"/>
      <c r="X60" s="1160"/>
      <c r="Y60" s="1160"/>
      <c r="Z60" s="1160"/>
      <c r="AA60" s="1160"/>
      <c r="AB60" s="1160"/>
      <c r="AC60" s="1160"/>
      <c r="AD60" s="1160"/>
      <c r="AE60" s="1160"/>
      <c r="AF60" s="1160"/>
      <c r="AG60" s="1160"/>
      <c r="AH60" s="1160"/>
      <c r="AI60" s="1160"/>
      <c r="AJ60" s="1160"/>
      <c r="AK60" s="1160"/>
      <c r="AL60" s="1160"/>
    </row>
    <row r="61" spans="3:38">
      <c r="C61" s="1163">
        <f t="shared" si="1"/>
        <v>6</v>
      </c>
      <c r="D61" s="1164"/>
      <c r="E61" s="1164" t="s">
        <v>1895</v>
      </c>
      <c r="F61" s="1164"/>
      <c r="G61" s="1164"/>
      <c r="H61" s="1164"/>
      <c r="I61" s="1164"/>
      <c r="J61" s="1164"/>
      <c r="K61" s="1164"/>
      <c r="L61" s="1164"/>
      <c r="M61" s="1164"/>
      <c r="N61" s="1164"/>
      <c r="O61" s="1165"/>
      <c r="P61" s="1164"/>
      <c r="Q61" s="1164"/>
      <c r="R61" s="1164"/>
      <c r="S61" s="1164"/>
      <c r="T61" s="1164"/>
      <c r="U61" s="1164"/>
      <c r="V61" s="1164"/>
      <c r="W61" s="1165"/>
      <c r="X61" s="1160"/>
      <c r="Y61" s="1160"/>
      <c r="Z61" s="1160"/>
      <c r="AA61" s="1160"/>
      <c r="AB61" s="1160"/>
      <c r="AC61" s="1160"/>
      <c r="AD61" s="1160"/>
      <c r="AE61" s="1160"/>
      <c r="AF61" s="1160"/>
      <c r="AG61" s="1160"/>
      <c r="AH61" s="1160"/>
      <c r="AI61" s="1160"/>
      <c r="AJ61" s="1160"/>
      <c r="AK61" s="1160"/>
      <c r="AL61" s="1160"/>
    </row>
    <row r="62" spans="3:38">
      <c r="C62" s="1163">
        <f t="shared" si="1"/>
        <v>7</v>
      </c>
      <c r="D62" s="1164"/>
      <c r="E62" s="1164" t="s">
        <v>1896</v>
      </c>
      <c r="F62" s="1164"/>
      <c r="G62" s="1164"/>
      <c r="H62" s="1164"/>
      <c r="I62" s="1164"/>
      <c r="J62" s="1164"/>
      <c r="K62" s="1164"/>
      <c r="L62" s="1164"/>
      <c r="M62" s="1164"/>
      <c r="N62" s="1164"/>
      <c r="O62" s="1165"/>
      <c r="P62" s="1164"/>
      <c r="Q62" s="1164"/>
      <c r="R62" s="1164"/>
      <c r="S62" s="1164"/>
      <c r="T62" s="1164"/>
      <c r="U62" s="1164"/>
      <c r="V62" s="1164"/>
      <c r="W62" s="1165"/>
      <c r="X62" s="1160"/>
      <c r="Y62" s="1160"/>
      <c r="Z62" s="1160"/>
      <c r="AA62" s="1160"/>
      <c r="AB62" s="1160"/>
      <c r="AC62" s="1160"/>
      <c r="AD62" s="1160"/>
      <c r="AE62" s="1160"/>
      <c r="AF62" s="1160"/>
      <c r="AG62" s="1160"/>
      <c r="AH62" s="1160"/>
      <c r="AI62" s="1160"/>
      <c r="AJ62" s="1160"/>
      <c r="AK62" s="1160"/>
      <c r="AL62" s="1160"/>
    </row>
    <row r="63" spans="3:38">
      <c r="C63" s="1163">
        <f t="shared" si="1"/>
        <v>8</v>
      </c>
      <c r="D63" s="1164"/>
      <c r="E63" s="1164" t="s">
        <v>1897</v>
      </c>
      <c r="F63" s="1164"/>
      <c r="G63" s="1164"/>
      <c r="H63" s="1164"/>
      <c r="I63" s="1164"/>
      <c r="J63" s="1164"/>
      <c r="K63" s="1164"/>
      <c r="L63" s="1164"/>
      <c r="M63" s="1164"/>
      <c r="N63" s="1164"/>
      <c r="O63" s="1165"/>
      <c r="P63" s="1164"/>
      <c r="Q63" s="1164"/>
      <c r="R63" s="1164"/>
      <c r="S63" s="1164"/>
      <c r="T63" s="1164"/>
      <c r="U63" s="1164"/>
      <c r="V63" s="1164"/>
      <c r="W63" s="1165"/>
      <c r="X63" s="1160"/>
      <c r="Y63" s="1160"/>
      <c r="Z63" s="1160"/>
      <c r="AA63" s="1160"/>
      <c r="AB63" s="1160"/>
      <c r="AC63" s="1160"/>
      <c r="AD63" s="1160"/>
      <c r="AE63" s="1160"/>
      <c r="AF63" s="1160"/>
      <c r="AG63" s="1160"/>
      <c r="AH63" s="1160"/>
      <c r="AI63" s="1160"/>
      <c r="AJ63" s="1160"/>
      <c r="AK63" s="1160"/>
      <c r="AL63" s="1160"/>
    </row>
    <row r="64" spans="3:38">
      <c r="C64" s="1163">
        <f t="shared" si="1"/>
        <v>9</v>
      </c>
      <c r="D64" s="1164"/>
      <c r="E64" s="1164" t="s">
        <v>1898</v>
      </c>
      <c r="F64" s="1164"/>
      <c r="G64" s="1164"/>
      <c r="H64" s="1164"/>
      <c r="I64" s="1164"/>
      <c r="J64" s="1164"/>
      <c r="K64" s="1164"/>
      <c r="L64" s="1164"/>
      <c r="M64" s="1164"/>
      <c r="N64" s="1164"/>
      <c r="O64" s="1165"/>
      <c r="P64" s="1164"/>
      <c r="Q64" s="1164"/>
      <c r="R64" s="1164"/>
      <c r="S64" s="1164"/>
      <c r="T64" s="1164"/>
      <c r="U64" s="1164"/>
      <c r="V64" s="1164"/>
      <c r="W64" s="1165"/>
      <c r="X64" s="1160"/>
      <c r="Y64" s="1160"/>
      <c r="Z64" s="1160"/>
      <c r="AA64" s="1160"/>
      <c r="AB64" s="1160"/>
      <c r="AC64" s="1160"/>
      <c r="AD64" s="1160"/>
      <c r="AE64" s="1160"/>
      <c r="AF64" s="1160"/>
      <c r="AG64" s="1160"/>
      <c r="AH64" s="1160"/>
      <c r="AI64" s="1160"/>
      <c r="AJ64" s="1160"/>
      <c r="AK64" s="1160"/>
      <c r="AL64" s="1160"/>
    </row>
    <row r="65" spans="3:38">
      <c r="C65" s="1163">
        <f t="shared" si="1"/>
        <v>10</v>
      </c>
      <c r="D65" s="1164"/>
      <c r="E65" s="1164" t="s">
        <v>1899</v>
      </c>
      <c r="F65" s="1164"/>
      <c r="G65" s="1164"/>
      <c r="H65" s="1164"/>
      <c r="I65" s="1164"/>
      <c r="J65" s="1164"/>
      <c r="K65" s="1164"/>
      <c r="L65" s="1164"/>
      <c r="M65" s="1164"/>
      <c r="N65" s="1164"/>
      <c r="O65" s="1165"/>
      <c r="P65" s="1164"/>
      <c r="Q65" s="1164"/>
      <c r="R65" s="1164"/>
      <c r="S65" s="1164"/>
      <c r="T65" s="1164"/>
      <c r="U65" s="1164"/>
      <c r="V65" s="1164"/>
      <c r="W65" s="1165"/>
      <c r="X65" s="1160"/>
      <c r="Y65" s="1160"/>
      <c r="Z65" s="1160"/>
      <c r="AA65" s="1160"/>
      <c r="AB65" s="1160"/>
      <c r="AC65" s="1160"/>
      <c r="AD65" s="1160"/>
      <c r="AE65" s="1160"/>
      <c r="AF65" s="1160"/>
      <c r="AG65" s="1160"/>
      <c r="AH65" s="1160"/>
      <c r="AI65" s="1160"/>
      <c r="AJ65" s="1160"/>
      <c r="AK65" s="1160"/>
      <c r="AL65" s="1160"/>
    </row>
    <row r="66" spans="3:38">
      <c r="C66" s="1163">
        <f t="shared" si="1"/>
        <v>11</v>
      </c>
      <c r="D66" s="1164"/>
      <c r="E66" s="1164" t="s">
        <v>2092</v>
      </c>
      <c r="F66" s="1164"/>
      <c r="G66" s="1164"/>
      <c r="H66" s="1164"/>
      <c r="I66" s="1164"/>
      <c r="J66" s="1164"/>
      <c r="K66" s="1164"/>
      <c r="L66" s="1164"/>
      <c r="M66" s="1164"/>
      <c r="N66" s="1164"/>
      <c r="O66" s="1165"/>
      <c r="P66" s="1164"/>
      <c r="Q66" s="1164"/>
      <c r="R66" s="1164"/>
      <c r="S66" s="1164"/>
      <c r="T66" s="1164"/>
      <c r="U66" s="1164"/>
      <c r="V66" s="1164"/>
      <c r="W66" s="1165"/>
      <c r="X66" s="1160"/>
      <c r="Y66" s="1160"/>
      <c r="Z66" s="1160"/>
      <c r="AA66" s="1160"/>
      <c r="AB66" s="1160"/>
      <c r="AC66" s="1160"/>
      <c r="AD66" s="1160"/>
      <c r="AE66" s="1160"/>
      <c r="AF66" s="1160"/>
      <c r="AG66" s="1160"/>
      <c r="AH66" s="1160"/>
      <c r="AI66" s="1160"/>
      <c r="AJ66" s="1160"/>
      <c r="AK66" s="1160"/>
      <c r="AL66" s="1160"/>
    </row>
    <row r="67" spans="3:38">
      <c r="C67" s="1163">
        <f t="shared" si="1"/>
        <v>12</v>
      </c>
      <c r="D67" s="1164"/>
      <c r="E67" s="1164" t="s">
        <v>2093</v>
      </c>
      <c r="F67" s="1164"/>
      <c r="G67" s="1164"/>
      <c r="H67" s="1164"/>
      <c r="I67" s="1164"/>
      <c r="J67" s="1164"/>
      <c r="K67" s="1164"/>
      <c r="L67" s="1164"/>
      <c r="M67" s="1164"/>
      <c r="N67" s="1164"/>
      <c r="O67" s="1165"/>
      <c r="P67" s="1164"/>
      <c r="Q67" s="1164"/>
      <c r="R67" s="1164"/>
      <c r="S67" s="1164"/>
      <c r="T67" s="1164"/>
      <c r="U67" s="1164"/>
      <c r="V67" s="1164"/>
      <c r="W67" s="1165"/>
      <c r="X67" s="1160"/>
      <c r="Y67" s="1160"/>
      <c r="Z67" s="1160"/>
      <c r="AA67" s="1160"/>
      <c r="AB67" s="1160"/>
      <c r="AC67" s="1160"/>
      <c r="AD67" s="1160"/>
      <c r="AE67" s="1160"/>
      <c r="AF67" s="1160"/>
      <c r="AG67" s="1160"/>
      <c r="AH67" s="1160"/>
      <c r="AI67" s="1160"/>
      <c r="AJ67" s="1160"/>
      <c r="AK67" s="1160"/>
      <c r="AL67" s="1160"/>
    </row>
    <row r="68" spans="3:38">
      <c r="C68" s="1163">
        <f t="shared" si="1"/>
        <v>13</v>
      </c>
      <c r="D68" s="1164"/>
      <c r="E68" s="1164" t="s">
        <v>2094</v>
      </c>
      <c r="F68" s="1164"/>
      <c r="G68" s="1164"/>
      <c r="H68" s="1164"/>
      <c r="I68" s="1164"/>
      <c r="J68" s="1164"/>
      <c r="K68" s="1164"/>
      <c r="L68" s="1164"/>
      <c r="M68" s="1164"/>
      <c r="N68" s="1164"/>
      <c r="O68" s="1165"/>
      <c r="P68" s="1164"/>
      <c r="Q68" s="1164"/>
      <c r="R68" s="1164"/>
      <c r="S68" s="1164"/>
      <c r="T68" s="1164"/>
      <c r="U68" s="1164"/>
      <c r="V68" s="1164"/>
      <c r="W68" s="1165"/>
      <c r="X68" s="1160"/>
      <c r="Y68" s="1160"/>
      <c r="Z68" s="1160"/>
      <c r="AA68" s="1160"/>
      <c r="AB68" s="1160"/>
      <c r="AC68" s="1160"/>
      <c r="AD68" s="1160"/>
      <c r="AE68" s="1160"/>
      <c r="AF68" s="1160"/>
      <c r="AG68" s="1160"/>
      <c r="AH68" s="1160"/>
      <c r="AI68" s="1160"/>
      <c r="AJ68" s="1160"/>
      <c r="AK68" s="1160"/>
      <c r="AL68" s="1160"/>
    </row>
    <row r="69" spans="3:38">
      <c r="C69" s="1163">
        <f t="shared" si="1"/>
        <v>14</v>
      </c>
      <c r="D69" s="1164"/>
      <c r="E69" s="1164" t="s">
        <v>2095</v>
      </c>
      <c r="F69" s="1164"/>
      <c r="G69" s="1164"/>
      <c r="H69" s="1164"/>
      <c r="I69" s="1164"/>
      <c r="J69" s="1164"/>
      <c r="K69" s="1164"/>
      <c r="L69" s="1164"/>
      <c r="M69" s="1164"/>
      <c r="N69" s="1164"/>
      <c r="O69" s="1165"/>
      <c r="P69" s="1164"/>
      <c r="Q69" s="1164"/>
      <c r="R69" s="1164"/>
      <c r="S69" s="1164"/>
      <c r="T69" s="1164"/>
      <c r="U69" s="1164"/>
      <c r="V69" s="1164"/>
      <c r="W69" s="1165"/>
      <c r="X69" s="1160"/>
      <c r="Y69" s="1160"/>
      <c r="Z69" s="1160"/>
      <c r="AA69" s="1160"/>
      <c r="AB69" s="1160"/>
      <c r="AC69" s="1160"/>
      <c r="AD69" s="1160"/>
      <c r="AE69" s="1160"/>
      <c r="AF69" s="1160"/>
      <c r="AG69" s="1160"/>
      <c r="AH69" s="1160"/>
      <c r="AI69" s="1160"/>
      <c r="AJ69" s="1160"/>
      <c r="AK69" s="1160"/>
      <c r="AL69" s="1160"/>
    </row>
    <row r="70" spans="3:38">
      <c r="C70" s="1163">
        <f t="shared" si="1"/>
        <v>15</v>
      </c>
      <c r="D70" s="1164"/>
      <c r="E70" s="1164" t="s">
        <v>2096</v>
      </c>
      <c r="F70" s="1164"/>
      <c r="G70" s="1164"/>
      <c r="H70" s="1164"/>
      <c r="I70" s="1164"/>
      <c r="J70" s="1164"/>
      <c r="K70" s="1164"/>
      <c r="L70" s="1164"/>
      <c r="M70" s="1164"/>
      <c r="N70" s="1164"/>
      <c r="O70" s="1165"/>
      <c r="P70" s="1164"/>
      <c r="Q70" s="1164"/>
      <c r="R70" s="1164"/>
      <c r="S70" s="1164"/>
      <c r="T70" s="1164"/>
      <c r="U70" s="1164"/>
      <c r="V70" s="1164"/>
      <c r="W70" s="1165"/>
      <c r="X70" s="1160"/>
      <c r="Y70" s="1160"/>
      <c r="Z70" s="1160"/>
      <c r="AA70" s="1160"/>
      <c r="AB70" s="1160"/>
      <c r="AC70" s="1160"/>
      <c r="AD70" s="1160"/>
      <c r="AE70" s="1160"/>
      <c r="AF70" s="1160"/>
      <c r="AG70" s="1160"/>
      <c r="AH70" s="1160"/>
      <c r="AI70" s="1160"/>
      <c r="AJ70" s="1160"/>
      <c r="AK70" s="1160"/>
      <c r="AL70" s="1160"/>
    </row>
    <row r="71" spans="3:38">
      <c r="C71" s="1163">
        <f t="shared" si="1"/>
        <v>16</v>
      </c>
      <c r="D71" s="1164"/>
      <c r="E71" s="1164" t="s">
        <v>2097</v>
      </c>
      <c r="F71" s="1164"/>
      <c r="G71" s="1164"/>
      <c r="H71" s="1164"/>
      <c r="I71" s="1164"/>
      <c r="J71" s="1164"/>
      <c r="K71" s="1164"/>
      <c r="L71" s="1164"/>
      <c r="M71" s="1164"/>
      <c r="N71" s="1164"/>
      <c r="O71" s="1165"/>
      <c r="P71" s="1164"/>
      <c r="Q71" s="1164"/>
      <c r="R71" s="1164"/>
      <c r="S71" s="1164"/>
      <c r="T71" s="1164"/>
      <c r="U71" s="1164"/>
      <c r="V71" s="1164"/>
      <c r="W71" s="1165"/>
      <c r="X71" s="1160"/>
      <c r="Y71" s="1160"/>
      <c r="Z71" s="1160"/>
      <c r="AA71" s="1160"/>
      <c r="AB71" s="1160"/>
      <c r="AC71" s="1160"/>
      <c r="AD71" s="1160"/>
      <c r="AE71" s="1160"/>
      <c r="AF71" s="1160"/>
      <c r="AG71" s="1160"/>
      <c r="AH71" s="1160"/>
      <c r="AI71" s="1160"/>
      <c r="AJ71" s="1160"/>
      <c r="AK71" s="1160"/>
      <c r="AL71" s="1160"/>
    </row>
    <row r="72" spans="3:38">
      <c r="C72" s="1163">
        <f t="shared" si="1"/>
        <v>17</v>
      </c>
      <c r="D72" s="1164"/>
      <c r="E72" s="1164" t="s">
        <v>2098</v>
      </c>
      <c r="F72" s="1164"/>
      <c r="G72" s="1164"/>
      <c r="H72" s="1164"/>
      <c r="I72" s="1164"/>
      <c r="J72" s="1164"/>
      <c r="K72" s="1164"/>
      <c r="L72" s="1164"/>
      <c r="M72" s="1164"/>
      <c r="N72" s="1164"/>
      <c r="O72" s="1165"/>
      <c r="P72" s="1164"/>
      <c r="Q72" s="1164"/>
      <c r="R72" s="1164"/>
      <c r="S72" s="1164"/>
      <c r="T72" s="1164"/>
      <c r="U72" s="1164"/>
      <c r="V72" s="1164"/>
      <c r="W72" s="1165"/>
      <c r="X72" s="1160"/>
      <c r="Y72" s="1160"/>
      <c r="Z72" s="1160"/>
      <c r="AA72" s="1160"/>
      <c r="AB72" s="1160"/>
      <c r="AC72" s="1160"/>
      <c r="AD72" s="1160"/>
      <c r="AE72" s="1160"/>
      <c r="AF72" s="1160"/>
      <c r="AG72" s="1160"/>
      <c r="AH72" s="1160"/>
      <c r="AI72" s="1160"/>
      <c r="AJ72" s="1160"/>
      <c r="AK72" s="1160"/>
      <c r="AL72" s="1160"/>
    </row>
    <row r="73" spans="3:38">
      <c r="C73" s="1163">
        <f t="shared" si="1"/>
        <v>18</v>
      </c>
      <c r="D73" s="1164"/>
      <c r="E73" s="1164" t="s">
        <v>2099</v>
      </c>
      <c r="F73" s="1164"/>
      <c r="G73" s="1164"/>
      <c r="H73" s="1164"/>
      <c r="I73" s="1164"/>
      <c r="J73" s="1164"/>
      <c r="K73" s="1164"/>
      <c r="L73" s="1164"/>
      <c r="M73" s="1164"/>
      <c r="N73" s="1164"/>
      <c r="O73" s="1165"/>
      <c r="P73" s="1164"/>
      <c r="Q73" s="1164"/>
      <c r="R73" s="1164"/>
      <c r="S73" s="1164"/>
      <c r="T73" s="1164"/>
      <c r="U73" s="1164"/>
      <c r="V73" s="1164"/>
      <c r="W73" s="1165"/>
      <c r="X73" s="1160"/>
      <c r="Y73" s="1160"/>
      <c r="Z73" s="1160"/>
      <c r="AA73" s="1160"/>
      <c r="AB73" s="1160"/>
      <c r="AC73" s="1160"/>
      <c r="AD73" s="1160"/>
      <c r="AE73" s="1160"/>
      <c r="AF73" s="1160"/>
      <c r="AG73" s="1160"/>
      <c r="AH73" s="1160"/>
      <c r="AI73" s="1160"/>
      <c r="AJ73" s="1160"/>
      <c r="AK73" s="1160"/>
      <c r="AL73" s="1160"/>
    </row>
    <row r="74" spans="3:38">
      <c r="C74" s="1163">
        <f t="shared" si="1"/>
        <v>19</v>
      </c>
      <c r="D74" s="1164"/>
      <c r="E74" s="1164" t="s">
        <v>2100</v>
      </c>
      <c r="F74" s="1164"/>
      <c r="G74" s="1164"/>
      <c r="H74" s="1164"/>
      <c r="I74" s="1164"/>
      <c r="J74" s="1164"/>
      <c r="K74" s="1164"/>
      <c r="L74" s="1164"/>
      <c r="M74" s="1164"/>
      <c r="N74" s="1164"/>
      <c r="O74" s="1165"/>
      <c r="P74" s="1164"/>
      <c r="Q74" s="1164"/>
      <c r="R74" s="1164"/>
      <c r="S74" s="1164"/>
      <c r="T74" s="1164"/>
      <c r="U74" s="1164"/>
      <c r="V74" s="1164"/>
      <c r="W74" s="1165"/>
      <c r="X74" s="1160"/>
      <c r="Y74" s="1160"/>
      <c r="Z74" s="1160"/>
      <c r="AA74" s="1160"/>
      <c r="AB74" s="1160"/>
      <c r="AC74" s="1160"/>
      <c r="AD74" s="1160"/>
      <c r="AE74" s="1160"/>
      <c r="AF74" s="1160"/>
      <c r="AG74" s="1160"/>
      <c r="AH74" s="1160"/>
      <c r="AI74" s="1160"/>
      <c r="AJ74" s="1160"/>
      <c r="AK74" s="1160"/>
      <c r="AL74" s="1160"/>
    </row>
    <row r="75" spans="3:38">
      <c r="C75" s="1163">
        <f t="shared" si="1"/>
        <v>20</v>
      </c>
      <c r="D75" s="1164"/>
      <c r="E75" s="1164" t="s">
        <v>2101</v>
      </c>
      <c r="F75" s="1164"/>
      <c r="G75" s="1164"/>
      <c r="H75" s="1164"/>
      <c r="I75" s="1164"/>
      <c r="J75" s="1164"/>
      <c r="K75" s="1164"/>
      <c r="L75" s="1164"/>
      <c r="M75" s="1164"/>
      <c r="N75" s="1164"/>
      <c r="O75" s="1165"/>
      <c r="P75" s="1164"/>
      <c r="Q75" s="1164"/>
      <c r="R75" s="1164"/>
      <c r="S75" s="1164"/>
      <c r="T75" s="1164"/>
      <c r="U75" s="1164"/>
      <c r="V75" s="1164"/>
      <c r="W75" s="1165"/>
      <c r="X75" s="1160"/>
      <c r="Y75" s="1160"/>
      <c r="Z75" s="1160"/>
      <c r="AA75" s="1160"/>
      <c r="AB75" s="1160"/>
      <c r="AC75" s="1160"/>
      <c r="AD75" s="1160"/>
      <c r="AE75" s="1160"/>
      <c r="AF75" s="1160"/>
      <c r="AG75" s="1160"/>
      <c r="AH75" s="1160"/>
      <c r="AI75" s="1160"/>
      <c r="AJ75" s="1160"/>
      <c r="AK75" s="1160"/>
      <c r="AL75" s="1160"/>
    </row>
    <row r="76" spans="3:38">
      <c r="C76" s="1163">
        <f t="shared" si="1"/>
        <v>21</v>
      </c>
      <c r="D76" s="1164"/>
      <c r="E76" s="1164" t="s">
        <v>2102</v>
      </c>
      <c r="F76" s="1164"/>
      <c r="G76" s="1164"/>
      <c r="H76" s="1164"/>
      <c r="I76" s="1164"/>
      <c r="J76" s="1164"/>
      <c r="K76" s="1164"/>
      <c r="L76" s="1164"/>
      <c r="M76" s="1164"/>
      <c r="N76" s="1164"/>
      <c r="O76" s="1165"/>
      <c r="P76" s="1164"/>
      <c r="Q76" s="1164"/>
      <c r="R76" s="1164"/>
      <c r="S76" s="1164"/>
      <c r="T76" s="1164"/>
      <c r="U76" s="1164"/>
      <c r="V76" s="1164"/>
      <c r="W76" s="1165"/>
      <c r="X76" s="1160"/>
      <c r="Y76" s="1160"/>
      <c r="Z76" s="1160"/>
      <c r="AA76" s="1160"/>
      <c r="AB76" s="1160"/>
      <c r="AC76" s="1160"/>
      <c r="AD76" s="1160"/>
      <c r="AE76" s="1160"/>
      <c r="AF76" s="1160"/>
      <c r="AG76" s="1160"/>
      <c r="AH76" s="1160"/>
      <c r="AI76" s="1160"/>
      <c r="AJ76" s="1160"/>
      <c r="AK76" s="1160"/>
      <c r="AL76" s="1160"/>
    </row>
    <row r="77" spans="3:38">
      <c r="C77" s="1163">
        <f t="shared" si="1"/>
        <v>22</v>
      </c>
      <c r="D77" s="1164"/>
      <c r="E77" s="1164" t="s">
        <v>2103</v>
      </c>
      <c r="F77" s="1164"/>
      <c r="G77" s="1164"/>
      <c r="H77" s="1164"/>
      <c r="I77" s="1164"/>
      <c r="J77" s="1164"/>
      <c r="K77" s="1164"/>
      <c r="L77" s="1164"/>
      <c r="M77" s="1164"/>
      <c r="N77" s="1164"/>
      <c r="O77" s="1165"/>
      <c r="P77" s="1164"/>
      <c r="Q77" s="1164"/>
      <c r="R77" s="1164"/>
      <c r="S77" s="1164"/>
      <c r="T77" s="1164"/>
      <c r="U77" s="1164"/>
      <c r="V77" s="1164"/>
      <c r="W77" s="1165"/>
      <c r="X77" s="1160"/>
      <c r="Y77" s="1160"/>
      <c r="Z77" s="1160"/>
      <c r="AA77" s="1160"/>
      <c r="AB77" s="1160"/>
      <c r="AC77" s="1160"/>
      <c r="AD77" s="1160"/>
      <c r="AE77" s="1160"/>
      <c r="AF77" s="1160"/>
      <c r="AG77" s="1160"/>
      <c r="AH77" s="1160"/>
      <c r="AI77" s="1160"/>
      <c r="AJ77" s="1160"/>
      <c r="AK77" s="1160"/>
      <c r="AL77" s="1160"/>
    </row>
    <row r="78" spans="3:38">
      <c r="C78" s="1163">
        <f t="shared" si="1"/>
        <v>23</v>
      </c>
      <c r="D78" s="1164"/>
      <c r="E78" s="1164" t="s">
        <v>2104</v>
      </c>
      <c r="F78" s="1164"/>
      <c r="G78" s="1164"/>
      <c r="H78" s="1164"/>
      <c r="I78" s="1164"/>
      <c r="J78" s="1164"/>
      <c r="K78" s="1164"/>
      <c r="L78" s="1164"/>
      <c r="M78" s="1164"/>
      <c r="N78" s="1164"/>
      <c r="O78" s="1165"/>
      <c r="P78" s="1164"/>
      <c r="Q78" s="1164"/>
      <c r="R78" s="1164"/>
      <c r="S78" s="1164"/>
      <c r="T78" s="1164"/>
      <c r="U78" s="1164"/>
      <c r="V78" s="1164"/>
      <c r="W78" s="1165"/>
      <c r="X78" s="1160"/>
      <c r="Y78" s="1160"/>
      <c r="Z78" s="1160"/>
      <c r="AA78" s="1160"/>
      <c r="AB78" s="1160"/>
      <c r="AC78" s="1160"/>
      <c r="AD78" s="1160"/>
      <c r="AE78" s="1160"/>
      <c r="AF78" s="1160"/>
      <c r="AG78" s="1160"/>
      <c r="AH78" s="1160"/>
      <c r="AI78" s="1160"/>
      <c r="AJ78" s="1160"/>
      <c r="AK78" s="1160"/>
      <c r="AL78" s="1160"/>
    </row>
    <row r="79" spans="3:38">
      <c r="C79" s="1163">
        <f t="shared" si="1"/>
        <v>24</v>
      </c>
      <c r="D79" s="1164"/>
      <c r="E79" s="1164" t="s">
        <v>2105</v>
      </c>
      <c r="F79" s="1164"/>
      <c r="G79" s="1164"/>
      <c r="H79" s="1164"/>
      <c r="I79" s="1164"/>
      <c r="J79" s="1164"/>
      <c r="K79" s="1164"/>
      <c r="L79" s="1164"/>
      <c r="M79" s="1164"/>
      <c r="N79" s="1164"/>
      <c r="O79" s="1165"/>
      <c r="P79" s="1164"/>
      <c r="Q79" s="1164"/>
      <c r="R79" s="1164"/>
      <c r="S79" s="1164"/>
      <c r="T79" s="1164"/>
      <c r="U79" s="1164"/>
      <c r="V79" s="1164"/>
      <c r="W79" s="1165"/>
      <c r="X79" s="1160"/>
      <c r="Y79" s="1160"/>
      <c r="Z79" s="1160"/>
      <c r="AA79" s="1160"/>
      <c r="AB79" s="1160"/>
      <c r="AC79" s="1160"/>
      <c r="AD79" s="1160"/>
      <c r="AE79" s="1160"/>
      <c r="AF79" s="1160"/>
      <c r="AG79" s="1160"/>
      <c r="AH79" s="1160"/>
      <c r="AI79" s="1160"/>
      <c r="AJ79" s="1160"/>
      <c r="AK79" s="1160"/>
      <c r="AL79" s="1160"/>
    </row>
    <row r="80" spans="3:38">
      <c r="C80" s="1163">
        <f t="shared" si="1"/>
        <v>25</v>
      </c>
      <c r="D80" s="1164"/>
      <c r="E80" s="1164" t="s">
        <v>2106</v>
      </c>
      <c r="F80" s="1164"/>
      <c r="G80" s="1164"/>
      <c r="H80" s="1164"/>
      <c r="I80" s="1164"/>
      <c r="J80" s="1164"/>
      <c r="K80" s="1164"/>
      <c r="L80" s="1164"/>
      <c r="M80" s="1164"/>
      <c r="N80" s="1164"/>
      <c r="O80" s="1165"/>
      <c r="P80" s="1164"/>
      <c r="Q80" s="1164"/>
      <c r="R80" s="1164"/>
      <c r="S80" s="1164"/>
      <c r="T80" s="1164"/>
      <c r="U80" s="1164"/>
      <c r="V80" s="1164"/>
      <c r="W80" s="1165"/>
      <c r="X80" s="1160"/>
      <c r="Y80" s="1160"/>
      <c r="Z80" s="1160"/>
      <c r="AA80" s="1160"/>
      <c r="AB80" s="1160"/>
      <c r="AC80" s="1160"/>
      <c r="AD80" s="1160"/>
      <c r="AE80" s="1160"/>
      <c r="AF80" s="1160"/>
      <c r="AG80" s="1160"/>
      <c r="AH80" s="1160"/>
      <c r="AI80" s="1160"/>
      <c r="AJ80" s="1160"/>
      <c r="AK80" s="1160"/>
      <c r="AL80" s="1160"/>
    </row>
    <row r="81" spans="3:45">
      <c r="C81" s="1163">
        <f t="shared" si="1"/>
        <v>26</v>
      </c>
      <c r="D81" s="1164"/>
      <c r="E81" s="1164" t="s">
        <v>2107</v>
      </c>
      <c r="F81" s="1164"/>
      <c r="G81" s="1164"/>
      <c r="H81" s="1164"/>
      <c r="I81" s="1164"/>
      <c r="J81" s="1164"/>
      <c r="K81" s="1164"/>
      <c r="L81" s="1164"/>
      <c r="M81" s="1164"/>
      <c r="N81" s="1164"/>
      <c r="O81" s="1165"/>
      <c r="P81" s="1164"/>
      <c r="Q81" s="1164"/>
      <c r="R81" s="1164"/>
      <c r="S81" s="1164"/>
      <c r="T81" s="1164"/>
      <c r="U81" s="1164"/>
      <c r="V81" s="1164"/>
      <c r="W81" s="1165"/>
      <c r="X81" s="1160"/>
      <c r="Y81" s="1160"/>
      <c r="Z81" s="1160"/>
      <c r="AA81" s="1160"/>
      <c r="AB81" s="1160"/>
      <c r="AC81" s="1160"/>
      <c r="AD81" s="1160"/>
      <c r="AE81" s="1160"/>
      <c r="AF81" s="1160"/>
      <c r="AG81" s="1160"/>
      <c r="AH81" s="1160"/>
      <c r="AI81" s="1160"/>
      <c r="AJ81" s="1160"/>
      <c r="AK81" s="1160"/>
      <c r="AL81" s="1160"/>
    </row>
    <row r="82" spans="3:45">
      <c r="C82" s="1163">
        <f t="shared" si="1"/>
        <v>27</v>
      </c>
      <c r="D82" s="1164"/>
      <c r="E82" s="1164" t="s">
        <v>2108</v>
      </c>
      <c r="F82" s="1164"/>
      <c r="G82" s="1164"/>
      <c r="H82" s="1164"/>
      <c r="I82" s="1164"/>
      <c r="J82" s="1164"/>
      <c r="K82" s="1164"/>
      <c r="L82" s="1164"/>
      <c r="M82" s="1164"/>
      <c r="N82" s="1164"/>
      <c r="O82" s="1165"/>
      <c r="P82" s="1164"/>
      <c r="Q82" s="1164"/>
      <c r="R82" s="1164"/>
      <c r="S82" s="1164"/>
      <c r="T82" s="1164"/>
      <c r="U82" s="1164"/>
      <c r="V82" s="1164"/>
      <c r="W82" s="1165"/>
      <c r="X82" s="1160"/>
      <c r="Y82" s="1160"/>
      <c r="Z82" s="1160"/>
      <c r="AA82" s="1160"/>
      <c r="AB82" s="1160"/>
      <c r="AC82" s="1160"/>
      <c r="AD82" s="1160"/>
      <c r="AE82" s="1160"/>
      <c r="AF82" s="1160"/>
      <c r="AG82" s="1160"/>
      <c r="AH82" s="1160"/>
      <c r="AI82" s="1160"/>
      <c r="AJ82" s="1160"/>
      <c r="AK82" s="1160"/>
      <c r="AL82" s="1160"/>
    </row>
    <row r="83" spans="3:45">
      <c r="C83" s="1163">
        <f t="shared" si="1"/>
        <v>28</v>
      </c>
      <c r="D83" s="1164"/>
      <c r="E83" s="1164" t="s">
        <v>2109</v>
      </c>
      <c r="F83" s="1164"/>
      <c r="G83" s="1164"/>
      <c r="H83" s="1164"/>
      <c r="I83" s="1164"/>
      <c r="J83" s="1164"/>
      <c r="K83" s="1164"/>
      <c r="L83" s="1164"/>
      <c r="M83" s="1164"/>
      <c r="N83" s="1164"/>
      <c r="O83" s="1165"/>
      <c r="P83" s="1164"/>
      <c r="Q83" s="1164"/>
      <c r="R83" s="1164"/>
      <c r="S83" s="1164"/>
      <c r="T83" s="1164"/>
      <c r="U83" s="1164"/>
      <c r="V83" s="1164"/>
      <c r="W83" s="1165"/>
      <c r="X83" s="1160"/>
      <c r="Y83" s="1160"/>
      <c r="Z83" s="1160"/>
      <c r="AA83" s="1160"/>
      <c r="AB83" s="1160"/>
      <c r="AC83" s="1160"/>
      <c r="AD83" s="1160"/>
      <c r="AE83" s="1160"/>
      <c r="AF83" s="1160"/>
      <c r="AG83" s="1160"/>
      <c r="AH83" s="1160"/>
      <c r="AI83" s="1160"/>
      <c r="AJ83" s="1160"/>
      <c r="AK83" s="1160"/>
      <c r="AL83" s="1160"/>
    </row>
    <row r="84" spans="3:45">
      <c r="C84" s="1163">
        <f t="shared" si="1"/>
        <v>29</v>
      </c>
      <c r="D84" s="1164"/>
      <c r="E84" s="1164" t="s">
        <v>2110</v>
      </c>
      <c r="F84" s="1164"/>
      <c r="G84" s="1164"/>
      <c r="H84" s="1164"/>
      <c r="I84" s="1164"/>
      <c r="J84" s="1164"/>
      <c r="K84" s="1164"/>
      <c r="L84" s="1164"/>
      <c r="M84" s="1164"/>
      <c r="N84" s="1164"/>
      <c r="O84" s="1165"/>
      <c r="P84" s="1164"/>
      <c r="Q84" s="1164"/>
      <c r="R84" s="1164"/>
      <c r="S84" s="1164"/>
      <c r="T84" s="1164"/>
      <c r="U84" s="1164"/>
      <c r="V84" s="1164"/>
      <c r="W84" s="1165"/>
      <c r="X84" s="1160"/>
      <c r="Y84" s="1160"/>
      <c r="Z84" s="1160"/>
      <c r="AA84" s="1160"/>
      <c r="AB84" s="1160"/>
      <c r="AC84" s="1160"/>
      <c r="AD84" s="1160"/>
      <c r="AE84" s="1160"/>
      <c r="AF84" s="1160"/>
      <c r="AG84" s="1160"/>
      <c r="AH84" s="1160"/>
      <c r="AI84" s="1160"/>
      <c r="AJ84" s="1160"/>
      <c r="AK84" s="1160"/>
      <c r="AL84" s="1160"/>
    </row>
    <row r="85" spans="3:45">
      <c r="C85" s="1166">
        <f t="shared" si="1"/>
        <v>30</v>
      </c>
      <c r="D85" s="1167"/>
      <c r="E85" s="1167" t="s">
        <v>2111</v>
      </c>
      <c r="F85" s="1167"/>
      <c r="G85" s="1167"/>
      <c r="H85" s="1167"/>
      <c r="I85" s="1167"/>
      <c r="J85" s="1167"/>
      <c r="K85" s="1167"/>
      <c r="L85" s="1167"/>
      <c r="M85" s="1167"/>
      <c r="N85" s="1167"/>
      <c r="O85" s="1168"/>
      <c r="P85" s="1167"/>
      <c r="Q85" s="1167"/>
      <c r="R85" s="1167"/>
      <c r="S85" s="1167"/>
      <c r="T85" s="1167"/>
      <c r="U85" s="1167"/>
      <c r="V85" s="1167"/>
      <c r="W85" s="1168"/>
      <c r="X85" s="1160"/>
      <c r="Y85" s="1160"/>
      <c r="Z85" s="1160"/>
      <c r="AA85" s="1160"/>
      <c r="AB85" s="1160"/>
      <c r="AC85" s="1160"/>
      <c r="AD85" s="1160"/>
      <c r="AE85" s="1160"/>
      <c r="AF85" s="1160"/>
      <c r="AG85" s="1160"/>
      <c r="AH85" s="1160"/>
      <c r="AI85" s="1160"/>
      <c r="AJ85" s="1160"/>
      <c r="AK85" s="1160"/>
      <c r="AL85" s="1160"/>
    </row>
    <row r="86" spans="3:45">
      <c r="C86" s="1160"/>
      <c r="D86" s="1160"/>
      <c r="E86" s="1160"/>
      <c r="F86" s="1160"/>
      <c r="G86" s="1160"/>
      <c r="H86" s="1160"/>
      <c r="I86" s="1160"/>
      <c r="J86" s="1160"/>
      <c r="K86" s="1160"/>
      <c r="L86" s="1160"/>
      <c r="M86" s="1160"/>
      <c r="N86" s="1160"/>
      <c r="O86" s="1160"/>
      <c r="P86" s="1160"/>
      <c r="Q86" s="1160"/>
      <c r="R86" s="1160"/>
      <c r="S86" s="1160"/>
      <c r="T86" s="1160"/>
      <c r="U86" s="1160"/>
      <c r="V86" s="1160"/>
      <c r="W86" s="1160"/>
      <c r="X86" s="1160"/>
      <c r="Y86" s="1160"/>
      <c r="Z86" s="1160"/>
      <c r="AA86" s="1160"/>
      <c r="AB86" s="1160"/>
      <c r="AC86" s="1160"/>
      <c r="AD86" s="1160"/>
      <c r="AE86" s="1160"/>
      <c r="AF86" s="1160"/>
      <c r="AG86" s="1160"/>
      <c r="AH86" s="1160"/>
      <c r="AI86" s="1160"/>
      <c r="AJ86" s="1160"/>
      <c r="AK86" s="1160"/>
      <c r="AL86" s="1160"/>
    </row>
    <row r="87" spans="3:45">
      <c r="C87" s="1189" t="s">
        <v>2115</v>
      </c>
      <c r="D87" s="1189"/>
      <c r="E87" s="1189"/>
      <c r="F87" s="1189"/>
      <c r="G87" s="1189"/>
      <c r="H87" s="1189"/>
      <c r="I87" s="1189"/>
      <c r="J87" s="1189"/>
      <c r="K87" s="1189"/>
      <c r="L87" s="1189"/>
      <c r="M87" s="1189"/>
      <c r="N87" s="1189"/>
      <c r="O87" s="1189"/>
      <c r="P87" s="1189"/>
      <c r="Q87" s="1189"/>
      <c r="R87" s="1189"/>
      <c r="S87" s="1189"/>
      <c r="T87" s="1189"/>
      <c r="U87" s="1189"/>
      <c r="V87" s="1189"/>
      <c r="W87" s="1189"/>
      <c r="X87" s="1189"/>
      <c r="Y87" s="1189"/>
      <c r="Z87" s="1189"/>
      <c r="AA87" s="1189"/>
      <c r="AB87" s="1189"/>
      <c r="AC87" s="1189"/>
      <c r="AD87" s="1189"/>
      <c r="AE87" s="1189"/>
      <c r="AF87" s="1189"/>
      <c r="AG87" s="1189"/>
      <c r="AH87" s="1189"/>
      <c r="AI87" s="1189"/>
      <c r="AJ87" s="1189"/>
      <c r="AK87" s="1189"/>
      <c r="AL87" s="1189"/>
      <c r="AM87" s="1189"/>
      <c r="AN87" s="1189"/>
      <c r="AO87" s="1189"/>
      <c r="AP87" s="1189"/>
      <c r="AQ87" s="1189"/>
      <c r="AR87" s="1189"/>
      <c r="AS87" s="1189"/>
    </row>
    <row r="88" spans="3:45" ht="39.6" customHeight="1">
      <c r="C88" s="1190" t="s">
        <v>1861</v>
      </c>
      <c r="D88" s="1191" t="s">
        <v>93</v>
      </c>
      <c r="E88" s="1191" t="s">
        <v>94</v>
      </c>
      <c r="F88" s="1854" t="s">
        <v>141</v>
      </c>
      <c r="G88" s="1855"/>
      <c r="H88" s="1855"/>
      <c r="I88" s="1855"/>
      <c r="J88" s="1855"/>
      <c r="K88" s="1855"/>
      <c r="L88" s="1855"/>
      <c r="M88" s="1856"/>
      <c r="N88" s="1854" t="s">
        <v>139</v>
      </c>
      <c r="O88" s="1855"/>
      <c r="P88" s="1855"/>
      <c r="Q88" s="1855"/>
      <c r="R88" s="1855"/>
      <c r="S88" s="1855"/>
      <c r="T88" s="1855"/>
      <c r="U88" s="1856"/>
      <c r="V88" s="1854" t="s">
        <v>137</v>
      </c>
      <c r="W88" s="1855"/>
      <c r="X88" s="1855"/>
      <c r="Y88" s="1855"/>
      <c r="Z88" s="1855"/>
      <c r="AA88" s="1855"/>
      <c r="AB88" s="1855"/>
      <c r="AC88" s="1856"/>
      <c r="AD88" s="1854" t="s">
        <v>134</v>
      </c>
      <c r="AE88" s="1855"/>
      <c r="AF88" s="1855"/>
      <c r="AG88" s="1855"/>
      <c r="AH88" s="1855"/>
      <c r="AI88" s="1855"/>
      <c r="AJ88" s="1855"/>
      <c r="AK88" s="1856"/>
      <c r="AL88" s="1854" t="s">
        <v>131</v>
      </c>
      <c r="AM88" s="1855"/>
      <c r="AN88" s="1855"/>
      <c r="AO88" s="1855"/>
      <c r="AP88" s="1855"/>
      <c r="AQ88" s="1855"/>
      <c r="AR88" s="1855"/>
      <c r="AS88" s="1856"/>
    </row>
    <row r="89" spans="3:45" ht="48.75">
      <c r="C89" s="1169"/>
      <c r="D89" s="1170"/>
      <c r="E89" s="1170"/>
      <c r="F89" s="1174" t="s">
        <v>2116</v>
      </c>
      <c r="G89" s="1170" t="s">
        <v>2117</v>
      </c>
      <c r="H89" s="1170" t="s">
        <v>2118</v>
      </c>
      <c r="I89" s="1171" t="s">
        <v>2119</v>
      </c>
      <c r="J89" s="1171" t="s">
        <v>1362</v>
      </c>
      <c r="K89" s="1171" t="s">
        <v>2120</v>
      </c>
      <c r="L89" s="1171" t="s">
        <v>1363</v>
      </c>
      <c r="M89" s="1173" t="s">
        <v>2121</v>
      </c>
      <c r="N89" s="1174" t="s">
        <v>2116</v>
      </c>
      <c r="O89" s="1170" t="s">
        <v>2117</v>
      </c>
      <c r="P89" s="1170" t="s">
        <v>2118</v>
      </c>
      <c r="Q89" s="1171" t="s">
        <v>2119</v>
      </c>
      <c r="R89" s="1171" t="s">
        <v>1362</v>
      </c>
      <c r="S89" s="1171" t="s">
        <v>2120</v>
      </c>
      <c r="T89" s="1171" t="s">
        <v>1363</v>
      </c>
      <c r="U89" s="1173" t="s">
        <v>2121</v>
      </c>
      <c r="V89" s="1174" t="s">
        <v>2116</v>
      </c>
      <c r="W89" s="1170" t="s">
        <v>2117</v>
      </c>
      <c r="X89" s="1170" t="s">
        <v>2118</v>
      </c>
      <c r="Y89" s="1171" t="s">
        <v>2119</v>
      </c>
      <c r="Z89" s="1171" t="s">
        <v>1362</v>
      </c>
      <c r="AA89" s="1171" t="s">
        <v>2120</v>
      </c>
      <c r="AB89" s="1171" t="s">
        <v>1363</v>
      </c>
      <c r="AC89" s="1173" t="s">
        <v>2121</v>
      </c>
      <c r="AD89" s="1174" t="s">
        <v>2116</v>
      </c>
      <c r="AE89" s="1170" t="s">
        <v>2117</v>
      </c>
      <c r="AF89" s="1170" t="s">
        <v>2118</v>
      </c>
      <c r="AG89" s="1171" t="s">
        <v>2119</v>
      </c>
      <c r="AH89" s="1171" t="s">
        <v>1362</v>
      </c>
      <c r="AI89" s="1171" t="s">
        <v>2120</v>
      </c>
      <c r="AJ89" s="1171" t="s">
        <v>1363</v>
      </c>
      <c r="AK89" s="1173" t="s">
        <v>2121</v>
      </c>
      <c r="AL89" s="1174" t="s">
        <v>2116</v>
      </c>
      <c r="AM89" s="1170" t="s">
        <v>2117</v>
      </c>
      <c r="AN89" s="1170" t="s">
        <v>2118</v>
      </c>
      <c r="AO89" s="1171" t="s">
        <v>2119</v>
      </c>
      <c r="AP89" s="1171" t="s">
        <v>1362</v>
      </c>
      <c r="AQ89" s="1171" t="s">
        <v>2120</v>
      </c>
      <c r="AR89" s="1171" t="s">
        <v>1363</v>
      </c>
      <c r="AS89" s="1173" t="s">
        <v>2121</v>
      </c>
    </row>
    <row r="90" spans="3:45">
      <c r="C90" s="1163">
        <v>1</v>
      </c>
      <c r="D90" s="1164"/>
      <c r="E90" s="1164" t="s">
        <v>1890</v>
      </c>
      <c r="F90" s="1175"/>
      <c r="G90" s="1164"/>
      <c r="H90" s="1164"/>
      <c r="I90" s="1164"/>
      <c r="J90" s="1164"/>
      <c r="K90" s="1164"/>
      <c r="L90" s="1164"/>
      <c r="M90" s="1165"/>
      <c r="N90" s="1175"/>
      <c r="O90" s="1164"/>
      <c r="P90" s="1164"/>
      <c r="Q90" s="1164"/>
      <c r="R90" s="1164"/>
      <c r="S90" s="1164"/>
      <c r="T90" s="1164"/>
      <c r="U90" s="1165"/>
      <c r="V90" s="1175"/>
      <c r="W90" s="1164"/>
      <c r="X90" s="1164"/>
      <c r="Y90" s="1164"/>
      <c r="Z90" s="1164"/>
      <c r="AA90" s="1164"/>
      <c r="AB90" s="1164"/>
      <c r="AC90" s="1165"/>
      <c r="AD90" s="1175"/>
      <c r="AE90" s="1164"/>
      <c r="AF90" s="1164"/>
      <c r="AG90" s="1164"/>
      <c r="AH90" s="1164"/>
      <c r="AI90" s="1164"/>
      <c r="AJ90" s="1164"/>
      <c r="AK90" s="1165"/>
      <c r="AL90" s="1175"/>
      <c r="AM90" s="1164"/>
      <c r="AN90" s="1164"/>
      <c r="AO90" s="1164"/>
      <c r="AP90" s="1164"/>
      <c r="AQ90" s="1164"/>
      <c r="AR90" s="1164"/>
      <c r="AS90" s="1165"/>
    </row>
    <row r="91" spans="3:45">
      <c r="C91" s="1163">
        <f>C90+1</f>
        <v>2</v>
      </c>
      <c r="D91" s="1164"/>
      <c r="E91" s="1164" t="s">
        <v>1891</v>
      </c>
      <c r="F91" s="1175"/>
      <c r="G91" s="1164"/>
      <c r="H91" s="1164"/>
      <c r="I91" s="1164"/>
      <c r="J91" s="1164"/>
      <c r="K91" s="1164"/>
      <c r="L91" s="1164"/>
      <c r="M91" s="1165"/>
      <c r="N91" s="1175"/>
      <c r="O91" s="1164"/>
      <c r="P91" s="1164"/>
      <c r="Q91" s="1164"/>
      <c r="R91" s="1164"/>
      <c r="S91" s="1164"/>
      <c r="T91" s="1164"/>
      <c r="U91" s="1165"/>
      <c r="V91" s="1175"/>
      <c r="W91" s="1164"/>
      <c r="X91" s="1164"/>
      <c r="Y91" s="1164"/>
      <c r="Z91" s="1164"/>
      <c r="AA91" s="1164"/>
      <c r="AB91" s="1164"/>
      <c r="AC91" s="1165"/>
      <c r="AD91" s="1175"/>
      <c r="AE91" s="1164"/>
      <c r="AF91" s="1164"/>
      <c r="AG91" s="1164"/>
      <c r="AH91" s="1164"/>
      <c r="AI91" s="1164"/>
      <c r="AJ91" s="1164"/>
      <c r="AK91" s="1165"/>
      <c r="AL91" s="1175"/>
      <c r="AM91" s="1164"/>
      <c r="AN91" s="1164"/>
      <c r="AO91" s="1164"/>
      <c r="AP91" s="1164"/>
      <c r="AQ91" s="1164"/>
      <c r="AR91" s="1164"/>
      <c r="AS91" s="1165"/>
    </row>
    <row r="92" spans="3:45">
      <c r="C92" s="1163">
        <f t="shared" ref="C92:C119" si="2">C91+1</f>
        <v>3</v>
      </c>
      <c r="D92" s="1164"/>
      <c r="E92" s="1164" t="s">
        <v>1892</v>
      </c>
      <c r="F92" s="1175"/>
      <c r="G92" s="1164"/>
      <c r="H92" s="1164"/>
      <c r="I92" s="1164"/>
      <c r="J92" s="1164"/>
      <c r="K92" s="1164"/>
      <c r="L92" s="1164"/>
      <c r="M92" s="1165"/>
      <c r="N92" s="1175"/>
      <c r="O92" s="1164"/>
      <c r="P92" s="1164"/>
      <c r="Q92" s="1164"/>
      <c r="R92" s="1164"/>
      <c r="S92" s="1164"/>
      <c r="T92" s="1164"/>
      <c r="U92" s="1165"/>
      <c r="V92" s="1175"/>
      <c r="W92" s="1164"/>
      <c r="X92" s="1164"/>
      <c r="Y92" s="1164"/>
      <c r="Z92" s="1164"/>
      <c r="AA92" s="1164"/>
      <c r="AB92" s="1164"/>
      <c r="AC92" s="1165"/>
      <c r="AD92" s="1175"/>
      <c r="AE92" s="1164"/>
      <c r="AF92" s="1164"/>
      <c r="AG92" s="1164"/>
      <c r="AH92" s="1164"/>
      <c r="AI92" s="1164"/>
      <c r="AJ92" s="1164"/>
      <c r="AK92" s="1165"/>
      <c r="AL92" s="1175"/>
      <c r="AM92" s="1164"/>
      <c r="AN92" s="1164"/>
      <c r="AO92" s="1164"/>
      <c r="AP92" s="1164"/>
      <c r="AQ92" s="1164"/>
      <c r="AR92" s="1164"/>
      <c r="AS92" s="1165"/>
    </row>
    <row r="93" spans="3:45">
      <c r="C93" s="1163">
        <f t="shared" si="2"/>
        <v>4</v>
      </c>
      <c r="D93" s="1164"/>
      <c r="E93" s="1164" t="s">
        <v>1893</v>
      </c>
      <c r="F93" s="1175"/>
      <c r="G93" s="1164"/>
      <c r="H93" s="1164"/>
      <c r="I93" s="1164"/>
      <c r="J93" s="1164"/>
      <c r="K93" s="1164"/>
      <c r="L93" s="1164"/>
      <c r="M93" s="1165"/>
      <c r="N93" s="1175"/>
      <c r="O93" s="1164"/>
      <c r="P93" s="1164"/>
      <c r="Q93" s="1164"/>
      <c r="R93" s="1164"/>
      <c r="S93" s="1164"/>
      <c r="T93" s="1164"/>
      <c r="U93" s="1165"/>
      <c r="V93" s="1175"/>
      <c r="W93" s="1164"/>
      <c r="X93" s="1164"/>
      <c r="Y93" s="1164"/>
      <c r="Z93" s="1164"/>
      <c r="AA93" s="1164"/>
      <c r="AB93" s="1164"/>
      <c r="AC93" s="1165"/>
      <c r="AD93" s="1175"/>
      <c r="AE93" s="1164"/>
      <c r="AF93" s="1164"/>
      <c r="AG93" s="1164"/>
      <c r="AH93" s="1164"/>
      <c r="AI93" s="1164"/>
      <c r="AJ93" s="1164"/>
      <c r="AK93" s="1165"/>
      <c r="AL93" s="1175"/>
      <c r="AM93" s="1164"/>
      <c r="AN93" s="1164"/>
      <c r="AO93" s="1164"/>
      <c r="AP93" s="1164"/>
      <c r="AQ93" s="1164"/>
      <c r="AR93" s="1164"/>
      <c r="AS93" s="1165"/>
    </row>
    <row r="94" spans="3:45">
      <c r="C94" s="1163">
        <f t="shared" si="2"/>
        <v>5</v>
      </c>
      <c r="D94" s="1164"/>
      <c r="E94" s="1164" t="s">
        <v>1894</v>
      </c>
      <c r="F94" s="1175"/>
      <c r="G94" s="1164"/>
      <c r="H94" s="1164"/>
      <c r="I94" s="1164"/>
      <c r="J94" s="1164"/>
      <c r="K94" s="1164"/>
      <c r="L94" s="1164"/>
      <c r="M94" s="1165"/>
      <c r="N94" s="1175"/>
      <c r="O94" s="1164"/>
      <c r="P94" s="1164"/>
      <c r="Q94" s="1164"/>
      <c r="R94" s="1164"/>
      <c r="S94" s="1164"/>
      <c r="T94" s="1164"/>
      <c r="U94" s="1165"/>
      <c r="V94" s="1175"/>
      <c r="W94" s="1164"/>
      <c r="X94" s="1164"/>
      <c r="Y94" s="1164"/>
      <c r="Z94" s="1164"/>
      <c r="AA94" s="1164"/>
      <c r="AB94" s="1164"/>
      <c r="AC94" s="1165"/>
      <c r="AD94" s="1175"/>
      <c r="AE94" s="1164"/>
      <c r="AF94" s="1164"/>
      <c r="AG94" s="1164"/>
      <c r="AH94" s="1164"/>
      <c r="AI94" s="1164"/>
      <c r="AJ94" s="1164"/>
      <c r="AK94" s="1165"/>
      <c r="AL94" s="1175"/>
      <c r="AM94" s="1164"/>
      <c r="AN94" s="1164"/>
      <c r="AO94" s="1164"/>
      <c r="AP94" s="1164"/>
      <c r="AQ94" s="1164"/>
      <c r="AR94" s="1164"/>
      <c r="AS94" s="1165"/>
    </row>
    <row r="95" spans="3:45">
      <c r="C95" s="1163">
        <f t="shared" si="2"/>
        <v>6</v>
      </c>
      <c r="D95" s="1164"/>
      <c r="E95" s="1164" t="s">
        <v>1895</v>
      </c>
      <c r="F95" s="1175"/>
      <c r="G95" s="1164"/>
      <c r="H95" s="1164"/>
      <c r="I95" s="1164"/>
      <c r="J95" s="1164"/>
      <c r="K95" s="1164"/>
      <c r="L95" s="1164"/>
      <c r="M95" s="1165"/>
      <c r="N95" s="1175"/>
      <c r="O95" s="1164"/>
      <c r="P95" s="1164"/>
      <c r="Q95" s="1164"/>
      <c r="R95" s="1164"/>
      <c r="S95" s="1164"/>
      <c r="T95" s="1164"/>
      <c r="U95" s="1165"/>
      <c r="V95" s="1175"/>
      <c r="W95" s="1164"/>
      <c r="X95" s="1164"/>
      <c r="Y95" s="1164"/>
      <c r="Z95" s="1164"/>
      <c r="AA95" s="1164"/>
      <c r="AB95" s="1164"/>
      <c r="AC95" s="1165"/>
      <c r="AD95" s="1175"/>
      <c r="AE95" s="1164"/>
      <c r="AF95" s="1164"/>
      <c r="AG95" s="1164"/>
      <c r="AH95" s="1164"/>
      <c r="AI95" s="1164"/>
      <c r="AJ95" s="1164"/>
      <c r="AK95" s="1165"/>
      <c r="AL95" s="1175"/>
      <c r="AM95" s="1164"/>
      <c r="AN95" s="1164"/>
      <c r="AO95" s="1164"/>
      <c r="AP95" s="1164"/>
      <c r="AQ95" s="1164"/>
      <c r="AR95" s="1164"/>
      <c r="AS95" s="1165"/>
    </row>
    <row r="96" spans="3:45">
      <c r="C96" s="1163">
        <f t="shared" si="2"/>
        <v>7</v>
      </c>
      <c r="D96" s="1164"/>
      <c r="E96" s="1164" t="s">
        <v>1896</v>
      </c>
      <c r="F96" s="1175"/>
      <c r="G96" s="1164"/>
      <c r="H96" s="1164"/>
      <c r="I96" s="1164"/>
      <c r="J96" s="1164"/>
      <c r="K96" s="1164"/>
      <c r="L96" s="1164"/>
      <c r="M96" s="1165"/>
      <c r="N96" s="1175"/>
      <c r="O96" s="1164"/>
      <c r="P96" s="1164"/>
      <c r="Q96" s="1164"/>
      <c r="R96" s="1164"/>
      <c r="S96" s="1164"/>
      <c r="T96" s="1164"/>
      <c r="U96" s="1165"/>
      <c r="V96" s="1175"/>
      <c r="W96" s="1164"/>
      <c r="X96" s="1164"/>
      <c r="Y96" s="1164"/>
      <c r="Z96" s="1164"/>
      <c r="AA96" s="1164"/>
      <c r="AB96" s="1164"/>
      <c r="AC96" s="1165"/>
      <c r="AD96" s="1175"/>
      <c r="AE96" s="1164"/>
      <c r="AF96" s="1164"/>
      <c r="AG96" s="1164"/>
      <c r="AH96" s="1164"/>
      <c r="AI96" s="1164"/>
      <c r="AJ96" s="1164"/>
      <c r="AK96" s="1165"/>
      <c r="AL96" s="1175"/>
      <c r="AM96" s="1164"/>
      <c r="AN96" s="1164"/>
      <c r="AO96" s="1164"/>
      <c r="AP96" s="1164"/>
      <c r="AQ96" s="1164"/>
      <c r="AR96" s="1164"/>
      <c r="AS96" s="1165"/>
    </row>
    <row r="97" spans="3:45">
      <c r="C97" s="1163">
        <f t="shared" si="2"/>
        <v>8</v>
      </c>
      <c r="D97" s="1164"/>
      <c r="E97" s="1164" t="s">
        <v>1897</v>
      </c>
      <c r="F97" s="1175"/>
      <c r="G97" s="1164"/>
      <c r="H97" s="1164"/>
      <c r="I97" s="1164"/>
      <c r="J97" s="1164"/>
      <c r="K97" s="1164"/>
      <c r="L97" s="1164"/>
      <c r="M97" s="1165"/>
      <c r="N97" s="1175"/>
      <c r="O97" s="1164"/>
      <c r="P97" s="1164"/>
      <c r="Q97" s="1164"/>
      <c r="R97" s="1164"/>
      <c r="S97" s="1164"/>
      <c r="T97" s="1164"/>
      <c r="U97" s="1165"/>
      <c r="V97" s="1175"/>
      <c r="W97" s="1164"/>
      <c r="X97" s="1164"/>
      <c r="Y97" s="1164"/>
      <c r="Z97" s="1164"/>
      <c r="AA97" s="1164"/>
      <c r="AB97" s="1164"/>
      <c r="AC97" s="1165"/>
      <c r="AD97" s="1175"/>
      <c r="AE97" s="1164"/>
      <c r="AF97" s="1164"/>
      <c r="AG97" s="1164"/>
      <c r="AH97" s="1164"/>
      <c r="AI97" s="1164"/>
      <c r="AJ97" s="1164"/>
      <c r="AK97" s="1165"/>
      <c r="AL97" s="1175"/>
      <c r="AM97" s="1164"/>
      <c r="AN97" s="1164"/>
      <c r="AO97" s="1164"/>
      <c r="AP97" s="1164"/>
      <c r="AQ97" s="1164"/>
      <c r="AR97" s="1164"/>
      <c r="AS97" s="1165"/>
    </row>
    <row r="98" spans="3:45">
      <c r="C98" s="1163">
        <f t="shared" si="2"/>
        <v>9</v>
      </c>
      <c r="D98" s="1164"/>
      <c r="E98" s="1164" t="s">
        <v>1898</v>
      </c>
      <c r="F98" s="1175"/>
      <c r="G98" s="1164"/>
      <c r="H98" s="1164"/>
      <c r="I98" s="1164"/>
      <c r="J98" s="1164"/>
      <c r="K98" s="1164"/>
      <c r="L98" s="1164"/>
      <c r="M98" s="1165"/>
      <c r="N98" s="1175"/>
      <c r="O98" s="1164"/>
      <c r="P98" s="1164"/>
      <c r="Q98" s="1164"/>
      <c r="R98" s="1164"/>
      <c r="S98" s="1164"/>
      <c r="T98" s="1164"/>
      <c r="U98" s="1165"/>
      <c r="V98" s="1175"/>
      <c r="W98" s="1164"/>
      <c r="X98" s="1164"/>
      <c r="Y98" s="1164"/>
      <c r="Z98" s="1164"/>
      <c r="AA98" s="1164"/>
      <c r="AB98" s="1164"/>
      <c r="AC98" s="1165"/>
      <c r="AD98" s="1175"/>
      <c r="AE98" s="1164"/>
      <c r="AF98" s="1164"/>
      <c r="AG98" s="1164"/>
      <c r="AH98" s="1164"/>
      <c r="AI98" s="1164"/>
      <c r="AJ98" s="1164"/>
      <c r="AK98" s="1165"/>
      <c r="AL98" s="1175"/>
      <c r="AM98" s="1164"/>
      <c r="AN98" s="1164"/>
      <c r="AO98" s="1164"/>
      <c r="AP98" s="1164"/>
      <c r="AQ98" s="1164"/>
      <c r="AR98" s="1164"/>
      <c r="AS98" s="1165"/>
    </row>
    <row r="99" spans="3:45">
      <c r="C99" s="1163">
        <f t="shared" si="2"/>
        <v>10</v>
      </c>
      <c r="D99" s="1164"/>
      <c r="E99" s="1164" t="s">
        <v>1899</v>
      </c>
      <c r="F99" s="1175"/>
      <c r="G99" s="1164"/>
      <c r="H99" s="1164"/>
      <c r="I99" s="1164"/>
      <c r="J99" s="1164"/>
      <c r="K99" s="1164"/>
      <c r="L99" s="1164"/>
      <c r="M99" s="1165"/>
      <c r="N99" s="1175"/>
      <c r="O99" s="1164"/>
      <c r="P99" s="1164"/>
      <c r="Q99" s="1164"/>
      <c r="R99" s="1164"/>
      <c r="S99" s="1164"/>
      <c r="T99" s="1164"/>
      <c r="U99" s="1165"/>
      <c r="V99" s="1175"/>
      <c r="W99" s="1164"/>
      <c r="X99" s="1164"/>
      <c r="Y99" s="1164"/>
      <c r="Z99" s="1164"/>
      <c r="AA99" s="1164"/>
      <c r="AB99" s="1164"/>
      <c r="AC99" s="1165"/>
      <c r="AD99" s="1175"/>
      <c r="AE99" s="1164"/>
      <c r="AF99" s="1164"/>
      <c r="AG99" s="1164"/>
      <c r="AH99" s="1164"/>
      <c r="AI99" s="1164"/>
      <c r="AJ99" s="1164"/>
      <c r="AK99" s="1165"/>
      <c r="AL99" s="1175"/>
      <c r="AM99" s="1164"/>
      <c r="AN99" s="1164"/>
      <c r="AO99" s="1164"/>
      <c r="AP99" s="1164"/>
      <c r="AQ99" s="1164"/>
      <c r="AR99" s="1164"/>
      <c r="AS99" s="1165"/>
    </row>
    <row r="100" spans="3:45">
      <c r="C100" s="1163">
        <f t="shared" si="2"/>
        <v>11</v>
      </c>
      <c r="D100" s="1164"/>
      <c r="E100" s="1164" t="s">
        <v>2092</v>
      </c>
      <c r="F100" s="1175"/>
      <c r="G100" s="1164"/>
      <c r="H100" s="1164"/>
      <c r="I100" s="1164"/>
      <c r="J100" s="1164"/>
      <c r="K100" s="1164"/>
      <c r="L100" s="1164"/>
      <c r="M100" s="1165"/>
      <c r="N100" s="1175"/>
      <c r="O100" s="1164"/>
      <c r="P100" s="1164"/>
      <c r="Q100" s="1164"/>
      <c r="R100" s="1164"/>
      <c r="S100" s="1164"/>
      <c r="T100" s="1164"/>
      <c r="U100" s="1165"/>
      <c r="V100" s="1175"/>
      <c r="W100" s="1164"/>
      <c r="X100" s="1164"/>
      <c r="Y100" s="1164"/>
      <c r="Z100" s="1164"/>
      <c r="AA100" s="1164"/>
      <c r="AB100" s="1164"/>
      <c r="AC100" s="1165"/>
      <c r="AD100" s="1175"/>
      <c r="AE100" s="1164"/>
      <c r="AF100" s="1164"/>
      <c r="AG100" s="1164"/>
      <c r="AH100" s="1164"/>
      <c r="AI100" s="1164"/>
      <c r="AJ100" s="1164"/>
      <c r="AK100" s="1165"/>
      <c r="AL100" s="1175"/>
      <c r="AM100" s="1164"/>
      <c r="AN100" s="1164"/>
      <c r="AO100" s="1164"/>
      <c r="AP100" s="1164"/>
      <c r="AQ100" s="1164"/>
      <c r="AR100" s="1164"/>
      <c r="AS100" s="1165"/>
    </row>
    <row r="101" spans="3:45">
      <c r="C101" s="1163">
        <f t="shared" si="2"/>
        <v>12</v>
      </c>
      <c r="D101" s="1164"/>
      <c r="E101" s="1164" t="s">
        <v>2093</v>
      </c>
      <c r="F101" s="1175"/>
      <c r="G101" s="1164"/>
      <c r="H101" s="1164"/>
      <c r="I101" s="1164"/>
      <c r="J101" s="1164"/>
      <c r="K101" s="1164"/>
      <c r="L101" s="1164"/>
      <c r="M101" s="1165"/>
      <c r="N101" s="1175"/>
      <c r="O101" s="1164"/>
      <c r="P101" s="1164"/>
      <c r="Q101" s="1164"/>
      <c r="R101" s="1164"/>
      <c r="S101" s="1164"/>
      <c r="T101" s="1164"/>
      <c r="U101" s="1165"/>
      <c r="V101" s="1175"/>
      <c r="W101" s="1164"/>
      <c r="X101" s="1164"/>
      <c r="Y101" s="1164"/>
      <c r="Z101" s="1164"/>
      <c r="AA101" s="1164"/>
      <c r="AB101" s="1164"/>
      <c r="AC101" s="1165"/>
      <c r="AD101" s="1175"/>
      <c r="AE101" s="1164"/>
      <c r="AF101" s="1164"/>
      <c r="AG101" s="1164"/>
      <c r="AH101" s="1164"/>
      <c r="AI101" s="1164"/>
      <c r="AJ101" s="1164"/>
      <c r="AK101" s="1165"/>
      <c r="AL101" s="1175"/>
      <c r="AM101" s="1164"/>
      <c r="AN101" s="1164"/>
      <c r="AO101" s="1164"/>
      <c r="AP101" s="1164"/>
      <c r="AQ101" s="1164"/>
      <c r="AR101" s="1164"/>
      <c r="AS101" s="1165"/>
    </row>
    <row r="102" spans="3:45">
      <c r="C102" s="1163">
        <f t="shared" si="2"/>
        <v>13</v>
      </c>
      <c r="D102" s="1164"/>
      <c r="E102" s="1164" t="s">
        <v>2094</v>
      </c>
      <c r="F102" s="1175"/>
      <c r="G102" s="1164"/>
      <c r="H102" s="1164"/>
      <c r="I102" s="1164"/>
      <c r="J102" s="1164"/>
      <c r="K102" s="1164"/>
      <c r="L102" s="1164"/>
      <c r="M102" s="1165"/>
      <c r="N102" s="1175"/>
      <c r="O102" s="1164"/>
      <c r="P102" s="1164"/>
      <c r="Q102" s="1164"/>
      <c r="R102" s="1164"/>
      <c r="S102" s="1164"/>
      <c r="T102" s="1164"/>
      <c r="U102" s="1165"/>
      <c r="V102" s="1175"/>
      <c r="W102" s="1164"/>
      <c r="X102" s="1164"/>
      <c r="Y102" s="1164"/>
      <c r="Z102" s="1164"/>
      <c r="AA102" s="1164"/>
      <c r="AB102" s="1164"/>
      <c r="AC102" s="1165"/>
      <c r="AD102" s="1175"/>
      <c r="AE102" s="1164"/>
      <c r="AF102" s="1164"/>
      <c r="AG102" s="1164"/>
      <c r="AH102" s="1164"/>
      <c r="AI102" s="1164"/>
      <c r="AJ102" s="1164"/>
      <c r="AK102" s="1165"/>
      <c r="AL102" s="1175"/>
      <c r="AM102" s="1164"/>
      <c r="AN102" s="1164"/>
      <c r="AO102" s="1164"/>
      <c r="AP102" s="1164"/>
      <c r="AQ102" s="1164"/>
      <c r="AR102" s="1164"/>
      <c r="AS102" s="1165"/>
    </row>
    <row r="103" spans="3:45">
      <c r="C103" s="1163">
        <f t="shared" si="2"/>
        <v>14</v>
      </c>
      <c r="D103" s="1164"/>
      <c r="E103" s="1164" t="s">
        <v>2095</v>
      </c>
      <c r="F103" s="1175"/>
      <c r="G103" s="1164"/>
      <c r="H103" s="1164"/>
      <c r="I103" s="1164"/>
      <c r="J103" s="1164"/>
      <c r="K103" s="1164"/>
      <c r="L103" s="1164"/>
      <c r="M103" s="1165"/>
      <c r="N103" s="1175"/>
      <c r="O103" s="1164"/>
      <c r="P103" s="1164"/>
      <c r="Q103" s="1164"/>
      <c r="R103" s="1164"/>
      <c r="S103" s="1164"/>
      <c r="T103" s="1164"/>
      <c r="U103" s="1165"/>
      <c r="V103" s="1175"/>
      <c r="W103" s="1164"/>
      <c r="X103" s="1164"/>
      <c r="Y103" s="1164"/>
      <c r="Z103" s="1164"/>
      <c r="AA103" s="1164"/>
      <c r="AB103" s="1164"/>
      <c r="AC103" s="1165"/>
      <c r="AD103" s="1175"/>
      <c r="AE103" s="1164"/>
      <c r="AF103" s="1164"/>
      <c r="AG103" s="1164"/>
      <c r="AH103" s="1164"/>
      <c r="AI103" s="1164"/>
      <c r="AJ103" s="1164"/>
      <c r="AK103" s="1165"/>
      <c r="AL103" s="1175"/>
      <c r="AM103" s="1164"/>
      <c r="AN103" s="1164"/>
      <c r="AO103" s="1164"/>
      <c r="AP103" s="1164"/>
      <c r="AQ103" s="1164"/>
      <c r="AR103" s="1164"/>
      <c r="AS103" s="1165"/>
    </row>
    <row r="104" spans="3:45">
      <c r="C104" s="1163">
        <f t="shared" si="2"/>
        <v>15</v>
      </c>
      <c r="D104" s="1164"/>
      <c r="E104" s="1164" t="s">
        <v>2096</v>
      </c>
      <c r="F104" s="1175"/>
      <c r="G104" s="1164"/>
      <c r="H104" s="1164"/>
      <c r="I104" s="1164"/>
      <c r="J104" s="1164"/>
      <c r="K104" s="1164"/>
      <c r="L104" s="1164"/>
      <c r="M104" s="1165"/>
      <c r="N104" s="1175"/>
      <c r="O104" s="1164"/>
      <c r="P104" s="1164"/>
      <c r="Q104" s="1164"/>
      <c r="R104" s="1164"/>
      <c r="S104" s="1164"/>
      <c r="T104" s="1164"/>
      <c r="U104" s="1165"/>
      <c r="V104" s="1175"/>
      <c r="W104" s="1164"/>
      <c r="X104" s="1164"/>
      <c r="Y104" s="1164"/>
      <c r="Z104" s="1164"/>
      <c r="AA104" s="1164"/>
      <c r="AB104" s="1164"/>
      <c r="AC104" s="1165"/>
      <c r="AD104" s="1175"/>
      <c r="AE104" s="1164"/>
      <c r="AF104" s="1164"/>
      <c r="AG104" s="1164"/>
      <c r="AH104" s="1164"/>
      <c r="AI104" s="1164"/>
      <c r="AJ104" s="1164"/>
      <c r="AK104" s="1165"/>
      <c r="AL104" s="1175"/>
      <c r="AM104" s="1164"/>
      <c r="AN104" s="1164"/>
      <c r="AO104" s="1164"/>
      <c r="AP104" s="1164"/>
      <c r="AQ104" s="1164"/>
      <c r="AR104" s="1164"/>
      <c r="AS104" s="1165"/>
    </row>
    <row r="105" spans="3:45">
      <c r="C105" s="1163">
        <f t="shared" si="2"/>
        <v>16</v>
      </c>
      <c r="D105" s="1164"/>
      <c r="E105" s="1164" t="s">
        <v>2097</v>
      </c>
      <c r="F105" s="1175"/>
      <c r="G105" s="1164"/>
      <c r="H105" s="1164"/>
      <c r="I105" s="1164"/>
      <c r="J105" s="1164"/>
      <c r="K105" s="1164"/>
      <c r="L105" s="1164"/>
      <c r="M105" s="1165"/>
      <c r="N105" s="1175"/>
      <c r="O105" s="1164"/>
      <c r="P105" s="1164"/>
      <c r="Q105" s="1164"/>
      <c r="R105" s="1164"/>
      <c r="S105" s="1164"/>
      <c r="T105" s="1164"/>
      <c r="U105" s="1165"/>
      <c r="V105" s="1175"/>
      <c r="W105" s="1164"/>
      <c r="X105" s="1164"/>
      <c r="Y105" s="1164"/>
      <c r="Z105" s="1164"/>
      <c r="AA105" s="1164"/>
      <c r="AB105" s="1164"/>
      <c r="AC105" s="1165"/>
      <c r="AD105" s="1175"/>
      <c r="AE105" s="1164"/>
      <c r="AF105" s="1164"/>
      <c r="AG105" s="1164"/>
      <c r="AH105" s="1164"/>
      <c r="AI105" s="1164"/>
      <c r="AJ105" s="1164"/>
      <c r="AK105" s="1165"/>
      <c r="AL105" s="1175"/>
      <c r="AM105" s="1164"/>
      <c r="AN105" s="1164"/>
      <c r="AO105" s="1164"/>
      <c r="AP105" s="1164"/>
      <c r="AQ105" s="1164"/>
      <c r="AR105" s="1164"/>
      <c r="AS105" s="1165"/>
    </row>
    <row r="106" spans="3:45">
      <c r="C106" s="1163">
        <f t="shared" si="2"/>
        <v>17</v>
      </c>
      <c r="D106" s="1164"/>
      <c r="E106" s="1164" t="s">
        <v>2098</v>
      </c>
      <c r="F106" s="1175"/>
      <c r="G106" s="1164"/>
      <c r="H106" s="1164"/>
      <c r="I106" s="1164"/>
      <c r="J106" s="1164"/>
      <c r="K106" s="1164"/>
      <c r="L106" s="1164"/>
      <c r="M106" s="1165"/>
      <c r="N106" s="1175"/>
      <c r="O106" s="1164"/>
      <c r="P106" s="1164"/>
      <c r="Q106" s="1164"/>
      <c r="R106" s="1164"/>
      <c r="S106" s="1164"/>
      <c r="T106" s="1164"/>
      <c r="U106" s="1165"/>
      <c r="V106" s="1175"/>
      <c r="W106" s="1164"/>
      <c r="X106" s="1164"/>
      <c r="Y106" s="1164"/>
      <c r="Z106" s="1164"/>
      <c r="AA106" s="1164"/>
      <c r="AB106" s="1164"/>
      <c r="AC106" s="1165"/>
      <c r="AD106" s="1175"/>
      <c r="AE106" s="1164"/>
      <c r="AF106" s="1164"/>
      <c r="AG106" s="1164"/>
      <c r="AH106" s="1164"/>
      <c r="AI106" s="1164"/>
      <c r="AJ106" s="1164"/>
      <c r="AK106" s="1165"/>
      <c r="AL106" s="1175"/>
      <c r="AM106" s="1164"/>
      <c r="AN106" s="1164"/>
      <c r="AO106" s="1164"/>
      <c r="AP106" s="1164"/>
      <c r="AQ106" s="1164"/>
      <c r="AR106" s="1164"/>
      <c r="AS106" s="1165"/>
    </row>
    <row r="107" spans="3:45">
      <c r="C107" s="1163">
        <f t="shared" si="2"/>
        <v>18</v>
      </c>
      <c r="D107" s="1164"/>
      <c r="E107" s="1164" t="s">
        <v>2099</v>
      </c>
      <c r="F107" s="1175"/>
      <c r="G107" s="1164"/>
      <c r="H107" s="1164"/>
      <c r="I107" s="1164"/>
      <c r="J107" s="1164"/>
      <c r="K107" s="1164"/>
      <c r="L107" s="1164"/>
      <c r="M107" s="1165"/>
      <c r="N107" s="1175"/>
      <c r="O107" s="1164"/>
      <c r="P107" s="1164"/>
      <c r="Q107" s="1164"/>
      <c r="R107" s="1164"/>
      <c r="S107" s="1164"/>
      <c r="T107" s="1164"/>
      <c r="U107" s="1165"/>
      <c r="V107" s="1175"/>
      <c r="W107" s="1164"/>
      <c r="X107" s="1164"/>
      <c r="Y107" s="1164"/>
      <c r="Z107" s="1164"/>
      <c r="AA107" s="1164"/>
      <c r="AB107" s="1164"/>
      <c r="AC107" s="1165"/>
      <c r="AD107" s="1175"/>
      <c r="AE107" s="1164"/>
      <c r="AF107" s="1164"/>
      <c r="AG107" s="1164"/>
      <c r="AH107" s="1164"/>
      <c r="AI107" s="1164"/>
      <c r="AJ107" s="1164"/>
      <c r="AK107" s="1165"/>
      <c r="AL107" s="1175"/>
      <c r="AM107" s="1164"/>
      <c r="AN107" s="1164"/>
      <c r="AO107" s="1164"/>
      <c r="AP107" s="1164"/>
      <c r="AQ107" s="1164"/>
      <c r="AR107" s="1164"/>
      <c r="AS107" s="1165"/>
    </row>
    <row r="108" spans="3:45">
      <c r="C108" s="1163">
        <f t="shared" si="2"/>
        <v>19</v>
      </c>
      <c r="D108" s="1164"/>
      <c r="E108" s="1164" t="s">
        <v>2100</v>
      </c>
      <c r="F108" s="1175"/>
      <c r="G108" s="1164"/>
      <c r="H108" s="1164"/>
      <c r="I108" s="1164"/>
      <c r="J108" s="1164"/>
      <c r="K108" s="1164"/>
      <c r="L108" s="1164"/>
      <c r="M108" s="1165"/>
      <c r="N108" s="1175"/>
      <c r="O108" s="1164"/>
      <c r="P108" s="1164"/>
      <c r="Q108" s="1164"/>
      <c r="R108" s="1164"/>
      <c r="S108" s="1164"/>
      <c r="T108" s="1164"/>
      <c r="U108" s="1165"/>
      <c r="V108" s="1175"/>
      <c r="W108" s="1164"/>
      <c r="X108" s="1164"/>
      <c r="Y108" s="1164"/>
      <c r="Z108" s="1164"/>
      <c r="AA108" s="1164"/>
      <c r="AB108" s="1164"/>
      <c r="AC108" s="1165"/>
      <c r="AD108" s="1175"/>
      <c r="AE108" s="1164"/>
      <c r="AF108" s="1164"/>
      <c r="AG108" s="1164"/>
      <c r="AH108" s="1164"/>
      <c r="AI108" s="1164"/>
      <c r="AJ108" s="1164"/>
      <c r="AK108" s="1165"/>
      <c r="AL108" s="1175"/>
      <c r="AM108" s="1164"/>
      <c r="AN108" s="1164"/>
      <c r="AO108" s="1164"/>
      <c r="AP108" s="1164"/>
      <c r="AQ108" s="1164"/>
      <c r="AR108" s="1164"/>
      <c r="AS108" s="1165"/>
    </row>
    <row r="109" spans="3:45">
      <c r="C109" s="1163">
        <f t="shared" si="2"/>
        <v>20</v>
      </c>
      <c r="D109" s="1164"/>
      <c r="E109" s="1164" t="s">
        <v>2101</v>
      </c>
      <c r="F109" s="1175"/>
      <c r="G109" s="1164"/>
      <c r="H109" s="1164"/>
      <c r="I109" s="1164"/>
      <c r="J109" s="1164"/>
      <c r="K109" s="1164"/>
      <c r="L109" s="1164"/>
      <c r="M109" s="1165"/>
      <c r="N109" s="1175"/>
      <c r="O109" s="1164"/>
      <c r="P109" s="1164"/>
      <c r="Q109" s="1164"/>
      <c r="R109" s="1164"/>
      <c r="S109" s="1164"/>
      <c r="T109" s="1164"/>
      <c r="U109" s="1165"/>
      <c r="V109" s="1175"/>
      <c r="W109" s="1164"/>
      <c r="X109" s="1164"/>
      <c r="Y109" s="1164"/>
      <c r="Z109" s="1164"/>
      <c r="AA109" s="1164"/>
      <c r="AB109" s="1164"/>
      <c r="AC109" s="1165"/>
      <c r="AD109" s="1175"/>
      <c r="AE109" s="1164"/>
      <c r="AF109" s="1164"/>
      <c r="AG109" s="1164"/>
      <c r="AH109" s="1164"/>
      <c r="AI109" s="1164"/>
      <c r="AJ109" s="1164"/>
      <c r="AK109" s="1165"/>
      <c r="AL109" s="1175"/>
      <c r="AM109" s="1164"/>
      <c r="AN109" s="1164"/>
      <c r="AO109" s="1164"/>
      <c r="AP109" s="1164"/>
      <c r="AQ109" s="1164"/>
      <c r="AR109" s="1164"/>
      <c r="AS109" s="1165"/>
    </row>
    <row r="110" spans="3:45">
      <c r="C110" s="1163">
        <f t="shared" si="2"/>
        <v>21</v>
      </c>
      <c r="D110" s="1164"/>
      <c r="E110" s="1164" t="s">
        <v>2102</v>
      </c>
      <c r="F110" s="1175"/>
      <c r="G110" s="1164"/>
      <c r="H110" s="1164"/>
      <c r="I110" s="1164"/>
      <c r="J110" s="1164"/>
      <c r="K110" s="1164"/>
      <c r="L110" s="1164"/>
      <c r="M110" s="1165"/>
      <c r="N110" s="1175"/>
      <c r="O110" s="1164"/>
      <c r="P110" s="1164"/>
      <c r="Q110" s="1164"/>
      <c r="R110" s="1164"/>
      <c r="S110" s="1164"/>
      <c r="T110" s="1164"/>
      <c r="U110" s="1165"/>
      <c r="V110" s="1175"/>
      <c r="W110" s="1164"/>
      <c r="X110" s="1164"/>
      <c r="Y110" s="1164"/>
      <c r="Z110" s="1164"/>
      <c r="AA110" s="1164"/>
      <c r="AB110" s="1164"/>
      <c r="AC110" s="1165"/>
      <c r="AD110" s="1175"/>
      <c r="AE110" s="1164"/>
      <c r="AF110" s="1164"/>
      <c r="AG110" s="1164"/>
      <c r="AH110" s="1164"/>
      <c r="AI110" s="1164"/>
      <c r="AJ110" s="1164"/>
      <c r="AK110" s="1165"/>
      <c r="AL110" s="1175"/>
      <c r="AM110" s="1164"/>
      <c r="AN110" s="1164"/>
      <c r="AO110" s="1164"/>
      <c r="AP110" s="1164"/>
      <c r="AQ110" s="1164"/>
      <c r="AR110" s="1164"/>
      <c r="AS110" s="1165"/>
    </row>
    <row r="111" spans="3:45">
      <c r="C111" s="1163">
        <f t="shared" si="2"/>
        <v>22</v>
      </c>
      <c r="D111" s="1164"/>
      <c r="E111" s="1164" t="s">
        <v>2103</v>
      </c>
      <c r="F111" s="1175"/>
      <c r="G111" s="1164"/>
      <c r="H111" s="1164"/>
      <c r="I111" s="1164"/>
      <c r="J111" s="1164"/>
      <c r="K111" s="1164"/>
      <c r="L111" s="1164"/>
      <c r="M111" s="1165"/>
      <c r="N111" s="1175"/>
      <c r="O111" s="1164"/>
      <c r="P111" s="1164"/>
      <c r="Q111" s="1164"/>
      <c r="R111" s="1164"/>
      <c r="S111" s="1164"/>
      <c r="T111" s="1164"/>
      <c r="U111" s="1165"/>
      <c r="V111" s="1175"/>
      <c r="W111" s="1164"/>
      <c r="X111" s="1164"/>
      <c r="Y111" s="1164"/>
      <c r="Z111" s="1164"/>
      <c r="AA111" s="1164"/>
      <c r="AB111" s="1164"/>
      <c r="AC111" s="1165"/>
      <c r="AD111" s="1175"/>
      <c r="AE111" s="1164"/>
      <c r="AF111" s="1164"/>
      <c r="AG111" s="1164"/>
      <c r="AH111" s="1164"/>
      <c r="AI111" s="1164"/>
      <c r="AJ111" s="1164"/>
      <c r="AK111" s="1165"/>
      <c r="AL111" s="1175"/>
      <c r="AM111" s="1164"/>
      <c r="AN111" s="1164"/>
      <c r="AO111" s="1164"/>
      <c r="AP111" s="1164"/>
      <c r="AQ111" s="1164"/>
      <c r="AR111" s="1164"/>
      <c r="AS111" s="1165"/>
    </row>
    <row r="112" spans="3:45">
      <c r="C112" s="1163">
        <f t="shared" si="2"/>
        <v>23</v>
      </c>
      <c r="D112" s="1164"/>
      <c r="E112" s="1164" t="s">
        <v>2104</v>
      </c>
      <c r="F112" s="1175"/>
      <c r="G112" s="1164"/>
      <c r="H112" s="1164"/>
      <c r="I112" s="1164"/>
      <c r="J112" s="1164"/>
      <c r="K112" s="1164"/>
      <c r="L112" s="1164"/>
      <c r="M112" s="1165"/>
      <c r="N112" s="1175"/>
      <c r="O112" s="1164"/>
      <c r="P112" s="1164"/>
      <c r="Q112" s="1164"/>
      <c r="R112" s="1164"/>
      <c r="S112" s="1164"/>
      <c r="T112" s="1164"/>
      <c r="U112" s="1165"/>
      <c r="V112" s="1175"/>
      <c r="W112" s="1164"/>
      <c r="X112" s="1164"/>
      <c r="Y112" s="1164"/>
      <c r="Z112" s="1164"/>
      <c r="AA112" s="1164"/>
      <c r="AB112" s="1164"/>
      <c r="AC112" s="1165"/>
      <c r="AD112" s="1175"/>
      <c r="AE112" s="1164"/>
      <c r="AF112" s="1164"/>
      <c r="AG112" s="1164"/>
      <c r="AH112" s="1164"/>
      <c r="AI112" s="1164"/>
      <c r="AJ112" s="1164"/>
      <c r="AK112" s="1165"/>
      <c r="AL112" s="1175"/>
      <c r="AM112" s="1164"/>
      <c r="AN112" s="1164"/>
      <c r="AO112" s="1164"/>
      <c r="AP112" s="1164"/>
      <c r="AQ112" s="1164"/>
      <c r="AR112" s="1164"/>
      <c r="AS112" s="1165"/>
    </row>
    <row r="113" spans="3:45">
      <c r="C113" s="1163">
        <f t="shared" si="2"/>
        <v>24</v>
      </c>
      <c r="D113" s="1164"/>
      <c r="E113" s="1164" t="s">
        <v>2105</v>
      </c>
      <c r="F113" s="1175"/>
      <c r="G113" s="1164"/>
      <c r="H113" s="1164"/>
      <c r="I113" s="1164"/>
      <c r="J113" s="1164"/>
      <c r="K113" s="1164"/>
      <c r="L113" s="1164"/>
      <c r="M113" s="1165"/>
      <c r="N113" s="1175"/>
      <c r="O113" s="1164"/>
      <c r="P113" s="1164"/>
      <c r="Q113" s="1164"/>
      <c r="R113" s="1164"/>
      <c r="S113" s="1164"/>
      <c r="T113" s="1164"/>
      <c r="U113" s="1165"/>
      <c r="V113" s="1175"/>
      <c r="W113" s="1164"/>
      <c r="X113" s="1164"/>
      <c r="Y113" s="1164"/>
      <c r="Z113" s="1164"/>
      <c r="AA113" s="1164"/>
      <c r="AB113" s="1164"/>
      <c r="AC113" s="1165"/>
      <c r="AD113" s="1175"/>
      <c r="AE113" s="1164"/>
      <c r="AF113" s="1164"/>
      <c r="AG113" s="1164"/>
      <c r="AH113" s="1164"/>
      <c r="AI113" s="1164"/>
      <c r="AJ113" s="1164"/>
      <c r="AK113" s="1165"/>
      <c r="AL113" s="1175"/>
      <c r="AM113" s="1164"/>
      <c r="AN113" s="1164"/>
      <c r="AO113" s="1164"/>
      <c r="AP113" s="1164"/>
      <c r="AQ113" s="1164"/>
      <c r="AR113" s="1164"/>
      <c r="AS113" s="1165"/>
    </row>
    <row r="114" spans="3:45">
      <c r="C114" s="1163">
        <f t="shared" si="2"/>
        <v>25</v>
      </c>
      <c r="D114" s="1164"/>
      <c r="E114" s="1164" t="s">
        <v>2106</v>
      </c>
      <c r="F114" s="1175"/>
      <c r="G114" s="1164"/>
      <c r="H114" s="1164"/>
      <c r="I114" s="1164"/>
      <c r="J114" s="1164"/>
      <c r="K114" s="1164"/>
      <c r="L114" s="1164"/>
      <c r="M114" s="1165"/>
      <c r="N114" s="1175"/>
      <c r="O114" s="1164"/>
      <c r="P114" s="1164"/>
      <c r="Q114" s="1164"/>
      <c r="R114" s="1164"/>
      <c r="S114" s="1164"/>
      <c r="T114" s="1164"/>
      <c r="U114" s="1165"/>
      <c r="V114" s="1175"/>
      <c r="W114" s="1164"/>
      <c r="X114" s="1164"/>
      <c r="Y114" s="1164"/>
      <c r="Z114" s="1164"/>
      <c r="AA114" s="1164"/>
      <c r="AB114" s="1164"/>
      <c r="AC114" s="1165"/>
      <c r="AD114" s="1175"/>
      <c r="AE114" s="1164"/>
      <c r="AF114" s="1164"/>
      <c r="AG114" s="1164"/>
      <c r="AH114" s="1164"/>
      <c r="AI114" s="1164"/>
      <c r="AJ114" s="1164"/>
      <c r="AK114" s="1165"/>
      <c r="AL114" s="1175"/>
      <c r="AM114" s="1164"/>
      <c r="AN114" s="1164"/>
      <c r="AO114" s="1164"/>
      <c r="AP114" s="1164"/>
      <c r="AQ114" s="1164"/>
      <c r="AR114" s="1164"/>
      <c r="AS114" s="1165"/>
    </row>
    <row r="115" spans="3:45">
      <c r="C115" s="1163">
        <f t="shared" si="2"/>
        <v>26</v>
      </c>
      <c r="D115" s="1164"/>
      <c r="E115" s="1164" t="s">
        <v>2107</v>
      </c>
      <c r="F115" s="1175"/>
      <c r="G115" s="1164"/>
      <c r="H115" s="1164"/>
      <c r="I115" s="1164"/>
      <c r="J115" s="1164"/>
      <c r="K115" s="1164"/>
      <c r="L115" s="1164"/>
      <c r="M115" s="1165"/>
      <c r="N115" s="1175"/>
      <c r="O115" s="1164"/>
      <c r="P115" s="1164"/>
      <c r="Q115" s="1164"/>
      <c r="R115" s="1164"/>
      <c r="S115" s="1164"/>
      <c r="T115" s="1164"/>
      <c r="U115" s="1165"/>
      <c r="V115" s="1175"/>
      <c r="W115" s="1164"/>
      <c r="X115" s="1164"/>
      <c r="Y115" s="1164"/>
      <c r="Z115" s="1164"/>
      <c r="AA115" s="1164"/>
      <c r="AB115" s="1164"/>
      <c r="AC115" s="1165"/>
      <c r="AD115" s="1175"/>
      <c r="AE115" s="1164"/>
      <c r="AF115" s="1164"/>
      <c r="AG115" s="1164"/>
      <c r="AH115" s="1164"/>
      <c r="AI115" s="1164"/>
      <c r="AJ115" s="1164"/>
      <c r="AK115" s="1165"/>
      <c r="AL115" s="1175"/>
      <c r="AM115" s="1164"/>
      <c r="AN115" s="1164"/>
      <c r="AO115" s="1164"/>
      <c r="AP115" s="1164"/>
      <c r="AQ115" s="1164"/>
      <c r="AR115" s="1164"/>
      <c r="AS115" s="1165"/>
    </row>
    <row r="116" spans="3:45">
      <c r="C116" s="1163">
        <f t="shared" si="2"/>
        <v>27</v>
      </c>
      <c r="D116" s="1164"/>
      <c r="E116" s="1164" t="s">
        <v>2108</v>
      </c>
      <c r="F116" s="1175"/>
      <c r="G116" s="1164"/>
      <c r="H116" s="1164"/>
      <c r="I116" s="1164"/>
      <c r="J116" s="1164"/>
      <c r="K116" s="1164"/>
      <c r="L116" s="1164"/>
      <c r="M116" s="1165"/>
      <c r="N116" s="1175"/>
      <c r="O116" s="1164"/>
      <c r="P116" s="1164"/>
      <c r="Q116" s="1164"/>
      <c r="R116" s="1164"/>
      <c r="S116" s="1164"/>
      <c r="T116" s="1164"/>
      <c r="U116" s="1165"/>
      <c r="V116" s="1175"/>
      <c r="W116" s="1164"/>
      <c r="X116" s="1164"/>
      <c r="Y116" s="1164"/>
      <c r="Z116" s="1164"/>
      <c r="AA116" s="1164"/>
      <c r="AB116" s="1164"/>
      <c r="AC116" s="1165"/>
      <c r="AD116" s="1175"/>
      <c r="AE116" s="1164"/>
      <c r="AF116" s="1164"/>
      <c r="AG116" s="1164"/>
      <c r="AH116" s="1164"/>
      <c r="AI116" s="1164"/>
      <c r="AJ116" s="1164"/>
      <c r="AK116" s="1165"/>
      <c r="AL116" s="1175"/>
      <c r="AM116" s="1164"/>
      <c r="AN116" s="1164"/>
      <c r="AO116" s="1164"/>
      <c r="AP116" s="1164"/>
      <c r="AQ116" s="1164"/>
      <c r="AR116" s="1164"/>
      <c r="AS116" s="1165"/>
    </row>
    <row r="117" spans="3:45">
      <c r="C117" s="1163">
        <f t="shared" si="2"/>
        <v>28</v>
      </c>
      <c r="D117" s="1164"/>
      <c r="E117" s="1164" t="s">
        <v>2109</v>
      </c>
      <c r="F117" s="1175"/>
      <c r="G117" s="1164"/>
      <c r="H117" s="1164"/>
      <c r="I117" s="1164"/>
      <c r="J117" s="1164"/>
      <c r="K117" s="1164"/>
      <c r="L117" s="1164"/>
      <c r="M117" s="1165"/>
      <c r="N117" s="1175"/>
      <c r="O117" s="1164"/>
      <c r="P117" s="1164"/>
      <c r="Q117" s="1164"/>
      <c r="R117" s="1164"/>
      <c r="S117" s="1164"/>
      <c r="T117" s="1164"/>
      <c r="U117" s="1165"/>
      <c r="V117" s="1175"/>
      <c r="W117" s="1164"/>
      <c r="X117" s="1164"/>
      <c r="Y117" s="1164"/>
      <c r="Z117" s="1164"/>
      <c r="AA117" s="1164"/>
      <c r="AB117" s="1164"/>
      <c r="AC117" s="1165"/>
      <c r="AD117" s="1175"/>
      <c r="AE117" s="1164"/>
      <c r="AF117" s="1164"/>
      <c r="AG117" s="1164"/>
      <c r="AH117" s="1164"/>
      <c r="AI117" s="1164"/>
      <c r="AJ117" s="1164"/>
      <c r="AK117" s="1165"/>
      <c r="AL117" s="1175"/>
      <c r="AM117" s="1164"/>
      <c r="AN117" s="1164"/>
      <c r="AO117" s="1164"/>
      <c r="AP117" s="1164"/>
      <c r="AQ117" s="1164"/>
      <c r="AR117" s="1164"/>
      <c r="AS117" s="1165"/>
    </row>
    <row r="118" spans="3:45">
      <c r="C118" s="1163">
        <f t="shared" si="2"/>
        <v>29</v>
      </c>
      <c r="D118" s="1164"/>
      <c r="E118" s="1164" t="s">
        <v>2110</v>
      </c>
      <c r="F118" s="1175"/>
      <c r="G118" s="1164"/>
      <c r="H118" s="1164"/>
      <c r="I118" s="1164"/>
      <c r="J118" s="1164"/>
      <c r="K118" s="1164"/>
      <c r="L118" s="1164"/>
      <c r="M118" s="1165"/>
      <c r="N118" s="1175"/>
      <c r="O118" s="1164"/>
      <c r="P118" s="1164"/>
      <c r="Q118" s="1164"/>
      <c r="R118" s="1164"/>
      <c r="S118" s="1164"/>
      <c r="T118" s="1164"/>
      <c r="U118" s="1165"/>
      <c r="V118" s="1175"/>
      <c r="W118" s="1164"/>
      <c r="X118" s="1164"/>
      <c r="Y118" s="1164"/>
      <c r="Z118" s="1164"/>
      <c r="AA118" s="1164"/>
      <c r="AB118" s="1164"/>
      <c r="AC118" s="1165"/>
      <c r="AD118" s="1175"/>
      <c r="AE118" s="1164"/>
      <c r="AF118" s="1164"/>
      <c r="AG118" s="1164"/>
      <c r="AH118" s="1164"/>
      <c r="AI118" s="1164"/>
      <c r="AJ118" s="1164"/>
      <c r="AK118" s="1165"/>
      <c r="AL118" s="1175"/>
      <c r="AM118" s="1164"/>
      <c r="AN118" s="1164"/>
      <c r="AO118" s="1164"/>
      <c r="AP118" s="1164"/>
      <c r="AQ118" s="1164"/>
      <c r="AR118" s="1164"/>
      <c r="AS118" s="1165"/>
    </row>
    <row r="119" spans="3:45">
      <c r="C119" s="1166">
        <f t="shared" si="2"/>
        <v>30</v>
      </c>
      <c r="D119" s="1167"/>
      <c r="E119" s="1167" t="s">
        <v>2111</v>
      </c>
      <c r="F119" s="1176"/>
      <c r="G119" s="1167"/>
      <c r="H119" s="1167"/>
      <c r="I119" s="1167"/>
      <c r="J119" s="1167"/>
      <c r="K119" s="1167"/>
      <c r="L119" s="1167"/>
      <c r="M119" s="1168"/>
      <c r="N119" s="1176"/>
      <c r="O119" s="1167"/>
      <c r="P119" s="1167"/>
      <c r="Q119" s="1167"/>
      <c r="R119" s="1167"/>
      <c r="S119" s="1167"/>
      <c r="T119" s="1167"/>
      <c r="U119" s="1168"/>
      <c r="V119" s="1176"/>
      <c r="W119" s="1167"/>
      <c r="X119" s="1167"/>
      <c r="Y119" s="1167"/>
      <c r="Z119" s="1167"/>
      <c r="AA119" s="1167"/>
      <c r="AB119" s="1167"/>
      <c r="AC119" s="1168"/>
      <c r="AD119" s="1176"/>
      <c r="AE119" s="1167"/>
      <c r="AF119" s="1167"/>
      <c r="AG119" s="1167"/>
      <c r="AH119" s="1167"/>
      <c r="AI119" s="1167"/>
      <c r="AJ119" s="1167"/>
      <c r="AK119" s="1168"/>
      <c r="AL119" s="1176"/>
      <c r="AM119" s="1167"/>
      <c r="AN119" s="1167"/>
      <c r="AO119" s="1167"/>
      <c r="AP119" s="1167"/>
      <c r="AQ119" s="1167"/>
      <c r="AR119" s="1167"/>
      <c r="AS119" s="1168"/>
    </row>
    <row r="120" spans="3:45">
      <c r="C120" s="1160"/>
      <c r="D120" s="1160"/>
      <c r="E120" s="1160"/>
      <c r="F120" s="1160"/>
      <c r="G120" s="1160"/>
      <c r="H120" s="1160"/>
      <c r="I120" s="1160"/>
      <c r="J120" s="1160"/>
      <c r="K120" s="1160"/>
      <c r="L120" s="1160"/>
      <c r="M120" s="1160"/>
      <c r="N120" s="1160"/>
      <c r="O120" s="1160"/>
      <c r="P120" s="1160"/>
      <c r="Q120" s="1160"/>
      <c r="R120" s="1160"/>
      <c r="S120" s="1160"/>
      <c r="T120" s="1160"/>
      <c r="U120" s="1160"/>
      <c r="V120" s="1160"/>
      <c r="W120" s="1160"/>
      <c r="X120" s="1160"/>
      <c r="Y120" s="1160"/>
      <c r="Z120" s="1160"/>
      <c r="AA120" s="1160"/>
      <c r="AB120" s="1160"/>
      <c r="AC120" s="1160"/>
      <c r="AD120" s="1160"/>
      <c r="AE120" s="1160"/>
      <c r="AF120" s="1160"/>
      <c r="AG120" s="1160"/>
      <c r="AH120" s="1160"/>
      <c r="AI120" s="1160"/>
      <c r="AJ120" s="1160"/>
      <c r="AK120" s="1160"/>
      <c r="AL120" s="1160"/>
    </row>
    <row r="121" spans="3:45">
      <c r="C121" s="1189" t="s">
        <v>1914</v>
      </c>
      <c r="D121" s="1189"/>
      <c r="E121" s="1189"/>
      <c r="F121" s="1189"/>
      <c r="G121" s="1189"/>
      <c r="H121" s="1189"/>
      <c r="I121" s="1189"/>
      <c r="J121" s="1189"/>
      <c r="K121" s="1189"/>
      <c r="L121" s="1189"/>
      <c r="M121" s="1189"/>
      <c r="N121" s="1189"/>
      <c r="O121" s="1189"/>
      <c r="P121" s="1189"/>
      <c r="Q121" s="1189"/>
      <c r="R121" s="1189"/>
      <c r="S121" s="1189"/>
      <c r="T121" s="1189"/>
      <c r="U121" s="1189"/>
      <c r="V121" s="1189"/>
      <c r="W121" s="1189"/>
      <c r="X121" s="1189"/>
      <c r="Y121" s="1189"/>
      <c r="Z121" s="1189"/>
      <c r="AA121" s="1189"/>
      <c r="AB121" s="1160"/>
      <c r="AC121" s="1160"/>
      <c r="AD121" s="1160"/>
      <c r="AE121" s="1160"/>
      <c r="AF121" s="1160"/>
      <c r="AG121" s="1160"/>
      <c r="AH121" s="1160"/>
      <c r="AI121" s="1160"/>
      <c r="AJ121" s="1160"/>
      <c r="AK121" s="1160"/>
      <c r="AL121" s="1160"/>
    </row>
    <row r="122" spans="3:45" ht="15.6" customHeight="1">
      <c r="C122" s="1194" t="s">
        <v>1861</v>
      </c>
      <c r="D122" s="1195" t="s">
        <v>93</v>
      </c>
      <c r="E122" s="1195" t="s">
        <v>94</v>
      </c>
      <c r="F122" s="1862" t="s">
        <v>1400</v>
      </c>
      <c r="G122" s="1862"/>
      <c r="H122" s="1862"/>
      <c r="I122" s="1862"/>
      <c r="J122" s="1862"/>
      <c r="K122" s="1862"/>
      <c r="L122" s="1862"/>
      <c r="M122" s="1863"/>
      <c r="N122" s="1862" t="s">
        <v>1401</v>
      </c>
      <c r="O122" s="1862"/>
      <c r="P122" s="1862"/>
      <c r="Q122" s="1862"/>
      <c r="R122" s="1862"/>
      <c r="S122" s="1862"/>
      <c r="T122" s="1862"/>
      <c r="U122" s="1863"/>
      <c r="V122" s="1862" t="s">
        <v>1913</v>
      </c>
      <c r="W122" s="1862"/>
      <c r="X122" s="1862"/>
      <c r="Y122" s="1862"/>
      <c r="Z122" s="1862"/>
      <c r="AA122" s="1863"/>
    </row>
    <row r="123" spans="3:45">
      <c r="C123" s="1177"/>
      <c r="D123" s="1178"/>
      <c r="E123" s="1178"/>
      <c r="F123" s="1179" t="s">
        <v>139</v>
      </c>
      <c r="G123" s="1179" t="s">
        <v>137</v>
      </c>
      <c r="H123" s="1179" t="s">
        <v>134</v>
      </c>
      <c r="I123" s="1179" t="s">
        <v>131</v>
      </c>
      <c r="J123" s="1179" t="s">
        <v>129</v>
      </c>
      <c r="K123" s="1179" t="s">
        <v>1424</v>
      </c>
      <c r="L123" s="1179" t="s">
        <v>1425</v>
      </c>
      <c r="M123" s="1172" t="s">
        <v>1418</v>
      </c>
      <c r="N123" s="1179" t="s">
        <v>139</v>
      </c>
      <c r="O123" s="1179" t="s">
        <v>137</v>
      </c>
      <c r="P123" s="1179" t="s">
        <v>134</v>
      </c>
      <c r="Q123" s="1179" t="s">
        <v>131</v>
      </c>
      <c r="R123" s="1179" t="s">
        <v>129</v>
      </c>
      <c r="S123" s="1179" t="s">
        <v>1424</v>
      </c>
      <c r="T123" s="1179" t="s">
        <v>1425</v>
      </c>
      <c r="U123" s="1172" t="s">
        <v>1418</v>
      </c>
      <c r="V123" s="1179" t="s">
        <v>134</v>
      </c>
      <c r="W123" s="1179" t="s">
        <v>131</v>
      </c>
      <c r="X123" s="1179" t="s">
        <v>129</v>
      </c>
      <c r="Y123" s="1179" t="s">
        <v>1424</v>
      </c>
      <c r="Z123" s="1179" t="s">
        <v>1425</v>
      </c>
      <c r="AA123" s="1172" t="s">
        <v>1418</v>
      </c>
    </row>
    <row r="124" spans="3:45">
      <c r="C124" s="1163">
        <f t="shared" ref="C124:E153" si="3">C22</f>
        <v>1</v>
      </c>
      <c r="D124" s="1180">
        <f t="shared" si="3"/>
        <v>0</v>
      </c>
      <c r="E124" s="1180" t="str">
        <f t="shared" si="3"/>
        <v>Comp 1</v>
      </c>
      <c r="F124" s="1164"/>
      <c r="G124" s="1164"/>
      <c r="H124" s="1164"/>
      <c r="I124" s="1164"/>
      <c r="J124" s="1164"/>
      <c r="K124" s="1164"/>
      <c r="L124" s="1164"/>
      <c r="M124" s="1165"/>
      <c r="N124" s="1164"/>
      <c r="O124" s="1164"/>
      <c r="P124" s="1164"/>
      <c r="Q124" s="1164"/>
      <c r="R124" s="1164"/>
      <c r="S124" s="1164"/>
      <c r="T124" s="1164"/>
      <c r="U124" s="1165"/>
      <c r="V124" s="1164"/>
      <c r="W124" s="1164"/>
      <c r="X124" s="1164"/>
      <c r="Y124" s="1164"/>
      <c r="Z124" s="1164"/>
      <c r="AA124" s="1165"/>
    </row>
    <row r="125" spans="3:45">
      <c r="C125" s="1163">
        <f t="shared" si="3"/>
        <v>2</v>
      </c>
      <c r="D125" s="1180">
        <f t="shared" si="3"/>
        <v>0</v>
      </c>
      <c r="E125" s="1180" t="str">
        <f t="shared" si="3"/>
        <v>Comp 2</v>
      </c>
      <c r="F125" s="1164"/>
      <c r="G125" s="1164"/>
      <c r="H125" s="1164"/>
      <c r="I125" s="1164"/>
      <c r="J125" s="1164"/>
      <c r="K125" s="1164"/>
      <c r="L125" s="1164"/>
      <c r="M125" s="1165"/>
      <c r="N125" s="1164"/>
      <c r="O125" s="1164"/>
      <c r="P125" s="1164"/>
      <c r="Q125" s="1164"/>
      <c r="R125" s="1164"/>
      <c r="S125" s="1164"/>
      <c r="T125" s="1164"/>
      <c r="U125" s="1165"/>
      <c r="V125" s="1164"/>
      <c r="W125" s="1164"/>
      <c r="X125" s="1164"/>
      <c r="Y125" s="1164"/>
      <c r="Z125" s="1164"/>
      <c r="AA125" s="1165"/>
    </row>
    <row r="126" spans="3:45">
      <c r="C126" s="1163">
        <f t="shared" si="3"/>
        <v>3</v>
      </c>
      <c r="D126" s="1180">
        <f t="shared" si="3"/>
        <v>0</v>
      </c>
      <c r="E126" s="1180" t="str">
        <f t="shared" si="3"/>
        <v>Comp 3</v>
      </c>
      <c r="F126" s="1164"/>
      <c r="G126" s="1164"/>
      <c r="H126" s="1164"/>
      <c r="I126" s="1164"/>
      <c r="J126" s="1164"/>
      <c r="K126" s="1164"/>
      <c r="L126" s="1164"/>
      <c r="M126" s="1165"/>
      <c r="N126" s="1164"/>
      <c r="O126" s="1164"/>
      <c r="P126" s="1164"/>
      <c r="Q126" s="1164"/>
      <c r="R126" s="1164"/>
      <c r="S126" s="1164"/>
      <c r="T126" s="1164"/>
      <c r="U126" s="1165"/>
      <c r="V126" s="1164"/>
      <c r="W126" s="1164"/>
      <c r="X126" s="1164"/>
      <c r="Y126" s="1164"/>
      <c r="Z126" s="1164"/>
      <c r="AA126" s="1165"/>
    </row>
    <row r="127" spans="3:45">
      <c r="C127" s="1163">
        <f t="shared" si="3"/>
        <v>4</v>
      </c>
      <c r="D127" s="1180">
        <f t="shared" si="3"/>
        <v>0</v>
      </c>
      <c r="E127" s="1180" t="str">
        <f t="shared" si="3"/>
        <v>Comp 4</v>
      </c>
      <c r="F127" s="1164"/>
      <c r="G127" s="1164"/>
      <c r="H127" s="1164"/>
      <c r="I127" s="1164"/>
      <c r="J127" s="1164"/>
      <c r="K127" s="1164"/>
      <c r="L127" s="1164"/>
      <c r="M127" s="1165"/>
      <c r="N127" s="1164"/>
      <c r="O127" s="1164"/>
      <c r="P127" s="1164"/>
      <c r="Q127" s="1164"/>
      <c r="R127" s="1164"/>
      <c r="S127" s="1164"/>
      <c r="T127" s="1164"/>
      <c r="U127" s="1165"/>
      <c r="V127" s="1164"/>
      <c r="W127" s="1164"/>
      <c r="X127" s="1164"/>
      <c r="Y127" s="1164"/>
      <c r="Z127" s="1164"/>
      <c r="AA127" s="1165"/>
    </row>
    <row r="128" spans="3:45">
      <c r="C128" s="1163">
        <f t="shared" si="3"/>
        <v>5</v>
      </c>
      <c r="D128" s="1180">
        <f t="shared" si="3"/>
        <v>0</v>
      </c>
      <c r="E128" s="1180" t="str">
        <f t="shared" si="3"/>
        <v>Comp 5</v>
      </c>
      <c r="F128" s="1164"/>
      <c r="G128" s="1164"/>
      <c r="H128" s="1164"/>
      <c r="I128" s="1164"/>
      <c r="J128" s="1164"/>
      <c r="K128" s="1164"/>
      <c r="L128" s="1164"/>
      <c r="M128" s="1165"/>
      <c r="N128" s="1164"/>
      <c r="O128" s="1164"/>
      <c r="P128" s="1164"/>
      <c r="Q128" s="1164"/>
      <c r="R128" s="1164"/>
      <c r="S128" s="1164"/>
      <c r="T128" s="1164"/>
      <c r="U128" s="1165"/>
      <c r="V128" s="1164"/>
      <c r="W128" s="1164"/>
      <c r="X128" s="1164"/>
      <c r="Y128" s="1164"/>
      <c r="Z128" s="1164"/>
      <c r="AA128" s="1165"/>
    </row>
    <row r="129" spans="3:27">
      <c r="C129" s="1163">
        <f t="shared" si="3"/>
        <v>6</v>
      </c>
      <c r="D129" s="1180">
        <f t="shared" si="3"/>
        <v>0</v>
      </c>
      <c r="E129" s="1180" t="str">
        <f t="shared" si="3"/>
        <v>Comp 6</v>
      </c>
      <c r="F129" s="1164"/>
      <c r="G129" s="1164"/>
      <c r="H129" s="1164"/>
      <c r="I129" s="1164"/>
      <c r="J129" s="1164"/>
      <c r="K129" s="1164"/>
      <c r="L129" s="1164"/>
      <c r="M129" s="1165"/>
      <c r="N129" s="1164"/>
      <c r="O129" s="1164"/>
      <c r="P129" s="1164"/>
      <c r="Q129" s="1164"/>
      <c r="R129" s="1164"/>
      <c r="S129" s="1164"/>
      <c r="T129" s="1164"/>
      <c r="U129" s="1165"/>
      <c r="V129" s="1164"/>
      <c r="W129" s="1164"/>
      <c r="X129" s="1164"/>
      <c r="Y129" s="1164"/>
      <c r="Z129" s="1164"/>
      <c r="AA129" s="1165"/>
    </row>
    <row r="130" spans="3:27">
      <c r="C130" s="1163">
        <f t="shared" si="3"/>
        <v>7</v>
      </c>
      <c r="D130" s="1180">
        <f t="shared" si="3"/>
        <v>0</v>
      </c>
      <c r="E130" s="1180" t="str">
        <f t="shared" si="3"/>
        <v>Comp 7</v>
      </c>
      <c r="F130" s="1164"/>
      <c r="G130" s="1164"/>
      <c r="H130" s="1164"/>
      <c r="I130" s="1164"/>
      <c r="J130" s="1164"/>
      <c r="K130" s="1164"/>
      <c r="L130" s="1164"/>
      <c r="M130" s="1165"/>
      <c r="N130" s="1164"/>
      <c r="O130" s="1164"/>
      <c r="P130" s="1164"/>
      <c r="Q130" s="1164"/>
      <c r="R130" s="1164"/>
      <c r="S130" s="1164"/>
      <c r="T130" s="1164"/>
      <c r="U130" s="1165"/>
      <c r="V130" s="1164"/>
      <c r="W130" s="1164"/>
      <c r="X130" s="1164"/>
      <c r="Y130" s="1164"/>
      <c r="Z130" s="1164"/>
      <c r="AA130" s="1165"/>
    </row>
    <row r="131" spans="3:27">
      <c r="C131" s="1163">
        <f t="shared" si="3"/>
        <v>8</v>
      </c>
      <c r="D131" s="1180">
        <f t="shared" si="3"/>
        <v>0</v>
      </c>
      <c r="E131" s="1180" t="str">
        <f t="shared" si="3"/>
        <v>Comp 8</v>
      </c>
      <c r="F131" s="1164"/>
      <c r="G131" s="1164"/>
      <c r="H131" s="1164"/>
      <c r="I131" s="1164"/>
      <c r="J131" s="1164"/>
      <c r="K131" s="1164"/>
      <c r="L131" s="1164"/>
      <c r="M131" s="1165"/>
      <c r="N131" s="1164"/>
      <c r="O131" s="1164"/>
      <c r="P131" s="1164"/>
      <c r="Q131" s="1164"/>
      <c r="R131" s="1164"/>
      <c r="S131" s="1164"/>
      <c r="T131" s="1164"/>
      <c r="U131" s="1165"/>
      <c r="V131" s="1164"/>
      <c r="W131" s="1164"/>
      <c r="X131" s="1164"/>
      <c r="Y131" s="1164"/>
      <c r="Z131" s="1164"/>
      <c r="AA131" s="1165"/>
    </row>
    <row r="132" spans="3:27">
      <c r="C132" s="1163">
        <f t="shared" si="3"/>
        <v>9</v>
      </c>
      <c r="D132" s="1180">
        <f t="shared" si="3"/>
        <v>0</v>
      </c>
      <c r="E132" s="1180" t="str">
        <f t="shared" si="3"/>
        <v>Comp 9</v>
      </c>
      <c r="F132" s="1164"/>
      <c r="G132" s="1164"/>
      <c r="H132" s="1164"/>
      <c r="I132" s="1164"/>
      <c r="J132" s="1164"/>
      <c r="K132" s="1164"/>
      <c r="L132" s="1164"/>
      <c r="M132" s="1165"/>
      <c r="N132" s="1164"/>
      <c r="O132" s="1164"/>
      <c r="P132" s="1164"/>
      <c r="Q132" s="1164"/>
      <c r="R132" s="1164"/>
      <c r="S132" s="1164"/>
      <c r="T132" s="1164"/>
      <c r="U132" s="1165"/>
      <c r="V132" s="1164"/>
      <c r="W132" s="1164"/>
      <c r="X132" s="1164"/>
      <c r="Y132" s="1164"/>
      <c r="Z132" s="1164"/>
      <c r="AA132" s="1165"/>
    </row>
    <row r="133" spans="3:27">
      <c r="C133" s="1163">
        <f t="shared" si="3"/>
        <v>10</v>
      </c>
      <c r="D133" s="1180">
        <f t="shared" si="3"/>
        <v>0</v>
      </c>
      <c r="E133" s="1180" t="str">
        <f t="shared" si="3"/>
        <v>Comp 10</v>
      </c>
      <c r="F133" s="1164"/>
      <c r="G133" s="1164"/>
      <c r="H133" s="1164"/>
      <c r="I133" s="1164"/>
      <c r="J133" s="1164"/>
      <c r="K133" s="1164"/>
      <c r="L133" s="1164"/>
      <c r="M133" s="1165"/>
      <c r="N133" s="1164"/>
      <c r="O133" s="1164"/>
      <c r="P133" s="1164"/>
      <c r="Q133" s="1164"/>
      <c r="R133" s="1164"/>
      <c r="S133" s="1164"/>
      <c r="T133" s="1164"/>
      <c r="U133" s="1165"/>
      <c r="V133" s="1164"/>
      <c r="W133" s="1164"/>
      <c r="X133" s="1164"/>
      <c r="Y133" s="1164"/>
      <c r="Z133" s="1164"/>
      <c r="AA133" s="1165"/>
    </row>
    <row r="134" spans="3:27">
      <c r="C134" s="1163">
        <f t="shared" si="3"/>
        <v>11</v>
      </c>
      <c r="D134" s="1180">
        <f t="shared" si="3"/>
        <v>0</v>
      </c>
      <c r="E134" s="1180" t="str">
        <f t="shared" si="3"/>
        <v>Comp 11</v>
      </c>
      <c r="F134" s="1164"/>
      <c r="G134" s="1164"/>
      <c r="H134" s="1164"/>
      <c r="I134" s="1164"/>
      <c r="J134" s="1164"/>
      <c r="K134" s="1164"/>
      <c r="L134" s="1164"/>
      <c r="M134" s="1165"/>
      <c r="N134" s="1164"/>
      <c r="O134" s="1164"/>
      <c r="P134" s="1164"/>
      <c r="Q134" s="1164"/>
      <c r="R134" s="1164"/>
      <c r="S134" s="1164"/>
      <c r="T134" s="1164"/>
      <c r="U134" s="1165"/>
      <c r="V134" s="1164"/>
      <c r="W134" s="1164"/>
      <c r="X134" s="1164"/>
      <c r="Y134" s="1164"/>
      <c r="Z134" s="1164"/>
      <c r="AA134" s="1165"/>
    </row>
    <row r="135" spans="3:27">
      <c r="C135" s="1163">
        <f t="shared" si="3"/>
        <v>12</v>
      </c>
      <c r="D135" s="1180">
        <f t="shared" si="3"/>
        <v>0</v>
      </c>
      <c r="E135" s="1180" t="str">
        <f t="shared" si="3"/>
        <v>Comp 12</v>
      </c>
      <c r="F135" s="1164"/>
      <c r="G135" s="1164"/>
      <c r="H135" s="1164"/>
      <c r="I135" s="1164"/>
      <c r="J135" s="1164"/>
      <c r="K135" s="1164"/>
      <c r="L135" s="1164"/>
      <c r="M135" s="1165"/>
      <c r="N135" s="1164"/>
      <c r="O135" s="1164"/>
      <c r="P135" s="1164"/>
      <c r="Q135" s="1164"/>
      <c r="R135" s="1164"/>
      <c r="S135" s="1164"/>
      <c r="T135" s="1164"/>
      <c r="U135" s="1165"/>
      <c r="V135" s="1164"/>
      <c r="W135" s="1164"/>
      <c r="X135" s="1164"/>
      <c r="Y135" s="1164"/>
      <c r="Z135" s="1164"/>
      <c r="AA135" s="1165"/>
    </row>
    <row r="136" spans="3:27">
      <c r="C136" s="1163">
        <f t="shared" si="3"/>
        <v>13</v>
      </c>
      <c r="D136" s="1180">
        <f t="shared" si="3"/>
        <v>0</v>
      </c>
      <c r="E136" s="1180" t="str">
        <f t="shared" si="3"/>
        <v>Comp 13</v>
      </c>
      <c r="F136" s="1164"/>
      <c r="G136" s="1164"/>
      <c r="H136" s="1164"/>
      <c r="I136" s="1164"/>
      <c r="J136" s="1164"/>
      <c r="K136" s="1164"/>
      <c r="L136" s="1164"/>
      <c r="M136" s="1165"/>
      <c r="N136" s="1164"/>
      <c r="O136" s="1164"/>
      <c r="P136" s="1164"/>
      <c r="Q136" s="1164"/>
      <c r="R136" s="1164"/>
      <c r="S136" s="1164"/>
      <c r="T136" s="1164"/>
      <c r="U136" s="1165"/>
      <c r="V136" s="1164"/>
      <c r="W136" s="1164"/>
      <c r="X136" s="1164"/>
      <c r="Y136" s="1164"/>
      <c r="Z136" s="1164"/>
      <c r="AA136" s="1165"/>
    </row>
    <row r="137" spans="3:27">
      <c r="C137" s="1163">
        <f t="shared" si="3"/>
        <v>14</v>
      </c>
      <c r="D137" s="1180">
        <f t="shared" si="3"/>
        <v>0</v>
      </c>
      <c r="E137" s="1180" t="str">
        <f t="shared" si="3"/>
        <v>Comp 14</v>
      </c>
      <c r="F137" s="1164"/>
      <c r="G137" s="1164"/>
      <c r="H137" s="1164"/>
      <c r="I137" s="1164"/>
      <c r="J137" s="1164"/>
      <c r="K137" s="1164"/>
      <c r="L137" s="1164"/>
      <c r="M137" s="1165"/>
      <c r="N137" s="1164"/>
      <c r="O137" s="1164"/>
      <c r="P137" s="1164"/>
      <c r="Q137" s="1164"/>
      <c r="R137" s="1164"/>
      <c r="S137" s="1164"/>
      <c r="T137" s="1164"/>
      <c r="U137" s="1165"/>
      <c r="V137" s="1164"/>
      <c r="W137" s="1164"/>
      <c r="X137" s="1164"/>
      <c r="Y137" s="1164"/>
      <c r="Z137" s="1164"/>
      <c r="AA137" s="1165"/>
    </row>
    <row r="138" spans="3:27">
      <c r="C138" s="1163">
        <f t="shared" si="3"/>
        <v>15</v>
      </c>
      <c r="D138" s="1180">
        <f t="shared" si="3"/>
        <v>0</v>
      </c>
      <c r="E138" s="1180" t="str">
        <f t="shared" si="3"/>
        <v>Comp 15</v>
      </c>
      <c r="F138" s="1164"/>
      <c r="G138" s="1164"/>
      <c r="H138" s="1164"/>
      <c r="I138" s="1164"/>
      <c r="J138" s="1164"/>
      <c r="K138" s="1164"/>
      <c r="L138" s="1164"/>
      <c r="M138" s="1165"/>
      <c r="N138" s="1164"/>
      <c r="O138" s="1164"/>
      <c r="P138" s="1164"/>
      <c r="Q138" s="1164"/>
      <c r="R138" s="1164"/>
      <c r="S138" s="1164"/>
      <c r="T138" s="1164"/>
      <c r="U138" s="1165"/>
      <c r="V138" s="1164"/>
      <c r="W138" s="1164"/>
      <c r="X138" s="1164"/>
      <c r="Y138" s="1164"/>
      <c r="Z138" s="1164"/>
      <c r="AA138" s="1165"/>
    </row>
    <row r="139" spans="3:27">
      <c r="C139" s="1163">
        <f t="shared" si="3"/>
        <v>16</v>
      </c>
      <c r="D139" s="1180">
        <f t="shared" si="3"/>
        <v>0</v>
      </c>
      <c r="E139" s="1180" t="str">
        <f t="shared" si="3"/>
        <v>Comp 16</v>
      </c>
      <c r="F139" s="1164"/>
      <c r="G139" s="1164"/>
      <c r="H139" s="1164"/>
      <c r="I139" s="1164"/>
      <c r="J139" s="1164"/>
      <c r="K139" s="1164"/>
      <c r="L139" s="1164"/>
      <c r="M139" s="1165"/>
      <c r="N139" s="1164"/>
      <c r="O139" s="1164"/>
      <c r="P139" s="1164"/>
      <c r="Q139" s="1164"/>
      <c r="R139" s="1164"/>
      <c r="S139" s="1164"/>
      <c r="T139" s="1164"/>
      <c r="U139" s="1165"/>
      <c r="V139" s="1164"/>
      <c r="W139" s="1164"/>
      <c r="X139" s="1164"/>
      <c r="Y139" s="1164"/>
      <c r="Z139" s="1164"/>
      <c r="AA139" s="1165"/>
    </row>
    <row r="140" spans="3:27">
      <c r="C140" s="1163">
        <f t="shared" si="3"/>
        <v>17</v>
      </c>
      <c r="D140" s="1180">
        <f t="shared" si="3"/>
        <v>0</v>
      </c>
      <c r="E140" s="1180" t="str">
        <f t="shared" si="3"/>
        <v>Comp 17</v>
      </c>
      <c r="F140" s="1164"/>
      <c r="G140" s="1164"/>
      <c r="H140" s="1164"/>
      <c r="I140" s="1164"/>
      <c r="J140" s="1164"/>
      <c r="K140" s="1164"/>
      <c r="L140" s="1164"/>
      <c r="M140" s="1165"/>
      <c r="N140" s="1164"/>
      <c r="O140" s="1164"/>
      <c r="P140" s="1164"/>
      <c r="Q140" s="1164"/>
      <c r="R140" s="1164"/>
      <c r="S140" s="1164"/>
      <c r="T140" s="1164"/>
      <c r="U140" s="1165"/>
      <c r="V140" s="1164"/>
      <c r="W140" s="1164"/>
      <c r="X140" s="1164"/>
      <c r="Y140" s="1164"/>
      <c r="Z140" s="1164"/>
      <c r="AA140" s="1165"/>
    </row>
    <row r="141" spans="3:27">
      <c r="C141" s="1163">
        <f t="shared" si="3"/>
        <v>18</v>
      </c>
      <c r="D141" s="1180">
        <f t="shared" si="3"/>
        <v>0</v>
      </c>
      <c r="E141" s="1180" t="str">
        <f t="shared" si="3"/>
        <v>Comp 18</v>
      </c>
      <c r="F141" s="1164"/>
      <c r="G141" s="1164"/>
      <c r="H141" s="1164"/>
      <c r="I141" s="1164"/>
      <c r="J141" s="1164"/>
      <c r="K141" s="1164"/>
      <c r="L141" s="1164"/>
      <c r="M141" s="1165"/>
      <c r="N141" s="1164"/>
      <c r="O141" s="1164"/>
      <c r="P141" s="1164"/>
      <c r="Q141" s="1164"/>
      <c r="R141" s="1164"/>
      <c r="S141" s="1164"/>
      <c r="T141" s="1164"/>
      <c r="U141" s="1165"/>
      <c r="V141" s="1164"/>
      <c r="W141" s="1164"/>
      <c r="X141" s="1164"/>
      <c r="Y141" s="1164"/>
      <c r="Z141" s="1164"/>
      <c r="AA141" s="1165"/>
    </row>
    <row r="142" spans="3:27">
      <c r="C142" s="1163">
        <f t="shared" si="3"/>
        <v>19</v>
      </c>
      <c r="D142" s="1180">
        <f t="shared" si="3"/>
        <v>0</v>
      </c>
      <c r="E142" s="1180" t="str">
        <f t="shared" si="3"/>
        <v>Comp 19</v>
      </c>
      <c r="F142" s="1164"/>
      <c r="G142" s="1164"/>
      <c r="H142" s="1164"/>
      <c r="I142" s="1164"/>
      <c r="J142" s="1164"/>
      <c r="K142" s="1164"/>
      <c r="L142" s="1164"/>
      <c r="M142" s="1165"/>
      <c r="N142" s="1164"/>
      <c r="O142" s="1164"/>
      <c r="P142" s="1164"/>
      <c r="Q142" s="1164"/>
      <c r="R142" s="1164"/>
      <c r="S142" s="1164"/>
      <c r="T142" s="1164"/>
      <c r="U142" s="1165"/>
      <c r="V142" s="1164"/>
      <c r="W142" s="1164"/>
      <c r="X142" s="1164"/>
      <c r="Y142" s="1164"/>
      <c r="Z142" s="1164"/>
      <c r="AA142" s="1165"/>
    </row>
    <row r="143" spans="3:27">
      <c r="C143" s="1163">
        <f t="shared" si="3"/>
        <v>20</v>
      </c>
      <c r="D143" s="1180">
        <f t="shared" si="3"/>
        <v>0</v>
      </c>
      <c r="E143" s="1180" t="str">
        <f t="shared" si="3"/>
        <v>Comp 20</v>
      </c>
      <c r="F143" s="1164"/>
      <c r="G143" s="1164"/>
      <c r="H143" s="1164"/>
      <c r="I143" s="1164"/>
      <c r="J143" s="1164"/>
      <c r="K143" s="1164"/>
      <c r="L143" s="1164"/>
      <c r="M143" s="1165"/>
      <c r="N143" s="1164"/>
      <c r="O143" s="1164"/>
      <c r="P143" s="1164"/>
      <c r="Q143" s="1164"/>
      <c r="R143" s="1164"/>
      <c r="S143" s="1164"/>
      <c r="T143" s="1164"/>
      <c r="U143" s="1165"/>
      <c r="V143" s="1164"/>
      <c r="W143" s="1164"/>
      <c r="X143" s="1164"/>
      <c r="Y143" s="1164"/>
      <c r="Z143" s="1164"/>
      <c r="AA143" s="1165"/>
    </row>
    <row r="144" spans="3:27">
      <c r="C144" s="1163">
        <f t="shared" si="3"/>
        <v>21</v>
      </c>
      <c r="D144" s="1180">
        <f t="shared" si="3"/>
        <v>0</v>
      </c>
      <c r="E144" s="1180" t="str">
        <f t="shared" si="3"/>
        <v>Comp 21</v>
      </c>
      <c r="F144" s="1164"/>
      <c r="G144" s="1164"/>
      <c r="H144" s="1164"/>
      <c r="I144" s="1164"/>
      <c r="J144" s="1164"/>
      <c r="K144" s="1164"/>
      <c r="L144" s="1164"/>
      <c r="M144" s="1165"/>
      <c r="N144" s="1164"/>
      <c r="O144" s="1164"/>
      <c r="P144" s="1164"/>
      <c r="Q144" s="1164"/>
      <c r="R144" s="1164"/>
      <c r="S144" s="1164"/>
      <c r="T144" s="1164"/>
      <c r="U144" s="1165"/>
      <c r="V144" s="1164"/>
      <c r="W144" s="1164"/>
      <c r="X144" s="1164"/>
      <c r="Y144" s="1164"/>
      <c r="Z144" s="1164"/>
      <c r="AA144" s="1165"/>
    </row>
    <row r="145" spans="3:38">
      <c r="C145" s="1163">
        <f t="shared" si="3"/>
        <v>22</v>
      </c>
      <c r="D145" s="1180">
        <f t="shared" si="3"/>
        <v>0</v>
      </c>
      <c r="E145" s="1180" t="str">
        <f t="shared" si="3"/>
        <v>Comp 22</v>
      </c>
      <c r="F145" s="1164"/>
      <c r="G145" s="1164"/>
      <c r="H145" s="1164"/>
      <c r="I145" s="1164"/>
      <c r="J145" s="1164"/>
      <c r="K145" s="1164"/>
      <c r="L145" s="1164"/>
      <c r="M145" s="1165"/>
      <c r="N145" s="1164"/>
      <c r="O145" s="1164"/>
      <c r="P145" s="1164"/>
      <c r="Q145" s="1164"/>
      <c r="R145" s="1164"/>
      <c r="S145" s="1164"/>
      <c r="T145" s="1164"/>
      <c r="U145" s="1165"/>
      <c r="V145" s="1164"/>
      <c r="W145" s="1164"/>
      <c r="X145" s="1164"/>
      <c r="Y145" s="1164"/>
      <c r="Z145" s="1164"/>
      <c r="AA145" s="1165"/>
    </row>
    <row r="146" spans="3:38">
      <c r="C146" s="1163">
        <f t="shared" si="3"/>
        <v>23</v>
      </c>
      <c r="D146" s="1180">
        <f t="shared" si="3"/>
        <v>0</v>
      </c>
      <c r="E146" s="1180" t="str">
        <f t="shared" si="3"/>
        <v>Comp 23</v>
      </c>
      <c r="F146" s="1164"/>
      <c r="G146" s="1164"/>
      <c r="H146" s="1164"/>
      <c r="I146" s="1164"/>
      <c r="J146" s="1164"/>
      <c r="K146" s="1164"/>
      <c r="L146" s="1164"/>
      <c r="M146" s="1165"/>
      <c r="N146" s="1164"/>
      <c r="O146" s="1164"/>
      <c r="P146" s="1164"/>
      <c r="Q146" s="1164"/>
      <c r="R146" s="1164"/>
      <c r="S146" s="1164"/>
      <c r="T146" s="1164"/>
      <c r="U146" s="1165"/>
      <c r="V146" s="1164"/>
      <c r="W146" s="1164"/>
      <c r="X146" s="1164"/>
      <c r="Y146" s="1164"/>
      <c r="Z146" s="1164"/>
      <c r="AA146" s="1165"/>
    </row>
    <row r="147" spans="3:38">
      <c r="C147" s="1163">
        <f t="shared" si="3"/>
        <v>24</v>
      </c>
      <c r="D147" s="1180">
        <f t="shared" si="3"/>
        <v>0</v>
      </c>
      <c r="E147" s="1180" t="str">
        <f t="shared" si="3"/>
        <v>Comp 24</v>
      </c>
      <c r="F147" s="1164"/>
      <c r="G147" s="1164"/>
      <c r="H147" s="1164"/>
      <c r="I147" s="1164"/>
      <c r="J147" s="1164"/>
      <c r="K147" s="1164"/>
      <c r="L147" s="1164"/>
      <c r="M147" s="1165"/>
      <c r="N147" s="1164"/>
      <c r="O147" s="1164"/>
      <c r="P147" s="1164"/>
      <c r="Q147" s="1164"/>
      <c r="R147" s="1164"/>
      <c r="S147" s="1164"/>
      <c r="T147" s="1164"/>
      <c r="U147" s="1165"/>
      <c r="V147" s="1164"/>
      <c r="W147" s="1164"/>
      <c r="X147" s="1164"/>
      <c r="Y147" s="1164"/>
      <c r="Z147" s="1164"/>
      <c r="AA147" s="1165"/>
    </row>
    <row r="148" spans="3:38">
      <c r="C148" s="1163">
        <f t="shared" si="3"/>
        <v>25</v>
      </c>
      <c r="D148" s="1180">
        <f t="shared" si="3"/>
        <v>0</v>
      </c>
      <c r="E148" s="1180" t="str">
        <f t="shared" si="3"/>
        <v>Comp 25</v>
      </c>
      <c r="F148" s="1164"/>
      <c r="G148" s="1164"/>
      <c r="H148" s="1164"/>
      <c r="I148" s="1164"/>
      <c r="J148" s="1164"/>
      <c r="K148" s="1164"/>
      <c r="L148" s="1164"/>
      <c r="M148" s="1165"/>
      <c r="N148" s="1164"/>
      <c r="O148" s="1164"/>
      <c r="P148" s="1164"/>
      <c r="Q148" s="1164"/>
      <c r="R148" s="1164"/>
      <c r="S148" s="1164"/>
      <c r="T148" s="1164"/>
      <c r="U148" s="1165"/>
      <c r="V148" s="1164"/>
      <c r="W148" s="1164"/>
      <c r="X148" s="1164"/>
      <c r="Y148" s="1164"/>
      <c r="Z148" s="1164"/>
      <c r="AA148" s="1165"/>
    </row>
    <row r="149" spans="3:38">
      <c r="C149" s="1163">
        <f t="shared" si="3"/>
        <v>26</v>
      </c>
      <c r="D149" s="1180">
        <f t="shared" si="3"/>
        <v>0</v>
      </c>
      <c r="E149" s="1180" t="str">
        <f t="shared" si="3"/>
        <v>Comp 26</v>
      </c>
      <c r="F149" s="1164"/>
      <c r="G149" s="1164"/>
      <c r="H149" s="1164"/>
      <c r="I149" s="1164"/>
      <c r="J149" s="1164"/>
      <c r="K149" s="1164"/>
      <c r="L149" s="1164"/>
      <c r="M149" s="1165"/>
      <c r="N149" s="1164"/>
      <c r="O149" s="1164"/>
      <c r="P149" s="1164"/>
      <c r="Q149" s="1164"/>
      <c r="R149" s="1164"/>
      <c r="S149" s="1164"/>
      <c r="T149" s="1164"/>
      <c r="U149" s="1165"/>
      <c r="V149" s="1164"/>
      <c r="W149" s="1164"/>
      <c r="X149" s="1164"/>
      <c r="Y149" s="1164"/>
      <c r="Z149" s="1164"/>
      <c r="AA149" s="1165"/>
    </row>
    <row r="150" spans="3:38">
      <c r="C150" s="1163">
        <f t="shared" si="3"/>
        <v>27</v>
      </c>
      <c r="D150" s="1180">
        <f t="shared" si="3"/>
        <v>0</v>
      </c>
      <c r="E150" s="1180" t="str">
        <f t="shared" si="3"/>
        <v>Comp 27</v>
      </c>
      <c r="F150" s="1164"/>
      <c r="G150" s="1164"/>
      <c r="H150" s="1164"/>
      <c r="I150" s="1164"/>
      <c r="J150" s="1164"/>
      <c r="K150" s="1164"/>
      <c r="L150" s="1164"/>
      <c r="M150" s="1165"/>
      <c r="N150" s="1164"/>
      <c r="O150" s="1164"/>
      <c r="P150" s="1164"/>
      <c r="Q150" s="1164"/>
      <c r="R150" s="1164"/>
      <c r="S150" s="1164"/>
      <c r="T150" s="1164"/>
      <c r="U150" s="1165"/>
      <c r="V150" s="1164"/>
      <c r="W150" s="1164"/>
      <c r="X150" s="1164"/>
      <c r="Y150" s="1164"/>
      <c r="Z150" s="1164"/>
      <c r="AA150" s="1165"/>
    </row>
    <row r="151" spans="3:38">
      <c r="C151" s="1163">
        <f t="shared" si="3"/>
        <v>28</v>
      </c>
      <c r="D151" s="1180">
        <f t="shared" si="3"/>
        <v>0</v>
      </c>
      <c r="E151" s="1180" t="str">
        <f t="shared" si="3"/>
        <v>Comp 28</v>
      </c>
      <c r="F151" s="1164"/>
      <c r="G151" s="1164"/>
      <c r="H151" s="1164"/>
      <c r="I151" s="1164"/>
      <c r="J151" s="1164"/>
      <c r="K151" s="1164"/>
      <c r="L151" s="1164"/>
      <c r="M151" s="1165"/>
      <c r="N151" s="1164"/>
      <c r="O151" s="1164"/>
      <c r="P151" s="1164"/>
      <c r="Q151" s="1164"/>
      <c r="R151" s="1164"/>
      <c r="S151" s="1164"/>
      <c r="T151" s="1164"/>
      <c r="U151" s="1165"/>
      <c r="V151" s="1164"/>
      <c r="W151" s="1164"/>
      <c r="X151" s="1164"/>
      <c r="Y151" s="1164"/>
      <c r="Z151" s="1164"/>
      <c r="AA151" s="1165"/>
    </row>
    <row r="152" spans="3:38">
      <c r="C152" s="1163">
        <f t="shared" si="3"/>
        <v>29</v>
      </c>
      <c r="D152" s="1180">
        <f t="shared" si="3"/>
        <v>0</v>
      </c>
      <c r="E152" s="1180" t="str">
        <f t="shared" si="3"/>
        <v>Comp 29</v>
      </c>
      <c r="F152" s="1164"/>
      <c r="G152" s="1164"/>
      <c r="H152" s="1164"/>
      <c r="I152" s="1164"/>
      <c r="J152" s="1164"/>
      <c r="K152" s="1164"/>
      <c r="L152" s="1164"/>
      <c r="M152" s="1165"/>
      <c r="N152" s="1164"/>
      <c r="O152" s="1164"/>
      <c r="P152" s="1164"/>
      <c r="Q152" s="1164"/>
      <c r="R152" s="1164"/>
      <c r="S152" s="1164"/>
      <c r="T152" s="1164"/>
      <c r="U152" s="1165"/>
      <c r="V152" s="1164"/>
      <c r="W152" s="1164"/>
      <c r="X152" s="1164"/>
      <c r="Y152" s="1164"/>
      <c r="Z152" s="1164"/>
      <c r="AA152" s="1165"/>
    </row>
    <row r="153" spans="3:38">
      <c r="C153" s="1166">
        <f t="shared" si="3"/>
        <v>30</v>
      </c>
      <c r="D153" s="1181">
        <f t="shared" si="3"/>
        <v>0</v>
      </c>
      <c r="E153" s="1181" t="str">
        <f t="shared" si="3"/>
        <v>Comp 30</v>
      </c>
      <c r="F153" s="1167"/>
      <c r="G153" s="1167"/>
      <c r="H153" s="1167"/>
      <c r="I153" s="1167"/>
      <c r="J153" s="1167"/>
      <c r="K153" s="1167"/>
      <c r="L153" s="1167"/>
      <c r="M153" s="1168"/>
      <c r="N153" s="1167"/>
      <c r="O153" s="1167"/>
      <c r="P153" s="1167"/>
      <c r="Q153" s="1167"/>
      <c r="R153" s="1167"/>
      <c r="S153" s="1167"/>
      <c r="T153" s="1167"/>
      <c r="U153" s="1168"/>
      <c r="V153" s="1167"/>
      <c r="W153" s="1167"/>
      <c r="X153" s="1167"/>
      <c r="Y153" s="1167"/>
      <c r="Z153" s="1167"/>
      <c r="AA153" s="1168"/>
    </row>
    <row r="154" spans="3:38">
      <c r="C154" s="1182"/>
      <c r="D154" s="1182"/>
      <c r="E154" s="1182"/>
      <c r="F154" s="1160"/>
      <c r="G154" s="1160"/>
      <c r="H154" s="1160"/>
      <c r="I154" s="1160"/>
      <c r="J154" s="1160"/>
      <c r="K154" s="1160"/>
      <c r="L154" s="1160"/>
      <c r="M154" s="1160"/>
      <c r="N154" s="1160"/>
      <c r="O154" s="1160"/>
      <c r="P154" s="1160"/>
      <c r="Q154" s="1160"/>
      <c r="R154" s="1160"/>
      <c r="S154" s="1160"/>
      <c r="T154" s="1160"/>
      <c r="U154" s="1160"/>
      <c r="V154" s="1160"/>
      <c r="W154" s="1160"/>
      <c r="X154" s="1160"/>
      <c r="Y154" s="1160"/>
      <c r="Z154" s="1160"/>
      <c r="AA154" s="1160"/>
      <c r="AB154" s="1160"/>
      <c r="AC154" s="1160"/>
      <c r="AD154" s="1160"/>
      <c r="AE154" s="1160"/>
      <c r="AF154" s="1160"/>
      <c r="AG154" s="1160"/>
      <c r="AJ154" s="1160"/>
      <c r="AK154" s="1160"/>
      <c r="AL154" s="1160"/>
    </row>
    <row r="155" spans="3:38">
      <c r="C155" s="1189" t="s">
        <v>1916</v>
      </c>
      <c r="D155" s="1189"/>
      <c r="E155" s="1189"/>
      <c r="F155" s="1189"/>
      <c r="G155" s="1189"/>
      <c r="H155" s="1189"/>
      <c r="I155" s="1189"/>
      <c r="J155" s="1189"/>
      <c r="K155" s="1189"/>
      <c r="L155" s="1189"/>
      <c r="M155" s="1189"/>
      <c r="N155" s="1189"/>
      <c r="O155" s="1189"/>
      <c r="P155" s="1189"/>
      <c r="Q155" s="1189"/>
      <c r="R155" s="1189"/>
      <c r="S155" s="1189"/>
      <c r="T155" s="1189"/>
      <c r="U155" s="1189"/>
      <c r="V155" s="1189"/>
      <c r="W155" s="1189"/>
      <c r="X155" s="1189"/>
      <c r="Y155" s="1189"/>
      <c r="Z155" s="1189"/>
      <c r="AA155" s="1189"/>
      <c r="AB155" s="1189"/>
      <c r="AC155" s="1189"/>
      <c r="AD155" s="1189"/>
      <c r="AE155" s="1189"/>
      <c r="AF155" s="1189"/>
      <c r="AG155" s="1189"/>
      <c r="AH155" s="1189"/>
      <c r="AI155" s="1189"/>
      <c r="AJ155" s="1189"/>
      <c r="AK155" s="1189"/>
      <c r="AL155" s="1189"/>
    </row>
    <row r="156" spans="3:38">
      <c r="C156" s="1194" t="s">
        <v>1861</v>
      </c>
      <c r="D156" s="1195" t="s">
        <v>93</v>
      </c>
      <c r="E156" s="1195" t="s">
        <v>94</v>
      </c>
      <c r="F156" s="1862" t="s">
        <v>1453</v>
      </c>
      <c r="G156" s="1862"/>
      <c r="H156" s="1862"/>
      <c r="I156" s="1862"/>
      <c r="J156" s="1862"/>
      <c r="K156" s="1863"/>
      <c r="L156" s="1862" t="s">
        <v>1789</v>
      </c>
      <c r="M156" s="1862"/>
      <c r="N156" s="1862"/>
      <c r="O156" s="1862"/>
      <c r="P156" s="1862"/>
      <c r="Q156" s="1863"/>
      <c r="R156" s="1861" t="s">
        <v>228</v>
      </c>
      <c r="S156" s="1862"/>
      <c r="T156" s="1862"/>
      <c r="U156" s="1862"/>
      <c r="V156" s="1862"/>
      <c r="W156" s="1862"/>
      <c r="X156" s="1862"/>
      <c r="Y156" s="1862"/>
      <c r="Z156" s="1861" t="s">
        <v>227</v>
      </c>
      <c r="AA156" s="1862"/>
      <c r="AB156" s="1862"/>
      <c r="AC156" s="1862"/>
      <c r="AD156" s="1862"/>
      <c r="AE156" s="1862"/>
      <c r="AF156" s="1862"/>
      <c r="AG156" s="1862"/>
      <c r="AH156" s="1861" t="s">
        <v>1986</v>
      </c>
      <c r="AI156" s="1862"/>
      <c r="AJ156" s="1862"/>
      <c r="AK156" s="1862"/>
      <c r="AL156" s="1863"/>
    </row>
    <row r="157" spans="3:38">
      <c r="C157" s="1177"/>
      <c r="D157" s="1178"/>
      <c r="E157" s="1178"/>
      <c r="F157" s="1179" t="s">
        <v>134</v>
      </c>
      <c r="G157" s="1179" t="s">
        <v>131</v>
      </c>
      <c r="H157" s="1179" t="s">
        <v>129</v>
      </c>
      <c r="I157" s="1179" t="s">
        <v>1424</v>
      </c>
      <c r="J157" s="1179" t="s">
        <v>1425</v>
      </c>
      <c r="K157" s="1172" t="s">
        <v>1418</v>
      </c>
      <c r="L157" s="1179" t="s">
        <v>134</v>
      </c>
      <c r="M157" s="1179" t="s">
        <v>131</v>
      </c>
      <c r="N157" s="1179" t="s">
        <v>129</v>
      </c>
      <c r="O157" s="1179" t="s">
        <v>1424</v>
      </c>
      <c r="P157" s="1179" t="s">
        <v>1425</v>
      </c>
      <c r="Q157" s="1172" t="s">
        <v>1418</v>
      </c>
      <c r="R157" s="1179" t="s">
        <v>139</v>
      </c>
      <c r="S157" s="1179" t="s">
        <v>137</v>
      </c>
      <c r="T157" s="1179" t="s">
        <v>134</v>
      </c>
      <c r="U157" s="1179" t="s">
        <v>131</v>
      </c>
      <c r="V157" s="1179" t="s">
        <v>129</v>
      </c>
      <c r="W157" s="1179" t="s">
        <v>1424</v>
      </c>
      <c r="X157" s="1179" t="s">
        <v>1425</v>
      </c>
      <c r="Y157" s="1172" t="s">
        <v>1418</v>
      </c>
      <c r="Z157" s="1179" t="s">
        <v>139</v>
      </c>
      <c r="AA157" s="1179" t="s">
        <v>137</v>
      </c>
      <c r="AB157" s="1179" t="s">
        <v>134</v>
      </c>
      <c r="AC157" s="1179" t="s">
        <v>131</v>
      </c>
      <c r="AD157" s="1179" t="s">
        <v>129</v>
      </c>
      <c r="AE157" s="1179" t="s">
        <v>1424</v>
      </c>
      <c r="AF157" s="1179" t="s">
        <v>1425</v>
      </c>
      <c r="AG157" s="1172" t="s">
        <v>1418</v>
      </c>
      <c r="AH157" s="1179" t="s">
        <v>139</v>
      </c>
      <c r="AI157" s="1179" t="s">
        <v>137</v>
      </c>
      <c r="AJ157" s="1179" t="s">
        <v>134</v>
      </c>
      <c r="AK157" s="1179" t="s">
        <v>131</v>
      </c>
      <c r="AL157" s="1172" t="s">
        <v>129</v>
      </c>
    </row>
    <row r="158" spans="3:38">
      <c r="C158" s="1163">
        <f t="shared" ref="C158:E166" si="4">C124</f>
        <v>1</v>
      </c>
      <c r="D158" s="1180">
        <f t="shared" si="4"/>
        <v>0</v>
      </c>
      <c r="E158" s="1180" t="str">
        <f t="shared" si="4"/>
        <v>Comp 1</v>
      </c>
      <c r="F158" s="1164"/>
      <c r="G158" s="1164"/>
      <c r="H158" s="1164"/>
      <c r="I158" s="1164"/>
      <c r="J158" s="1164"/>
      <c r="K158" s="1165"/>
      <c r="L158" s="1164"/>
      <c r="M158" s="1164"/>
      <c r="N158" s="1164"/>
      <c r="O158" s="1164"/>
      <c r="P158" s="1164"/>
      <c r="Q158" s="1165"/>
      <c r="R158" s="1164"/>
      <c r="S158" s="1164"/>
      <c r="T158" s="1164"/>
      <c r="U158" s="1164"/>
      <c r="V158" s="1164"/>
      <c r="W158" s="1164"/>
      <c r="X158" s="1164"/>
      <c r="Y158" s="1165"/>
      <c r="Z158" s="1164"/>
      <c r="AA158" s="1164"/>
      <c r="AB158" s="1164"/>
      <c r="AC158" s="1164"/>
      <c r="AD158" s="1164"/>
      <c r="AE158" s="1164"/>
      <c r="AF158" s="1164"/>
      <c r="AG158" s="1165"/>
      <c r="AH158" s="1164"/>
      <c r="AI158" s="1164"/>
      <c r="AJ158" s="1164"/>
      <c r="AK158" s="1164"/>
      <c r="AL158" s="1165"/>
    </row>
    <row r="159" spans="3:38">
      <c r="C159" s="1163">
        <f t="shared" si="4"/>
        <v>2</v>
      </c>
      <c r="D159" s="1180">
        <f t="shared" si="4"/>
        <v>0</v>
      </c>
      <c r="E159" s="1180" t="str">
        <f t="shared" si="4"/>
        <v>Comp 2</v>
      </c>
      <c r="F159" s="1164"/>
      <c r="G159" s="1164"/>
      <c r="H159" s="1164"/>
      <c r="I159" s="1164"/>
      <c r="J159" s="1164"/>
      <c r="K159" s="1165"/>
      <c r="L159" s="1164"/>
      <c r="M159" s="1164"/>
      <c r="N159" s="1164"/>
      <c r="O159" s="1164"/>
      <c r="P159" s="1164"/>
      <c r="Q159" s="1165"/>
      <c r="R159" s="1164"/>
      <c r="S159" s="1164"/>
      <c r="T159" s="1164"/>
      <c r="U159" s="1164"/>
      <c r="V159" s="1164"/>
      <c r="W159" s="1164"/>
      <c r="X159" s="1164"/>
      <c r="Y159" s="1165"/>
      <c r="Z159" s="1164"/>
      <c r="AA159" s="1164"/>
      <c r="AB159" s="1164"/>
      <c r="AC159" s="1164"/>
      <c r="AD159" s="1164"/>
      <c r="AE159" s="1164"/>
      <c r="AF159" s="1164"/>
      <c r="AG159" s="1165"/>
      <c r="AH159" s="1164"/>
      <c r="AI159" s="1164"/>
      <c r="AJ159" s="1164"/>
      <c r="AK159" s="1164"/>
      <c r="AL159" s="1165"/>
    </row>
    <row r="160" spans="3:38">
      <c r="C160" s="1163">
        <f t="shared" si="4"/>
        <v>3</v>
      </c>
      <c r="D160" s="1180">
        <f t="shared" si="4"/>
        <v>0</v>
      </c>
      <c r="E160" s="1180" t="str">
        <f t="shared" si="4"/>
        <v>Comp 3</v>
      </c>
      <c r="F160" s="1164"/>
      <c r="G160" s="1164"/>
      <c r="H160" s="1164"/>
      <c r="I160" s="1164"/>
      <c r="J160" s="1164"/>
      <c r="K160" s="1165"/>
      <c r="L160" s="1164"/>
      <c r="M160" s="1164"/>
      <c r="N160" s="1164"/>
      <c r="O160" s="1164"/>
      <c r="P160" s="1164"/>
      <c r="Q160" s="1165"/>
      <c r="R160" s="1164"/>
      <c r="S160" s="1164"/>
      <c r="T160" s="1164"/>
      <c r="U160" s="1164"/>
      <c r="V160" s="1164"/>
      <c r="W160" s="1164"/>
      <c r="X160" s="1164"/>
      <c r="Y160" s="1165"/>
      <c r="Z160" s="1164"/>
      <c r="AA160" s="1164"/>
      <c r="AB160" s="1164"/>
      <c r="AC160" s="1164"/>
      <c r="AD160" s="1164"/>
      <c r="AE160" s="1164"/>
      <c r="AF160" s="1164"/>
      <c r="AG160" s="1165"/>
      <c r="AH160" s="1164"/>
      <c r="AI160" s="1164"/>
      <c r="AJ160" s="1164"/>
      <c r="AK160" s="1164"/>
      <c r="AL160" s="1165"/>
    </row>
    <row r="161" spans="3:38">
      <c r="C161" s="1163">
        <f t="shared" si="4"/>
        <v>4</v>
      </c>
      <c r="D161" s="1180">
        <f t="shared" si="4"/>
        <v>0</v>
      </c>
      <c r="E161" s="1180" t="str">
        <f t="shared" si="4"/>
        <v>Comp 4</v>
      </c>
      <c r="F161" s="1164"/>
      <c r="G161" s="1164"/>
      <c r="H161" s="1164"/>
      <c r="I161" s="1164"/>
      <c r="J161" s="1164"/>
      <c r="K161" s="1165"/>
      <c r="L161" s="1164"/>
      <c r="M161" s="1164"/>
      <c r="N161" s="1164"/>
      <c r="O161" s="1164"/>
      <c r="P161" s="1164"/>
      <c r="Q161" s="1165"/>
      <c r="R161" s="1164"/>
      <c r="S161" s="1164"/>
      <c r="T161" s="1164"/>
      <c r="U161" s="1164"/>
      <c r="V161" s="1164"/>
      <c r="W161" s="1164"/>
      <c r="X161" s="1164"/>
      <c r="Y161" s="1165"/>
      <c r="Z161" s="1164"/>
      <c r="AA161" s="1164"/>
      <c r="AB161" s="1164"/>
      <c r="AC161" s="1164"/>
      <c r="AD161" s="1164"/>
      <c r="AE161" s="1164"/>
      <c r="AF161" s="1164"/>
      <c r="AG161" s="1165"/>
      <c r="AH161" s="1164"/>
      <c r="AI161" s="1164"/>
      <c r="AJ161" s="1164"/>
      <c r="AK161" s="1164"/>
      <c r="AL161" s="1165"/>
    </row>
    <row r="162" spans="3:38">
      <c r="C162" s="1163">
        <f t="shared" si="4"/>
        <v>5</v>
      </c>
      <c r="D162" s="1180">
        <f t="shared" si="4"/>
        <v>0</v>
      </c>
      <c r="E162" s="1180" t="str">
        <f t="shared" si="4"/>
        <v>Comp 5</v>
      </c>
      <c r="F162" s="1164"/>
      <c r="G162" s="1164"/>
      <c r="H162" s="1164"/>
      <c r="I162" s="1164"/>
      <c r="J162" s="1164"/>
      <c r="K162" s="1165"/>
      <c r="L162" s="1164"/>
      <c r="M162" s="1164"/>
      <c r="N162" s="1164"/>
      <c r="O162" s="1164"/>
      <c r="P162" s="1164"/>
      <c r="Q162" s="1165"/>
      <c r="R162" s="1164"/>
      <c r="S162" s="1164"/>
      <c r="T162" s="1164"/>
      <c r="U162" s="1164"/>
      <c r="V162" s="1164"/>
      <c r="W162" s="1164"/>
      <c r="X162" s="1164"/>
      <c r="Y162" s="1165"/>
      <c r="Z162" s="1164"/>
      <c r="AA162" s="1164"/>
      <c r="AB162" s="1164"/>
      <c r="AC162" s="1164"/>
      <c r="AD162" s="1164"/>
      <c r="AE162" s="1164"/>
      <c r="AF162" s="1164"/>
      <c r="AG162" s="1165"/>
      <c r="AH162" s="1164"/>
      <c r="AI162" s="1164"/>
      <c r="AJ162" s="1164"/>
      <c r="AK162" s="1164"/>
      <c r="AL162" s="1165"/>
    </row>
    <row r="163" spans="3:38">
      <c r="C163" s="1163">
        <f t="shared" si="4"/>
        <v>6</v>
      </c>
      <c r="D163" s="1180">
        <f t="shared" si="4"/>
        <v>0</v>
      </c>
      <c r="E163" s="1180" t="str">
        <f t="shared" si="4"/>
        <v>Comp 6</v>
      </c>
      <c r="F163" s="1164"/>
      <c r="G163" s="1164"/>
      <c r="H163" s="1164"/>
      <c r="I163" s="1164"/>
      <c r="J163" s="1164"/>
      <c r="K163" s="1165"/>
      <c r="L163" s="1164"/>
      <c r="M163" s="1164"/>
      <c r="N163" s="1164"/>
      <c r="O163" s="1164"/>
      <c r="P163" s="1164"/>
      <c r="Q163" s="1165"/>
      <c r="R163" s="1164"/>
      <c r="S163" s="1164"/>
      <c r="T163" s="1164"/>
      <c r="U163" s="1164"/>
      <c r="V163" s="1164"/>
      <c r="W163" s="1164"/>
      <c r="X163" s="1164"/>
      <c r="Y163" s="1165"/>
      <c r="Z163" s="1164"/>
      <c r="AA163" s="1164"/>
      <c r="AB163" s="1164"/>
      <c r="AC163" s="1164"/>
      <c r="AD163" s="1164"/>
      <c r="AE163" s="1164"/>
      <c r="AF163" s="1164"/>
      <c r="AG163" s="1165"/>
      <c r="AH163" s="1164"/>
      <c r="AI163" s="1164"/>
      <c r="AJ163" s="1164"/>
      <c r="AK163" s="1164"/>
      <c r="AL163" s="1165"/>
    </row>
    <row r="164" spans="3:38">
      <c r="C164" s="1163">
        <f t="shared" si="4"/>
        <v>7</v>
      </c>
      <c r="D164" s="1180">
        <f t="shared" si="4"/>
        <v>0</v>
      </c>
      <c r="E164" s="1180" t="str">
        <f t="shared" si="4"/>
        <v>Comp 7</v>
      </c>
      <c r="F164" s="1164"/>
      <c r="G164" s="1164"/>
      <c r="H164" s="1164"/>
      <c r="I164" s="1164"/>
      <c r="J164" s="1164"/>
      <c r="K164" s="1165"/>
      <c r="L164" s="1164"/>
      <c r="M164" s="1164"/>
      <c r="N164" s="1164"/>
      <c r="O164" s="1164"/>
      <c r="P164" s="1164"/>
      <c r="Q164" s="1165"/>
      <c r="R164" s="1164"/>
      <c r="S164" s="1164"/>
      <c r="T164" s="1164"/>
      <c r="U164" s="1164"/>
      <c r="V164" s="1164"/>
      <c r="W164" s="1164"/>
      <c r="X164" s="1164"/>
      <c r="Y164" s="1165"/>
      <c r="Z164" s="1164"/>
      <c r="AA164" s="1164"/>
      <c r="AB164" s="1164"/>
      <c r="AC164" s="1164"/>
      <c r="AD164" s="1164"/>
      <c r="AE164" s="1164"/>
      <c r="AF164" s="1164"/>
      <c r="AG164" s="1165"/>
      <c r="AH164" s="1164"/>
      <c r="AI164" s="1164"/>
      <c r="AJ164" s="1164"/>
      <c r="AK164" s="1164"/>
      <c r="AL164" s="1165"/>
    </row>
    <row r="165" spans="3:38">
      <c r="C165" s="1163">
        <f t="shared" si="4"/>
        <v>8</v>
      </c>
      <c r="D165" s="1180">
        <f t="shared" si="4"/>
        <v>0</v>
      </c>
      <c r="E165" s="1180" t="str">
        <f t="shared" si="4"/>
        <v>Comp 8</v>
      </c>
      <c r="F165" s="1164"/>
      <c r="G165" s="1164"/>
      <c r="H165" s="1164"/>
      <c r="I165" s="1164"/>
      <c r="J165" s="1164"/>
      <c r="K165" s="1165"/>
      <c r="L165" s="1164"/>
      <c r="M165" s="1164"/>
      <c r="N165" s="1164"/>
      <c r="O165" s="1164"/>
      <c r="P165" s="1164"/>
      <c r="Q165" s="1165"/>
      <c r="R165" s="1164"/>
      <c r="S165" s="1164"/>
      <c r="T165" s="1164"/>
      <c r="U165" s="1164"/>
      <c r="V165" s="1164"/>
      <c r="W165" s="1164"/>
      <c r="X165" s="1164"/>
      <c r="Y165" s="1165"/>
      <c r="Z165" s="1164"/>
      <c r="AA165" s="1164"/>
      <c r="AB165" s="1164"/>
      <c r="AC165" s="1164"/>
      <c r="AD165" s="1164"/>
      <c r="AE165" s="1164"/>
      <c r="AF165" s="1164"/>
      <c r="AG165" s="1165"/>
      <c r="AH165" s="1164"/>
      <c r="AI165" s="1164"/>
      <c r="AJ165" s="1164"/>
      <c r="AK165" s="1164"/>
      <c r="AL165" s="1165"/>
    </row>
    <row r="166" spans="3:38">
      <c r="C166" s="1163">
        <f t="shared" si="4"/>
        <v>9</v>
      </c>
      <c r="D166" s="1180">
        <f t="shared" si="4"/>
        <v>0</v>
      </c>
      <c r="E166" s="1180" t="str">
        <f t="shared" si="4"/>
        <v>Comp 9</v>
      </c>
      <c r="F166" s="1164"/>
      <c r="G166" s="1164"/>
      <c r="H166" s="1164"/>
      <c r="I166" s="1164"/>
      <c r="J166" s="1164"/>
      <c r="K166" s="1165"/>
      <c r="L166" s="1164"/>
      <c r="M166" s="1164"/>
      <c r="N166" s="1164"/>
      <c r="O166" s="1164"/>
      <c r="P166" s="1164"/>
      <c r="Q166" s="1165"/>
      <c r="R166" s="1164"/>
      <c r="S166" s="1164"/>
      <c r="T166" s="1164"/>
      <c r="U166" s="1164"/>
      <c r="V166" s="1164"/>
      <c r="W166" s="1164"/>
      <c r="X166" s="1164"/>
      <c r="Y166" s="1165"/>
      <c r="Z166" s="1164"/>
      <c r="AA166" s="1164"/>
      <c r="AB166" s="1164"/>
      <c r="AC166" s="1164"/>
      <c r="AD166" s="1164"/>
      <c r="AE166" s="1164"/>
      <c r="AF166" s="1164"/>
      <c r="AG166" s="1165"/>
      <c r="AH166" s="1164"/>
      <c r="AI166" s="1164"/>
      <c r="AJ166" s="1164"/>
      <c r="AK166" s="1164"/>
      <c r="AL166" s="1165"/>
    </row>
    <row r="167" spans="3:38">
      <c r="C167" s="1163">
        <f t="shared" ref="C167:E187" si="5">C133</f>
        <v>10</v>
      </c>
      <c r="D167" s="1180">
        <f t="shared" si="5"/>
        <v>0</v>
      </c>
      <c r="E167" s="1180" t="str">
        <f t="shared" si="5"/>
        <v>Comp 10</v>
      </c>
      <c r="F167" s="1164"/>
      <c r="G167" s="1164"/>
      <c r="H167" s="1164"/>
      <c r="I167" s="1164"/>
      <c r="J167" s="1164"/>
      <c r="K167" s="1165"/>
      <c r="L167" s="1164"/>
      <c r="M167" s="1164"/>
      <c r="N167" s="1164"/>
      <c r="O167" s="1164"/>
      <c r="P167" s="1164"/>
      <c r="Q167" s="1165"/>
      <c r="R167" s="1164"/>
      <c r="S167" s="1164"/>
      <c r="T167" s="1164"/>
      <c r="U167" s="1164"/>
      <c r="V167" s="1164"/>
      <c r="W167" s="1164"/>
      <c r="X167" s="1164"/>
      <c r="Y167" s="1165"/>
      <c r="Z167" s="1164"/>
      <c r="AA167" s="1164"/>
      <c r="AB167" s="1164"/>
      <c r="AC167" s="1164"/>
      <c r="AD167" s="1164"/>
      <c r="AE167" s="1164"/>
      <c r="AF167" s="1164"/>
      <c r="AG167" s="1165"/>
      <c r="AH167" s="1164"/>
      <c r="AI167" s="1164"/>
      <c r="AJ167" s="1164"/>
      <c r="AK167" s="1164"/>
      <c r="AL167" s="1165"/>
    </row>
    <row r="168" spans="3:38">
      <c r="C168" s="1163">
        <f t="shared" si="5"/>
        <v>11</v>
      </c>
      <c r="D168" s="1180">
        <f t="shared" si="5"/>
        <v>0</v>
      </c>
      <c r="E168" s="1180" t="str">
        <f t="shared" si="5"/>
        <v>Comp 11</v>
      </c>
      <c r="F168" s="1164"/>
      <c r="G168" s="1164"/>
      <c r="H168" s="1164"/>
      <c r="I168" s="1164"/>
      <c r="J168" s="1164"/>
      <c r="K168" s="1165"/>
      <c r="L168" s="1164"/>
      <c r="M168" s="1164"/>
      <c r="N168" s="1164"/>
      <c r="O168" s="1164"/>
      <c r="P168" s="1164"/>
      <c r="Q168" s="1165"/>
      <c r="R168" s="1164"/>
      <c r="S168" s="1164"/>
      <c r="T168" s="1164"/>
      <c r="U168" s="1164"/>
      <c r="V168" s="1164"/>
      <c r="W168" s="1164"/>
      <c r="X168" s="1164"/>
      <c r="Y168" s="1165"/>
      <c r="Z168" s="1164"/>
      <c r="AA168" s="1164"/>
      <c r="AB168" s="1164"/>
      <c r="AC168" s="1164"/>
      <c r="AD168" s="1164"/>
      <c r="AE168" s="1164"/>
      <c r="AF168" s="1164"/>
      <c r="AG168" s="1165"/>
      <c r="AH168" s="1164"/>
      <c r="AI168" s="1164"/>
      <c r="AJ168" s="1164"/>
      <c r="AK168" s="1164"/>
      <c r="AL168" s="1165"/>
    </row>
    <row r="169" spans="3:38">
      <c r="C169" s="1163">
        <f t="shared" si="5"/>
        <v>12</v>
      </c>
      <c r="D169" s="1180">
        <f t="shared" si="5"/>
        <v>0</v>
      </c>
      <c r="E169" s="1180" t="str">
        <f t="shared" si="5"/>
        <v>Comp 12</v>
      </c>
      <c r="F169" s="1164"/>
      <c r="G169" s="1164"/>
      <c r="H169" s="1164"/>
      <c r="I169" s="1164"/>
      <c r="J169" s="1164"/>
      <c r="K169" s="1165"/>
      <c r="L169" s="1164"/>
      <c r="M169" s="1164"/>
      <c r="N169" s="1164"/>
      <c r="O169" s="1164"/>
      <c r="P169" s="1164"/>
      <c r="Q169" s="1165"/>
      <c r="R169" s="1164"/>
      <c r="S169" s="1164"/>
      <c r="T169" s="1164"/>
      <c r="U169" s="1164"/>
      <c r="V169" s="1164"/>
      <c r="W169" s="1164"/>
      <c r="X169" s="1164"/>
      <c r="Y169" s="1165"/>
      <c r="Z169" s="1164"/>
      <c r="AA169" s="1164"/>
      <c r="AB169" s="1164"/>
      <c r="AC169" s="1164"/>
      <c r="AD169" s="1164"/>
      <c r="AE169" s="1164"/>
      <c r="AF169" s="1164"/>
      <c r="AG169" s="1165"/>
      <c r="AH169" s="1164"/>
      <c r="AI169" s="1164"/>
      <c r="AJ169" s="1164"/>
      <c r="AK169" s="1164"/>
      <c r="AL169" s="1165"/>
    </row>
    <row r="170" spans="3:38">
      <c r="C170" s="1163">
        <f t="shared" si="5"/>
        <v>13</v>
      </c>
      <c r="D170" s="1180">
        <f t="shared" si="5"/>
        <v>0</v>
      </c>
      <c r="E170" s="1180" t="str">
        <f t="shared" si="5"/>
        <v>Comp 13</v>
      </c>
      <c r="F170" s="1164"/>
      <c r="G170" s="1164"/>
      <c r="H170" s="1164"/>
      <c r="I170" s="1164"/>
      <c r="J170" s="1164"/>
      <c r="K170" s="1165"/>
      <c r="L170" s="1164"/>
      <c r="M170" s="1164"/>
      <c r="N170" s="1164"/>
      <c r="O170" s="1164"/>
      <c r="P170" s="1164"/>
      <c r="Q170" s="1165"/>
      <c r="R170" s="1164"/>
      <c r="S170" s="1164"/>
      <c r="T170" s="1164"/>
      <c r="U170" s="1164"/>
      <c r="V170" s="1164"/>
      <c r="W170" s="1164"/>
      <c r="X170" s="1164"/>
      <c r="Y170" s="1165"/>
      <c r="Z170" s="1164"/>
      <c r="AA170" s="1164"/>
      <c r="AB170" s="1164"/>
      <c r="AC170" s="1164"/>
      <c r="AD170" s="1164"/>
      <c r="AE170" s="1164"/>
      <c r="AF170" s="1164"/>
      <c r="AG170" s="1165"/>
      <c r="AH170" s="1164"/>
      <c r="AI170" s="1164"/>
      <c r="AJ170" s="1164"/>
      <c r="AK170" s="1164"/>
      <c r="AL170" s="1165"/>
    </row>
    <row r="171" spans="3:38">
      <c r="C171" s="1163">
        <f t="shared" si="5"/>
        <v>14</v>
      </c>
      <c r="D171" s="1180">
        <f t="shared" si="5"/>
        <v>0</v>
      </c>
      <c r="E171" s="1180" t="str">
        <f t="shared" si="5"/>
        <v>Comp 14</v>
      </c>
      <c r="F171" s="1164"/>
      <c r="G171" s="1164"/>
      <c r="H171" s="1164"/>
      <c r="I171" s="1164"/>
      <c r="J171" s="1164"/>
      <c r="K171" s="1165"/>
      <c r="L171" s="1164"/>
      <c r="M171" s="1164"/>
      <c r="N171" s="1164"/>
      <c r="O171" s="1164"/>
      <c r="P171" s="1164"/>
      <c r="Q171" s="1165"/>
      <c r="R171" s="1164"/>
      <c r="S171" s="1164"/>
      <c r="T171" s="1164"/>
      <c r="U171" s="1164"/>
      <c r="V171" s="1164"/>
      <c r="W171" s="1164"/>
      <c r="X171" s="1164"/>
      <c r="Y171" s="1165"/>
      <c r="Z171" s="1164"/>
      <c r="AA171" s="1164"/>
      <c r="AB171" s="1164"/>
      <c r="AC171" s="1164"/>
      <c r="AD171" s="1164"/>
      <c r="AE171" s="1164"/>
      <c r="AF171" s="1164"/>
      <c r="AG171" s="1165"/>
      <c r="AH171" s="1164"/>
      <c r="AI171" s="1164"/>
      <c r="AJ171" s="1164"/>
      <c r="AK171" s="1164"/>
      <c r="AL171" s="1165"/>
    </row>
    <row r="172" spans="3:38">
      <c r="C172" s="1163">
        <f t="shared" si="5"/>
        <v>15</v>
      </c>
      <c r="D172" s="1180">
        <f t="shared" si="5"/>
        <v>0</v>
      </c>
      <c r="E172" s="1180" t="str">
        <f t="shared" si="5"/>
        <v>Comp 15</v>
      </c>
      <c r="F172" s="1164"/>
      <c r="G172" s="1164"/>
      <c r="H172" s="1164"/>
      <c r="I172" s="1164"/>
      <c r="J172" s="1164"/>
      <c r="K172" s="1165"/>
      <c r="L172" s="1164"/>
      <c r="M172" s="1164"/>
      <c r="N172" s="1164"/>
      <c r="O172" s="1164"/>
      <c r="P172" s="1164"/>
      <c r="Q172" s="1165"/>
      <c r="R172" s="1164"/>
      <c r="S172" s="1164"/>
      <c r="T172" s="1164"/>
      <c r="U172" s="1164"/>
      <c r="V172" s="1164"/>
      <c r="W172" s="1164"/>
      <c r="X172" s="1164"/>
      <c r="Y172" s="1165"/>
      <c r="Z172" s="1164"/>
      <c r="AA172" s="1164"/>
      <c r="AB172" s="1164"/>
      <c r="AC172" s="1164"/>
      <c r="AD172" s="1164"/>
      <c r="AE172" s="1164"/>
      <c r="AF172" s="1164"/>
      <c r="AG172" s="1165"/>
      <c r="AH172" s="1164"/>
      <c r="AI172" s="1164"/>
      <c r="AJ172" s="1164"/>
      <c r="AK172" s="1164"/>
      <c r="AL172" s="1165"/>
    </row>
    <row r="173" spans="3:38">
      <c r="C173" s="1163">
        <f t="shared" si="5"/>
        <v>16</v>
      </c>
      <c r="D173" s="1180">
        <f t="shared" si="5"/>
        <v>0</v>
      </c>
      <c r="E173" s="1180" t="str">
        <f t="shared" si="5"/>
        <v>Comp 16</v>
      </c>
      <c r="F173" s="1164"/>
      <c r="G173" s="1164"/>
      <c r="H173" s="1164"/>
      <c r="I173" s="1164"/>
      <c r="J173" s="1164"/>
      <c r="K173" s="1165"/>
      <c r="L173" s="1164"/>
      <c r="M173" s="1164"/>
      <c r="N173" s="1164"/>
      <c r="O173" s="1164"/>
      <c r="P173" s="1164"/>
      <c r="Q173" s="1165"/>
      <c r="R173" s="1164"/>
      <c r="S173" s="1164"/>
      <c r="T173" s="1164"/>
      <c r="U173" s="1164"/>
      <c r="V173" s="1164"/>
      <c r="W173" s="1164"/>
      <c r="X173" s="1164"/>
      <c r="Y173" s="1165"/>
      <c r="Z173" s="1164"/>
      <c r="AA173" s="1164"/>
      <c r="AB173" s="1164"/>
      <c r="AC173" s="1164"/>
      <c r="AD173" s="1164"/>
      <c r="AE173" s="1164"/>
      <c r="AF173" s="1164"/>
      <c r="AG173" s="1165"/>
      <c r="AH173" s="1164"/>
      <c r="AI173" s="1164"/>
      <c r="AJ173" s="1164"/>
      <c r="AK173" s="1164"/>
      <c r="AL173" s="1165"/>
    </row>
    <row r="174" spans="3:38">
      <c r="C174" s="1163">
        <f t="shared" si="5"/>
        <v>17</v>
      </c>
      <c r="D174" s="1180">
        <f t="shared" si="5"/>
        <v>0</v>
      </c>
      <c r="E174" s="1180" t="str">
        <f t="shared" si="5"/>
        <v>Comp 17</v>
      </c>
      <c r="F174" s="1164"/>
      <c r="G174" s="1164"/>
      <c r="H174" s="1164"/>
      <c r="I174" s="1164"/>
      <c r="J174" s="1164"/>
      <c r="K174" s="1165"/>
      <c r="L174" s="1164"/>
      <c r="M174" s="1164"/>
      <c r="N174" s="1164"/>
      <c r="O174" s="1164"/>
      <c r="P174" s="1164"/>
      <c r="Q174" s="1165"/>
      <c r="R174" s="1164"/>
      <c r="S174" s="1164"/>
      <c r="T174" s="1164"/>
      <c r="U174" s="1164"/>
      <c r="V174" s="1164"/>
      <c r="W174" s="1164"/>
      <c r="X174" s="1164"/>
      <c r="Y174" s="1165"/>
      <c r="Z174" s="1164"/>
      <c r="AA174" s="1164"/>
      <c r="AB174" s="1164"/>
      <c r="AC174" s="1164"/>
      <c r="AD174" s="1164"/>
      <c r="AE174" s="1164"/>
      <c r="AF174" s="1164"/>
      <c r="AG174" s="1165"/>
      <c r="AH174" s="1164"/>
      <c r="AI174" s="1164"/>
      <c r="AJ174" s="1164"/>
      <c r="AK174" s="1164"/>
      <c r="AL174" s="1165"/>
    </row>
    <row r="175" spans="3:38">
      <c r="C175" s="1163">
        <f t="shared" si="5"/>
        <v>18</v>
      </c>
      <c r="D175" s="1180">
        <f t="shared" si="5"/>
        <v>0</v>
      </c>
      <c r="E175" s="1180" t="str">
        <f t="shared" si="5"/>
        <v>Comp 18</v>
      </c>
      <c r="F175" s="1164"/>
      <c r="G175" s="1164"/>
      <c r="H175" s="1164"/>
      <c r="I175" s="1164"/>
      <c r="J175" s="1164"/>
      <c r="K175" s="1165"/>
      <c r="L175" s="1164"/>
      <c r="M175" s="1164"/>
      <c r="N175" s="1164"/>
      <c r="O175" s="1164"/>
      <c r="P175" s="1164"/>
      <c r="Q175" s="1165"/>
      <c r="R175" s="1164"/>
      <c r="S175" s="1164"/>
      <c r="T175" s="1164"/>
      <c r="U175" s="1164"/>
      <c r="V175" s="1164"/>
      <c r="W175" s="1164"/>
      <c r="X175" s="1164"/>
      <c r="Y175" s="1165"/>
      <c r="Z175" s="1164"/>
      <c r="AA175" s="1164"/>
      <c r="AB175" s="1164"/>
      <c r="AC175" s="1164"/>
      <c r="AD175" s="1164"/>
      <c r="AE175" s="1164"/>
      <c r="AF175" s="1164"/>
      <c r="AG175" s="1165"/>
      <c r="AH175" s="1164"/>
      <c r="AI175" s="1164"/>
      <c r="AJ175" s="1164"/>
      <c r="AK175" s="1164"/>
      <c r="AL175" s="1165"/>
    </row>
    <row r="176" spans="3:38">
      <c r="C176" s="1163">
        <f t="shared" si="5"/>
        <v>19</v>
      </c>
      <c r="D176" s="1180">
        <f t="shared" si="5"/>
        <v>0</v>
      </c>
      <c r="E176" s="1180" t="str">
        <f t="shared" si="5"/>
        <v>Comp 19</v>
      </c>
      <c r="F176" s="1164"/>
      <c r="G176" s="1164"/>
      <c r="H176" s="1164"/>
      <c r="I176" s="1164"/>
      <c r="J176" s="1164"/>
      <c r="K176" s="1165"/>
      <c r="L176" s="1164"/>
      <c r="M176" s="1164"/>
      <c r="N176" s="1164"/>
      <c r="O176" s="1164"/>
      <c r="P176" s="1164"/>
      <c r="Q176" s="1165"/>
      <c r="R176" s="1164"/>
      <c r="S176" s="1164"/>
      <c r="T176" s="1164"/>
      <c r="U176" s="1164"/>
      <c r="V176" s="1164"/>
      <c r="W176" s="1164"/>
      <c r="X176" s="1164"/>
      <c r="Y176" s="1165"/>
      <c r="Z176" s="1164"/>
      <c r="AA176" s="1164"/>
      <c r="AB176" s="1164"/>
      <c r="AC176" s="1164"/>
      <c r="AD176" s="1164"/>
      <c r="AE176" s="1164"/>
      <c r="AF176" s="1164"/>
      <c r="AG176" s="1165"/>
      <c r="AH176" s="1164"/>
      <c r="AI176" s="1164"/>
      <c r="AJ176" s="1164"/>
      <c r="AK176" s="1164"/>
      <c r="AL176" s="1165"/>
    </row>
    <row r="177" spans="3:38">
      <c r="C177" s="1163">
        <f t="shared" si="5"/>
        <v>20</v>
      </c>
      <c r="D177" s="1180">
        <f t="shared" si="5"/>
        <v>0</v>
      </c>
      <c r="E177" s="1180" t="str">
        <f t="shared" si="5"/>
        <v>Comp 20</v>
      </c>
      <c r="F177" s="1164"/>
      <c r="G177" s="1164"/>
      <c r="H177" s="1164"/>
      <c r="I177" s="1164"/>
      <c r="J177" s="1164"/>
      <c r="K177" s="1165"/>
      <c r="L177" s="1164"/>
      <c r="M177" s="1164"/>
      <c r="N177" s="1164"/>
      <c r="O177" s="1164"/>
      <c r="P177" s="1164"/>
      <c r="Q177" s="1165"/>
      <c r="R177" s="1164"/>
      <c r="S177" s="1164"/>
      <c r="T177" s="1164"/>
      <c r="U177" s="1164"/>
      <c r="V177" s="1164"/>
      <c r="W177" s="1164"/>
      <c r="X177" s="1164"/>
      <c r="Y177" s="1165"/>
      <c r="Z177" s="1164"/>
      <c r="AA177" s="1164"/>
      <c r="AB177" s="1164"/>
      <c r="AC177" s="1164"/>
      <c r="AD177" s="1164"/>
      <c r="AE177" s="1164"/>
      <c r="AF177" s="1164"/>
      <c r="AG177" s="1165"/>
      <c r="AH177" s="1164"/>
      <c r="AI177" s="1164"/>
      <c r="AJ177" s="1164"/>
      <c r="AK177" s="1164"/>
      <c r="AL177" s="1165"/>
    </row>
    <row r="178" spans="3:38">
      <c r="C178" s="1163">
        <f t="shared" si="5"/>
        <v>21</v>
      </c>
      <c r="D178" s="1180">
        <f t="shared" si="5"/>
        <v>0</v>
      </c>
      <c r="E178" s="1180" t="str">
        <f t="shared" si="5"/>
        <v>Comp 21</v>
      </c>
      <c r="F178" s="1164"/>
      <c r="G178" s="1164"/>
      <c r="H178" s="1164"/>
      <c r="I178" s="1164"/>
      <c r="J178" s="1164"/>
      <c r="K178" s="1165"/>
      <c r="L178" s="1164"/>
      <c r="M178" s="1164"/>
      <c r="N178" s="1164"/>
      <c r="O178" s="1164"/>
      <c r="P178" s="1164"/>
      <c r="Q178" s="1165"/>
      <c r="R178" s="1164"/>
      <c r="S178" s="1164"/>
      <c r="T178" s="1164"/>
      <c r="U178" s="1164"/>
      <c r="V178" s="1164"/>
      <c r="W178" s="1164"/>
      <c r="X178" s="1164"/>
      <c r="Y178" s="1165"/>
      <c r="Z178" s="1164"/>
      <c r="AA178" s="1164"/>
      <c r="AB178" s="1164"/>
      <c r="AC178" s="1164"/>
      <c r="AD178" s="1164"/>
      <c r="AE178" s="1164"/>
      <c r="AF178" s="1164"/>
      <c r="AG178" s="1165"/>
      <c r="AH178" s="1164"/>
      <c r="AI178" s="1164"/>
      <c r="AJ178" s="1164"/>
      <c r="AK178" s="1164"/>
      <c r="AL178" s="1165"/>
    </row>
    <row r="179" spans="3:38">
      <c r="C179" s="1163">
        <f t="shared" si="5"/>
        <v>22</v>
      </c>
      <c r="D179" s="1180">
        <f t="shared" si="5"/>
        <v>0</v>
      </c>
      <c r="E179" s="1180" t="str">
        <f t="shared" si="5"/>
        <v>Comp 22</v>
      </c>
      <c r="F179" s="1164"/>
      <c r="G179" s="1164"/>
      <c r="H179" s="1164"/>
      <c r="I179" s="1164"/>
      <c r="J179" s="1164"/>
      <c r="K179" s="1165"/>
      <c r="L179" s="1164"/>
      <c r="M179" s="1164"/>
      <c r="N179" s="1164"/>
      <c r="O179" s="1164"/>
      <c r="P179" s="1164"/>
      <c r="Q179" s="1165"/>
      <c r="R179" s="1164"/>
      <c r="S179" s="1164"/>
      <c r="T179" s="1164"/>
      <c r="U179" s="1164"/>
      <c r="V179" s="1164"/>
      <c r="W179" s="1164"/>
      <c r="X179" s="1164"/>
      <c r="Y179" s="1165"/>
      <c r="Z179" s="1164"/>
      <c r="AA179" s="1164"/>
      <c r="AB179" s="1164"/>
      <c r="AC179" s="1164"/>
      <c r="AD179" s="1164"/>
      <c r="AE179" s="1164"/>
      <c r="AF179" s="1164"/>
      <c r="AG179" s="1165"/>
      <c r="AH179" s="1164"/>
      <c r="AI179" s="1164"/>
      <c r="AJ179" s="1164"/>
      <c r="AK179" s="1164"/>
      <c r="AL179" s="1165"/>
    </row>
    <row r="180" spans="3:38">
      <c r="C180" s="1163">
        <f t="shared" si="5"/>
        <v>23</v>
      </c>
      <c r="D180" s="1180">
        <f t="shared" si="5"/>
        <v>0</v>
      </c>
      <c r="E180" s="1180" t="str">
        <f t="shared" si="5"/>
        <v>Comp 23</v>
      </c>
      <c r="F180" s="1164"/>
      <c r="G180" s="1164"/>
      <c r="H180" s="1164"/>
      <c r="I180" s="1164"/>
      <c r="J180" s="1164"/>
      <c r="K180" s="1165"/>
      <c r="L180" s="1164"/>
      <c r="M180" s="1164"/>
      <c r="N180" s="1164"/>
      <c r="O180" s="1164"/>
      <c r="P180" s="1164"/>
      <c r="Q180" s="1165"/>
      <c r="R180" s="1164"/>
      <c r="S180" s="1164"/>
      <c r="T180" s="1164"/>
      <c r="U180" s="1164"/>
      <c r="V180" s="1164"/>
      <c r="W180" s="1164"/>
      <c r="X180" s="1164"/>
      <c r="Y180" s="1165"/>
      <c r="Z180" s="1164"/>
      <c r="AA180" s="1164"/>
      <c r="AB180" s="1164"/>
      <c r="AC180" s="1164"/>
      <c r="AD180" s="1164"/>
      <c r="AE180" s="1164"/>
      <c r="AF180" s="1164"/>
      <c r="AG180" s="1165"/>
      <c r="AH180" s="1164"/>
      <c r="AI180" s="1164"/>
      <c r="AJ180" s="1164"/>
      <c r="AK180" s="1164"/>
      <c r="AL180" s="1165"/>
    </row>
    <row r="181" spans="3:38">
      <c r="C181" s="1163">
        <f t="shared" si="5"/>
        <v>24</v>
      </c>
      <c r="D181" s="1180">
        <f t="shared" si="5"/>
        <v>0</v>
      </c>
      <c r="E181" s="1180" t="str">
        <f t="shared" si="5"/>
        <v>Comp 24</v>
      </c>
      <c r="F181" s="1164"/>
      <c r="G181" s="1164"/>
      <c r="H181" s="1164"/>
      <c r="I181" s="1164"/>
      <c r="J181" s="1164"/>
      <c r="K181" s="1165"/>
      <c r="L181" s="1164"/>
      <c r="M181" s="1164"/>
      <c r="N181" s="1164"/>
      <c r="O181" s="1164"/>
      <c r="P181" s="1164"/>
      <c r="Q181" s="1165"/>
      <c r="R181" s="1164"/>
      <c r="S181" s="1164"/>
      <c r="T181" s="1164"/>
      <c r="U181" s="1164"/>
      <c r="V181" s="1164"/>
      <c r="W181" s="1164"/>
      <c r="X181" s="1164"/>
      <c r="Y181" s="1165"/>
      <c r="Z181" s="1164"/>
      <c r="AA181" s="1164"/>
      <c r="AB181" s="1164"/>
      <c r="AC181" s="1164"/>
      <c r="AD181" s="1164"/>
      <c r="AE181" s="1164"/>
      <c r="AF181" s="1164"/>
      <c r="AG181" s="1165"/>
      <c r="AH181" s="1164"/>
      <c r="AI181" s="1164"/>
      <c r="AJ181" s="1164"/>
      <c r="AK181" s="1164"/>
      <c r="AL181" s="1165"/>
    </row>
    <row r="182" spans="3:38">
      <c r="C182" s="1163">
        <f t="shared" si="5"/>
        <v>25</v>
      </c>
      <c r="D182" s="1180">
        <f t="shared" si="5"/>
        <v>0</v>
      </c>
      <c r="E182" s="1180" t="str">
        <f t="shared" si="5"/>
        <v>Comp 25</v>
      </c>
      <c r="F182" s="1164"/>
      <c r="G182" s="1164"/>
      <c r="H182" s="1164"/>
      <c r="I182" s="1164"/>
      <c r="J182" s="1164"/>
      <c r="K182" s="1165"/>
      <c r="L182" s="1164"/>
      <c r="M182" s="1164"/>
      <c r="N182" s="1164"/>
      <c r="O182" s="1164"/>
      <c r="P182" s="1164"/>
      <c r="Q182" s="1165"/>
      <c r="R182" s="1164"/>
      <c r="S182" s="1164"/>
      <c r="T182" s="1164"/>
      <c r="U182" s="1164"/>
      <c r="V182" s="1164"/>
      <c r="W182" s="1164"/>
      <c r="X182" s="1164"/>
      <c r="Y182" s="1165"/>
      <c r="Z182" s="1164"/>
      <c r="AA182" s="1164"/>
      <c r="AB182" s="1164"/>
      <c r="AC182" s="1164"/>
      <c r="AD182" s="1164"/>
      <c r="AE182" s="1164"/>
      <c r="AF182" s="1164"/>
      <c r="AG182" s="1165"/>
      <c r="AH182" s="1164"/>
      <c r="AI182" s="1164"/>
      <c r="AJ182" s="1164"/>
      <c r="AK182" s="1164"/>
      <c r="AL182" s="1165"/>
    </row>
    <row r="183" spans="3:38">
      <c r="C183" s="1163">
        <f t="shared" si="5"/>
        <v>26</v>
      </c>
      <c r="D183" s="1180">
        <f t="shared" si="5"/>
        <v>0</v>
      </c>
      <c r="E183" s="1180" t="str">
        <f t="shared" si="5"/>
        <v>Comp 26</v>
      </c>
      <c r="F183" s="1164"/>
      <c r="G183" s="1164"/>
      <c r="H183" s="1164"/>
      <c r="I183" s="1164"/>
      <c r="J183" s="1164"/>
      <c r="K183" s="1165"/>
      <c r="L183" s="1164"/>
      <c r="M183" s="1164"/>
      <c r="N183" s="1164"/>
      <c r="O183" s="1164"/>
      <c r="P183" s="1164"/>
      <c r="Q183" s="1165"/>
      <c r="R183" s="1164"/>
      <c r="S183" s="1164"/>
      <c r="T183" s="1164"/>
      <c r="U183" s="1164"/>
      <c r="V183" s="1164"/>
      <c r="W183" s="1164"/>
      <c r="X183" s="1164"/>
      <c r="Y183" s="1165"/>
      <c r="Z183" s="1164"/>
      <c r="AA183" s="1164"/>
      <c r="AB183" s="1164"/>
      <c r="AC183" s="1164"/>
      <c r="AD183" s="1164"/>
      <c r="AE183" s="1164"/>
      <c r="AF183" s="1164"/>
      <c r="AG183" s="1165"/>
      <c r="AH183" s="1164"/>
      <c r="AI183" s="1164"/>
      <c r="AJ183" s="1164"/>
      <c r="AK183" s="1164"/>
      <c r="AL183" s="1165"/>
    </row>
    <row r="184" spans="3:38">
      <c r="C184" s="1163">
        <f t="shared" si="5"/>
        <v>27</v>
      </c>
      <c r="D184" s="1180">
        <f t="shared" si="5"/>
        <v>0</v>
      </c>
      <c r="E184" s="1180" t="str">
        <f t="shared" si="5"/>
        <v>Comp 27</v>
      </c>
      <c r="F184" s="1164"/>
      <c r="G184" s="1164"/>
      <c r="H184" s="1164"/>
      <c r="I184" s="1164"/>
      <c r="J184" s="1164"/>
      <c r="K184" s="1165"/>
      <c r="L184" s="1164"/>
      <c r="M184" s="1164"/>
      <c r="N184" s="1164"/>
      <c r="O184" s="1164"/>
      <c r="P184" s="1164"/>
      <c r="Q184" s="1165"/>
      <c r="R184" s="1164"/>
      <c r="S184" s="1164"/>
      <c r="T184" s="1164"/>
      <c r="U184" s="1164"/>
      <c r="V184" s="1164"/>
      <c r="W184" s="1164"/>
      <c r="X184" s="1164"/>
      <c r="Y184" s="1165"/>
      <c r="Z184" s="1164"/>
      <c r="AA184" s="1164"/>
      <c r="AB184" s="1164"/>
      <c r="AC184" s="1164"/>
      <c r="AD184" s="1164"/>
      <c r="AE184" s="1164"/>
      <c r="AF184" s="1164"/>
      <c r="AG184" s="1165"/>
      <c r="AH184" s="1164"/>
      <c r="AI184" s="1164"/>
      <c r="AJ184" s="1164"/>
      <c r="AK184" s="1164"/>
      <c r="AL184" s="1165"/>
    </row>
    <row r="185" spans="3:38">
      <c r="C185" s="1163">
        <f t="shared" si="5"/>
        <v>28</v>
      </c>
      <c r="D185" s="1180">
        <f t="shared" si="5"/>
        <v>0</v>
      </c>
      <c r="E185" s="1180" t="str">
        <f t="shared" si="5"/>
        <v>Comp 28</v>
      </c>
      <c r="F185" s="1164"/>
      <c r="G185" s="1164"/>
      <c r="H185" s="1164"/>
      <c r="I185" s="1164"/>
      <c r="J185" s="1164"/>
      <c r="K185" s="1165"/>
      <c r="L185" s="1164"/>
      <c r="M185" s="1164"/>
      <c r="N185" s="1164"/>
      <c r="O185" s="1164"/>
      <c r="P185" s="1164"/>
      <c r="Q185" s="1165"/>
      <c r="R185" s="1164"/>
      <c r="S185" s="1164"/>
      <c r="T185" s="1164"/>
      <c r="U185" s="1164"/>
      <c r="V185" s="1164"/>
      <c r="W185" s="1164"/>
      <c r="X185" s="1164"/>
      <c r="Y185" s="1165"/>
      <c r="Z185" s="1164"/>
      <c r="AA185" s="1164"/>
      <c r="AB185" s="1164"/>
      <c r="AC185" s="1164"/>
      <c r="AD185" s="1164"/>
      <c r="AE185" s="1164"/>
      <c r="AF185" s="1164"/>
      <c r="AG185" s="1165"/>
      <c r="AH185" s="1164"/>
      <c r="AI185" s="1164"/>
      <c r="AJ185" s="1164"/>
      <c r="AK185" s="1164"/>
      <c r="AL185" s="1165"/>
    </row>
    <row r="186" spans="3:38">
      <c r="C186" s="1163">
        <f t="shared" si="5"/>
        <v>29</v>
      </c>
      <c r="D186" s="1180">
        <f t="shared" si="5"/>
        <v>0</v>
      </c>
      <c r="E186" s="1180" t="str">
        <f t="shared" si="5"/>
        <v>Comp 29</v>
      </c>
      <c r="F186" s="1164"/>
      <c r="G186" s="1164"/>
      <c r="H186" s="1164"/>
      <c r="I186" s="1164"/>
      <c r="J186" s="1164"/>
      <c r="K186" s="1165"/>
      <c r="L186" s="1164"/>
      <c r="M186" s="1164"/>
      <c r="N186" s="1164"/>
      <c r="O186" s="1164"/>
      <c r="P186" s="1164"/>
      <c r="Q186" s="1165"/>
      <c r="R186" s="1164"/>
      <c r="S186" s="1164"/>
      <c r="T186" s="1164"/>
      <c r="U186" s="1164"/>
      <c r="V186" s="1164"/>
      <c r="W186" s="1164"/>
      <c r="X186" s="1164"/>
      <c r="Y186" s="1165"/>
      <c r="Z186" s="1164"/>
      <c r="AA186" s="1164"/>
      <c r="AB186" s="1164"/>
      <c r="AC186" s="1164"/>
      <c r="AD186" s="1164"/>
      <c r="AE186" s="1164"/>
      <c r="AF186" s="1164"/>
      <c r="AG186" s="1165"/>
      <c r="AH186" s="1164"/>
      <c r="AI186" s="1164"/>
      <c r="AJ186" s="1164"/>
      <c r="AK186" s="1164"/>
      <c r="AL186" s="1165"/>
    </row>
    <row r="187" spans="3:38">
      <c r="C187" s="1166">
        <f t="shared" si="5"/>
        <v>30</v>
      </c>
      <c r="D187" s="1181">
        <f t="shared" si="5"/>
        <v>0</v>
      </c>
      <c r="E187" s="1181" t="str">
        <f t="shared" si="5"/>
        <v>Comp 30</v>
      </c>
      <c r="F187" s="1167"/>
      <c r="G187" s="1167"/>
      <c r="H187" s="1167"/>
      <c r="I187" s="1167"/>
      <c r="J187" s="1167"/>
      <c r="K187" s="1168"/>
      <c r="L187" s="1167"/>
      <c r="M187" s="1167"/>
      <c r="N187" s="1167"/>
      <c r="O187" s="1167"/>
      <c r="P187" s="1167"/>
      <c r="Q187" s="1168"/>
      <c r="R187" s="1167"/>
      <c r="S187" s="1167"/>
      <c r="T187" s="1167"/>
      <c r="U187" s="1167"/>
      <c r="V187" s="1167"/>
      <c r="W187" s="1167"/>
      <c r="X187" s="1167"/>
      <c r="Y187" s="1168"/>
      <c r="Z187" s="1167"/>
      <c r="AA187" s="1167"/>
      <c r="AB187" s="1167"/>
      <c r="AC187" s="1167"/>
      <c r="AD187" s="1167"/>
      <c r="AE187" s="1167"/>
      <c r="AF187" s="1167"/>
      <c r="AG187" s="1168"/>
      <c r="AH187" s="1167"/>
      <c r="AI187" s="1167"/>
      <c r="AJ187" s="1167"/>
      <c r="AK187" s="1167"/>
      <c r="AL187" s="1168"/>
    </row>
    <row r="188" spans="3:38" s="71" customFormat="1" ht="15.75"/>
    <row r="189" spans="3:38">
      <c r="C189" s="1189" t="s">
        <v>1917</v>
      </c>
      <c r="D189" s="1189"/>
      <c r="E189" s="1189"/>
      <c r="F189" s="1189"/>
      <c r="G189" s="1189"/>
      <c r="H189" s="1189"/>
      <c r="I189" s="1189"/>
      <c r="J189" s="1189"/>
      <c r="K189" s="1189"/>
      <c r="L189" s="1189"/>
      <c r="M189" s="1189"/>
      <c r="N189" s="1189"/>
      <c r="O189" s="1189"/>
      <c r="P189" s="1189"/>
      <c r="Q189" s="1189"/>
      <c r="R189" s="1189"/>
      <c r="S189" s="1189"/>
      <c r="T189" s="1189"/>
      <c r="U189" s="1189"/>
      <c r="V189" s="1189"/>
      <c r="W189" s="1189"/>
      <c r="X189" s="1189"/>
      <c r="Y189" s="1189"/>
      <c r="Z189" s="1189"/>
      <c r="AA189" s="1189"/>
      <c r="AB189" s="1189"/>
      <c r="AC189" s="1189"/>
      <c r="AD189" s="1189"/>
      <c r="AE189" s="1189"/>
      <c r="AF189" s="1189"/>
      <c r="AG189" s="1189"/>
      <c r="AH189" s="1189"/>
      <c r="AI189" s="1189"/>
      <c r="AJ189" s="1160"/>
      <c r="AK189" s="1160"/>
      <c r="AL189" s="1160"/>
    </row>
    <row r="190" spans="3:38" ht="15.6" customHeight="1">
      <c r="C190" s="1194" t="str">
        <f>C122</f>
        <v>S.No.</v>
      </c>
      <c r="D190" s="1195" t="str">
        <f>D122</f>
        <v>Ticker</v>
      </c>
      <c r="E190" s="1195" t="str">
        <f>E122</f>
        <v>Company Name</v>
      </c>
      <c r="F190" s="1862" t="s">
        <v>1813</v>
      </c>
      <c r="G190" s="1862"/>
      <c r="H190" s="1862"/>
      <c r="I190" s="1862"/>
      <c r="J190" s="1862"/>
      <c r="K190" s="1863"/>
      <c r="L190" s="1862" t="s">
        <v>1407</v>
      </c>
      <c r="M190" s="1862"/>
      <c r="N190" s="1862"/>
      <c r="O190" s="1862"/>
      <c r="P190" s="1862"/>
      <c r="Q190" s="1862"/>
      <c r="R190" s="1862"/>
      <c r="S190" s="1862"/>
      <c r="T190" s="1863"/>
      <c r="U190" s="1862" t="s">
        <v>1408</v>
      </c>
      <c r="V190" s="1862"/>
      <c r="W190" s="1862"/>
      <c r="X190" s="1862"/>
      <c r="Y190" s="1862"/>
      <c r="Z190" s="1862"/>
      <c r="AA190" s="1862"/>
      <c r="AB190" s="1862"/>
      <c r="AC190" s="1863"/>
      <c r="AD190" s="1862" t="s">
        <v>1812</v>
      </c>
      <c r="AE190" s="1862"/>
      <c r="AF190" s="1862"/>
      <c r="AG190" s="1862"/>
      <c r="AH190" s="1862"/>
      <c r="AI190" s="1863"/>
      <c r="AJ190" s="1160"/>
      <c r="AK190" s="1160"/>
      <c r="AL190" s="1160"/>
    </row>
    <row r="191" spans="3:38">
      <c r="C191" s="1177"/>
      <c r="D191" s="1178"/>
      <c r="E191" s="1178"/>
      <c r="F191" s="1179" t="s">
        <v>134</v>
      </c>
      <c r="G191" s="1179" t="s">
        <v>131</v>
      </c>
      <c r="H191" s="1179" t="s">
        <v>129</v>
      </c>
      <c r="I191" s="1179" t="s">
        <v>1424</v>
      </c>
      <c r="J191" s="1179" t="s">
        <v>1425</v>
      </c>
      <c r="K191" s="1172" t="s">
        <v>1418</v>
      </c>
      <c r="L191" s="1179" t="s">
        <v>139</v>
      </c>
      <c r="M191" s="1179" t="s">
        <v>137</v>
      </c>
      <c r="N191" s="1179" t="s">
        <v>134</v>
      </c>
      <c r="O191" s="1179" t="s">
        <v>134</v>
      </c>
      <c r="P191" s="1179" t="s">
        <v>131</v>
      </c>
      <c r="Q191" s="1179" t="s">
        <v>129</v>
      </c>
      <c r="R191" s="1179" t="s">
        <v>1424</v>
      </c>
      <c r="S191" s="1179" t="s">
        <v>1425</v>
      </c>
      <c r="T191" s="1172" t="s">
        <v>1418</v>
      </c>
      <c r="U191" s="1179" t="s">
        <v>139</v>
      </c>
      <c r="V191" s="1179" t="s">
        <v>137</v>
      </c>
      <c r="W191" s="1179" t="s">
        <v>134</v>
      </c>
      <c r="X191" s="1179" t="s">
        <v>134</v>
      </c>
      <c r="Y191" s="1179" t="s">
        <v>131</v>
      </c>
      <c r="Z191" s="1179" t="s">
        <v>129</v>
      </c>
      <c r="AA191" s="1179" t="s">
        <v>1424</v>
      </c>
      <c r="AB191" s="1179" t="s">
        <v>1425</v>
      </c>
      <c r="AC191" s="1172" t="s">
        <v>1418</v>
      </c>
      <c r="AD191" s="1179" t="s">
        <v>134</v>
      </c>
      <c r="AE191" s="1179" t="s">
        <v>131</v>
      </c>
      <c r="AF191" s="1179" t="s">
        <v>129</v>
      </c>
      <c r="AG191" s="1179" t="s">
        <v>1424</v>
      </c>
      <c r="AH191" s="1179" t="s">
        <v>1425</v>
      </c>
      <c r="AI191" s="1172" t="s">
        <v>1418</v>
      </c>
      <c r="AJ191" s="1160"/>
      <c r="AK191" s="1160"/>
      <c r="AL191" s="1160"/>
    </row>
    <row r="192" spans="3:38">
      <c r="C192" s="1163">
        <f t="shared" ref="C192:E200" si="6">C124</f>
        <v>1</v>
      </c>
      <c r="D192" s="1180">
        <f t="shared" si="6"/>
        <v>0</v>
      </c>
      <c r="E192" s="1180" t="str">
        <f t="shared" si="6"/>
        <v>Comp 1</v>
      </c>
      <c r="F192" s="1164"/>
      <c r="G192" s="1164"/>
      <c r="H192" s="1164"/>
      <c r="I192" s="1164"/>
      <c r="J192" s="1164"/>
      <c r="K192" s="1165"/>
      <c r="L192" s="1164"/>
      <c r="M192" s="1164"/>
      <c r="N192" s="1164"/>
      <c r="O192" s="1164"/>
      <c r="P192" s="1164"/>
      <c r="Q192" s="1164"/>
      <c r="R192" s="1164"/>
      <c r="S192" s="1164"/>
      <c r="T192" s="1165"/>
      <c r="U192" s="1164"/>
      <c r="V192" s="1164"/>
      <c r="W192" s="1164"/>
      <c r="X192" s="1164"/>
      <c r="Y192" s="1164"/>
      <c r="Z192" s="1164"/>
      <c r="AA192" s="1164"/>
      <c r="AB192" s="1164"/>
      <c r="AC192" s="1165"/>
      <c r="AD192" s="1164"/>
      <c r="AE192" s="1164"/>
      <c r="AF192" s="1164"/>
      <c r="AG192" s="1164"/>
      <c r="AH192" s="1164"/>
      <c r="AI192" s="1165"/>
      <c r="AJ192" s="1160"/>
      <c r="AK192" s="1160"/>
      <c r="AL192" s="1160"/>
    </row>
    <row r="193" spans="3:38">
      <c r="C193" s="1163">
        <f t="shared" si="6"/>
        <v>2</v>
      </c>
      <c r="D193" s="1180">
        <f t="shared" si="6"/>
        <v>0</v>
      </c>
      <c r="E193" s="1180" t="str">
        <f t="shared" si="6"/>
        <v>Comp 2</v>
      </c>
      <c r="F193" s="1164"/>
      <c r="G193" s="1164"/>
      <c r="H193" s="1164"/>
      <c r="I193" s="1164"/>
      <c r="J193" s="1164"/>
      <c r="K193" s="1165"/>
      <c r="L193" s="1164"/>
      <c r="M193" s="1164"/>
      <c r="N193" s="1164"/>
      <c r="O193" s="1164"/>
      <c r="P193" s="1164"/>
      <c r="Q193" s="1164"/>
      <c r="R193" s="1164"/>
      <c r="S193" s="1164"/>
      <c r="T193" s="1165"/>
      <c r="U193" s="1164"/>
      <c r="V193" s="1164"/>
      <c r="W193" s="1164"/>
      <c r="X193" s="1164"/>
      <c r="Y193" s="1164"/>
      <c r="Z193" s="1164"/>
      <c r="AA193" s="1164"/>
      <c r="AB193" s="1164"/>
      <c r="AC193" s="1165"/>
      <c r="AD193" s="1164"/>
      <c r="AE193" s="1164"/>
      <c r="AF193" s="1164"/>
      <c r="AG193" s="1164"/>
      <c r="AH193" s="1164"/>
      <c r="AI193" s="1165"/>
      <c r="AJ193" s="1160"/>
      <c r="AK193" s="1160"/>
      <c r="AL193" s="1160"/>
    </row>
    <row r="194" spans="3:38">
      <c r="C194" s="1163">
        <f t="shared" si="6"/>
        <v>3</v>
      </c>
      <c r="D194" s="1180">
        <f t="shared" si="6"/>
        <v>0</v>
      </c>
      <c r="E194" s="1180" t="str">
        <f t="shared" si="6"/>
        <v>Comp 3</v>
      </c>
      <c r="F194" s="1164"/>
      <c r="G194" s="1164"/>
      <c r="H194" s="1164"/>
      <c r="I194" s="1164"/>
      <c r="J194" s="1164"/>
      <c r="K194" s="1165"/>
      <c r="L194" s="1164"/>
      <c r="M194" s="1164"/>
      <c r="N194" s="1164"/>
      <c r="O194" s="1164"/>
      <c r="P194" s="1164"/>
      <c r="Q194" s="1164"/>
      <c r="R194" s="1164"/>
      <c r="S194" s="1164"/>
      <c r="T194" s="1165"/>
      <c r="U194" s="1164"/>
      <c r="V194" s="1164"/>
      <c r="W194" s="1164"/>
      <c r="X194" s="1164"/>
      <c r="Y194" s="1164"/>
      <c r="Z194" s="1164"/>
      <c r="AA194" s="1164"/>
      <c r="AB194" s="1164"/>
      <c r="AC194" s="1165"/>
      <c r="AD194" s="1164"/>
      <c r="AE194" s="1164"/>
      <c r="AF194" s="1164"/>
      <c r="AG194" s="1164"/>
      <c r="AH194" s="1164"/>
      <c r="AI194" s="1165"/>
      <c r="AJ194" s="1160"/>
      <c r="AK194" s="1160"/>
      <c r="AL194" s="1160"/>
    </row>
    <row r="195" spans="3:38">
      <c r="C195" s="1163">
        <f t="shared" si="6"/>
        <v>4</v>
      </c>
      <c r="D195" s="1180">
        <f t="shared" si="6"/>
        <v>0</v>
      </c>
      <c r="E195" s="1180" t="str">
        <f t="shared" si="6"/>
        <v>Comp 4</v>
      </c>
      <c r="F195" s="1164"/>
      <c r="G195" s="1164"/>
      <c r="H195" s="1164"/>
      <c r="I195" s="1164"/>
      <c r="J195" s="1164"/>
      <c r="K195" s="1165"/>
      <c r="L195" s="1164"/>
      <c r="M195" s="1164"/>
      <c r="N195" s="1164"/>
      <c r="O195" s="1164"/>
      <c r="P195" s="1164"/>
      <c r="Q195" s="1164"/>
      <c r="R195" s="1164"/>
      <c r="S195" s="1164"/>
      <c r="T195" s="1165"/>
      <c r="U195" s="1164"/>
      <c r="V195" s="1164"/>
      <c r="W195" s="1164"/>
      <c r="X195" s="1164"/>
      <c r="Y195" s="1164"/>
      <c r="Z195" s="1164"/>
      <c r="AA195" s="1164"/>
      <c r="AB195" s="1164"/>
      <c r="AC195" s="1165"/>
      <c r="AD195" s="1164"/>
      <c r="AE195" s="1164"/>
      <c r="AF195" s="1164"/>
      <c r="AG195" s="1164"/>
      <c r="AH195" s="1164"/>
      <c r="AI195" s="1165"/>
      <c r="AJ195" s="1160"/>
      <c r="AK195" s="1160"/>
      <c r="AL195" s="1160"/>
    </row>
    <row r="196" spans="3:38">
      <c r="C196" s="1163">
        <f t="shared" si="6"/>
        <v>5</v>
      </c>
      <c r="D196" s="1180">
        <f t="shared" si="6"/>
        <v>0</v>
      </c>
      <c r="E196" s="1180" t="str">
        <f t="shared" si="6"/>
        <v>Comp 5</v>
      </c>
      <c r="F196" s="1164"/>
      <c r="G196" s="1164"/>
      <c r="H196" s="1164"/>
      <c r="I196" s="1164"/>
      <c r="J196" s="1164"/>
      <c r="K196" s="1165"/>
      <c r="L196" s="1164"/>
      <c r="M196" s="1164"/>
      <c r="N196" s="1164"/>
      <c r="O196" s="1164"/>
      <c r="P196" s="1164"/>
      <c r="Q196" s="1164"/>
      <c r="R196" s="1164"/>
      <c r="S196" s="1164"/>
      <c r="T196" s="1165"/>
      <c r="U196" s="1164"/>
      <c r="V196" s="1164"/>
      <c r="W196" s="1164"/>
      <c r="X196" s="1164"/>
      <c r="Y196" s="1164"/>
      <c r="Z196" s="1164"/>
      <c r="AA196" s="1164"/>
      <c r="AB196" s="1164"/>
      <c r="AC196" s="1165"/>
      <c r="AD196" s="1164"/>
      <c r="AE196" s="1164"/>
      <c r="AF196" s="1164"/>
      <c r="AG196" s="1164"/>
      <c r="AH196" s="1164"/>
      <c r="AI196" s="1165"/>
      <c r="AJ196" s="1160"/>
      <c r="AK196" s="1160"/>
      <c r="AL196" s="1160"/>
    </row>
    <row r="197" spans="3:38">
      <c r="C197" s="1163">
        <f t="shared" si="6"/>
        <v>6</v>
      </c>
      <c r="D197" s="1180">
        <f t="shared" si="6"/>
        <v>0</v>
      </c>
      <c r="E197" s="1180" t="str">
        <f t="shared" si="6"/>
        <v>Comp 6</v>
      </c>
      <c r="F197" s="1164"/>
      <c r="G197" s="1164"/>
      <c r="H197" s="1164"/>
      <c r="I197" s="1164"/>
      <c r="J197" s="1164"/>
      <c r="K197" s="1165"/>
      <c r="L197" s="1164"/>
      <c r="M197" s="1164"/>
      <c r="N197" s="1164"/>
      <c r="O197" s="1164"/>
      <c r="P197" s="1164"/>
      <c r="Q197" s="1164"/>
      <c r="R197" s="1164"/>
      <c r="S197" s="1164"/>
      <c r="T197" s="1165"/>
      <c r="U197" s="1164"/>
      <c r="V197" s="1164"/>
      <c r="W197" s="1164"/>
      <c r="X197" s="1164"/>
      <c r="Y197" s="1164"/>
      <c r="Z197" s="1164"/>
      <c r="AA197" s="1164"/>
      <c r="AB197" s="1164"/>
      <c r="AC197" s="1165"/>
      <c r="AD197" s="1164"/>
      <c r="AE197" s="1164"/>
      <c r="AF197" s="1164"/>
      <c r="AG197" s="1164"/>
      <c r="AH197" s="1164"/>
      <c r="AI197" s="1165"/>
      <c r="AJ197" s="1160"/>
      <c r="AK197" s="1160"/>
      <c r="AL197" s="1160"/>
    </row>
    <row r="198" spans="3:38">
      <c r="C198" s="1163">
        <f t="shared" si="6"/>
        <v>7</v>
      </c>
      <c r="D198" s="1180">
        <f t="shared" si="6"/>
        <v>0</v>
      </c>
      <c r="E198" s="1180" t="str">
        <f t="shared" si="6"/>
        <v>Comp 7</v>
      </c>
      <c r="F198" s="1164"/>
      <c r="G198" s="1164"/>
      <c r="H198" s="1164"/>
      <c r="I198" s="1164"/>
      <c r="J198" s="1164"/>
      <c r="K198" s="1165"/>
      <c r="L198" s="1164"/>
      <c r="M198" s="1164"/>
      <c r="N198" s="1164"/>
      <c r="O198" s="1164"/>
      <c r="P198" s="1164"/>
      <c r="Q198" s="1164"/>
      <c r="R198" s="1164"/>
      <c r="S198" s="1164"/>
      <c r="T198" s="1165"/>
      <c r="U198" s="1164"/>
      <c r="V198" s="1164"/>
      <c r="W198" s="1164"/>
      <c r="X198" s="1164"/>
      <c r="Y198" s="1164"/>
      <c r="Z198" s="1164"/>
      <c r="AA198" s="1164"/>
      <c r="AB198" s="1164"/>
      <c r="AC198" s="1165"/>
      <c r="AD198" s="1164"/>
      <c r="AE198" s="1164"/>
      <c r="AF198" s="1164"/>
      <c r="AG198" s="1164"/>
      <c r="AH198" s="1164"/>
      <c r="AI198" s="1165"/>
      <c r="AJ198" s="1160"/>
      <c r="AK198" s="1160"/>
      <c r="AL198" s="1160"/>
    </row>
    <row r="199" spans="3:38">
      <c r="C199" s="1163">
        <f t="shared" si="6"/>
        <v>8</v>
      </c>
      <c r="D199" s="1180">
        <f t="shared" si="6"/>
        <v>0</v>
      </c>
      <c r="E199" s="1180" t="str">
        <f t="shared" si="6"/>
        <v>Comp 8</v>
      </c>
      <c r="F199" s="1164"/>
      <c r="G199" s="1164"/>
      <c r="H199" s="1164"/>
      <c r="I199" s="1164"/>
      <c r="J199" s="1164"/>
      <c r="K199" s="1165"/>
      <c r="L199" s="1164"/>
      <c r="M199" s="1164"/>
      <c r="N199" s="1164"/>
      <c r="O199" s="1164"/>
      <c r="P199" s="1164"/>
      <c r="Q199" s="1164"/>
      <c r="R199" s="1164"/>
      <c r="S199" s="1164"/>
      <c r="T199" s="1165"/>
      <c r="U199" s="1164"/>
      <c r="V199" s="1164"/>
      <c r="W199" s="1164"/>
      <c r="X199" s="1164"/>
      <c r="Y199" s="1164"/>
      <c r="Z199" s="1164"/>
      <c r="AA199" s="1164"/>
      <c r="AB199" s="1164"/>
      <c r="AC199" s="1165"/>
      <c r="AD199" s="1164"/>
      <c r="AE199" s="1164"/>
      <c r="AF199" s="1164"/>
      <c r="AG199" s="1164"/>
      <c r="AH199" s="1164"/>
      <c r="AI199" s="1165"/>
      <c r="AJ199" s="1160"/>
      <c r="AK199" s="1160"/>
      <c r="AL199" s="1160"/>
    </row>
    <row r="200" spans="3:38">
      <c r="C200" s="1163">
        <f t="shared" si="6"/>
        <v>9</v>
      </c>
      <c r="D200" s="1180">
        <f t="shared" si="6"/>
        <v>0</v>
      </c>
      <c r="E200" s="1180" t="str">
        <f t="shared" si="6"/>
        <v>Comp 9</v>
      </c>
      <c r="F200" s="1164"/>
      <c r="G200" s="1164"/>
      <c r="H200" s="1164"/>
      <c r="I200" s="1164"/>
      <c r="J200" s="1164"/>
      <c r="K200" s="1165"/>
      <c r="L200" s="1164"/>
      <c r="M200" s="1164"/>
      <c r="N200" s="1164"/>
      <c r="O200" s="1164"/>
      <c r="P200" s="1164"/>
      <c r="Q200" s="1164"/>
      <c r="R200" s="1164"/>
      <c r="S200" s="1164"/>
      <c r="T200" s="1165"/>
      <c r="U200" s="1164"/>
      <c r="V200" s="1164"/>
      <c r="W200" s="1164"/>
      <c r="X200" s="1164"/>
      <c r="Y200" s="1164"/>
      <c r="Z200" s="1164"/>
      <c r="AA200" s="1164"/>
      <c r="AB200" s="1164"/>
      <c r="AC200" s="1165"/>
      <c r="AD200" s="1164"/>
      <c r="AE200" s="1164"/>
      <c r="AF200" s="1164"/>
      <c r="AG200" s="1164"/>
      <c r="AH200" s="1164"/>
      <c r="AI200" s="1165"/>
      <c r="AJ200" s="1160"/>
      <c r="AK200" s="1160"/>
      <c r="AL200" s="1160"/>
    </row>
    <row r="201" spans="3:38">
      <c r="C201" s="1163">
        <f t="shared" ref="C201:E221" si="7">C133</f>
        <v>10</v>
      </c>
      <c r="D201" s="1180">
        <f t="shared" si="7"/>
        <v>0</v>
      </c>
      <c r="E201" s="1180" t="str">
        <f t="shared" si="7"/>
        <v>Comp 10</v>
      </c>
      <c r="F201" s="1164"/>
      <c r="G201" s="1164"/>
      <c r="H201" s="1164"/>
      <c r="I201" s="1164"/>
      <c r="J201" s="1164"/>
      <c r="K201" s="1165"/>
      <c r="L201" s="1164"/>
      <c r="M201" s="1164"/>
      <c r="N201" s="1164"/>
      <c r="O201" s="1164"/>
      <c r="P201" s="1164"/>
      <c r="Q201" s="1164"/>
      <c r="R201" s="1164"/>
      <c r="S201" s="1164"/>
      <c r="T201" s="1165"/>
      <c r="U201" s="1164"/>
      <c r="V201" s="1164"/>
      <c r="W201" s="1164"/>
      <c r="X201" s="1164"/>
      <c r="Y201" s="1164"/>
      <c r="Z201" s="1164"/>
      <c r="AA201" s="1164"/>
      <c r="AB201" s="1164"/>
      <c r="AC201" s="1165"/>
      <c r="AD201" s="1164"/>
      <c r="AE201" s="1164"/>
      <c r="AF201" s="1164"/>
      <c r="AG201" s="1164"/>
      <c r="AH201" s="1164"/>
      <c r="AI201" s="1165"/>
      <c r="AJ201" s="1160"/>
      <c r="AK201" s="1160"/>
      <c r="AL201" s="1160"/>
    </row>
    <row r="202" spans="3:38">
      <c r="C202" s="1163">
        <f t="shared" si="7"/>
        <v>11</v>
      </c>
      <c r="D202" s="1180">
        <f t="shared" si="7"/>
        <v>0</v>
      </c>
      <c r="E202" s="1180" t="str">
        <f t="shared" si="7"/>
        <v>Comp 11</v>
      </c>
      <c r="F202" s="1164"/>
      <c r="G202" s="1164"/>
      <c r="H202" s="1164"/>
      <c r="I202" s="1164"/>
      <c r="J202" s="1164"/>
      <c r="K202" s="1165"/>
      <c r="L202" s="1164"/>
      <c r="M202" s="1164"/>
      <c r="N202" s="1164"/>
      <c r="O202" s="1164"/>
      <c r="P202" s="1164"/>
      <c r="Q202" s="1164"/>
      <c r="R202" s="1164"/>
      <c r="S202" s="1164"/>
      <c r="T202" s="1165"/>
      <c r="U202" s="1164"/>
      <c r="V202" s="1164"/>
      <c r="W202" s="1164"/>
      <c r="X202" s="1164"/>
      <c r="Y202" s="1164"/>
      <c r="Z202" s="1164"/>
      <c r="AA202" s="1164"/>
      <c r="AB202" s="1164"/>
      <c r="AC202" s="1165"/>
      <c r="AD202" s="1164"/>
      <c r="AE202" s="1164"/>
      <c r="AF202" s="1164"/>
      <c r="AG202" s="1164"/>
      <c r="AH202" s="1164"/>
      <c r="AI202" s="1165"/>
      <c r="AJ202" s="1160"/>
      <c r="AK202" s="1160"/>
      <c r="AL202" s="1160"/>
    </row>
    <row r="203" spans="3:38">
      <c r="C203" s="1163">
        <f t="shared" si="7"/>
        <v>12</v>
      </c>
      <c r="D203" s="1180">
        <f t="shared" si="7"/>
        <v>0</v>
      </c>
      <c r="E203" s="1180" t="str">
        <f t="shared" si="7"/>
        <v>Comp 12</v>
      </c>
      <c r="F203" s="1164"/>
      <c r="G203" s="1164"/>
      <c r="H203" s="1164"/>
      <c r="I203" s="1164"/>
      <c r="J203" s="1164"/>
      <c r="K203" s="1165"/>
      <c r="L203" s="1164"/>
      <c r="M203" s="1164"/>
      <c r="N203" s="1164"/>
      <c r="O203" s="1164"/>
      <c r="P203" s="1164"/>
      <c r="Q203" s="1164"/>
      <c r="R203" s="1164"/>
      <c r="S203" s="1164"/>
      <c r="T203" s="1165"/>
      <c r="U203" s="1164"/>
      <c r="V203" s="1164"/>
      <c r="W203" s="1164"/>
      <c r="X203" s="1164"/>
      <c r="Y203" s="1164"/>
      <c r="Z203" s="1164"/>
      <c r="AA203" s="1164"/>
      <c r="AB203" s="1164"/>
      <c r="AC203" s="1165"/>
      <c r="AD203" s="1164"/>
      <c r="AE203" s="1164"/>
      <c r="AF203" s="1164"/>
      <c r="AG203" s="1164"/>
      <c r="AH203" s="1164"/>
      <c r="AI203" s="1165"/>
      <c r="AJ203" s="1160"/>
      <c r="AK203" s="1160"/>
      <c r="AL203" s="1160"/>
    </row>
    <row r="204" spans="3:38">
      <c r="C204" s="1163">
        <f t="shared" si="7"/>
        <v>13</v>
      </c>
      <c r="D204" s="1180">
        <f t="shared" si="7"/>
        <v>0</v>
      </c>
      <c r="E204" s="1180" t="str">
        <f t="shared" si="7"/>
        <v>Comp 13</v>
      </c>
      <c r="F204" s="1164"/>
      <c r="G204" s="1164"/>
      <c r="H204" s="1164"/>
      <c r="I204" s="1164"/>
      <c r="J204" s="1164"/>
      <c r="K204" s="1165"/>
      <c r="L204" s="1164"/>
      <c r="M204" s="1164"/>
      <c r="N204" s="1164"/>
      <c r="O204" s="1164"/>
      <c r="P204" s="1164"/>
      <c r="Q204" s="1164"/>
      <c r="R204" s="1164"/>
      <c r="S204" s="1164"/>
      <c r="T204" s="1165"/>
      <c r="U204" s="1164"/>
      <c r="V204" s="1164"/>
      <c r="W204" s="1164"/>
      <c r="X204" s="1164"/>
      <c r="Y204" s="1164"/>
      <c r="Z204" s="1164"/>
      <c r="AA204" s="1164"/>
      <c r="AB204" s="1164"/>
      <c r="AC204" s="1165"/>
      <c r="AD204" s="1164"/>
      <c r="AE204" s="1164"/>
      <c r="AF204" s="1164"/>
      <c r="AG204" s="1164"/>
      <c r="AH204" s="1164"/>
      <c r="AI204" s="1165"/>
      <c r="AJ204" s="1160"/>
      <c r="AK204" s="1160"/>
      <c r="AL204" s="1160"/>
    </row>
    <row r="205" spans="3:38">
      <c r="C205" s="1163">
        <f t="shared" si="7"/>
        <v>14</v>
      </c>
      <c r="D205" s="1180">
        <f t="shared" si="7"/>
        <v>0</v>
      </c>
      <c r="E205" s="1180" t="str">
        <f t="shared" si="7"/>
        <v>Comp 14</v>
      </c>
      <c r="F205" s="1164"/>
      <c r="G205" s="1164"/>
      <c r="H205" s="1164"/>
      <c r="I205" s="1164"/>
      <c r="J205" s="1164"/>
      <c r="K205" s="1165"/>
      <c r="L205" s="1164"/>
      <c r="M205" s="1164"/>
      <c r="N205" s="1164"/>
      <c r="O205" s="1164"/>
      <c r="P205" s="1164"/>
      <c r="Q205" s="1164"/>
      <c r="R205" s="1164"/>
      <c r="S205" s="1164"/>
      <c r="T205" s="1165"/>
      <c r="U205" s="1164"/>
      <c r="V205" s="1164"/>
      <c r="W205" s="1164"/>
      <c r="X205" s="1164"/>
      <c r="Y205" s="1164"/>
      <c r="Z205" s="1164"/>
      <c r="AA205" s="1164"/>
      <c r="AB205" s="1164"/>
      <c r="AC205" s="1165"/>
      <c r="AD205" s="1164"/>
      <c r="AE205" s="1164"/>
      <c r="AF205" s="1164"/>
      <c r="AG205" s="1164"/>
      <c r="AH205" s="1164"/>
      <c r="AI205" s="1165"/>
      <c r="AJ205" s="1160"/>
      <c r="AK205" s="1160"/>
      <c r="AL205" s="1160"/>
    </row>
    <row r="206" spans="3:38">
      <c r="C206" s="1163">
        <f t="shared" si="7"/>
        <v>15</v>
      </c>
      <c r="D206" s="1180">
        <f t="shared" si="7"/>
        <v>0</v>
      </c>
      <c r="E206" s="1180" t="str">
        <f t="shared" si="7"/>
        <v>Comp 15</v>
      </c>
      <c r="F206" s="1164"/>
      <c r="G206" s="1164"/>
      <c r="H206" s="1164"/>
      <c r="I206" s="1164"/>
      <c r="J206" s="1164"/>
      <c r="K206" s="1165"/>
      <c r="L206" s="1164"/>
      <c r="M206" s="1164"/>
      <c r="N206" s="1164"/>
      <c r="O206" s="1164"/>
      <c r="P206" s="1164"/>
      <c r="Q206" s="1164"/>
      <c r="R206" s="1164"/>
      <c r="S206" s="1164"/>
      <c r="T206" s="1165"/>
      <c r="U206" s="1164"/>
      <c r="V206" s="1164"/>
      <c r="W206" s="1164"/>
      <c r="X206" s="1164"/>
      <c r="Y206" s="1164"/>
      <c r="Z206" s="1164"/>
      <c r="AA206" s="1164"/>
      <c r="AB206" s="1164"/>
      <c r="AC206" s="1165"/>
      <c r="AD206" s="1164"/>
      <c r="AE206" s="1164"/>
      <c r="AF206" s="1164"/>
      <c r="AG206" s="1164"/>
      <c r="AH206" s="1164"/>
      <c r="AI206" s="1165"/>
      <c r="AJ206" s="1160"/>
      <c r="AK206" s="1160"/>
      <c r="AL206" s="1160"/>
    </row>
    <row r="207" spans="3:38">
      <c r="C207" s="1163">
        <f t="shared" si="7"/>
        <v>16</v>
      </c>
      <c r="D207" s="1180">
        <f t="shared" si="7"/>
        <v>0</v>
      </c>
      <c r="E207" s="1180" t="str">
        <f t="shared" si="7"/>
        <v>Comp 16</v>
      </c>
      <c r="F207" s="1164"/>
      <c r="G207" s="1164"/>
      <c r="H207" s="1164"/>
      <c r="I207" s="1164"/>
      <c r="J207" s="1164"/>
      <c r="K207" s="1165"/>
      <c r="L207" s="1164"/>
      <c r="M207" s="1164"/>
      <c r="N207" s="1164"/>
      <c r="O207" s="1164"/>
      <c r="P207" s="1164"/>
      <c r="Q207" s="1164"/>
      <c r="R207" s="1164"/>
      <c r="S207" s="1164"/>
      <c r="T207" s="1165"/>
      <c r="U207" s="1164"/>
      <c r="V207" s="1164"/>
      <c r="W207" s="1164"/>
      <c r="X207" s="1164"/>
      <c r="Y207" s="1164"/>
      <c r="Z207" s="1164"/>
      <c r="AA207" s="1164"/>
      <c r="AB207" s="1164"/>
      <c r="AC207" s="1165"/>
      <c r="AD207" s="1164"/>
      <c r="AE207" s="1164"/>
      <c r="AF207" s="1164"/>
      <c r="AG207" s="1164"/>
      <c r="AH207" s="1164"/>
      <c r="AI207" s="1165"/>
      <c r="AJ207" s="1160"/>
      <c r="AK207" s="1160"/>
      <c r="AL207" s="1160"/>
    </row>
    <row r="208" spans="3:38">
      <c r="C208" s="1163">
        <f t="shared" si="7"/>
        <v>17</v>
      </c>
      <c r="D208" s="1180">
        <f t="shared" si="7"/>
        <v>0</v>
      </c>
      <c r="E208" s="1180" t="str">
        <f t="shared" si="7"/>
        <v>Comp 17</v>
      </c>
      <c r="F208" s="1164"/>
      <c r="G208" s="1164"/>
      <c r="H208" s="1164"/>
      <c r="I208" s="1164"/>
      <c r="J208" s="1164"/>
      <c r="K208" s="1165"/>
      <c r="L208" s="1164"/>
      <c r="M208" s="1164"/>
      <c r="N208" s="1164"/>
      <c r="O208" s="1164"/>
      <c r="P208" s="1164"/>
      <c r="Q208" s="1164"/>
      <c r="R208" s="1164"/>
      <c r="S208" s="1164"/>
      <c r="T208" s="1165"/>
      <c r="U208" s="1164"/>
      <c r="V208" s="1164"/>
      <c r="W208" s="1164"/>
      <c r="X208" s="1164"/>
      <c r="Y208" s="1164"/>
      <c r="Z208" s="1164"/>
      <c r="AA208" s="1164"/>
      <c r="AB208" s="1164"/>
      <c r="AC208" s="1165"/>
      <c r="AD208" s="1164"/>
      <c r="AE208" s="1164"/>
      <c r="AF208" s="1164"/>
      <c r="AG208" s="1164"/>
      <c r="AH208" s="1164"/>
      <c r="AI208" s="1165"/>
      <c r="AJ208" s="1160"/>
      <c r="AK208" s="1160"/>
      <c r="AL208" s="1160"/>
    </row>
    <row r="209" spans="3:42">
      <c r="C209" s="1163">
        <f t="shared" si="7"/>
        <v>18</v>
      </c>
      <c r="D209" s="1180">
        <f t="shared" si="7"/>
        <v>0</v>
      </c>
      <c r="E209" s="1180" t="str">
        <f t="shared" si="7"/>
        <v>Comp 18</v>
      </c>
      <c r="F209" s="1164"/>
      <c r="G209" s="1164"/>
      <c r="H209" s="1164"/>
      <c r="I209" s="1164"/>
      <c r="J209" s="1164"/>
      <c r="K209" s="1165"/>
      <c r="L209" s="1164"/>
      <c r="M209" s="1164"/>
      <c r="N209" s="1164"/>
      <c r="O209" s="1164"/>
      <c r="P209" s="1164"/>
      <c r="Q209" s="1164"/>
      <c r="R209" s="1164"/>
      <c r="S209" s="1164"/>
      <c r="T209" s="1165"/>
      <c r="U209" s="1164"/>
      <c r="V209" s="1164"/>
      <c r="W209" s="1164"/>
      <c r="X209" s="1164"/>
      <c r="Y209" s="1164"/>
      <c r="Z209" s="1164"/>
      <c r="AA209" s="1164"/>
      <c r="AB209" s="1164"/>
      <c r="AC209" s="1165"/>
      <c r="AD209" s="1164"/>
      <c r="AE209" s="1164"/>
      <c r="AF209" s="1164"/>
      <c r="AG209" s="1164"/>
      <c r="AH209" s="1164"/>
      <c r="AI209" s="1165"/>
      <c r="AJ209" s="1160"/>
      <c r="AK209" s="1160"/>
      <c r="AL209" s="1160"/>
    </row>
    <row r="210" spans="3:42">
      <c r="C210" s="1163">
        <f t="shared" si="7"/>
        <v>19</v>
      </c>
      <c r="D210" s="1180">
        <f t="shared" si="7"/>
        <v>0</v>
      </c>
      <c r="E210" s="1180" t="str">
        <f t="shared" si="7"/>
        <v>Comp 19</v>
      </c>
      <c r="F210" s="1164"/>
      <c r="G210" s="1164"/>
      <c r="H210" s="1164"/>
      <c r="I210" s="1164"/>
      <c r="J210" s="1164"/>
      <c r="K210" s="1165"/>
      <c r="L210" s="1164"/>
      <c r="M210" s="1164"/>
      <c r="N210" s="1164"/>
      <c r="O210" s="1164"/>
      <c r="P210" s="1164"/>
      <c r="Q210" s="1164"/>
      <c r="R210" s="1164"/>
      <c r="S210" s="1164"/>
      <c r="T210" s="1165"/>
      <c r="U210" s="1164"/>
      <c r="V210" s="1164"/>
      <c r="W210" s="1164"/>
      <c r="X210" s="1164"/>
      <c r="Y210" s="1164"/>
      <c r="Z210" s="1164"/>
      <c r="AA210" s="1164"/>
      <c r="AB210" s="1164"/>
      <c r="AC210" s="1165"/>
      <c r="AD210" s="1164"/>
      <c r="AE210" s="1164"/>
      <c r="AF210" s="1164"/>
      <c r="AG210" s="1164"/>
      <c r="AH210" s="1164"/>
      <c r="AI210" s="1165"/>
      <c r="AJ210" s="1160"/>
      <c r="AK210" s="1160"/>
      <c r="AL210" s="1160"/>
    </row>
    <row r="211" spans="3:42">
      <c r="C211" s="1163">
        <f t="shared" si="7"/>
        <v>20</v>
      </c>
      <c r="D211" s="1180">
        <f t="shared" si="7"/>
        <v>0</v>
      </c>
      <c r="E211" s="1180" t="str">
        <f t="shared" si="7"/>
        <v>Comp 20</v>
      </c>
      <c r="F211" s="1164"/>
      <c r="G211" s="1164"/>
      <c r="H211" s="1164"/>
      <c r="I211" s="1164"/>
      <c r="J211" s="1164"/>
      <c r="K211" s="1165"/>
      <c r="L211" s="1164"/>
      <c r="M211" s="1164"/>
      <c r="N211" s="1164"/>
      <c r="O211" s="1164"/>
      <c r="P211" s="1164"/>
      <c r="Q211" s="1164"/>
      <c r="R211" s="1164"/>
      <c r="S211" s="1164"/>
      <c r="T211" s="1165"/>
      <c r="U211" s="1164"/>
      <c r="V211" s="1164"/>
      <c r="W211" s="1164"/>
      <c r="X211" s="1164"/>
      <c r="Y211" s="1164"/>
      <c r="Z211" s="1164"/>
      <c r="AA211" s="1164"/>
      <c r="AB211" s="1164"/>
      <c r="AC211" s="1165"/>
      <c r="AD211" s="1164"/>
      <c r="AE211" s="1164"/>
      <c r="AF211" s="1164"/>
      <c r="AG211" s="1164"/>
      <c r="AH211" s="1164"/>
      <c r="AI211" s="1165"/>
      <c r="AJ211" s="1160"/>
      <c r="AK211" s="1160"/>
      <c r="AL211" s="1160"/>
    </row>
    <row r="212" spans="3:42">
      <c r="C212" s="1163">
        <f t="shared" si="7"/>
        <v>21</v>
      </c>
      <c r="D212" s="1180">
        <f t="shared" si="7"/>
        <v>0</v>
      </c>
      <c r="E212" s="1180" t="str">
        <f t="shared" si="7"/>
        <v>Comp 21</v>
      </c>
      <c r="F212" s="1164"/>
      <c r="G212" s="1164"/>
      <c r="H212" s="1164"/>
      <c r="I212" s="1164"/>
      <c r="J212" s="1164"/>
      <c r="K212" s="1165"/>
      <c r="L212" s="1164"/>
      <c r="M212" s="1164"/>
      <c r="N212" s="1164"/>
      <c r="O212" s="1164"/>
      <c r="P212" s="1164"/>
      <c r="Q212" s="1164"/>
      <c r="R212" s="1164"/>
      <c r="S212" s="1164"/>
      <c r="T212" s="1165"/>
      <c r="U212" s="1164"/>
      <c r="V212" s="1164"/>
      <c r="W212" s="1164"/>
      <c r="X212" s="1164"/>
      <c r="Y212" s="1164"/>
      <c r="Z212" s="1164"/>
      <c r="AA212" s="1164"/>
      <c r="AB212" s="1164"/>
      <c r="AC212" s="1165"/>
      <c r="AD212" s="1164"/>
      <c r="AE212" s="1164"/>
      <c r="AF212" s="1164"/>
      <c r="AG212" s="1164"/>
      <c r="AH212" s="1164"/>
      <c r="AI212" s="1165"/>
      <c r="AJ212" s="1160"/>
      <c r="AK212" s="1160"/>
      <c r="AL212" s="1160"/>
    </row>
    <row r="213" spans="3:42">
      <c r="C213" s="1163">
        <f t="shared" si="7"/>
        <v>22</v>
      </c>
      <c r="D213" s="1180">
        <f t="shared" si="7"/>
        <v>0</v>
      </c>
      <c r="E213" s="1180" t="str">
        <f t="shared" si="7"/>
        <v>Comp 22</v>
      </c>
      <c r="F213" s="1164"/>
      <c r="G213" s="1164"/>
      <c r="H213" s="1164"/>
      <c r="I213" s="1164"/>
      <c r="J213" s="1164"/>
      <c r="K213" s="1165"/>
      <c r="L213" s="1164"/>
      <c r="M213" s="1164"/>
      <c r="N213" s="1164"/>
      <c r="O213" s="1164"/>
      <c r="P213" s="1164"/>
      <c r="Q213" s="1164"/>
      <c r="R213" s="1164"/>
      <c r="S213" s="1164"/>
      <c r="T213" s="1165"/>
      <c r="U213" s="1164"/>
      <c r="V213" s="1164"/>
      <c r="W213" s="1164"/>
      <c r="X213" s="1164"/>
      <c r="Y213" s="1164"/>
      <c r="Z213" s="1164"/>
      <c r="AA213" s="1164"/>
      <c r="AB213" s="1164"/>
      <c r="AC213" s="1165"/>
      <c r="AD213" s="1164"/>
      <c r="AE213" s="1164"/>
      <c r="AF213" s="1164"/>
      <c r="AG213" s="1164"/>
      <c r="AH213" s="1164"/>
      <c r="AI213" s="1165"/>
      <c r="AJ213" s="1160"/>
      <c r="AK213" s="1160"/>
      <c r="AL213" s="1160"/>
    </row>
    <row r="214" spans="3:42">
      <c r="C214" s="1163">
        <f t="shared" si="7"/>
        <v>23</v>
      </c>
      <c r="D214" s="1180">
        <f t="shared" si="7"/>
        <v>0</v>
      </c>
      <c r="E214" s="1180" t="str">
        <f t="shared" si="7"/>
        <v>Comp 23</v>
      </c>
      <c r="F214" s="1164"/>
      <c r="G214" s="1164"/>
      <c r="H214" s="1164"/>
      <c r="I214" s="1164"/>
      <c r="J214" s="1164"/>
      <c r="K214" s="1165"/>
      <c r="L214" s="1164"/>
      <c r="M214" s="1164"/>
      <c r="N214" s="1164"/>
      <c r="O214" s="1164"/>
      <c r="P214" s="1164"/>
      <c r="Q214" s="1164"/>
      <c r="R214" s="1164"/>
      <c r="S214" s="1164"/>
      <c r="T214" s="1165"/>
      <c r="U214" s="1164"/>
      <c r="V214" s="1164"/>
      <c r="W214" s="1164"/>
      <c r="X214" s="1164"/>
      <c r="Y214" s="1164"/>
      <c r="Z214" s="1164"/>
      <c r="AA214" s="1164"/>
      <c r="AB214" s="1164"/>
      <c r="AC214" s="1165"/>
      <c r="AD214" s="1164"/>
      <c r="AE214" s="1164"/>
      <c r="AF214" s="1164"/>
      <c r="AG214" s="1164"/>
      <c r="AH214" s="1164"/>
      <c r="AI214" s="1165"/>
      <c r="AJ214" s="1160"/>
      <c r="AK214" s="1160"/>
      <c r="AL214" s="1160"/>
    </row>
    <row r="215" spans="3:42">
      <c r="C215" s="1163">
        <f t="shared" si="7"/>
        <v>24</v>
      </c>
      <c r="D215" s="1180">
        <f t="shared" si="7"/>
        <v>0</v>
      </c>
      <c r="E215" s="1180" t="str">
        <f t="shared" si="7"/>
        <v>Comp 24</v>
      </c>
      <c r="F215" s="1164"/>
      <c r="G215" s="1164"/>
      <c r="H215" s="1164"/>
      <c r="I215" s="1164"/>
      <c r="J215" s="1164"/>
      <c r="K215" s="1165"/>
      <c r="L215" s="1164"/>
      <c r="M215" s="1164"/>
      <c r="N215" s="1164"/>
      <c r="O215" s="1164"/>
      <c r="P215" s="1164"/>
      <c r="Q215" s="1164"/>
      <c r="R215" s="1164"/>
      <c r="S215" s="1164"/>
      <c r="T215" s="1165"/>
      <c r="U215" s="1164"/>
      <c r="V215" s="1164"/>
      <c r="W215" s="1164"/>
      <c r="X215" s="1164"/>
      <c r="Y215" s="1164"/>
      <c r="Z215" s="1164"/>
      <c r="AA215" s="1164"/>
      <c r="AB215" s="1164"/>
      <c r="AC215" s="1165"/>
      <c r="AD215" s="1164"/>
      <c r="AE215" s="1164"/>
      <c r="AF215" s="1164"/>
      <c r="AG215" s="1164"/>
      <c r="AH215" s="1164"/>
      <c r="AI215" s="1165"/>
      <c r="AJ215" s="1160"/>
      <c r="AK215" s="1160"/>
      <c r="AL215" s="1160"/>
    </row>
    <row r="216" spans="3:42">
      <c r="C216" s="1163">
        <f t="shared" si="7"/>
        <v>25</v>
      </c>
      <c r="D216" s="1180">
        <f t="shared" si="7"/>
        <v>0</v>
      </c>
      <c r="E216" s="1180" t="str">
        <f t="shared" si="7"/>
        <v>Comp 25</v>
      </c>
      <c r="F216" s="1164"/>
      <c r="G216" s="1164"/>
      <c r="H216" s="1164"/>
      <c r="I216" s="1164"/>
      <c r="J216" s="1164"/>
      <c r="K216" s="1165"/>
      <c r="L216" s="1164"/>
      <c r="M216" s="1164"/>
      <c r="N216" s="1164"/>
      <c r="O216" s="1164"/>
      <c r="P216" s="1164"/>
      <c r="Q216" s="1164"/>
      <c r="R216" s="1164"/>
      <c r="S216" s="1164"/>
      <c r="T216" s="1165"/>
      <c r="U216" s="1164"/>
      <c r="V216" s="1164"/>
      <c r="W216" s="1164"/>
      <c r="X216" s="1164"/>
      <c r="Y216" s="1164"/>
      <c r="Z216" s="1164"/>
      <c r="AA216" s="1164"/>
      <c r="AB216" s="1164"/>
      <c r="AC216" s="1165"/>
      <c r="AD216" s="1164"/>
      <c r="AE216" s="1164"/>
      <c r="AF216" s="1164"/>
      <c r="AG216" s="1164"/>
      <c r="AH216" s="1164"/>
      <c r="AI216" s="1165"/>
      <c r="AJ216" s="1160"/>
      <c r="AK216" s="1160"/>
      <c r="AL216" s="1160"/>
    </row>
    <row r="217" spans="3:42">
      <c r="C217" s="1163">
        <f t="shared" si="7"/>
        <v>26</v>
      </c>
      <c r="D217" s="1180">
        <f t="shared" si="7"/>
        <v>0</v>
      </c>
      <c r="E217" s="1180" t="str">
        <f t="shared" si="7"/>
        <v>Comp 26</v>
      </c>
      <c r="F217" s="1164"/>
      <c r="G217" s="1164"/>
      <c r="H217" s="1164"/>
      <c r="I217" s="1164"/>
      <c r="J217" s="1164"/>
      <c r="K217" s="1165"/>
      <c r="L217" s="1164"/>
      <c r="M217" s="1164"/>
      <c r="N217" s="1164"/>
      <c r="O217" s="1164"/>
      <c r="P217" s="1164"/>
      <c r="Q217" s="1164"/>
      <c r="R217" s="1164"/>
      <c r="S217" s="1164"/>
      <c r="T217" s="1165"/>
      <c r="U217" s="1164"/>
      <c r="V217" s="1164"/>
      <c r="W217" s="1164"/>
      <c r="X217" s="1164"/>
      <c r="Y217" s="1164"/>
      <c r="Z217" s="1164"/>
      <c r="AA217" s="1164"/>
      <c r="AB217" s="1164"/>
      <c r="AC217" s="1165"/>
      <c r="AD217" s="1164"/>
      <c r="AE217" s="1164"/>
      <c r="AF217" s="1164"/>
      <c r="AG217" s="1164"/>
      <c r="AH217" s="1164"/>
      <c r="AI217" s="1165"/>
      <c r="AJ217" s="1160"/>
      <c r="AK217" s="1160"/>
      <c r="AL217" s="1160"/>
    </row>
    <row r="218" spans="3:42">
      <c r="C218" s="1163">
        <f t="shared" si="7"/>
        <v>27</v>
      </c>
      <c r="D218" s="1180">
        <f t="shared" si="7"/>
        <v>0</v>
      </c>
      <c r="E218" s="1180" t="str">
        <f t="shared" si="7"/>
        <v>Comp 27</v>
      </c>
      <c r="F218" s="1164"/>
      <c r="G218" s="1164"/>
      <c r="H218" s="1164"/>
      <c r="I218" s="1164"/>
      <c r="J218" s="1164"/>
      <c r="K218" s="1165"/>
      <c r="L218" s="1164"/>
      <c r="M218" s="1164"/>
      <c r="N218" s="1164"/>
      <c r="O218" s="1164"/>
      <c r="P218" s="1164"/>
      <c r="Q218" s="1164"/>
      <c r="R218" s="1164"/>
      <c r="S218" s="1164"/>
      <c r="T218" s="1165"/>
      <c r="U218" s="1164"/>
      <c r="V218" s="1164"/>
      <c r="W218" s="1164"/>
      <c r="X218" s="1164"/>
      <c r="Y218" s="1164"/>
      <c r="Z218" s="1164"/>
      <c r="AA218" s="1164"/>
      <c r="AB218" s="1164"/>
      <c r="AC218" s="1165"/>
      <c r="AD218" s="1164"/>
      <c r="AE218" s="1164"/>
      <c r="AF218" s="1164"/>
      <c r="AG218" s="1164"/>
      <c r="AH218" s="1164"/>
      <c r="AI218" s="1165"/>
      <c r="AJ218" s="1160"/>
      <c r="AK218" s="1160"/>
      <c r="AL218" s="1160"/>
    </row>
    <row r="219" spans="3:42">
      <c r="C219" s="1163">
        <f t="shared" si="7"/>
        <v>28</v>
      </c>
      <c r="D219" s="1180">
        <f t="shared" si="7"/>
        <v>0</v>
      </c>
      <c r="E219" s="1180" t="str">
        <f t="shared" si="7"/>
        <v>Comp 28</v>
      </c>
      <c r="F219" s="1164"/>
      <c r="G219" s="1164"/>
      <c r="H219" s="1164"/>
      <c r="I219" s="1164"/>
      <c r="J219" s="1164"/>
      <c r="K219" s="1165"/>
      <c r="L219" s="1164"/>
      <c r="M219" s="1164"/>
      <c r="N219" s="1164"/>
      <c r="O219" s="1164"/>
      <c r="P219" s="1164"/>
      <c r="Q219" s="1164"/>
      <c r="R219" s="1164"/>
      <c r="S219" s="1164"/>
      <c r="T219" s="1165"/>
      <c r="U219" s="1164"/>
      <c r="V219" s="1164"/>
      <c r="W219" s="1164"/>
      <c r="X219" s="1164"/>
      <c r="Y219" s="1164"/>
      <c r="Z219" s="1164"/>
      <c r="AA219" s="1164"/>
      <c r="AB219" s="1164"/>
      <c r="AC219" s="1165"/>
      <c r="AD219" s="1164"/>
      <c r="AE219" s="1164"/>
      <c r="AF219" s="1164"/>
      <c r="AG219" s="1164"/>
      <c r="AH219" s="1164"/>
      <c r="AI219" s="1165"/>
      <c r="AJ219" s="1160"/>
      <c r="AK219" s="1160"/>
      <c r="AL219" s="1160"/>
    </row>
    <row r="220" spans="3:42">
      <c r="C220" s="1163">
        <f t="shared" si="7"/>
        <v>29</v>
      </c>
      <c r="D220" s="1180">
        <f t="shared" si="7"/>
        <v>0</v>
      </c>
      <c r="E220" s="1180" t="str">
        <f t="shared" si="7"/>
        <v>Comp 29</v>
      </c>
      <c r="F220" s="1164"/>
      <c r="G220" s="1164"/>
      <c r="H220" s="1164"/>
      <c r="I220" s="1164"/>
      <c r="J220" s="1164"/>
      <c r="K220" s="1165"/>
      <c r="L220" s="1164"/>
      <c r="M220" s="1164"/>
      <c r="N220" s="1164"/>
      <c r="O220" s="1164"/>
      <c r="P220" s="1164"/>
      <c r="Q220" s="1164"/>
      <c r="R220" s="1164"/>
      <c r="S220" s="1164"/>
      <c r="T220" s="1165"/>
      <c r="U220" s="1164"/>
      <c r="V220" s="1164"/>
      <c r="W220" s="1164"/>
      <c r="X220" s="1164"/>
      <c r="Y220" s="1164"/>
      <c r="Z220" s="1164"/>
      <c r="AA220" s="1164"/>
      <c r="AB220" s="1164"/>
      <c r="AC220" s="1165"/>
      <c r="AD220" s="1164"/>
      <c r="AE220" s="1164"/>
      <c r="AF220" s="1164"/>
      <c r="AG220" s="1164"/>
      <c r="AH220" s="1164"/>
      <c r="AI220" s="1165"/>
      <c r="AJ220" s="1160"/>
      <c r="AK220" s="1160"/>
      <c r="AL220" s="1160"/>
    </row>
    <row r="221" spans="3:42">
      <c r="C221" s="1166">
        <f t="shared" si="7"/>
        <v>30</v>
      </c>
      <c r="D221" s="1181">
        <f t="shared" si="7"/>
        <v>0</v>
      </c>
      <c r="E221" s="1181" t="str">
        <f t="shared" si="7"/>
        <v>Comp 30</v>
      </c>
      <c r="F221" s="1167"/>
      <c r="G221" s="1167"/>
      <c r="H221" s="1167"/>
      <c r="I221" s="1167"/>
      <c r="J221" s="1167"/>
      <c r="K221" s="1168"/>
      <c r="L221" s="1167"/>
      <c r="M221" s="1167"/>
      <c r="N221" s="1167"/>
      <c r="O221" s="1167"/>
      <c r="P221" s="1167"/>
      <c r="Q221" s="1167"/>
      <c r="R221" s="1167"/>
      <c r="S221" s="1167"/>
      <c r="T221" s="1168"/>
      <c r="U221" s="1167"/>
      <c r="V221" s="1167"/>
      <c r="W221" s="1167"/>
      <c r="X221" s="1167"/>
      <c r="Y221" s="1167"/>
      <c r="Z221" s="1167"/>
      <c r="AA221" s="1167"/>
      <c r="AB221" s="1167"/>
      <c r="AC221" s="1168"/>
      <c r="AD221" s="1167"/>
      <c r="AE221" s="1167"/>
      <c r="AF221" s="1167"/>
      <c r="AG221" s="1167"/>
      <c r="AH221" s="1167"/>
      <c r="AI221" s="1168"/>
      <c r="AJ221" s="1160"/>
      <c r="AK221" s="1160"/>
      <c r="AL221" s="1160"/>
    </row>
    <row r="222" spans="3:42">
      <c r="F222" s="1160"/>
      <c r="G222" s="1160"/>
      <c r="H222" s="1160"/>
      <c r="I222" s="1160"/>
      <c r="J222" s="1160"/>
      <c r="K222" s="1160"/>
      <c r="L222" s="1160"/>
      <c r="M222" s="1160"/>
      <c r="N222" s="1160"/>
      <c r="R222" s="1160"/>
      <c r="S222" s="1160"/>
      <c r="T222" s="1160"/>
      <c r="U222" s="1160"/>
      <c r="V222" s="1160"/>
      <c r="W222" s="1160"/>
      <c r="X222" s="1160"/>
      <c r="Y222" s="1160"/>
      <c r="Z222" s="1160"/>
      <c r="AA222" s="1160"/>
      <c r="AB222" s="1160"/>
      <c r="AC222" s="1160"/>
      <c r="AD222" s="1160"/>
      <c r="AE222" s="1160"/>
      <c r="AF222" s="1160"/>
      <c r="AG222" s="1160"/>
      <c r="AH222" s="1160"/>
      <c r="AI222" s="1160"/>
      <c r="AJ222" s="1160"/>
      <c r="AK222" s="1160"/>
      <c r="AL222" s="1160"/>
    </row>
    <row r="223" spans="3:42">
      <c r="C223" s="1189" t="s">
        <v>1987</v>
      </c>
      <c r="D223" s="1189"/>
      <c r="E223" s="1189"/>
      <c r="F223" s="1189"/>
      <c r="G223" s="1189"/>
      <c r="H223" s="1189"/>
      <c r="I223" s="1189"/>
      <c r="J223" s="1189"/>
      <c r="K223" s="1189"/>
      <c r="L223" s="1189"/>
      <c r="M223" s="1189"/>
      <c r="N223" s="1189"/>
      <c r="O223" s="1189"/>
      <c r="P223" s="1189"/>
      <c r="Q223" s="1189"/>
      <c r="R223" s="1189"/>
      <c r="S223" s="1189"/>
      <c r="T223" s="1189"/>
      <c r="U223" s="1189"/>
      <c r="V223" s="1189"/>
      <c r="W223" s="1189"/>
      <c r="X223" s="1189"/>
      <c r="Y223" s="1189"/>
      <c r="Z223" s="1189"/>
      <c r="AA223" s="1189"/>
      <c r="AB223" s="1189"/>
      <c r="AC223" s="1189"/>
      <c r="AD223" s="1189"/>
      <c r="AE223" s="1189"/>
      <c r="AF223" s="1189"/>
      <c r="AG223" s="1189"/>
      <c r="AH223" s="1189"/>
      <c r="AI223" s="1189"/>
      <c r="AJ223" s="1189"/>
      <c r="AK223" s="1189"/>
      <c r="AL223" s="1189"/>
      <c r="AM223" s="1189"/>
      <c r="AN223" s="1189"/>
      <c r="AO223" s="1189"/>
      <c r="AP223" s="1189"/>
    </row>
    <row r="224" spans="3:42">
      <c r="C224" s="1194" t="str">
        <f>C156</f>
        <v>S.No.</v>
      </c>
      <c r="D224" s="1195" t="str">
        <f>D156</f>
        <v>Ticker</v>
      </c>
      <c r="E224" s="1195" t="str">
        <f>E156</f>
        <v>Company Name</v>
      </c>
      <c r="F224" s="1196"/>
      <c r="G224" s="1196"/>
      <c r="H224" s="1196"/>
      <c r="I224" s="1196"/>
      <c r="J224" s="1196"/>
      <c r="K224" s="1196"/>
      <c r="L224" s="1196"/>
      <c r="M224" s="1196"/>
      <c r="N224" s="1196"/>
      <c r="O224" s="1196"/>
      <c r="P224" s="1196"/>
      <c r="Q224" s="1196"/>
      <c r="R224" s="1196"/>
      <c r="S224" s="1196"/>
      <c r="T224" s="1196"/>
      <c r="U224" s="1196"/>
      <c r="V224" s="1196"/>
      <c r="W224" s="1196"/>
      <c r="X224" s="1196"/>
      <c r="Y224" s="1196"/>
      <c r="Z224" s="1196"/>
      <c r="AA224" s="1196"/>
      <c r="AB224" s="1196"/>
      <c r="AC224" s="1196"/>
      <c r="AD224" s="1196"/>
      <c r="AE224" s="1860" t="s">
        <v>1478</v>
      </c>
      <c r="AF224" s="1860"/>
      <c r="AG224" s="1860"/>
      <c r="AH224" s="1860" t="s">
        <v>1479</v>
      </c>
      <c r="AI224" s="1860"/>
      <c r="AJ224" s="1860"/>
      <c r="AK224" s="1860" t="s">
        <v>1480</v>
      </c>
      <c r="AL224" s="1860"/>
      <c r="AM224" s="1860"/>
      <c r="AN224" s="1860" t="s">
        <v>1481</v>
      </c>
      <c r="AO224" s="1860"/>
      <c r="AP224" s="1860"/>
    </row>
    <row r="225" spans="3:42" ht="51.6" customHeight="1">
      <c r="C225" s="1177"/>
      <c r="D225" s="1178"/>
      <c r="E225" s="1178"/>
      <c r="F225" s="1183" t="s">
        <v>1482</v>
      </c>
      <c r="G225" s="1183" t="s">
        <v>1483</v>
      </c>
      <c r="H225" s="1183" t="s">
        <v>1484</v>
      </c>
      <c r="I225" s="1183" t="s">
        <v>1485</v>
      </c>
      <c r="J225" s="1183" t="s">
        <v>1486</v>
      </c>
      <c r="K225" s="1183" t="s">
        <v>1487</v>
      </c>
      <c r="L225" s="1183" t="s">
        <v>1488</v>
      </c>
      <c r="M225" s="1183" t="s">
        <v>1489</v>
      </c>
      <c r="N225" s="1183" t="s">
        <v>1490</v>
      </c>
      <c r="O225" s="1183" t="s">
        <v>1491</v>
      </c>
      <c r="P225" s="1183" t="s">
        <v>1492</v>
      </c>
      <c r="Q225" s="1183" t="s">
        <v>1493</v>
      </c>
      <c r="R225" s="1183" t="s">
        <v>1455</v>
      </c>
      <c r="S225" s="1183" t="s">
        <v>1494</v>
      </c>
      <c r="T225" s="1183" t="s">
        <v>1388</v>
      </c>
      <c r="U225" s="1183" t="s">
        <v>1495</v>
      </c>
      <c r="V225" s="1183" t="s">
        <v>1496</v>
      </c>
      <c r="W225" s="1183" t="s">
        <v>1497</v>
      </c>
      <c r="X225" s="1183" t="s">
        <v>1498</v>
      </c>
      <c r="Y225" s="1183" t="s">
        <v>1499</v>
      </c>
      <c r="Z225" s="1183" t="s">
        <v>1500</v>
      </c>
      <c r="AA225" s="1183" t="s">
        <v>1407</v>
      </c>
      <c r="AB225" s="1183" t="s">
        <v>1408</v>
      </c>
      <c r="AC225" s="1183" t="s">
        <v>1501</v>
      </c>
      <c r="AD225" s="1183" t="s">
        <v>1502</v>
      </c>
      <c r="AE225" s="1183" t="s">
        <v>1503</v>
      </c>
      <c r="AF225" s="1183" t="s">
        <v>1504</v>
      </c>
      <c r="AG225" s="1183" t="s">
        <v>1505</v>
      </c>
      <c r="AH225" s="1183" t="s">
        <v>1503</v>
      </c>
      <c r="AI225" s="1183" t="s">
        <v>1504</v>
      </c>
      <c r="AJ225" s="1183" t="s">
        <v>1505</v>
      </c>
      <c r="AK225" s="1183" t="s">
        <v>1503</v>
      </c>
      <c r="AL225" s="1183" t="s">
        <v>1504</v>
      </c>
      <c r="AM225" s="1183" t="s">
        <v>1505</v>
      </c>
      <c r="AN225" s="1183" t="s">
        <v>1503</v>
      </c>
      <c r="AO225" s="1183" t="s">
        <v>1504</v>
      </c>
      <c r="AP225" s="1184" t="s">
        <v>1505</v>
      </c>
    </row>
    <row r="226" spans="3:42">
      <c r="C226" s="1163">
        <f t="shared" ref="C226:E234" si="8">C158</f>
        <v>1</v>
      </c>
      <c r="D226" s="1180">
        <f t="shared" si="8"/>
        <v>0</v>
      </c>
      <c r="E226" s="1180" t="str">
        <f t="shared" si="8"/>
        <v>Comp 1</v>
      </c>
      <c r="F226" s="1164"/>
      <c r="G226" s="1164"/>
      <c r="H226" s="1164"/>
      <c r="I226" s="1164"/>
      <c r="J226" s="1164"/>
      <c r="K226" s="1164"/>
      <c r="L226" s="1164"/>
      <c r="M226" s="1164"/>
      <c r="N226" s="1164"/>
      <c r="O226" s="1164"/>
      <c r="P226" s="1164"/>
      <c r="Q226" s="1164"/>
      <c r="R226" s="1164"/>
      <c r="S226" s="1164"/>
      <c r="T226" s="1164"/>
      <c r="U226" s="1164"/>
      <c r="V226" s="1164"/>
      <c r="W226" s="1164"/>
      <c r="X226" s="1164"/>
      <c r="Y226" s="1164"/>
      <c r="Z226" s="1164"/>
      <c r="AA226" s="1164"/>
      <c r="AB226" s="1164"/>
      <c r="AC226" s="1164"/>
      <c r="AD226" s="1164"/>
      <c r="AE226" s="1164"/>
      <c r="AF226" s="1164"/>
      <c r="AG226" s="1164"/>
      <c r="AH226" s="1164"/>
      <c r="AI226" s="1164"/>
      <c r="AJ226" s="1164"/>
      <c r="AK226" s="1164"/>
      <c r="AL226" s="1164"/>
      <c r="AM226" s="1164"/>
      <c r="AN226" s="1164"/>
      <c r="AO226" s="1164"/>
      <c r="AP226" s="1165"/>
    </row>
    <row r="227" spans="3:42">
      <c r="C227" s="1163">
        <f t="shared" si="8"/>
        <v>2</v>
      </c>
      <c r="D227" s="1180">
        <f t="shared" si="8"/>
        <v>0</v>
      </c>
      <c r="E227" s="1180" t="str">
        <f t="shared" si="8"/>
        <v>Comp 2</v>
      </c>
      <c r="F227" s="1164"/>
      <c r="G227" s="1164"/>
      <c r="H227" s="1164"/>
      <c r="I227" s="1164"/>
      <c r="J227" s="1164"/>
      <c r="K227" s="1164"/>
      <c r="L227" s="1164"/>
      <c r="M227" s="1164"/>
      <c r="N227" s="1164"/>
      <c r="O227" s="1164"/>
      <c r="P227" s="1164"/>
      <c r="Q227" s="1164"/>
      <c r="R227" s="1164"/>
      <c r="S227" s="1164"/>
      <c r="T227" s="1164"/>
      <c r="U227" s="1164"/>
      <c r="V227" s="1164"/>
      <c r="W227" s="1164"/>
      <c r="X227" s="1164"/>
      <c r="Y227" s="1164"/>
      <c r="Z227" s="1164"/>
      <c r="AA227" s="1164"/>
      <c r="AB227" s="1164"/>
      <c r="AC227" s="1164"/>
      <c r="AD227" s="1164"/>
      <c r="AE227" s="1164"/>
      <c r="AF227" s="1164"/>
      <c r="AG227" s="1164"/>
      <c r="AH227" s="1164"/>
      <c r="AI227" s="1164"/>
      <c r="AJ227" s="1164"/>
      <c r="AK227" s="1164"/>
      <c r="AL227" s="1164"/>
      <c r="AM227" s="1164"/>
      <c r="AN227" s="1164"/>
      <c r="AO227" s="1164"/>
      <c r="AP227" s="1165"/>
    </row>
    <row r="228" spans="3:42">
      <c r="C228" s="1163">
        <f t="shared" si="8"/>
        <v>3</v>
      </c>
      <c r="D228" s="1180">
        <f t="shared" si="8"/>
        <v>0</v>
      </c>
      <c r="E228" s="1180" t="str">
        <f t="shared" si="8"/>
        <v>Comp 3</v>
      </c>
      <c r="F228" s="1164"/>
      <c r="G228" s="1164"/>
      <c r="H228" s="1164"/>
      <c r="I228" s="1164"/>
      <c r="J228" s="1164"/>
      <c r="K228" s="1164"/>
      <c r="L228" s="1164"/>
      <c r="M228" s="1164"/>
      <c r="N228" s="1164"/>
      <c r="O228" s="1164"/>
      <c r="P228" s="1164"/>
      <c r="Q228" s="1164"/>
      <c r="R228" s="1164"/>
      <c r="S228" s="1164"/>
      <c r="T228" s="1164"/>
      <c r="U228" s="1164"/>
      <c r="V228" s="1164"/>
      <c r="W228" s="1164"/>
      <c r="X228" s="1164"/>
      <c r="Y228" s="1164"/>
      <c r="Z228" s="1164"/>
      <c r="AA228" s="1164"/>
      <c r="AB228" s="1164"/>
      <c r="AC228" s="1164"/>
      <c r="AD228" s="1164"/>
      <c r="AE228" s="1164"/>
      <c r="AF228" s="1164"/>
      <c r="AG228" s="1164"/>
      <c r="AH228" s="1164"/>
      <c r="AI228" s="1164"/>
      <c r="AJ228" s="1164"/>
      <c r="AK228" s="1164"/>
      <c r="AL228" s="1164"/>
      <c r="AM228" s="1164"/>
      <c r="AN228" s="1164"/>
      <c r="AO228" s="1164"/>
      <c r="AP228" s="1165"/>
    </row>
    <row r="229" spans="3:42">
      <c r="C229" s="1163">
        <f t="shared" si="8"/>
        <v>4</v>
      </c>
      <c r="D229" s="1180">
        <f t="shared" si="8"/>
        <v>0</v>
      </c>
      <c r="E229" s="1180" t="str">
        <f t="shared" si="8"/>
        <v>Comp 4</v>
      </c>
      <c r="F229" s="1164"/>
      <c r="G229" s="1164"/>
      <c r="H229" s="1164"/>
      <c r="I229" s="1164"/>
      <c r="J229" s="1164"/>
      <c r="K229" s="1164"/>
      <c r="L229" s="1164"/>
      <c r="M229" s="1164"/>
      <c r="N229" s="1164"/>
      <c r="O229" s="1164"/>
      <c r="P229" s="1164"/>
      <c r="Q229" s="1164"/>
      <c r="R229" s="1164"/>
      <c r="S229" s="1164"/>
      <c r="T229" s="1164"/>
      <c r="U229" s="1164"/>
      <c r="V229" s="1164"/>
      <c r="W229" s="1164"/>
      <c r="X229" s="1164"/>
      <c r="Y229" s="1164"/>
      <c r="Z229" s="1164"/>
      <c r="AA229" s="1164"/>
      <c r="AB229" s="1164"/>
      <c r="AC229" s="1164"/>
      <c r="AD229" s="1164"/>
      <c r="AE229" s="1164"/>
      <c r="AF229" s="1164"/>
      <c r="AG229" s="1164"/>
      <c r="AH229" s="1164"/>
      <c r="AI229" s="1164"/>
      <c r="AJ229" s="1164"/>
      <c r="AK229" s="1164"/>
      <c r="AL229" s="1164"/>
      <c r="AM229" s="1164"/>
      <c r="AN229" s="1164"/>
      <c r="AO229" s="1164"/>
      <c r="AP229" s="1165"/>
    </row>
    <row r="230" spans="3:42">
      <c r="C230" s="1163">
        <f t="shared" si="8"/>
        <v>5</v>
      </c>
      <c r="D230" s="1180">
        <f t="shared" si="8"/>
        <v>0</v>
      </c>
      <c r="E230" s="1180" t="str">
        <f t="shared" si="8"/>
        <v>Comp 5</v>
      </c>
      <c r="F230" s="1164"/>
      <c r="G230" s="1164"/>
      <c r="H230" s="1164"/>
      <c r="I230" s="1164"/>
      <c r="J230" s="1164"/>
      <c r="K230" s="1164"/>
      <c r="L230" s="1164"/>
      <c r="M230" s="1164"/>
      <c r="N230" s="1164"/>
      <c r="O230" s="1164"/>
      <c r="P230" s="1164"/>
      <c r="Q230" s="1164"/>
      <c r="R230" s="1164"/>
      <c r="S230" s="1164"/>
      <c r="T230" s="1164"/>
      <c r="U230" s="1164"/>
      <c r="V230" s="1164"/>
      <c r="W230" s="1164"/>
      <c r="X230" s="1164"/>
      <c r="Y230" s="1164"/>
      <c r="Z230" s="1164"/>
      <c r="AA230" s="1164"/>
      <c r="AB230" s="1164"/>
      <c r="AC230" s="1164"/>
      <c r="AD230" s="1164"/>
      <c r="AE230" s="1164"/>
      <c r="AF230" s="1164"/>
      <c r="AG230" s="1164"/>
      <c r="AH230" s="1164"/>
      <c r="AI230" s="1164"/>
      <c r="AJ230" s="1164"/>
      <c r="AK230" s="1164"/>
      <c r="AL230" s="1164"/>
      <c r="AM230" s="1164"/>
      <c r="AN230" s="1164"/>
      <c r="AO230" s="1164"/>
      <c r="AP230" s="1165"/>
    </row>
    <row r="231" spans="3:42">
      <c r="C231" s="1163">
        <f t="shared" si="8"/>
        <v>6</v>
      </c>
      <c r="D231" s="1180">
        <f t="shared" si="8"/>
        <v>0</v>
      </c>
      <c r="E231" s="1180" t="str">
        <f t="shared" si="8"/>
        <v>Comp 6</v>
      </c>
      <c r="F231" s="1164"/>
      <c r="G231" s="1164"/>
      <c r="H231" s="1164"/>
      <c r="I231" s="1164"/>
      <c r="J231" s="1164"/>
      <c r="K231" s="1164"/>
      <c r="L231" s="1164"/>
      <c r="M231" s="1164"/>
      <c r="N231" s="1164"/>
      <c r="O231" s="1164"/>
      <c r="P231" s="1164"/>
      <c r="Q231" s="1164"/>
      <c r="R231" s="1164"/>
      <c r="S231" s="1164"/>
      <c r="T231" s="1164"/>
      <c r="U231" s="1164"/>
      <c r="V231" s="1164"/>
      <c r="W231" s="1164"/>
      <c r="X231" s="1164"/>
      <c r="Y231" s="1164"/>
      <c r="Z231" s="1164"/>
      <c r="AA231" s="1164"/>
      <c r="AB231" s="1164"/>
      <c r="AC231" s="1164"/>
      <c r="AD231" s="1164"/>
      <c r="AE231" s="1164"/>
      <c r="AF231" s="1164"/>
      <c r="AG231" s="1164"/>
      <c r="AH231" s="1164"/>
      <c r="AI231" s="1164"/>
      <c r="AJ231" s="1164"/>
      <c r="AK231" s="1164"/>
      <c r="AL231" s="1164"/>
      <c r="AM231" s="1164"/>
      <c r="AN231" s="1164"/>
      <c r="AO231" s="1164"/>
      <c r="AP231" s="1165"/>
    </row>
    <row r="232" spans="3:42">
      <c r="C232" s="1163">
        <f t="shared" si="8"/>
        <v>7</v>
      </c>
      <c r="D232" s="1180">
        <f t="shared" si="8"/>
        <v>0</v>
      </c>
      <c r="E232" s="1180" t="str">
        <f t="shared" si="8"/>
        <v>Comp 7</v>
      </c>
      <c r="F232" s="1164"/>
      <c r="G232" s="1164"/>
      <c r="H232" s="1164"/>
      <c r="I232" s="1164"/>
      <c r="J232" s="1164"/>
      <c r="K232" s="1164"/>
      <c r="L232" s="1164"/>
      <c r="M232" s="1164"/>
      <c r="N232" s="1164"/>
      <c r="O232" s="1164"/>
      <c r="P232" s="1164"/>
      <c r="Q232" s="1164"/>
      <c r="R232" s="1164"/>
      <c r="S232" s="1164"/>
      <c r="T232" s="1164"/>
      <c r="U232" s="1164"/>
      <c r="V232" s="1164"/>
      <c r="W232" s="1164"/>
      <c r="X232" s="1164"/>
      <c r="Y232" s="1164"/>
      <c r="Z232" s="1164"/>
      <c r="AA232" s="1164"/>
      <c r="AB232" s="1164"/>
      <c r="AC232" s="1164"/>
      <c r="AD232" s="1164"/>
      <c r="AE232" s="1164"/>
      <c r="AF232" s="1164"/>
      <c r="AG232" s="1164"/>
      <c r="AH232" s="1164"/>
      <c r="AI232" s="1164"/>
      <c r="AJ232" s="1164"/>
      <c r="AK232" s="1164"/>
      <c r="AL232" s="1164"/>
      <c r="AM232" s="1164"/>
      <c r="AN232" s="1164"/>
      <c r="AO232" s="1164"/>
      <c r="AP232" s="1165"/>
    </row>
    <row r="233" spans="3:42">
      <c r="C233" s="1163">
        <f t="shared" si="8"/>
        <v>8</v>
      </c>
      <c r="D233" s="1180">
        <f t="shared" si="8"/>
        <v>0</v>
      </c>
      <c r="E233" s="1180" t="str">
        <f t="shared" si="8"/>
        <v>Comp 8</v>
      </c>
      <c r="F233" s="1164"/>
      <c r="G233" s="1164"/>
      <c r="H233" s="1164"/>
      <c r="I233" s="1164"/>
      <c r="J233" s="1164"/>
      <c r="K233" s="1164"/>
      <c r="L233" s="1164"/>
      <c r="M233" s="1164"/>
      <c r="N233" s="1164"/>
      <c r="O233" s="1164"/>
      <c r="P233" s="1164"/>
      <c r="Q233" s="1164"/>
      <c r="R233" s="1164"/>
      <c r="S233" s="1164"/>
      <c r="T233" s="1164"/>
      <c r="U233" s="1164"/>
      <c r="V233" s="1164"/>
      <c r="W233" s="1164"/>
      <c r="X233" s="1164"/>
      <c r="Y233" s="1164"/>
      <c r="Z233" s="1164"/>
      <c r="AA233" s="1164"/>
      <c r="AB233" s="1164"/>
      <c r="AC233" s="1164"/>
      <c r="AD233" s="1164"/>
      <c r="AE233" s="1164"/>
      <c r="AF233" s="1164"/>
      <c r="AG233" s="1164"/>
      <c r="AH233" s="1164"/>
      <c r="AI233" s="1164"/>
      <c r="AJ233" s="1164"/>
      <c r="AK233" s="1164"/>
      <c r="AL233" s="1164"/>
      <c r="AM233" s="1164"/>
      <c r="AN233" s="1164"/>
      <c r="AO233" s="1164"/>
      <c r="AP233" s="1165"/>
    </row>
    <row r="234" spans="3:42">
      <c r="C234" s="1163">
        <f t="shared" si="8"/>
        <v>9</v>
      </c>
      <c r="D234" s="1180">
        <f t="shared" si="8"/>
        <v>0</v>
      </c>
      <c r="E234" s="1180" t="str">
        <f t="shared" si="8"/>
        <v>Comp 9</v>
      </c>
      <c r="F234" s="1164"/>
      <c r="G234" s="1164"/>
      <c r="H234" s="1164"/>
      <c r="I234" s="1164"/>
      <c r="J234" s="1164"/>
      <c r="K234" s="1164"/>
      <c r="L234" s="1164"/>
      <c r="M234" s="1164"/>
      <c r="N234" s="1164"/>
      <c r="O234" s="1164"/>
      <c r="P234" s="1164"/>
      <c r="Q234" s="1164"/>
      <c r="R234" s="1164"/>
      <c r="S234" s="1164"/>
      <c r="T234" s="1164"/>
      <c r="U234" s="1164"/>
      <c r="V234" s="1164"/>
      <c r="W234" s="1164"/>
      <c r="X234" s="1164"/>
      <c r="Y234" s="1164"/>
      <c r="Z234" s="1164"/>
      <c r="AA234" s="1164"/>
      <c r="AB234" s="1164"/>
      <c r="AC234" s="1164"/>
      <c r="AD234" s="1164"/>
      <c r="AE234" s="1164"/>
      <c r="AF234" s="1164"/>
      <c r="AG234" s="1164"/>
      <c r="AH234" s="1164"/>
      <c r="AI234" s="1164"/>
      <c r="AJ234" s="1164"/>
      <c r="AK234" s="1164"/>
      <c r="AL234" s="1164"/>
      <c r="AM234" s="1164"/>
      <c r="AN234" s="1164"/>
      <c r="AO234" s="1164"/>
      <c r="AP234" s="1165"/>
    </row>
    <row r="235" spans="3:42">
      <c r="C235" s="1163">
        <f t="shared" ref="C235:E252" si="9">C167</f>
        <v>10</v>
      </c>
      <c r="D235" s="1180">
        <f t="shared" si="9"/>
        <v>0</v>
      </c>
      <c r="E235" s="1180" t="str">
        <f t="shared" si="9"/>
        <v>Comp 10</v>
      </c>
      <c r="F235" s="1164"/>
      <c r="G235" s="1164"/>
      <c r="H235" s="1164"/>
      <c r="I235" s="1164"/>
      <c r="J235" s="1164"/>
      <c r="K235" s="1164"/>
      <c r="L235" s="1164"/>
      <c r="M235" s="1164"/>
      <c r="N235" s="1164"/>
      <c r="O235" s="1164"/>
      <c r="P235" s="1164"/>
      <c r="Q235" s="1164"/>
      <c r="R235" s="1164"/>
      <c r="S235" s="1164"/>
      <c r="T235" s="1164"/>
      <c r="U235" s="1164"/>
      <c r="V235" s="1164"/>
      <c r="W235" s="1164"/>
      <c r="X235" s="1164"/>
      <c r="Y235" s="1164"/>
      <c r="Z235" s="1164"/>
      <c r="AA235" s="1164"/>
      <c r="AB235" s="1164"/>
      <c r="AC235" s="1164"/>
      <c r="AD235" s="1164"/>
      <c r="AE235" s="1164"/>
      <c r="AF235" s="1164"/>
      <c r="AG235" s="1164"/>
      <c r="AH235" s="1164"/>
      <c r="AI235" s="1164"/>
      <c r="AJ235" s="1164"/>
      <c r="AK235" s="1164"/>
      <c r="AL235" s="1164"/>
      <c r="AM235" s="1164"/>
      <c r="AN235" s="1164"/>
      <c r="AO235" s="1164"/>
      <c r="AP235" s="1165"/>
    </row>
    <row r="236" spans="3:42">
      <c r="C236" s="1163">
        <f t="shared" si="9"/>
        <v>11</v>
      </c>
      <c r="D236" s="1180">
        <f t="shared" si="9"/>
        <v>0</v>
      </c>
      <c r="E236" s="1180" t="str">
        <f t="shared" si="9"/>
        <v>Comp 11</v>
      </c>
      <c r="F236" s="1164"/>
      <c r="G236" s="1164"/>
      <c r="H236" s="1164"/>
      <c r="I236" s="1164"/>
      <c r="J236" s="1164"/>
      <c r="K236" s="1164"/>
      <c r="L236" s="1164"/>
      <c r="M236" s="1164"/>
      <c r="N236" s="1164"/>
      <c r="O236" s="1164"/>
      <c r="P236" s="1164"/>
      <c r="Q236" s="1164"/>
      <c r="R236" s="1164"/>
      <c r="S236" s="1164"/>
      <c r="T236" s="1164"/>
      <c r="U236" s="1164"/>
      <c r="V236" s="1164"/>
      <c r="W236" s="1164"/>
      <c r="X236" s="1164"/>
      <c r="Y236" s="1164"/>
      <c r="Z236" s="1164"/>
      <c r="AA236" s="1164"/>
      <c r="AB236" s="1164"/>
      <c r="AC236" s="1164"/>
      <c r="AD236" s="1164"/>
      <c r="AE236" s="1164"/>
      <c r="AF236" s="1164"/>
      <c r="AG236" s="1164"/>
      <c r="AH236" s="1164"/>
      <c r="AI236" s="1164"/>
      <c r="AJ236" s="1164"/>
      <c r="AK236" s="1164"/>
      <c r="AL236" s="1164"/>
      <c r="AM236" s="1164"/>
      <c r="AN236" s="1164"/>
      <c r="AO236" s="1164"/>
      <c r="AP236" s="1165"/>
    </row>
    <row r="237" spans="3:42">
      <c r="C237" s="1163">
        <f t="shared" si="9"/>
        <v>12</v>
      </c>
      <c r="D237" s="1180">
        <f t="shared" si="9"/>
        <v>0</v>
      </c>
      <c r="E237" s="1180" t="str">
        <f t="shared" si="9"/>
        <v>Comp 12</v>
      </c>
      <c r="F237" s="1164"/>
      <c r="G237" s="1164"/>
      <c r="H237" s="1164"/>
      <c r="I237" s="1164"/>
      <c r="J237" s="1164"/>
      <c r="K237" s="1164"/>
      <c r="L237" s="1164"/>
      <c r="M237" s="1164"/>
      <c r="N237" s="1164"/>
      <c r="O237" s="1164"/>
      <c r="P237" s="1164"/>
      <c r="Q237" s="1164"/>
      <c r="R237" s="1164"/>
      <c r="S237" s="1164"/>
      <c r="T237" s="1164"/>
      <c r="U237" s="1164"/>
      <c r="V237" s="1164"/>
      <c r="W237" s="1164"/>
      <c r="X237" s="1164"/>
      <c r="Y237" s="1164"/>
      <c r="Z237" s="1164"/>
      <c r="AA237" s="1164"/>
      <c r="AB237" s="1164"/>
      <c r="AC237" s="1164"/>
      <c r="AD237" s="1164"/>
      <c r="AE237" s="1164"/>
      <c r="AF237" s="1164"/>
      <c r="AG237" s="1164"/>
      <c r="AH237" s="1164"/>
      <c r="AI237" s="1164"/>
      <c r="AJ237" s="1164"/>
      <c r="AK237" s="1164"/>
      <c r="AL237" s="1164"/>
      <c r="AM237" s="1164"/>
      <c r="AN237" s="1164"/>
      <c r="AO237" s="1164"/>
      <c r="AP237" s="1165"/>
    </row>
    <row r="238" spans="3:42">
      <c r="C238" s="1163">
        <f t="shared" si="9"/>
        <v>13</v>
      </c>
      <c r="D238" s="1180">
        <f t="shared" si="9"/>
        <v>0</v>
      </c>
      <c r="E238" s="1180" t="str">
        <f t="shared" si="9"/>
        <v>Comp 13</v>
      </c>
      <c r="F238" s="1164"/>
      <c r="G238" s="1164"/>
      <c r="H238" s="1164"/>
      <c r="I238" s="1164"/>
      <c r="J238" s="1164"/>
      <c r="K238" s="1164"/>
      <c r="L238" s="1164"/>
      <c r="M238" s="1164"/>
      <c r="N238" s="1164"/>
      <c r="O238" s="1164"/>
      <c r="P238" s="1164"/>
      <c r="Q238" s="1164"/>
      <c r="R238" s="1164"/>
      <c r="S238" s="1164"/>
      <c r="T238" s="1164"/>
      <c r="U238" s="1164"/>
      <c r="V238" s="1164"/>
      <c r="W238" s="1164"/>
      <c r="X238" s="1164"/>
      <c r="Y238" s="1164"/>
      <c r="Z238" s="1164"/>
      <c r="AA238" s="1164"/>
      <c r="AB238" s="1164"/>
      <c r="AC238" s="1164"/>
      <c r="AD238" s="1164"/>
      <c r="AE238" s="1164"/>
      <c r="AF238" s="1164"/>
      <c r="AG238" s="1164"/>
      <c r="AH238" s="1164"/>
      <c r="AI238" s="1164"/>
      <c r="AJ238" s="1164"/>
      <c r="AK238" s="1164"/>
      <c r="AL238" s="1164"/>
      <c r="AM238" s="1164"/>
      <c r="AN238" s="1164"/>
      <c r="AO238" s="1164"/>
      <c r="AP238" s="1165"/>
    </row>
    <row r="239" spans="3:42">
      <c r="C239" s="1163">
        <f t="shared" si="9"/>
        <v>14</v>
      </c>
      <c r="D239" s="1180">
        <f t="shared" si="9"/>
        <v>0</v>
      </c>
      <c r="E239" s="1180" t="str">
        <f t="shared" si="9"/>
        <v>Comp 14</v>
      </c>
      <c r="F239" s="1164"/>
      <c r="G239" s="1164"/>
      <c r="H239" s="1164"/>
      <c r="I239" s="1164"/>
      <c r="J239" s="1164"/>
      <c r="K239" s="1164"/>
      <c r="L239" s="1164"/>
      <c r="M239" s="1164"/>
      <c r="N239" s="1164"/>
      <c r="O239" s="1164"/>
      <c r="P239" s="1164"/>
      <c r="Q239" s="1164"/>
      <c r="R239" s="1164"/>
      <c r="S239" s="1164"/>
      <c r="T239" s="1164"/>
      <c r="U239" s="1164"/>
      <c r="V239" s="1164"/>
      <c r="W239" s="1164"/>
      <c r="X239" s="1164"/>
      <c r="Y239" s="1164"/>
      <c r="Z239" s="1164"/>
      <c r="AA239" s="1164"/>
      <c r="AB239" s="1164"/>
      <c r="AC239" s="1164"/>
      <c r="AD239" s="1164"/>
      <c r="AE239" s="1164"/>
      <c r="AF239" s="1164"/>
      <c r="AG239" s="1164"/>
      <c r="AH239" s="1164"/>
      <c r="AI239" s="1164"/>
      <c r="AJ239" s="1164"/>
      <c r="AK239" s="1164"/>
      <c r="AL239" s="1164"/>
      <c r="AM239" s="1164"/>
      <c r="AN239" s="1164"/>
      <c r="AO239" s="1164"/>
      <c r="AP239" s="1165"/>
    </row>
    <row r="240" spans="3:42">
      <c r="C240" s="1163">
        <f t="shared" si="9"/>
        <v>15</v>
      </c>
      <c r="D240" s="1180">
        <f t="shared" si="9"/>
        <v>0</v>
      </c>
      <c r="E240" s="1180" t="str">
        <f t="shared" si="9"/>
        <v>Comp 15</v>
      </c>
      <c r="F240" s="1164"/>
      <c r="G240" s="1164"/>
      <c r="H240" s="1164"/>
      <c r="I240" s="1164"/>
      <c r="J240" s="1164"/>
      <c r="K240" s="1164"/>
      <c r="L240" s="1164"/>
      <c r="M240" s="1164"/>
      <c r="N240" s="1164"/>
      <c r="O240" s="1164"/>
      <c r="P240" s="1164"/>
      <c r="Q240" s="1164"/>
      <c r="R240" s="1164"/>
      <c r="S240" s="1164"/>
      <c r="T240" s="1164"/>
      <c r="U240" s="1164"/>
      <c r="V240" s="1164"/>
      <c r="W240" s="1164"/>
      <c r="X240" s="1164"/>
      <c r="Y240" s="1164"/>
      <c r="Z240" s="1164"/>
      <c r="AA240" s="1164"/>
      <c r="AB240" s="1164"/>
      <c r="AC240" s="1164"/>
      <c r="AD240" s="1164"/>
      <c r="AE240" s="1164"/>
      <c r="AF240" s="1164"/>
      <c r="AG240" s="1164"/>
      <c r="AH240" s="1164"/>
      <c r="AI240" s="1164"/>
      <c r="AJ240" s="1164"/>
      <c r="AK240" s="1164"/>
      <c r="AL240" s="1164"/>
      <c r="AM240" s="1164"/>
      <c r="AN240" s="1164"/>
      <c r="AO240" s="1164"/>
      <c r="AP240" s="1165"/>
    </row>
    <row r="241" spans="3:42">
      <c r="C241" s="1163">
        <f t="shared" si="9"/>
        <v>16</v>
      </c>
      <c r="D241" s="1180">
        <f t="shared" si="9"/>
        <v>0</v>
      </c>
      <c r="E241" s="1180" t="str">
        <f t="shared" si="9"/>
        <v>Comp 16</v>
      </c>
      <c r="F241" s="1164"/>
      <c r="G241" s="1164"/>
      <c r="H241" s="1164"/>
      <c r="I241" s="1164"/>
      <c r="J241" s="1164"/>
      <c r="K241" s="1164"/>
      <c r="L241" s="1164"/>
      <c r="M241" s="1164"/>
      <c r="N241" s="1164"/>
      <c r="O241" s="1164"/>
      <c r="P241" s="1164"/>
      <c r="Q241" s="1164"/>
      <c r="R241" s="1164"/>
      <c r="S241" s="1164"/>
      <c r="T241" s="1164"/>
      <c r="U241" s="1164"/>
      <c r="V241" s="1164"/>
      <c r="W241" s="1164"/>
      <c r="X241" s="1164"/>
      <c r="Y241" s="1164"/>
      <c r="Z241" s="1164"/>
      <c r="AA241" s="1164"/>
      <c r="AB241" s="1164"/>
      <c r="AC241" s="1164"/>
      <c r="AD241" s="1164"/>
      <c r="AE241" s="1164"/>
      <c r="AF241" s="1164"/>
      <c r="AG241" s="1164"/>
      <c r="AH241" s="1164"/>
      <c r="AI241" s="1164"/>
      <c r="AJ241" s="1164"/>
      <c r="AK241" s="1164"/>
      <c r="AL241" s="1164"/>
      <c r="AM241" s="1164"/>
      <c r="AN241" s="1164"/>
      <c r="AO241" s="1164"/>
      <c r="AP241" s="1165"/>
    </row>
    <row r="242" spans="3:42">
      <c r="C242" s="1163">
        <f t="shared" si="9"/>
        <v>17</v>
      </c>
      <c r="D242" s="1180">
        <f t="shared" si="9"/>
        <v>0</v>
      </c>
      <c r="E242" s="1180" t="str">
        <f t="shared" si="9"/>
        <v>Comp 17</v>
      </c>
      <c r="F242" s="1164"/>
      <c r="G242" s="1164"/>
      <c r="H242" s="1164"/>
      <c r="I242" s="1164"/>
      <c r="J242" s="1164"/>
      <c r="K242" s="1164"/>
      <c r="L242" s="1164"/>
      <c r="M242" s="1164"/>
      <c r="N242" s="1164"/>
      <c r="O242" s="1164"/>
      <c r="P242" s="1164"/>
      <c r="Q242" s="1164"/>
      <c r="R242" s="1164"/>
      <c r="S242" s="1164"/>
      <c r="T242" s="1164"/>
      <c r="U242" s="1164"/>
      <c r="V242" s="1164"/>
      <c r="W242" s="1164"/>
      <c r="X242" s="1164"/>
      <c r="Y242" s="1164"/>
      <c r="Z242" s="1164"/>
      <c r="AA242" s="1164"/>
      <c r="AB242" s="1164"/>
      <c r="AC242" s="1164"/>
      <c r="AD242" s="1164"/>
      <c r="AE242" s="1164"/>
      <c r="AF242" s="1164"/>
      <c r="AG242" s="1164"/>
      <c r="AH242" s="1164"/>
      <c r="AI242" s="1164"/>
      <c r="AJ242" s="1164"/>
      <c r="AK242" s="1164"/>
      <c r="AL242" s="1164"/>
      <c r="AM242" s="1164"/>
      <c r="AN242" s="1164"/>
      <c r="AO242" s="1164"/>
      <c r="AP242" s="1165"/>
    </row>
    <row r="243" spans="3:42">
      <c r="C243" s="1163">
        <f t="shared" si="9"/>
        <v>18</v>
      </c>
      <c r="D243" s="1180">
        <f t="shared" si="9"/>
        <v>0</v>
      </c>
      <c r="E243" s="1180" t="str">
        <f t="shared" si="9"/>
        <v>Comp 18</v>
      </c>
      <c r="F243" s="1164"/>
      <c r="G243" s="1164"/>
      <c r="H243" s="1164"/>
      <c r="I243" s="1164"/>
      <c r="J243" s="1164"/>
      <c r="K243" s="1164"/>
      <c r="L243" s="1164"/>
      <c r="M243" s="1164"/>
      <c r="N243" s="1164"/>
      <c r="O243" s="1164"/>
      <c r="P243" s="1164"/>
      <c r="Q243" s="1164"/>
      <c r="R243" s="1164"/>
      <c r="S243" s="1164"/>
      <c r="T243" s="1164"/>
      <c r="U243" s="1164"/>
      <c r="V243" s="1164"/>
      <c r="W243" s="1164"/>
      <c r="X243" s="1164"/>
      <c r="Y243" s="1164"/>
      <c r="Z243" s="1164"/>
      <c r="AA243" s="1164"/>
      <c r="AB243" s="1164"/>
      <c r="AC243" s="1164"/>
      <c r="AD243" s="1164"/>
      <c r="AE243" s="1164"/>
      <c r="AF243" s="1164"/>
      <c r="AG243" s="1164"/>
      <c r="AH243" s="1164"/>
      <c r="AI243" s="1164"/>
      <c r="AJ243" s="1164"/>
      <c r="AK243" s="1164"/>
      <c r="AL243" s="1164"/>
      <c r="AM243" s="1164"/>
      <c r="AN243" s="1164"/>
      <c r="AO243" s="1164"/>
      <c r="AP243" s="1165"/>
    </row>
    <row r="244" spans="3:42">
      <c r="C244" s="1163">
        <f t="shared" si="9"/>
        <v>19</v>
      </c>
      <c r="D244" s="1180">
        <f t="shared" si="9"/>
        <v>0</v>
      </c>
      <c r="E244" s="1180" t="str">
        <f t="shared" si="9"/>
        <v>Comp 19</v>
      </c>
      <c r="F244" s="1164"/>
      <c r="G244" s="1164"/>
      <c r="H244" s="1164"/>
      <c r="I244" s="1164"/>
      <c r="J244" s="1164"/>
      <c r="K244" s="1164"/>
      <c r="L244" s="1164"/>
      <c r="M244" s="1164"/>
      <c r="N244" s="1164"/>
      <c r="O244" s="1164"/>
      <c r="P244" s="1164"/>
      <c r="Q244" s="1164"/>
      <c r="R244" s="1164"/>
      <c r="S244" s="1164"/>
      <c r="T244" s="1164"/>
      <c r="U244" s="1164"/>
      <c r="V244" s="1164"/>
      <c r="W244" s="1164"/>
      <c r="X244" s="1164"/>
      <c r="Y244" s="1164"/>
      <c r="Z244" s="1164"/>
      <c r="AA244" s="1164"/>
      <c r="AB244" s="1164"/>
      <c r="AC244" s="1164"/>
      <c r="AD244" s="1164"/>
      <c r="AE244" s="1164"/>
      <c r="AF244" s="1164"/>
      <c r="AG244" s="1164"/>
      <c r="AH244" s="1164"/>
      <c r="AI244" s="1164"/>
      <c r="AJ244" s="1164"/>
      <c r="AK244" s="1164"/>
      <c r="AL244" s="1164"/>
      <c r="AM244" s="1164"/>
      <c r="AN244" s="1164"/>
      <c r="AO244" s="1164"/>
      <c r="AP244" s="1165"/>
    </row>
    <row r="245" spans="3:42">
      <c r="C245" s="1163">
        <f t="shared" si="9"/>
        <v>20</v>
      </c>
      <c r="D245" s="1180">
        <f t="shared" si="9"/>
        <v>0</v>
      </c>
      <c r="E245" s="1180" t="str">
        <f t="shared" si="9"/>
        <v>Comp 20</v>
      </c>
      <c r="F245" s="1164"/>
      <c r="G245" s="1164"/>
      <c r="H245" s="1164"/>
      <c r="I245" s="1164"/>
      <c r="J245" s="1164"/>
      <c r="K245" s="1164"/>
      <c r="L245" s="1164"/>
      <c r="M245" s="1164"/>
      <c r="N245" s="1164"/>
      <c r="O245" s="1164"/>
      <c r="P245" s="1164"/>
      <c r="Q245" s="1164"/>
      <c r="R245" s="1164"/>
      <c r="S245" s="1164"/>
      <c r="T245" s="1164"/>
      <c r="U245" s="1164"/>
      <c r="V245" s="1164"/>
      <c r="W245" s="1164"/>
      <c r="X245" s="1164"/>
      <c r="Y245" s="1164"/>
      <c r="Z245" s="1164"/>
      <c r="AA245" s="1164"/>
      <c r="AB245" s="1164"/>
      <c r="AC245" s="1164"/>
      <c r="AD245" s="1164"/>
      <c r="AE245" s="1164"/>
      <c r="AF245" s="1164"/>
      <c r="AG245" s="1164"/>
      <c r="AH245" s="1164"/>
      <c r="AI245" s="1164"/>
      <c r="AJ245" s="1164"/>
      <c r="AK245" s="1164"/>
      <c r="AL245" s="1164"/>
      <c r="AM245" s="1164"/>
      <c r="AN245" s="1164"/>
      <c r="AO245" s="1164"/>
      <c r="AP245" s="1165"/>
    </row>
    <row r="246" spans="3:42">
      <c r="C246" s="1163">
        <f t="shared" si="9"/>
        <v>21</v>
      </c>
      <c r="D246" s="1180">
        <f t="shared" si="9"/>
        <v>0</v>
      </c>
      <c r="E246" s="1180" t="str">
        <f t="shared" si="9"/>
        <v>Comp 21</v>
      </c>
      <c r="F246" s="1164"/>
      <c r="G246" s="1164"/>
      <c r="H246" s="1164"/>
      <c r="I246" s="1164"/>
      <c r="J246" s="1164"/>
      <c r="K246" s="1164"/>
      <c r="L246" s="1164"/>
      <c r="M246" s="1164"/>
      <c r="N246" s="1164"/>
      <c r="O246" s="1164"/>
      <c r="P246" s="1164"/>
      <c r="Q246" s="1164"/>
      <c r="R246" s="1164"/>
      <c r="S246" s="1164"/>
      <c r="T246" s="1164"/>
      <c r="U246" s="1164"/>
      <c r="V246" s="1164"/>
      <c r="W246" s="1164"/>
      <c r="X246" s="1164"/>
      <c r="Y246" s="1164"/>
      <c r="Z246" s="1164"/>
      <c r="AA246" s="1164"/>
      <c r="AB246" s="1164"/>
      <c r="AC246" s="1164"/>
      <c r="AD246" s="1164"/>
      <c r="AE246" s="1164"/>
      <c r="AF246" s="1164"/>
      <c r="AG246" s="1164"/>
      <c r="AH246" s="1164"/>
      <c r="AI246" s="1164"/>
      <c r="AJ246" s="1164"/>
      <c r="AK246" s="1164"/>
      <c r="AL246" s="1164"/>
      <c r="AM246" s="1164"/>
      <c r="AN246" s="1164"/>
      <c r="AO246" s="1164"/>
      <c r="AP246" s="1165"/>
    </row>
    <row r="247" spans="3:42">
      <c r="C247" s="1163">
        <f t="shared" si="9"/>
        <v>22</v>
      </c>
      <c r="D247" s="1180">
        <f t="shared" si="9"/>
        <v>0</v>
      </c>
      <c r="E247" s="1180" t="str">
        <f t="shared" si="9"/>
        <v>Comp 22</v>
      </c>
      <c r="F247" s="1164"/>
      <c r="G247" s="1164"/>
      <c r="H247" s="1164"/>
      <c r="I247" s="1164"/>
      <c r="J247" s="1164"/>
      <c r="K247" s="1164"/>
      <c r="L247" s="1164"/>
      <c r="M247" s="1164"/>
      <c r="N247" s="1164"/>
      <c r="O247" s="1164"/>
      <c r="P247" s="1164"/>
      <c r="Q247" s="1164"/>
      <c r="R247" s="1164"/>
      <c r="S247" s="1164"/>
      <c r="T247" s="1164"/>
      <c r="U247" s="1164"/>
      <c r="V247" s="1164"/>
      <c r="W247" s="1164"/>
      <c r="X247" s="1164"/>
      <c r="Y247" s="1164"/>
      <c r="Z247" s="1164"/>
      <c r="AA247" s="1164"/>
      <c r="AB247" s="1164"/>
      <c r="AC247" s="1164"/>
      <c r="AD247" s="1164"/>
      <c r="AE247" s="1164"/>
      <c r="AF247" s="1164"/>
      <c r="AG247" s="1164"/>
      <c r="AH247" s="1164"/>
      <c r="AI247" s="1164"/>
      <c r="AJ247" s="1164"/>
      <c r="AK247" s="1164"/>
      <c r="AL247" s="1164"/>
      <c r="AM247" s="1164"/>
      <c r="AN247" s="1164"/>
      <c r="AO247" s="1164"/>
      <c r="AP247" s="1165"/>
    </row>
    <row r="248" spans="3:42">
      <c r="C248" s="1163">
        <f t="shared" si="9"/>
        <v>23</v>
      </c>
      <c r="D248" s="1180">
        <f t="shared" si="9"/>
        <v>0</v>
      </c>
      <c r="E248" s="1180" t="str">
        <f t="shared" si="9"/>
        <v>Comp 23</v>
      </c>
      <c r="F248" s="1164"/>
      <c r="G248" s="1164"/>
      <c r="H248" s="1164"/>
      <c r="I248" s="1164"/>
      <c r="J248" s="1164"/>
      <c r="K248" s="1164"/>
      <c r="L248" s="1164"/>
      <c r="M248" s="1164"/>
      <c r="N248" s="1164"/>
      <c r="O248" s="1164"/>
      <c r="P248" s="1164"/>
      <c r="Q248" s="1164"/>
      <c r="R248" s="1164"/>
      <c r="S248" s="1164"/>
      <c r="T248" s="1164"/>
      <c r="U248" s="1164"/>
      <c r="V248" s="1164"/>
      <c r="W248" s="1164"/>
      <c r="X248" s="1164"/>
      <c r="Y248" s="1164"/>
      <c r="Z248" s="1164"/>
      <c r="AA248" s="1164"/>
      <c r="AB248" s="1164"/>
      <c r="AC248" s="1164"/>
      <c r="AD248" s="1164"/>
      <c r="AE248" s="1164"/>
      <c r="AF248" s="1164"/>
      <c r="AG248" s="1164"/>
      <c r="AH248" s="1164"/>
      <c r="AI248" s="1164"/>
      <c r="AJ248" s="1164"/>
      <c r="AK248" s="1164"/>
      <c r="AL248" s="1164"/>
      <c r="AM248" s="1164"/>
      <c r="AN248" s="1164"/>
      <c r="AO248" s="1164"/>
      <c r="AP248" s="1165"/>
    </row>
    <row r="249" spans="3:42">
      <c r="C249" s="1163">
        <f t="shared" si="9"/>
        <v>24</v>
      </c>
      <c r="D249" s="1180">
        <f t="shared" si="9"/>
        <v>0</v>
      </c>
      <c r="E249" s="1180" t="str">
        <f t="shared" si="9"/>
        <v>Comp 24</v>
      </c>
      <c r="F249" s="1164"/>
      <c r="G249" s="1164"/>
      <c r="H249" s="1164"/>
      <c r="I249" s="1164"/>
      <c r="J249" s="1164"/>
      <c r="K249" s="1164"/>
      <c r="L249" s="1164"/>
      <c r="M249" s="1164"/>
      <c r="N249" s="1164"/>
      <c r="O249" s="1164"/>
      <c r="P249" s="1164"/>
      <c r="Q249" s="1164"/>
      <c r="R249" s="1164"/>
      <c r="S249" s="1164"/>
      <c r="T249" s="1164"/>
      <c r="U249" s="1164"/>
      <c r="V249" s="1164"/>
      <c r="W249" s="1164"/>
      <c r="X249" s="1164"/>
      <c r="Y249" s="1164"/>
      <c r="Z249" s="1164"/>
      <c r="AA249" s="1164"/>
      <c r="AB249" s="1164"/>
      <c r="AC249" s="1164"/>
      <c r="AD249" s="1164"/>
      <c r="AE249" s="1164"/>
      <c r="AF249" s="1164"/>
      <c r="AG249" s="1164"/>
      <c r="AH249" s="1164"/>
      <c r="AI249" s="1164"/>
      <c r="AJ249" s="1164"/>
      <c r="AK249" s="1164"/>
      <c r="AL249" s="1164"/>
      <c r="AM249" s="1164"/>
      <c r="AN249" s="1164"/>
      <c r="AO249" s="1164"/>
      <c r="AP249" s="1165"/>
    </row>
    <row r="250" spans="3:42">
      <c r="C250" s="1163">
        <f t="shared" si="9"/>
        <v>25</v>
      </c>
      <c r="D250" s="1180">
        <f t="shared" si="9"/>
        <v>0</v>
      </c>
      <c r="E250" s="1180" t="str">
        <f t="shared" si="9"/>
        <v>Comp 25</v>
      </c>
      <c r="F250" s="1164"/>
      <c r="G250" s="1164"/>
      <c r="H250" s="1164"/>
      <c r="I250" s="1164"/>
      <c r="J250" s="1164"/>
      <c r="K250" s="1164"/>
      <c r="L250" s="1164"/>
      <c r="M250" s="1164"/>
      <c r="N250" s="1164"/>
      <c r="O250" s="1164"/>
      <c r="P250" s="1164"/>
      <c r="Q250" s="1164"/>
      <c r="R250" s="1164"/>
      <c r="S250" s="1164"/>
      <c r="T250" s="1164"/>
      <c r="U250" s="1164"/>
      <c r="V250" s="1164"/>
      <c r="W250" s="1164"/>
      <c r="X250" s="1164"/>
      <c r="Y250" s="1164"/>
      <c r="Z250" s="1164"/>
      <c r="AA250" s="1164"/>
      <c r="AB250" s="1164"/>
      <c r="AC250" s="1164"/>
      <c r="AD250" s="1164"/>
      <c r="AE250" s="1164"/>
      <c r="AF250" s="1164"/>
      <c r="AG250" s="1164"/>
      <c r="AH250" s="1164"/>
      <c r="AI250" s="1164"/>
      <c r="AJ250" s="1164"/>
      <c r="AK250" s="1164"/>
      <c r="AL250" s="1164"/>
      <c r="AM250" s="1164"/>
      <c r="AN250" s="1164"/>
      <c r="AO250" s="1164"/>
      <c r="AP250" s="1165"/>
    </row>
    <row r="251" spans="3:42">
      <c r="C251" s="1163">
        <f t="shared" si="9"/>
        <v>26</v>
      </c>
      <c r="D251" s="1180">
        <f t="shared" si="9"/>
        <v>0</v>
      </c>
      <c r="E251" s="1180" t="str">
        <f t="shared" si="9"/>
        <v>Comp 26</v>
      </c>
      <c r="F251" s="1164"/>
      <c r="G251" s="1164"/>
      <c r="H251" s="1164"/>
      <c r="I251" s="1164"/>
      <c r="J251" s="1164"/>
      <c r="K251" s="1164"/>
      <c r="L251" s="1164"/>
      <c r="M251" s="1164"/>
      <c r="N251" s="1164"/>
      <c r="O251" s="1164"/>
      <c r="P251" s="1164"/>
      <c r="Q251" s="1164"/>
      <c r="R251" s="1164"/>
      <c r="S251" s="1164"/>
      <c r="T251" s="1164"/>
      <c r="U251" s="1164"/>
      <c r="V251" s="1164"/>
      <c r="W251" s="1164"/>
      <c r="X251" s="1164"/>
      <c r="Y251" s="1164"/>
      <c r="Z251" s="1164"/>
      <c r="AA251" s="1164"/>
      <c r="AB251" s="1164"/>
      <c r="AC251" s="1164"/>
      <c r="AD251" s="1164"/>
      <c r="AE251" s="1164"/>
      <c r="AF251" s="1164"/>
      <c r="AG251" s="1164"/>
      <c r="AH251" s="1164"/>
      <c r="AI251" s="1164"/>
      <c r="AJ251" s="1164"/>
      <c r="AK251" s="1164"/>
      <c r="AL251" s="1164"/>
      <c r="AM251" s="1164"/>
      <c r="AN251" s="1164"/>
      <c r="AO251" s="1164"/>
      <c r="AP251" s="1165"/>
    </row>
    <row r="252" spans="3:42">
      <c r="C252" s="1163">
        <f t="shared" si="9"/>
        <v>27</v>
      </c>
      <c r="D252" s="1180">
        <f t="shared" si="9"/>
        <v>0</v>
      </c>
      <c r="E252" s="1180" t="str">
        <f t="shared" si="9"/>
        <v>Comp 27</v>
      </c>
      <c r="F252" s="1164"/>
      <c r="G252" s="1164"/>
      <c r="H252" s="1164"/>
      <c r="I252" s="1164"/>
      <c r="J252" s="1164"/>
      <c r="K252" s="1164"/>
      <c r="L252" s="1164"/>
      <c r="M252" s="1164"/>
      <c r="N252" s="1164"/>
      <c r="O252" s="1164"/>
      <c r="P252" s="1164"/>
      <c r="Q252" s="1164"/>
      <c r="R252" s="1164"/>
      <c r="S252" s="1164"/>
      <c r="T252" s="1164"/>
      <c r="U252" s="1164"/>
      <c r="V252" s="1164"/>
      <c r="W252" s="1164"/>
      <c r="X252" s="1164"/>
      <c r="Y252" s="1164"/>
      <c r="Z252" s="1164"/>
      <c r="AA252" s="1164"/>
      <c r="AB252" s="1164"/>
      <c r="AC252" s="1164"/>
      <c r="AD252" s="1164"/>
      <c r="AE252" s="1164"/>
      <c r="AF252" s="1164"/>
      <c r="AG252" s="1164"/>
      <c r="AH252" s="1164"/>
      <c r="AI252" s="1164"/>
      <c r="AJ252" s="1164"/>
      <c r="AK252" s="1164"/>
      <c r="AL252" s="1164"/>
      <c r="AM252" s="1164"/>
      <c r="AN252" s="1164"/>
      <c r="AO252" s="1164"/>
      <c r="AP252" s="1165"/>
    </row>
    <row r="253" spans="3:42">
      <c r="C253" s="1163">
        <f t="shared" ref="C253:E254" si="10">C185</f>
        <v>28</v>
      </c>
      <c r="D253" s="1180">
        <f t="shared" si="10"/>
        <v>0</v>
      </c>
      <c r="E253" s="1180" t="str">
        <f t="shared" si="10"/>
        <v>Comp 28</v>
      </c>
      <c r="F253" s="1164"/>
      <c r="G253" s="1164"/>
      <c r="H253" s="1164"/>
      <c r="I253" s="1164"/>
      <c r="J253" s="1164"/>
      <c r="K253" s="1164"/>
      <c r="L253" s="1164"/>
      <c r="M253" s="1164"/>
      <c r="N253" s="1164"/>
      <c r="O253" s="1164"/>
      <c r="P253" s="1164"/>
      <c r="Q253" s="1164"/>
      <c r="R253" s="1164"/>
      <c r="S253" s="1164"/>
      <c r="T253" s="1164"/>
      <c r="U253" s="1164"/>
      <c r="V253" s="1164"/>
      <c r="W253" s="1164"/>
      <c r="X253" s="1164"/>
      <c r="Y253" s="1164"/>
      <c r="Z253" s="1164"/>
      <c r="AA253" s="1164"/>
      <c r="AB253" s="1164"/>
      <c r="AC253" s="1164"/>
      <c r="AD253" s="1164"/>
      <c r="AE253" s="1164"/>
      <c r="AF253" s="1164"/>
      <c r="AG253" s="1164"/>
      <c r="AH253" s="1164"/>
      <c r="AI253" s="1164"/>
      <c r="AJ253" s="1164"/>
      <c r="AK253" s="1164"/>
      <c r="AL253" s="1164"/>
      <c r="AM253" s="1164"/>
      <c r="AN253" s="1164"/>
      <c r="AO253" s="1164"/>
      <c r="AP253" s="1165"/>
    </row>
    <row r="254" spans="3:42">
      <c r="C254" s="1163">
        <f t="shared" si="10"/>
        <v>29</v>
      </c>
      <c r="D254" s="1180">
        <f t="shared" si="10"/>
        <v>0</v>
      </c>
      <c r="E254" s="1180" t="str">
        <f t="shared" si="10"/>
        <v>Comp 29</v>
      </c>
      <c r="F254" s="1164"/>
      <c r="G254" s="1164"/>
      <c r="H254" s="1164"/>
      <c r="I254" s="1164"/>
      <c r="J254" s="1164"/>
      <c r="K254" s="1164"/>
      <c r="L254" s="1164"/>
      <c r="M254" s="1164"/>
      <c r="N254" s="1164"/>
      <c r="O254" s="1164"/>
      <c r="P254" s="1164"/>
      <c r="Q254" s="1164"/>
      <c r="R254" s="1164"/>
      <c r="S254" s="1164"/>
      <c r="T254" s="1164"/>
      <c r="U254" s="1164"/>
      <c r="V254" s="1164"/>
      <c r="W254" s="1164"/>
      <c r="X254" s="1164"/>
      <c r="Y254" s="1164"/>
      <c r="Z254" s="1164"/>
      <c r="AA254" s="1164"/>
      <c r="AB254" s="1164"/>
      <c r="AC254" s="1164"/>
      <c r="AD254" s="1164"/>
      <c r="AE254" s="1164"/>
      <c r="AF254" s="1164"/>
      <c r="AG254" s="1164"/>
      <c r="AH254" s="1164"/>
      <c r="AI254" s="1164"/>
      <c r="AJ254" s="1164"/>
      <c r="AK254" s="1164"/>
      <c r="AL254" s="1164"/>
      <c r="AM254" s="1164"/>
      <c r="AN254" s="1164"/>
      <c r="AO254" s="1164"/>
      <c r="AP254" s="1165"/>
    </row>
    <row r="255" spans="3:42">
      <c r="C255" s="1166">
        <f>C187</f>
        <v>30</v>
      </c>
      <c r="D255" s="1181">
        <f>D187</f>
        <v>0</v>
      </c>
      <c r="E255" s="1181" t="str">
        <f>E187</f>
        <v>Comp 30</v>
      </c>
      <c r="F255" s="1167"/>
      <c r="G255" s="1167"/>
      <c r="H255" s="1167"/>
      <c r="I255" s="1167"/>
      <c r="J255" s="1167"/>
      <c r="K255" s="1167"/>
      <c r="L255" s="1167"/>
      <c r="M255" s="1167"/>
      <c r="N255" s="1167"/>
      <c r="O255" s="1167"/>
      <c r="P255" s="1167"/>
      <c r="Q255" s="1167"/>
      <c r="R255" s="1167"/>
      <c r="S255" s="1167"/>
      <c r="T255" s="1167"/>
      <c r="U255" s="1167"/>
      <c r="V255" s="1167"/>
      <c r="W255" s="1167"/>
      <c r="X255" s="1167"/>
      <c r="Y255" s="1167"/>
      <c r="Z255" s="1167"/>
      <c r="AA255" s="1167"/>
      <c r="AB255" s="1167"/>
      <c r="AC255" s="1167"/>
      <c r="AD255" s="1167"/>
      <c r="AE255" s="1167"/>
      <c r="AF255" s="1167"/>
      <c r="AG255" s="1167"/>
      <c r="AH255" s="1167"/>
      <c r="AI255" s="1167"/>
      <c r="AJ255" s="1167"/>
      <c r="AK255" s="1167"/>
      <c r="AL255" s="1167"/>
      <c r="AM255" s="1167"/>
      <c r="AN255" s="1167"/>
      <c r="AO255" s="1167"/>
      <c r="AP255" s="1168"/>
    </row>
    <row r="256" spans="3:42">
      <c r="F256" s="1160"/>
      <c r="G256" s="1160"/>
      <c r="H256" s="1160"/>
      <c r="I256" s="1160"/>
      <c r="J256" s="1160"/>
      <c r="K256" s="1160"/>
      <c r="L256" s="1160"/>
      <c r="M256" s="1160"/>
      <c r="N256" s="1160"/>
      <c r="R256" s="1160"/>
      <c r="S256" s="1160"/>
      <c r="T256" s="1160"/>
      <c r="U256" s="1160"/>
      <c r="V256" s="1160"/>
      <c r="W256" s="1160"/>
      <c r="X256" s="1160"/>
      <c r="Y256" s="1160"/>
      <c r="Z256" s="1160"/>
      <c r="AA256" s="1160"/>
      <c r="AB256" s="1160"/>
      <c r="AC256" s="1160"/>
      <c r="AD256" s="1160"/>
      <c r="AE256" s="1160"/>
      <c r="AF256" s="1160"/>
      <c r="AG256" s="1160"/>
      <c r="AH256" s="1160"/>
      <c r="AI256" s="1160"/>
      <c r="AJ256" s="1160"/>
      <c r="AK256" s="1160"/>
      <c r="AL256" s="1160"/>
    </row>
    <row r="257" spans="3:38">
      <c r="C257" s="1189" t="s">
        <v>1919</v>
      </c>
      <c r="D257" s="1189"/>
      <c r="E257" s="1189"/>
      <c r="F257" s="1189"/>
      <c r="G257" s="1189"/>
      <c r="H257" s="1189"/>
      <c r="I257" s="1189"/>
      <c r="J257" s="1189"/>
      <c r="K257" s="1189"/>
      <c r="L257" s="1189"/>
      <c r="M257" s="1189"/>
      <c r="N257" s="1189"/>
      <c r="O257" s="1189"/>
      <c r="P257" s="1189"/>
      <c r="Q257" s="1189"/>
      <c r="R257" s="1189"/>
      <c r="S257" s="1189"/>
      <c r="T257" s="1189"/>
      <c r="U257" s="1189"/>
      <c r="V257" s="1189"/>
      <c r="W257" s="1189"/>
      <c r="X257" s="1160"/>
      <c r="Y257" s="1160"/>
      <c r="Z257" s="1160"/>
      <c r="AA257" s="1160"/>
      <c r="AB257" s="1160"/>
      <c r="AC257" s="1160"/>
      <c r="AD257" s="1160"/>
      <c r="AE257" s="1160"/>
      <c r="AF257" s="1160"/>
      <c r="AG257" s="1160"/>
      <c r="AH257" s="1160"/>
      <c r="AI257" s="1160"/>
      <c r="AJ257" s="1160"/>
      <c r="AK257" s="1160"/>
      <c r="AL257" s="1160"/>
    </row>
    <row r="258" spans="3:38">
      <c r="C258" s="1194" t="s">
        <v>1861</v>
      </c>
      <c r="D258" s="1195" t="s">
        <v>93</v>
      </c>
      <c r="E258" s="1195" t="s">
        <v>94</v>
      </c>
      <c r="F258" s="1862" t="s">
        <v>1804</v>
      </c>
      <c r="G258" s="1862"/>
      <c r="H258" s="1862"/>
      <c r="I258" s="1862"/>
      <c r="J258" s="1862"/>
      <c r="K258" s="1862"/>
      <c r="L258" s="1862" t="s">
        <v>1918</v>
      </c>
      <c r="M258" s="1862"/>
      <c r="N258" s="1862"/>
      <c r="O258" s="1862"/>
      <c r="P258" s="1862"/>
      <c r="Q258" s="1862"/>
      <c r="R258" s="1862" t="s">
        <v>1805</v>
      </c>
      <c r="S258" s="1862"/>
      <c r="T258" s="1862"/>
      <c r="U258" s="1862"/>
      <c r="V258" s="1862"/>
      <c r="W258" s="1863"/>
      <c r="X258" s="1160"/>
      <c r="Y258" s="1160"/>
      <c r="Z258" s="1160"/>
      <c r="AA258" s="1160"/>
      <c r="AB258" s="1160"/>
      <c r="AC258" s="1160"/>
      <c r="AD258" s="1160"/>
      <c r="AE258" s="1160"/>
      <c r="AF258" s="1160"/>
      <c r="AG258" s="1160"/>
      <c r="AH258" s="1160"/>
      <c r="AI258" s="1160"/>
      <c r="AJ258" s="1160"/>
      <c r="AK258" s="1160"/>
      <c r="AL258" s="1160"/>
    </row>
    <row r="259" spans="3:38">
      <c r="C259" s="1177"/>
      <c r="D259" s="1178"/>
      <c r="E259" s="1178"/>
      <c r="F259" s="1179" t="s">
        <v>134</v>
      </c>
      <c r="G259" s="1179" t="s">
        <v>131</v>
      </c>
      <c r="H259" s="1179" t="s">
        <v>129</v>
      </c>
      <c r="I259" s="1179" t="s">
        <v>1424</v>
      </c>
      <c r="J259" s="1179" t="s">
        <v>1425</v>
      </c>
      <c r="K259" s="1179" t="s">
        <v>1418</v>
      </c>
      <c r="L259" s="1179" t="s">
        <v>134</v>
      </c>
      <c r="M259" s="1179" t="s">
        <v>131</v>
      </c>
      <c r="N259" s="1179" t="s">
        <v>129</v>
      </c>
      <c r="O259" s="1179" t="s">
        <v>1424</v>
      </c>
      <c r="P259" s="1179" t="s">
        <v>1425</v>
      </c>
      <c r="Q259" s="1179" t="s">
        <v>1418</v>
      </c>
      <c r="R259" s="1179" t="s">
        <v>134</v>
      </c>
      <c r="S259" s="1179" t="s">
        <v>131</v>
      </c>
      <c r="T259" s="1179" t="s">
        <v>129</v>
      </c>
      <c r="U259" s="1179" t="s">
        <v>1424</v>
      </c>
      <c r="V259" s="1179" t="s">
        <v>1425</v>
      </c>
      <c r="W259" s="1172" t="s">
        <v>1418</v>
      </c>
      <c r="X259" s="1160"/>
      <c r="Y259" s="1160"/>
      <c r="Z259" s="1160"/>
      <c r="AA259" s="1160"/>
      <c r="AB259" s="1160"/>
      <c r="AC259" s="1160"/>
      <c r="AD259" s="1160"/>
      <c r="AE259" s="1160"/>
      <c r="AF259" s="1160"/>
      <c r="AG259" s="1160"/>
      <c r="AH259" s="1160"/>
      <c r="AI259" s="1160"/>
      <c r="AJ259" s="1160"/>
      <c r="AK259" s="1160"/>
      <c r="AL259" s="1160"/>
    </row>
    <row r="260" spans="3:38">
      <c r="C260" s="1163">
        <f t="shared" ref="C260:E289" si="11">C226</f>
        <v>1</v>
      </c>
      <c r="D260" s="1180">
        <f t="shared" si="11"/>
        <v>0</v>
      </c>
      <c r="E260" s="1180" t="str">
        <f t="shared" si="11"/>
        <v>Comp 1</v>
      </c>
      <c r="F260" s="1164"/>
      <c r="G260" s="1164">
        <v>3</v>
      </c>
      <c r="H260" s="1164"/>
      <c r="I260" s="1164"/>
      <c r="J260" s="1164"/>
      <c r="K260" s="1164"/>
      <c r="L260" s="1164"/>
      <c r="M260" s="1164">
        <v>6</v>
      </c>
      <c r="N260" s="1164"/>
      <c r="O260" s="1164"/>
      <c r="P260" s="1164"/>
      <c r="Q260" s="1164"/>
      <c r="R260" s="1164"/>
      <c r="S260" s="1164"/>
      <c r="T260" s="1164"/>
      <c r="U260" s="1164"/>
      <c r="V260" s="1164"/>
      <c r="W260" s="1165"/>
      <c r="X260" s="1160"/>
      <c r="Y260" s="1160"/>
      <c r="Z260" s="1160"/>
      <c r="AA260" s="1160"/>
      <c r="AB260" s="1160"/>
      <c r="AC260" s="1160"/>
      <c r="AD260" s="1160"/>
      <c r="AE260" s="1160"/>
      <c r="AF260" s="1160"/>
      <c r="AG260" s="1160"/>
      <c r="AH260" s="1160"/>
      <c r="AI260" s="1160"/>
      <c r="AJ260" s="1160"/>
      <c r="AK260" s="1160"/>
      <c r="AL260" s="1160"/>
    </row>
    <row r="261" spans="3:38">
      <c r="C261" s="1163">
        <f t="shared" si="11"/>
        <v>2</v>
      </c>
      <c r="D261" s="1180">
        <f t="shared" si="11"/>
        <v>0</v>
      </c>
      <c r="E261" s="1180" t="str">
        <f t="shared" si="11"/>
        <v>Comp 2</v>
      </c>
      <c r="F261" s="1164"/>
      <c r="G261" s="1164">
        <v>4</v>
      </c>
      <c r="H261" s="1164"/>
      <c r="I261" s="1164"/>
      <c r="J261" s="1164"/>
      <c r="K261" s="1164"/>
      <c r="L261" s="1164"/>
      <c r="M261" s="1164">
        <v>5</v>
      </c>
      <c r="N261" s="1164"/>
      <c r="O261" s="1164"/>
      <c r="P261" s="1164"/>
      <c r="Q261" s="1164"/>
      <c r="R261" s="1164"/>
      <c r="S261" s="1164"/>
      <c r="T261" s="1164"/>
      <c r="U261" s="1164"/>
      <c r="V261" s="1164"/>
      <c r="W261" s="1165"/>
      <c r="X261" s="1160"/>
      <c r="Y261" s="1160"/>
      <c r="Z261" s="1160"/>
      <c r="AA261" s="1160"/>
      <c r="AB261" s="1160"/>
      <c r="AC261" s="1160"/>
      <c r="AD261" s="1160"/>
      <c r="AE261" s="1160"/>
      <c r="AF261" s="1160"/>
      <c r="AG261" s="1160"/>
      <c r="AH261" s="1160"/>
      <c r="AI261" s="1160"/>
      <c r="AJ261" s="1160"/>
      <c r="AK261" s="1160"/>
      <c r="AL261" s="1160"/>
    </row>
    <row r="262" spans="3:38">
      <c r="C262" s="1163">
        <f t="shared" si="11"/>
        <v>3</v>
      </c>
      <c r="D262" s="1180">
        <f t="shared" si="11"/>
        <v>0</v>
      </c>
      <c r="E262" s="1180" t="str">
        <f t="shared" si="11"/>
        <v>Comp 3</v>
      </c>
      <c r="F262" s="1164"/>
      <c r="G262" s="1164">
        <v>5</v>
      </c>
      <c r="H262" s="1164"/>
      <c r="I262" s="1164"/>
      <c r="J262" s="1164"/>
      <c r="K262" s="1164"/>
      <c r="L262" s="1164"/>
      <c r="M262" s="1164">
        <v>6</v>
      </c>
      <c r="N262" s="1164"/>
      <c r="O262" s="1164"/>
      <c r="P262" s="1164"/>
      <c r="Q262" s="1164"/>
      <c r="R262" s="1164"/>
      <c r="S262" s="1164"/>
      <c r="T262" s="1164"/>
      <c r="U262" s="1164"/>
      <c r="V262" s="1164"/>
      <c r="W262" s="1165"/>
      <c r="X262" s="1160"/>
      <c r="Y262" s="1160"/>
      <c r="Z262" s="1160"/>
      <c r="AA262" s="1160"/>
      <c r="AB262" s="1160"/>
      <c r="AC262" s="1160"/>
      <c r="AD262" s="1160"/>
      <c r="AE262" s="1160"/>
      <c r="AF262" s="1160"/>
      <c r="AG262" s="1160"/>
      <c r="AH262" s="1160"/>
      <c r="AI262" s="1160"/>
      <c r="AJ262" s="1160"/>
      <c r="AK262" s="1160"/>
      <c r="AL262" s="1160"/>
    </row>
    <row r="263" spans="3:38">
      <c r="C263" s="1163">
        <f t="shared" si="11"/>
        <v>4</v>
      </c>
      <c r="D263" s="1180">
        <f t="shared" si="11"/>
        <v>0</v>
      </c>
      <c r="E263" s="1180" t="str">
        <f t="shared" si="11"/>
        <v>Comp 4</v>
      </c>
      <c r="F263" s="1164"/>
      <c r="G263" s="1164">
        <v>6</v>
      </c>
      <c r="H263" s="1164"/>
      <c r="I263" s="1164"/>
      <c r="J263" s="1164"/>
      <c r="K263" s="1164"/>
      <c r="L263" s="1164"/>
      <c r="M263" s="1164">
        <v>7</v>
      </c>
      <c r="N263" s="1164"/>
      <c r="O263" s="1164"/>
      <c r="P263" s="1164"/>
      <c r="Q263" s="1164"/>
      <c r="R263" s="1164"/>
      <c r="S263" s="1164"/>
      <c r="T263" s="1164"/>
      <c r="U263" s="1164"/>
      <c r="V263" s="1164"/>
      <c r="W263" s="1165"/>
      <c r="X263" s="1160"/>
      <c r="Y263" s="1160"/>
      <c r="Z263" s="1160"/>
      <c r="AA263" s="1160"/>
      <c r="AB263" s="1160"/>
      <c r="AC263" s="1160"/>
      <c r="AD263" s="1160"/>
      <c r="AE263" s="1160"/>
      <c r="AF263" s="1160"/>
      <c r="AG263" s="1160"/>
      <c r="AH263" s="1160"/>
      <c r="AI263" s="1160"/>
      <c r="AJ263" s="1160"/>
      <c r="AK263" s="1160"/>
      <c r="AL263" s="1160"/>
    </row>
    <row r="264" spans="3:38">
      <c r="C264" s="1163">
        <f t="shared" si="11"/>
        <v>5</v>
      </c>
      <c r="D264" s="1180">
        <f t="shared" si="11"/>
        <v>0</v>
      </c>
      <c r="E264" s="1180" t="str">
        <f t="shared" si="11"/>
        <v>Comp 5</v>
      </c>
      <c r="F264" s="1164"/>
      <c r="G264" s="1164">
        <v>3</v>
      </c>
      <c r="H264" s="1164"/>
      <c r="I264" s="1164"/>
      <c r="J264" s="1164"/>
      <c r="K264" s="1164"/>
      <c r="L264" s="1164"/>
      <c r="M264" s="1164">
        <v>9</v>
      </c>
      <c r="N264" s="1164"/>
      <c r="O264" s="1164"/>
      <c r="P264" s="1164"/>
      <c r="Q264" s="1164"/>
      <c r="R264" s="1164"/>
      <c r="S264" s="1164"/>
      <c r="T264" s="1164"/>
      <c r="U264" s="1164"/>
      <c r="V264" s="1164"/>
      <c r="W264" s="1165"/>
      <c r="X264" s="1160"/>
      <c r="Y264" s="1160"/>
      <c r="Z264" s="1160"/>
      <c r="AA264" s="1160"/>
      <c r="AB264" s="1160"/>
      <c r="AC264" s="1160"/>
      <c r="AD264" s="1160"/>
      <c r="AE264" s="1160"/>
      <c r="AF264" s="1160"/>
      <c r="AG264" s="1160"/>
      <c r="AH264" s="1160"/>
      <c r="AI264" s="1160"/>
      <c r="AJ264" s="1160"/>
      <c r="AK264" s="1160"/>
      <c r="AL264" s="1160"/>
    </row>
    <row r="265" spans="3:38">
      <c r="C265" s="1163">
        <f t="shared" si="11"/>
        <v>6</v>
      </c>
      <c r="D265" s="1180">
        <f t="shared" si="11"/>
        <v>0</v>
      </c>
      <c r="E265" s="1180" t="str">
        <f t="shared" si="11"/>
        <v>Comp 6</v>
      </c>
      <c r="F265" s="1164"/>
      <c r="G265" s="1164">
        <v>2</v>
      </c>
      <c r="H265" s="1164"/>
      <c r="I265" s="1164"/>
      <c r="J265" s="1164"/>
      <c r="K265" s="1164"/>
      <c r="L265" s="1164"/>
      <c r="M265" s="1164">
        <v>6</v>
      </c>
      <c r="N265" s="1164"/>
      <c r="O265" s="1164"/>
      <c r="P265" s="1164"/>
      <c r="Q265" s="1164"/>
      <c r="R265" s="1164"/>
      <c r="S265" s="1164"/>
      <c r="T265" s="1164"/>
      <c r="U265" s="1164"/>
      <c r="V265" s="1164"/>
      <c r="W265" s="1165"/>
      <c r="X265" s="1160"/>
      <c r="Y265" s="1160"/>
      <c r="Z265" s="1160"/>
      <c r="AA265" s="1160"/>
      <c r="AB265" s="1160"/>
      <c r="AC265" s="1160"/>
      <c r="AD265" s="1160"/>
      <c r="AE265" s="1160"/>
      <c r="AF265" s="1160"/>
      <c r="AG265" s="1160"/>
      <c r="AH265" s="1160"/>
      <c r="AI265" s="1160"/>
      <c r="AJ265" s="1160"/>
      <c r="AK265" s="1160"/>
      <c r="AL265" s="1160"/>
    </row>
    <row r="266" spans="3:38">
      <c r="C266" s="1163">
        <f t="shared" si="11"/>
        <v>7</v>
      </c>
      <c r="D266" s="1180">
        <f t="shared" si="11"/>
        <v>0</v>
      </c>
      <c r="E266" s="1180" t="str">
        <f t="shared" si="11"/>
        <v>Comp 7</v>
      </c>
      <c r="F266" s="1164"/>
      <c r="G266" s="1164">
        <v>4</v>
      </c>
      <c r="H266" s="1164"/>
      <c r="I266" s="1164"/>
      <c r="J266" s="1164"/>
      <c r="K266" s="1164"/>
      <c r="L266" s="1164"/>
      <c r="M266" s="1164">
        <v>4</v>
      </c>
      <c r="N266" s="1164"/>
      <c r="O266" s="1164"/>
      <c r="P266" s="1164"/>
      <c r="Q266" s="1164"/>
      <c r="R266" s="1164"/>
      <c r="S266" s="1164"/>
      <c r="T266" s="1164"/>
      <c r="U266" s="1164"/>
      <c r="V266" s="1164"/>
      <c r="W266" s="1165"/>
      <c r="X266" s="1160"/>
      <c r="Y266" s="1160"/>
      <c r="Z266" s="1160"/>
      <c r="AA266" s="1160"/>
      <c r="AB266" s="1160"/>
      <c r="AC266" s="1160"/>
      <c r="AD266" s="1160"/>
      <c r="AE266" s="1160"/>
      <c r="AF266" s="1160"/>
      <c r="AG266" s="1160"/>
      <c r="AH266" s="1160"/>
      <c r="AI266" s="1160"/>
      <c r="AJ266" s="1160"/>
      <c r="AK266" s="1160"/>
      <c r="AL266" s="1160"/>
    </row>
    <row r="267" spans="3:38">
      <c r="C267" s="1163">
        <f t="shared" si="11"/>
        <v>8</v>
      </c>
      <c r="D267" s="1180">
        <f t="shared" si="11"/>
        <v>0</v>
      </c>
      <c r="E267" s="1180" t="str">
        <f t="shared" si="11"/>
        <v>Comp 8</v>
      </c>
      <c r="F267" s="1164"/>
      <c r="G267" s="1164">
        <v>5</v>
      </c>
      <c r="H267" s="1164"/>
      <c r="I267" s="1164"/>
      <c r="J267" s="1164"/>
      <c r="K267" s="1164"/>
      <c r="L267" s="1164"/>
      <c r="M267" s="1164">
        <v>0</v>
      </c>
      <c r="N267" s="1164"/>
      <c r="O267" s="1164"/>
      <c r="P267" s="1164"/>
      <c r="Q267" s="1164"/>
      <c r="R267" s="1164"/>
      <c r="S267" s="1164"/>
      <c r="T267" s="1164"/>
      <c r="U267" s="1164"/>
      <c r="V267" s="1164"/>
      <c r="W267" s="1165"/>
      <c r="X267" s="1160"/>
      <c r="Y267" s="1160"/>
      <c r="Z267" s="1160"/>
      <c r="AA267" s="1160"/>
      <c r="AB267" s="1160"/>
      <c r="AC267" s="1160"/>
      <c r="AD267" s="1160"/>
      <c r="AE267" s="1160"/>
      <c r="AF267" s="1160"/>
      <c r="AG267" s="1160"/>
      <c r="AH267" s="1160"/>
      <c r="AI267" s="1160"/>
      <c r="AJ267" s="1160"/>
      <c r="AK267" s="1160"/>
      <c r="AL267" s="1160"/>
    </row>
    <row r="268" spans="3:38">
      <c r="C268" s="1163">
        <f t="shared" si="11"/>
        <v>9</v>
      </c>
      <c r="D268" s="1180">
        <f t="shared" si="11"/>
        <v>0</v>
      </c>
      <c r="E268" s="1180" t="str">
        <f t="shared" si="11"/>
        <v>Comp 9</v>
      </c>
      <c r="F268" s="1164"/>
      <c r="G268" s="1164">
        <v>3</v>
      </c>
      <c r="H268" s="1164"/>
      <c r="I268" s="1164"/>
      <c r="J268" s="1164"/>
      <c r="K268" s="1164"/>
      <c r="L268" s="1164"/>
      <c r="M268" s="1164">
        <v>2</v>
      </c>
      <c r="N268" s="1164"/>
      <c r="O268" s="1164"/>
      <c r="P268" s="1164"/>
      <c r="Q268" s="1164"/>
      <c r="R268" s="1164"/>
      <c r="S268" s="1164"/>
      <c r="T268" s="1164"/>
      <c r="U268" s="1164"/>
      <c r="V268" s="1164"/>
      <c r="W268" s="1165"/>
      <c r="X268" s="1160"/>
      <c r="Y268" s="1160"/>
      <c r="Z268" s="1160"/>
      <c r="AA268" s="1160"/>
      <c r="AB268" s="1160"/>
      <c r="AC268" s="1160"/>
      <c r="AD268" s="1160"/>
      <c r="AE268" s="1160"/>
      <c r="AF268" s="1160"/>
      <c r="AG268" s="1160"/>
      <c r="AH268" s="1160"/>
      <c r="AI268" s="1160"/>
      <c r="AJ268" s="1160"/>
      <c r="AK268" s="1160"/>
      <c r="AL268" s="1160"/>
    </row>
    <row r="269" spans="3:38">
      <c r="C269" s="1163">
        <f t="shared" si="11"/>
        <v>10</v>
      </c>
      <c r="D269" s="1180">
        <f t="shared" si="11"/>
        <v>0</v>
      </c>
      <c r="E269" s="1180" t="str">
        <f t="shared" si="11"/>
        <v>Comp 10</v>
      </c>
      <c r="F269" s="1164"/>
      <c r="G269" s="1164">
        <v>2</v>
      </c>
      <c r="H269" s="1164"/>
      <c r="I269" s="1164"/>
      <c r="J269" s="1164"/>
      <c r="K269" s="1164"/>
      <c r="L269" s="1164"/>
      <c r="M269" s="1164">
        <v>2</v>
      </c>
      <c r="N269" s="1164"/>
      <c r="O269" s="1164"/>
      <c r="P269" s="1164"/>
      <c r="Q269" s="1164"/>
      <c r="R269" s="1164"/>
      <c r="S269" s="1164"/>
      <c r="T269" s="1164"/>
      <c r="U269" s="1164"/>
      <c r="V269" s="1164"/>
      <c r="W269" s="1165"/>
      <c r="X269" s="1160"/>
      <c r="Y269" s="1160"/>
      <c r="Z269" s="1160"/>
      <c r="AA269" s="1160"/>
      <c r="AB269" s="1160"/>
      <c r="AC269" s="1160"/>
      <c r="AD269" s="1160"/>
      <c r="AE269" s="1160"/>
      <c r="AF269" s="1160"/>
      <c r="AG269" s="1160"/>
      <c r="AH269" s="1160"/>
      <c r="AI269" s="1160"/>
      <c r="AJ269" s="1160"/>
      <c r="AK269" s="1160"/>
      <c r="AL269" s="1160"/>
    </row>
    <row r="270" spans="3:38">
      <c r="C270" s="1163">
        <f t="shared" si="11"/>
        <v>11</v>
      </c>
      <c r="D270" s="1180">
        <f t="shared" si="11"/>
        <v>0</v>
      </c>
      <c r="E270" s="1180" t="str">
        <f t="shared" si="11"/>
        <v>Comp 11</v>
      </c>
      <c r="F270" s="1164"/>
      <c r="G270" s="1164">
        <v>2</v>
      </c>
      <c r="H270" s="1164"/>
      <c r="I270" s="1164"/>
      <c r="J270" s="1164"/>
      <c r="K270" s="1164"/>
      <c r="L270" s="1164"/>
      <c r="M270" s="1164">
        <v>3</v>
      </c>
      <c r="N270" s="1164"/>
      <c r="O270" s="1164"/>
      <c r="P270" s="1164"/>
      <c r="Q270" s="1164"/>
      <c r="R270" s="1164"/>
      <c r="S270" s="1164"/>
      <c r="T270" s="1164"/>
      <c r="U270" s="1164"/>
      <c r="V270" s="1164"/>
      <c r="W270" s="1165"/>
      <c r="X270" s="1160"/>
      <c r="Y270" s="1160"/>
      <c r="Z270" s="1160"/>
      <c r="AA270" s="1160"/>
      <c r="AB270" s="1160"/>
      <c r="AC270" s="1160"/>
      <c r="AD270" s="1160"/>
      <c r="AE270" s="1160"/>
      <c r="AF270" s="1160"/>
      <c r="AG270" s="1160"/>
      <c r="AH270" s="1160"/>
      <c r="AI270" s="1160"/>
      <c r="AJ270" s="1160"/>
      <c r="AK270" s="1160"/>
      <c r="AL270" s="1160"/>
    </row>
    <row r="271" spans="3:38">
      <c r="C271" s="1163">
        <f t="shared" si="11"/>
        <v>12</v>
      </c>
      <c r="D271" s="1180">
        <f t="shared" si="11"/>
        <v>0</v>
      </c>
      <c r="E271" s="1180" t="str">
        <f t="shared" si="11"/>
        <v>Comp 12</v>
      </c>
      <c r="F271" s="1164"/>
      <c r="G271" s="1164">
        <v>3</v>
      </c>
      <c r="H271" s="1164"/>
      <c r="I271" s="1164"/>
      <c r="J271" s="1164"/>
      <c r="K271" s="1164"/>
      <c r="L271" s="1164"/>
      <c r="M271" s="1164">
        <v>12</v>
      </c>
      <c r="N271" s="1164"/>
      <c r="O271" s="1164"/>
      <c r="P271" s="1164"/>
      <c r="Q271" s="1164"/>
      <c r="R271" s="1164"/>
      <c r="S271" s="1164"/>
      <c r="T271" s="1164"/>
      <c r="U271" s="1164"/>
      <c r="V271" s="1164"/>
      <c r="W271" s="1165"/>
      <c r="X271" s="1160"/>
      <c r="Y271" s="1160"/>
      <c r="Z271" s="1160"/>
      <c r="AA271" s="1160"/>
      <c r="AB271" s="1160"/>
      <c r="AC271" s="1160"/>
      <c r="AD271" s="1160"/>
      <c r="AE271" s="1160"/>
      <c r="AF271" s="1160"/>
      <c r="AG271" s="1160"/>
      <c r="AH271" s="1160"/>
      <c r="AI271" s="1160"/>
      <c r="AJ271" s="1160"/>
      <c r="AK271" s="1160"/>
      <c r="AL271" s="1160"/>
    </row>
    <row r="272" spans="3:38">
      <c r="C272" s="1163">
        <f t="shared" si="11"/>
        <v>13</v>
      </c>
      <c r="D272" s="1180">
        <f t="shared" si="11"/>
        <v>0</v>
      </c>
      <c r="E272" s="1180" t="str">
        <f t="shared" si="11"/>
        <v>Comp 13</v>
      </c>
      <c r="F272" s="1164"/>
      <c r="G272" s="1164">
        <v>2</v>
      </c>
      <c r="H272" s="1164"/>
      <c r="I272" s="1164"/>
      <c r="J272" s="1164"/>
      <c r="K272" s="1164"/>
      <c r="L272" s="1164"/>
      <c r="M272" s="1164">
        <v>14</v>
      </c>
      <c r="N272" s="1164"/>
      <c r="O272" s="1164"/>
      <c r="P272" s="1164"/>
      <c r="Q272" s="1164"/>
      <c r="R272" s="1164"/>
      <c r="S272" s="1164"/>
      <c r="T272" s="1164"/>
      <c r="U272" s="1164"/>
      <c r="V272" s="1164"/>
      <c r="W272" s="1165"/>
      <c r="X272" s="1160"/>
      <c r="Y272" s="1160"/>
      <c r="Z272" s="1160"/>
      <c r="AA272" s="1160"/>
      <c r="AB272" s="1160"/>
      <c r="AC272" s="1160"/>
      <c r="AD272" s="1160"/>
      <c r="AE272" s="1160"/>
      <c r="AF272" s="1160"/>
      <c r="AG272" s="1160"/>
      <c r="AH272" s="1160"/>
      <c r="AI272" s="1160"/>
      <c r="AJ272" s="1160"/>
      <c r="AK272" s="1160"/>
      <c r="AL272" s="1160"/>
    </row>
    <row r="273" spans="3:38">
      <c r="C273" s="1163">
        <f t="shared" si="11"/>
        <v>14</v>
      </c>
      <c r="D273" s="1180">
        <f t="shared" si="11"/>
        <v>0</v>
      </c>
      <c r="E273" s="1180" t="str">
        <f t="shared" si="11"/>
        <v>Comp 14</v>
      </c>
      <c r="F273" s="1164"/>
      <c r="G273" s="1164">
        <v>4</v>
      </c>
      <c r="H273" s="1164"/>
      <c r="I273" s="1164"/>
      <c r="J273" s="1164"/>
      <c r="K273" s="1164"/>
      <c r="L273" s="1164"/>
      <c r="M273" s="1164">
        <v>13</v>
      </c>
      <c r="N273" s="1164"/>
      <c r="O273" s="1164"/>
      <c r="P273" s="1164"/>
      <c r="Q273" s="1164"/>
      <c r="R273" s="1164"/>
      <c r="S273" s="1164"/>
      <c r="T273" s="1164"/>
      <c r="U273" s="1164"/>
      <c r="V273" s="1164"/>
      <c r="W273" s="1165"/>
      <c r="X273" s="1160"/>
      <c r="Y273" s="1160"/>
      <c r="Z273" s="1160"/>
      <c r="AA273" s="1160"/>
      <c r="AB273" s="1160"/>
      <c r="AC273" s="1160"/>
      <c r="AD273" s="1160"/>
      <c r="AE273" s="1160"/>
      <c r="AF273" s="1160"/>
      <c r="AG273" s="1160"/>
      <c r="AH273" s="1160"/>
      <c r="AI273" s="1160"/>
      <c r="AJ273" s="1160"/>
      <c r="AK273" s="1160"/>
      <c r="AL273" s="1160"/>
    </row>
    <row r="274" spans="3:38">
      <c r="C274" s="1163">
        <f t="shared" si="11"/>
        <v>15</v>
      </c>
      <c r="D274" s="1180">
        <f t="shared" si="11"/>
        <v>0</v>
      </c>
      <c r="E274" s="1180" t="str">
        <f t="shared" si="11"/>
        <v>Comp 15</v>
      </c>
      <c r="F274" s="1164"/>
      <c r="G274" s="1164">
        <v>2</v>
      </c>
      <c r="H274" s="1164"/>
      <c r="I274" s="1164"/>
      <c r="J274" s="1164"/>
      <c r="K274" s="1164"/>
      <c r="L274" s="1164"/>
      <c r="M274" s="1164">
        <v>13</v>
      </c>
      <c r="N274" s="1164"/>
      <c r="O274" s="1164"/>
      <c r="P274" s="1164"/>
      <c r="Q274" s="1164"/>
      <c r="R274" s="1164"/>
      <c r="S274" s="1164"/>
      <c r="T274" s="1164"/>
      <c r="U274" s="1164"/>
      <c r="V274" s="1164"/>
      <c r="W274" s="1165"/>
      <c r="X274" s="1160"/>
      <c r="Y274" s="1160"/>
      <c r="Z274" s="1160"/>
      <c r="AA274" s="1160"/>
      <c r="AB274" s="1160"/>
      <c r="AC274" s="1160"/>
      <c r="AD274" s="1160"/>
      <c r="AE274" s="1160"/>
      <c r="AF274" s="1160"/>
      <c r="AG274" s="1160"/>
      <c r="AH274" s="1160"/>
      <c r="AI274" s="1160"/>
      <c r="AJ274" s="1160"/>
      <c r="AK274" s="1160"/>
      <c r="AL274" s="1160"/>
    </row>
    <row r="275" spans="3:38">
      <c r="C275" s="1163">
        <f t="shared" si="11"/>
        <v>16</v>
      </c>
      <c r="D275" s="1180">
        <f t="shared" si="11"/>
        <v>0</v>
      </c>
      <c r="E275" s="1180" t="str">
        <f t="shared" si="11"/>
        <v>Comp 16</v>
      </c>
      <c r="F275" s="1164"/>
      <c r="G275" s="1164"/>
      <c r="H275" s="1164"/>
      <c r="I275" s="1164"/>
      <c r="J275" s="1164"/>
      <c r="K275" s="1164"/>
      <c r="L275" s="1164"/>
      <c r="M275" s="1164"/>
      <c r="N275" s="1164"/>
      <c r="O275" s="1164"/>
      <c r="P275" s="1164"/>
      <c r="Q275" s="1164"/>
      <c r="R275" s="1164"/>
      <c r="S275" s="1164"/>
      <c r="T275" s="1164"/>
      <c r="U275" s="1164"/>
      <c r="V275" s="1164"/>
      <c r="W275" s="1165"/>
      <c r="X275" s="1160"/>
      <c r="Y275" s="1160"/>
      <c r="Z275" s="1160"/>
      <c r="AA275" s="1160"/>
      <c r="AB275" s="1160"/>
      <c r="AC275" s="1160"/>
      <c r="AD275" s="1160"/>
      <c r="AE275" s="1160"/>
      <c r="AF275" s="1160"/>
      <c r="AG275" s="1160"/>
      <c r="AH275" s="1160"/>
      <c r="AI275" s="1160"/>
      <c r="AJ275" s="1160"/>
      <c r="AK275" s="1160"/>
      <c r="AL275" s="1160"/>
    </row>
    <row r="276" spans="3:38">
      <c r="C276" s="1163">
        <f t="shared" si="11"/>
        <v>17</v>
      </c>
      <c r="D276" s="1180">
        <f t="shared" si="11"/>
        <v>0</v>
      </c>
      <c r="E276" s="1180" t="str">
        <f t="shared" si="11"/>
        <v>Comp 17</v>
      </c>
      <c r="F276" s="1164"/>
      <c r="G276" s="1164"/>
      <c r="H276" s="1164"/>
      <c r="I276" s="1164"/>
      <c r="J276" s="1164"/>
      <c r="K276" s="1164"/>
      <c r="L276" s="1164"/>
      <c r="M276" s="1164"/>
      <c r="N276" s="1164"/>
      <c r="O276" s="1164"/>
      <c r="P276" s="1164"/>
      <c r="Q276" s="1164"/>
      <c r="R276" s="1164"/>
      <c r="S276" s="1164"/>
      <c r="T276" s="1164"/>
      <c r="U276" s="1164"/>
      <c r="V276" s="1164"/>
      <c r="W276" s="1165"/>
      <c r="X276" s="1160"/>
      <c r="Y276" s="1160"/>
      <c r="Z276" s="1160"/>
      <c r="AA276" s="1160"/>
      <c r="AB276" s="1160"/>
      <c r="AC276" s="1160"/>
      <c r="AD276" s="1160"/>
      <c r="AE276" s="1160"/>
      <c r="AF276" s="1160"/>
      <c r="AG276" s="1160"/>
      <c r="AH276" s="1160"/>
      <c r="AI276" s="1160"/>
      <c r="AJ276" s="1160"/>
      <c r="AK276" s="1160"/>
      <c r="AL276" s="1160"/>
    </row>
    <row r="277" spans="3:38">
      <c r="C277" s="1163">
        <f t="shared" si="11"/>
        <v>18</v>
      </c>
      <c r="D277" s="1180">
        <f t="shared" si="11"/>
        <v>0</v>
      </c>
      <c r="E277" s="1180" t="str">
        <f t="shared" si="11"/>
        <v>Comp 18</v>
      </c>
      <c r="F277" s="1164"/>
      <c r="G277" s="1164"/>
      <c r="H277" s="1164"/>
      <c r="I277" s="1164"/>
      <c r="J277" s="1164"/>
      <c r="K277" s="1164"/>
      <c r="L277" s="1164"/>
      <c r="M277" s="1164"/>
      <c r="N277" s="1164"/>
      <c r="O277" s="1164"/>
      <c r="P277" s="1164"/>
      <c r="Q277" s="1164"/>
      <c r="R277" s="1164"/>
      <c r="S277" s="1164"/>
      <c r="T277" s="1164"/>
      <c r="U277" s="1164"/>
      <c r="V277" s="1164"/>
      <c r="W277" s="1165"/>
      <c r="X277" s="1160"/>
      <c r="Y277" s="1160"/>
      <c r="Z277" s="1160"/>
      <c r="AA277" s="1160"/>
      <c r="AB277" s="1160"/>
      <c r="AC277" s="1160"/>
      <c r="AD277" s="1160"/>
      <c r="AE277" s="1160"/>
      <c r="AF277" s="1160"/>
      <c r="AG277" s="1160"/>
      <c r="AH277" s="1160"/>
      <c r="AI277" s="1160"/>
      <c r="AJ277" s="1160"/>
      <c r="AK277" s="1160"/>
      <c r="AL277" s="1160"/>
    </row>
    <row r="278" spans="3:38">
      <c r="C278" s="1163">
        <f t="shared" si="11"/>
        <v>19</v>
      </c>
      <c r="D278" s="1180">
        <f t="shared" si="11"/>
        <v>0</v>
      </c>
      <c r="E278" s="1180" t="str">
        <f t="shared" si="11"/>
        <v>Comp 19</v>
      </c>
      <c r="F278" s="1164"/>
      <c r="G278" s="1164"/>
      <c r="H278" s="1164"/>
      <c r="I278" s="1164"/>
      <c r="J278" s="1164"/>
      <c r="K278" s="1164"/>
      <c r="L278" s="1164"/>
      <c r="M278" s="1164"/>
      <c r="N278" s="1164"/>
      <c r="O278" s="1164"/>
      <c r="P278" s="1164"/>
      <c r="Q278" s="1164"/>
      <c r="R278" s="1164"/>
      <c r="S278" s="1164"/>
      <c r="T278" s="1164"/>
      <c r="U278" s="1164"/>
      <c r="V278" s="1164"/>
      <c r="W278" s="1165"/>
      <c r="X278" s="1160"/>
      <c r="Y278" s="1160"/>
      <c r="Z278" s="1160"/>
      <c r="AA278" s="1160"/>
      <c r="AB278" s="1160"/>
      <c r="AC278" s="1160"/>
      <c r="AD278" s="1160"/>
      <c r="AE278" s="1160"/>
      <c r="AF278" s="1160"/>
      <c r="AG278" s="1160"/>
      <c r="AH278" s="1160"/>
      <c r="AI278" s="1160"/>
      <c r="AJ278" s="1160"/>
      <c r="AK278" s="1160"/>
      <c r="AL278" s="1160"/>
    </row>
    <row r="279" spans="3:38">
      <c r="C279" s="1163">
        <f t="shared" si="11"/>
        <v>20</v>
      </c>
      <c r="D279" s="1180">
        <f t="shared" si="11"/>
        <v>0</v>
      </c>
      <c r="E279" s="1180" t="str">
        <f t="shared" si="11"/>
        <v>Comp 20</v>
      </c>
      <c r="F279" s="1164"/>
      <c r="G279" s="1164"/>
      <c r="H279" s="1164"/>
      <c r="I279" s="1164"/>
      <c r="J279" s="1164"/>
      <c r="K279" s="1164"/>
      <c r="L279" s="1164"/>
      <c r="M279" s="1164"/>
      <c r="N279" s="1164"/>
      <c r="O279" s="1164"/>
      <c r="P279" s="1164"/>
      <c r="Q279" s="1164"/>
      <c r="R279" s="1164"/>
      <c r="S279" s="1164"/>
      <c r="T279" s="1164"/>
      <c r="U279" s="1164"/>
      <c r="V279" s="1164"/>
      <c r="W279" s="1165"/>
      <c r="X279" s="1160"/>
      <c r="Y279" s="1160"/>
      <c r="Z279" s="1160"/>
      <c r="AA279" s="1160"/>
      <c r="AB279" s="1160"/>
      <c r="AC279" s="1160"/>
      <c r="AD279" s="1160"/>
      <c r="AE279" s="1160"/>
      <c r="AF279" s="1160"/>
      <c r="AG279" s="1160"/>
      <c r="AH279" s="1160"/>
      <c r="AI279" s="1160"/>
      <c r="AJ279" s="1160"/>
      <c r="AK279" s="1160"/>
      <c r="AL279" s="1160"/>
    </row>
    <row r="280" spans="3:38">
      <c r="C280" s="1163">
        <f t="shared" si="11"/>
        <v>21</v>
      </c>
      <c r="D280" s="1180">
        <f t="shared" si="11"/>
        <v>0</v>
      </c>
      <c r="E280" s="1180" t="str">
        <f t="shared" si="11"/>
        <v>Comp 21</v>
      </c>
      <c r="F280" s="1164"/>
      <c r="G280" s="1164"/>
      <c r="H280" s="1164"/>
      <c r="I280" s="1164"/>
      <c r="J280" s="1164"/>
      <c r="K280" s="1164"/>
      <c r="L280" s="1164"/>
      <c r="M280" s="1164"/>
      <c r="N280" s="1164"/>
      <c r="O280" s="1164"/>
      <c r="P280" s="1164"/>
      <c r="Q280" s="1164"/>
      <c r="R280" s="1164"/>
      <c r="S280" s="1164"/>
      <c r="T280" s="1164"/>
      <c r="U280" s="1164"/>
      <c r="V280" s="1164"/>
      <c r="W280" s="1165"/>
      <c r="X280" s="1160"/>
      <c r="Y280" s="1160"/>
      <c r="Z280" s="1160"/>
      <c r="AA280" s="1160"/>
      <c r="AB280" s="1160"/>
      <c r="AC280" s="1160"/>
      <c r="AD280" s="1160"/>
      <c r="AE280" s="1160"/>
      <c r="AF280" s="1160"/>
      <c r="AG280" s="1160"/>
      <c r="AH280" s="1160"/>
      <c r="AI280" s="1160"/>
      <c r="AJ280" s="1160"/>
      <c r="AK280" s="1160"/>
      <c r="AL280" s="1160"/>
    </row>
    <row r="281" spans="3:38">
      <c r="C281" s="1163">
        <f t="shared" si="11"/>
        <v>22</v>
      </c>
      <c r="D281" s="1180">
        <f t="shared" si="11"/>
        <v>0</v>
      </c>
      <c r="E281" s="1180" t="str">
        <f t="shared" si="11"/>
        <v>Comp 22</v>
      </c>
      <c r="F281" s="1164"/>
      <c r="G281" s="1164"/>
      <c r="H281" s="1164"/>
      <c r="I281" s="1164"/>
      <c r="J281" s="1164"/>
      <c r="K281" s="1164"/>
      <c r="L281" s="1164"/>
      <c r="M281" s="1164"/>
      <c r="N281" s="1164"/>
      <c r="O281" s="1164"/>
      <c r="P281" s="1164"/>
      <c r="Q281" s="1164"/>
      <c r="R281" s="1164"/>
      <c r="S281" s="1164"/>
      <c r="T281" s="1164"/>
      <c r="U281" s="1164"/>
      <c r="V281" s="1164"/>
      <c r="W281" s="1165"/>
      <c r="X281" s="1160"/>
      <c r="Y281" s="1160"/>
      <c r="Z281" s="1160"/>
      <c r="AA281" s="1160"/>
      <c r="AB281" s="1160"/>
      <c r="AC281" s="1160"/>
      <c r="AD281" s="1160"/>
      <c r="AE281" s="1160"/>
      <c r="AF281" s="1160"/>
      <c r="AG281" s="1160"/>
      <c r="AH281" s="1160"/>
      <c r="AI281" s="1160"/>
      <c r="AJ281" s="1160"/>
      <c r="AK281" s="1160"/>
      <c r="AL281" s="1160"/>
    </row>
    <row r="282" spans="3:38">
      <c r="C282" s="1163">
        <f t="shared" si="11"/>
        <v>23</v>
      </c>
      <c r="D282" s="1180">
        <f t="shared" si="11"/>
        <v>0</v>
      </c>
      <c r="E282" s="1180" t="str">
        <f t="shared" si="11"/>
        <v>Comp 23</v>
      </c>
      <c r="F282" s="1164"/>
      <c r="G282" s="1164"/>
      <c r="H282" s="1164"/>
      <c r="I282" s="1164"/>
      <c r="J282" s="1164"/>
      <c r="K282" s="1164"/>
      <c r="L282" s="1164"/>
      <c r="M282" s="1164"/>
      <c r="N282" s="1164"/>
      <c r="O282" s="1164"/>
      <c r="P282" s="1164"/>
      <c r="Q282" s="1164"/>
      <c r="R282" s="1164"/>
      <c r="S282" s="1164"/>
      <c r="T282" s="1164"/>
      <c r="U282" s="1164"/>
      <c r="V282" s="1164"/>
      <c r="W282" s="1165"/>
      <c r="X282" s="1160"/>
      <c r="Y282" s="1160"/>
      <c r="Z282" s="1160"/>
      <c r="AA282" s="1160"/>
      <c r="AB282" s="1160"/>
      <c r="AC282" s="1160"/>
      <c r="AD282" s="1160"/>
      <c r="AE282" s="1160"/>
      <c r="AF282" s="1160"/>
      <c r="AG282" s="1160"/>
      <c r="AH282" s="1160"/>
      <c r="AI282" s="1160"/>
      <c r="AJ282" s="1160"/>
      <c r="AK282" s="1160"/>
      <c r="AL282" s="1160"/>
    </row>
    <row r="283" spans="3:38">
      <c r="C283" s="1163">
        <f t="shared" si="11"/>
        <v>24</v>
      </c>
      <c r="D283" s="1180">
        <f t="shared" si="11"/>
        <v>0</v>
      </c>
      <c r="E283" s="1180" t="str">
        <f t="shared" si="11"/>
        <v>Comp 24</v>
      </c>
      <c r="F283" s="1164"/>
      <c r="G283" s="1164"/>
      <c r="H283" s="1164"/>
      <c r="I283" s="1164"/>
      <c r="J283" s="1164"/>
      <c r="K283" s="1164"/>
      <c r="L283" s="1164"/>
      <c r="M283" s="1164"/>
      <c r="N283" s="1164"/>
      <c r="O283" s="1164"/>
      <c r="P283" s="1164"/>
      <c r="Q283" s="1164"/>
      <c r="R283" s="1164"/>
      <c r="S283" s="1164"/>
      <c r="T283" s="1164"/>
      <c r="U283" s="1164"/>
      <c r="V283" s="1164"/>
      <c r="W283" s="1165"/>
      <c r="X283" s="1160"/>
      <c r="Y283" s="1160"/>
      <c r="Z283" s="1160"/>
      <c r="AA283" s="1160"/>
      <c r="AB283" s="1160"/>
      <c r="AC283" s="1160"/>
      <c r="AD283" s="1160"/>
      <c r="AE283" s="1160"/>
      <c r="AF283" s="1160"/>
      <c r="AG283" s="1160"/>
      <c r="AH283" s="1160"/>
      <c r="AI283" s="1160"/>
      <c r="AJ283" s="1160"/>
      <c r="AK283" s="1160"/>
      <c r="AL283" s="1160"/>
    </row>
    <row r="284" spans="3:38">
      <c r="C284" s="1163">
        <f t="shared" si="11"/>
        <v>25</v>
      </c>
      <c r="D284" s="1180">
        <f t="shared" si="11"/>
        <v>0</v>
      </c>
      <c r="E284" s="1180" t="str">
        <f t="shared" si="11"/>
        <v>Comp 25</v>
      </c>
      <c r="F284" s="1164"/>
      <c r="G284" s="1164"/>
      <c r="H284" s="1164"/>
      <c r="I284" s="1164"/>
      <c r="J284" s="1164"/>
      <c r="K284" s="1164"/>
      <c r="L284" s="1164"/>
      <c r="M284" s="1164"/>
      <c r="N284" s="1164"/>
      <c r="O284" s="1164"/>
      <c r="P284" s="1164"/>
      <c r="Q284" s="1164"/>
      <c r="R284" s="1164"/>
      <c r="S284" s="1164"/>
      <c r="T284" s="1164"/>
      <c r="U284" s="1164"/>
      <c r="V284" s="1164"/>
      <c r="W284" s="1165"/>
      <c r="X284" s="1160"/>
      <c r="Y284" s="1160"/>
      <c r="Z284" s="1160"/>
      <c r="AA284" s="1160"/>
      <c r="AB284" s="1160"/>
      <c r="AC284" s="1160"/>
      <c r="AD284" s="1160"/>
      <c r="AE284" s="1160"/>
      <c r="AF284" s="1160"/>
      <c r="AG284" s="1160"/>
      <c r="AH284" s="1160"/>
      <c r="AI284" s="1160"/>
      <c r="AJ284" s="1160"/>
      <c r="AK284" s="1160"/>
      <c r="AL284" s="1160"/>
    </row>
    <row r="285" spans="3:38">
      <c r="C285" s="1163">
        <f t="shared" si="11"/>
        <v>26</v>
      </c>
      <c r="D285" s="1180">
        <f t="shared" si="11"/>
        <v>0</v>
      </c>
      <c r="E285" s="1180" t="str">
        <f t="shared" si="11"/>
        <v>Comp 26</v>
      </c>
      <c r="F285" s="1164"/>
      <c r="G285" s="1164"/>
      <c r="H285" s="1164"/>
      <c r="I285" s="1164"/>
      <c r="J285" s="1164"/>
      <c r="K285" s="1164"/>
      <c r="L285" s="1164"/>
      <c r="M285" s="1164"/>
      <c r="N285" s="1164"/>
      <c r="O285" s="1164"/>
      <c r="P285" s="1164"/>
      <c r="Q285" s="1164"/>
      <c r="R285" s="1164"/>
      <c r="S285" s="1164"/>
      <c r="T285" s="1164"/>
      <c r="U285" s="1164"/>
      <c r="V285" s="1164"/>
      <c r="W285" s="1165"/>
      <c r="X285" s="1160"/>
      <c r="Y285" s="1160"/>
      <c r="Z285" s="1160"/>
      <c r="AA285" s="1160"/>
      <c r="AB285" s="1160"/>
      <c r="AC285" s="1160"/>
      <c r="AD285" s="1160"/>
      <c r="AE285" s="1160"/>
      <c r="AF285" s="1160"/>
      <c r="AG285" s="1160"/>
      <c r="AH285" s="1160"/>
      <c r="AI285" s="1160"/>
      <c r="AJ285" s="1160"/>
      <c r="AK285" s="1160"/>
      <c r="AL285" s="1160"/>
    </row>
    <row r="286" spans="3:38">
      <c r="C286" s="1163">
        <f t="shared" si="11"/>
        <v>27</v>
      </c>
      <c r="D286" s="1180">
        <f t="shared" si="11"/>
        <v>0</v>
      </c>
      <c r="E286" s="1180" t="str">
        <f t="shared" si="11"/>
        <v>Comp 27</v>
      </c>
      <c r="F286" s="1164"/>
      <c r="G286" s="1164"/>
      <c r="H286" s="1164"/>
      <c r="I286" s="1164"/>
      <c r="J286" s="1164"/>
      <c r="K286" s="1164"/>
      <c r="L286" s="1164"/>
      <c r="M286" s="1164"/>
      <c r="N286" s="1164"/>
      <c r="O286" s="1164"/>
      <c r="P286" s="1164"/>
      <c r="Q286" s="1164"/>
      <c r="R286" s="1164"/>
      <c r="S286" s="1164"/>
      <c r="T286" s="1164"/>
      <c r="U286" s="1164"/>
      <c r="V286" s="1164"/>
      <c r="W286" s="1165"/>
      <c r="X286" s="1160"/>
      <c r="Y286" s="1160"/>
      <c r="Z286" s="1160"/>
      <c r="AA286" s="1160"/>
      <c r="AB286" s="1160"/>
      <c r="AC286" s="1160"/>
      <c r="AD286" s="1160"/>
      <c r="AE286" s="1160"/>
      <c r="AF286" s="1160"/>
      <c r="AG286" s="1160"/>
      <c r="AH286" s="1160"/>
      <c r="AI286" s="1160"/>
      <c r="AJ286" s="1160"/>
      <c r="AK286" s="1160"/>
      <c r="AL286" s="1160"/>
    </row>
    <row r="287" spans="3:38">
      <c r="C287" s="1163">
        <f t="shared" si="11"/>
        <v>28</v>
      </c>
      <c r="D287" s="1180">
        <f t="shared" si="11"/>
        <v>0</v>
      </c>
      <c r="E287" s="1180" t="str">
        <f t="shared" si="11"/>
        <v>Comp 28</v>
      </c>
      <c r="F287" s="1164"/>
      <c r="G287" s="1164"/>
      <c r="H287" s="1164"/>
      <c r="I287" s="1164"/>
      <c r="J287" s="1164"/>
      <c r="K287" s="1164"/>
      <c r="L287" s="1164"/>
      <c r="M287" s="1164"/>
      <c r="N287" s="1164"/>
      <c r="O287" s="1164"/>
      <c r="P287" s="1164"/>
      <c r="Q287" s="1164"/>
      <c r="R287" s="1164"/>
      <c r="S287" s="1164"/>
      <c r="T287" s="1164"/>
      <c r="U287" s="1164"/>
      <c r="V287" s="1164"/>
      <c r="W287" s="1165"/>
      <c r="X287" s="1160"/>
      <c r="Y287" s="1160"/>
      <c r="Z287" s="1160"/>
      <c r="AA287" s="1160"/>
      <c r="AB287" s="1160"/>
      <c r="AC287" s="1160"/>
      <c r="AD287" s="1160"/>
      <c r="AE287" s="1160"/>
      <c r="AF287" s="1160"/>
      <c r="AG287" s="1160"/>
      <c r="AH287" s="1160"/>
      <c r="AI287" s="1160"/>
      <c r="AJ287" s="1160"/>
      <c r="AK287" s="1160"/>
      <c r="AL287" s="1160"/>
    </row>
    <row r="288" spans="3:38">
      <c r="C288" s="1163">
        <f t="shared" si="11"/>
        <v>29</v>
      </c>
      <c r="D288" s="1180">
        <f t="shared" si="11"/>
        <v>0</v>
      </c>
      <c r="E288" s="1180" t="str">
        <f t="shared" si="11"/>
        <v>Comp 29</v>
      </c>
      <c r="F288" s="1164"/>
      <c r="G288" s="1164"/>
      <c r="H288" s="1164"/>
      <c r="I288" s="1164"/>
      <c r="J288" s="1164"/>
      <c r="K288" s="1164"/>
      <c r="L288" s="1164"/>
      <c r="M288" s="1164"/>
      <c r="N288" s="1164"/>
      <c r="O288" s="1164"/>
      <c r="P288" s="1164"/>
      <c r="Q288" s="1164"/>
      <c r="R288" s="1164"/>
      <c r="S288" s="1164"/>
      <c r="T288" s="1164"/>
      <c r="U288" s="1164"/>
      <c r="V288" s="1164"/>
      <c r="W288" s="1165"/>
      <c r="X288" s="1160"/>
      <c r="Y288" s="1160"/>
      <c r="Z288" s="1160"/>
      <c r="AA288" s="1160"/>
      <c r="AB288" s="1160"/>
      <c r="AC288" s="1160"/>
      <c r="AD288" s="1160"/>
      <c r="AE288" s="1160"/>
      <c r="AF288" s="1160"/>
      <c r="AG288" s="1160"/>
      <c r="AH288" s="1160"/>
      <c r="AI288" s="1160"/>
      <c r="AJ288" s="1160"/>
      <c r="AK288" s="1160"/>
      <c r="AL288" s="1160"/>
    </row>
    <row r="289" spans="3:38">
      <c r="C289" s="1166">
        <f t="shared" si="11"/>
        <v>30</v>
      </c>
      <c r="D289" s="1181">
        <f t="shared" si="11"/>
        <v>0</v>
      </c>
      <c r="E289" s="1181" t="str">
        <f t="shared" si="11"/>
        <v>Comp 30</v>
      </c>
      <c r="F289" s="1167"/>
      <c r="G289" s="1167"/>
      <c r="H289" s="1167"/>
      <c r="I289" s="1167"/>
      <c r="J289" s="1167"/>
      <c r="K289" s="1167"/>
      <c r="L289" s="1167"/>
      <c r="M289" s="1167"/>
      <c r="N289" s="1167"/>
      <c r="O289" s="1167"/>
      <c r="P289" s="1167"/>
      <c r="Q289" s="1167"/>
      <c r="R289" s="1167"/>
      <c r="S289" s="1167"/>
      <c r="T289" s="1167"/>
      <c r="U289" s="1167"/>
      <c r="V289" s="1167"/>
      <c r="W289" s="1168"/>
      <c r="X289" s="1160"/>
      <c r="Y289" s="1160"/>
      <c r="Z289" s="1160"/>
      <c r="AA289" s="1160"/>
      <c r="AB289" s="1160"/>
      <c r="AC289" s="1160"/>
      <c r="AD289" s="1160"/>
      <c r="AE289" s="1160"/>
      <c r="AF289" s="1160"/>
      <c r="AG289" s="1160"/>
      <c r="AH289" s="1160"/>
      <c r="AI289" s="1160"/>
      <c r="AJ289" s="1160"/>
      <c r="AK289" s="1160"/>
      <c r="AL289" s="1160"/>
    </row>
    <row r="290" spans="3:38">
      <c r="F290" s="1160"/>
      <c r="G290" s="1160"/>
      <c r="H290" s="1160"/>
      <c r="I290" s="1160"/>
      <c r="J290" s="1160"/>
      <c r="K290" s="1160"/>
      <c r="L290" s="1160"/>
      <c r="M290" s="1160"/>
      <c r="N290" s="1160"/>
      <c r="R290" s="1160"/>
      <c r="S290" s="1160"/>
      <c r="T290" s="1160"/>
      <c r="U290" s="1160"/>
      <c r="V290" s="1160"/>
      <c r="W290" s="1160"/>
      <c r="X290" s="1160"/>
      <c r="Y290" s="1160"/>
      <c r="Z290" s="1160"/>
      <c r="AA290" s="1160"/>
      <c r="AB290" s="1160"/>
      <c r="AC290" s="1160"/>
      <c r="AD290" s="1160"/>
      <c r="AE290" s="1160"/>
      <c r="AF290" s="1160"/>
      <c r="AG290" s="1160"/>
      <c r="AH290" s="1160"/>
      <c r="AI290" s="1160"/>
      <c r="AJ290" s="1160"/>
      <c r="AK290" s="1160"/>
      <c r="AL290" s="1160"/>
    </row>
    <row r="291" spans="3:38">
      <c r="C291" s="1189" t="s">
        <v>1920</v>
      </c>
      <c r="D291" s="1189"/>
      <c r="E291" s="1189"/>
      <c r="F291" s="1189"/>
      <c r="G291" s="1189"/>
      <c r="H291" s="1189"/>
      <c r="I291" s="1189"/>
      <c r="J291" s="1189"/>
      <c r="K291" s="1189"/>
      <c r="L291" s="1189"/>
      <c r="M291" s="1189"/>
      <c r="N291" s="1189"/>
      <c r="O291" s="1189"/>
      <c r="P291" s="1189"/>
      <c r="Q291" s="1189"/>
      <c r="R291" s="1189"/>
      <c r="S291" s="1189"/>
      <c r="T291" s="1189"/>
      <c r="U291" s="1189"/>
      <c r="V291" s="1189"/>
      <c r="W291" s="1189"/>
      <c r="X291" s="1189"/>
      <c r="Y291" s="1189"/>
      <c r="Z291" s="1189"/>
      <c r="AA291" s="1189"/>
      <c r="AB291" s="1189"/>
      <c r="AC291" s="1189"/>
      <c r="AD291" s="1160"/>
      <c r="AE291" s="1160"/>
      <c r="AF291" s="1160"/>
      <c r="AG291" s="1160"/>
      <c r="AH291" s="1160"/>
      <c r="AI291" s="1160"/>
      <c r="AJ291" s="1160"/>
      <c r="AK291" s="1160"/>
      <c r="AL291" s="1160"/>
    </row>
    <row r="292" spans="3:38" ht="33.6" customHeight="1">
      <c r="C292" s="1194" t="s">
        <v>1861</v>
      </c>
      <c r="D292" s="1195" t="s">
        <v>93</v>
      </c>
      <c r="E292" s="1195" t="s">
        <v>94</v>
      </c>
      <c r="F292" s="1195" t="s">
        <v>1867</v>
      </c>
      <c r="G292" s="1195" t="s">
        <v>1536</v>
      </c>
      <c r="H292" s="1195" t="s">
        <v>1806</v>
      </c>
      <c r="I292" s="1195" t="s">
        <v>1805</v>
      </c>
      <c r="J292" s="1195" t="s">
        <v>1804</v>
      </c>
      <c r="K292" s="1196" t="s">
        <v>1803</v>
      </c>
      <c r="L292" s="1196" t="s">
        <v>1802</v>
      </c>
      <c r="M292" s="1196" t="s">
        <v>1801</v>
      </c>
      <c r="N292" s="1196" t="s">
        <v>1800</v>
      </c>
      <c r="O292" s="1196" t="s">
        <v>1982</v>
      </c>
      <c r="P292" s="1196" t="s">
        <v>1428</v>
      </c>
      <c r="Q292" s="1196" t="s">
        <v>1984</v>
      </c>
      <c r="R292" s="1196" t="s">
        <v>1362</v>
      </c>
      <c r="S292" s="1196" t="s">
        <v>1429</v>
      </c>
      <c r="T292" s="1196" t="s">
        <v>1430</v>
      </c>
      <c r="U292" s="1196" t="s">
        <v>1431</v>
      </c>
      <c r="V292" s="1196" t="s">
        <v>1432</v>
      </c>
      <c r="W292" s="1196" t="s">
        <v>1433</v>
      </c>
      <c r="X292" s="1196" t="s">
        <v>1434</v>
      </c>
      <c r="Y292" s="1196" t="s">
        <v>1435</v>
      </c>
      <c r="Z292" s="1196" t="s">
        <v>1436</v>
      </c>
      <c r="AA292" s="1196" t="s">
        <v>1437</v>
      </c>
      <c r="AB292" s="1196" t="s">
        <v>1438</v>
      </c>
      <c r="AC292" s="1197" t="s">
        <v>1985</v>
      </c>
      <c r="AD292" s="1160"/>
      <c r="AE292" s="1160"/>
      <c r="AF292" s="1160"/>
      <c r="AG292" s="1160"/>
      <c r="AH292" s="1160"/>
      <c r="AI292" s="1160"/>
      <c r="AJ292" s="1160"/>
      <c r="AK292" s="1160"/>
      <c r="AL292" s="1160"/>
    </row>
    <row r="293" spans="3:38">
      <c r="C293" s="1177"/>
      <c r="D293" s="1178"/>
      <c r="E293" s="1178"/>
      <c r="F293" s="1179"/>
      <c r="G293" s="1179"/>
      <c r="H293" s="1179"/>
      <c r="I293" s="1179"/>
      <c r="J293" s="1179"/>
      <c r="K293" s="1179"/>
      <c r="L293" s="1179"/>
      <c r="M293" s="1179"/>
      <c r="N293" s="1179"/>
      <c r="O293" s="1179"/>
      <c r="P293" s="1179"/>
      <c r="Q293" s="1179"/>
      <c r="R293" s="1179"/>
      <c r="S293" s="1179"/>
      <c r="T293" s="1179"/>
      <c r="U293" s="1179"/>
      <c r="V293" s="1179"/>
      <c r="W293" s="1179"/>
      <c r="X293" s="1179"/>
      <c r="Y293" s="1179"/>
      <c r="Z293" s="1179"/>
      <c r="AA293" s="1179"/>
      <c r="AB293" s="1179"/>
      <c r="AC293" s="1172"/>
      <c r="AD293" s="1160"/>
      <c r="AE293" s="1160"/>
      <c r="AF293" s="1160"/>
      <c r="AG293" s="1160"/>
      <c r="AH293" s="1160"/>
      <c r="AI293" s="1160"/>
      <c r="AJ293" s="1160"/>
      <c r="AK293" s="1160"/>
      <c r="AL293" s="1160"/>
    </row>
    <row r="294" spans="3:38">
      <c r="C294" s="1163">
        <v>1</v>
      </c>
      <c r="D294" s="1180">
        <f t="shared" ref="D294:E302" si="12">D22</f>
        <v>0</v>
      </c>
      <c r="E294" s="1180" t="str">
        <f t="shared" si="12"/>
        <v>Comp 1</v>
      </c>
      <c r="F294" s="1164"/>
      <c r="G294" s="1164"/>
      <c r="H294" s="1164"/>
      <c r="I294" s="1164"/>
      <c r="J294" s="1164"/>
      <c r="K294" s="1164"/>
      <c r="L294" s="1164"/>
      <c r="M294" s="1164"/>
      <c r="N294" s="1164"/>
      <c r="O294" s="1164"/>
      <c r="P294" s="1164"/>
      <c r="Q294" s="1164"/>
      <c r="R294" s="1164"/>
      <c r="S294" s="1164"/>
      <c r="T294" s="1164"/>
      <c r="U294" s="1164"/>
      <c r="V294" s="1164"/>
      <c r="W294" s="1164"/>
      <c r="X294" s="1164"/>
      <c r="Y294" s="1164"/>
      <c r="Z294" s="1164"/>
      <c r="AA294" s="1164"/>
      <c r="AB294" s="1164"/>
      <c r="AC294" s="1165"/>
      <c r="AD294" s="1160"/>
      <c r="AE294" s="1160"/>
      <c r="AF294" s="1160"/>
      <c r="AG294" s="1160"/>
      <c r="AH294" s="1160"/>
      <c r="AI294" s="1160"/>
      <c r="AJ294" s="1160"/>
      <c r="AK294" s="1160"/>
      <c r="AL294" s="1160"/>
    </row>
    <row r="295" spans="3:38">
      <c r="C295" s="1163">
        <f>C294+1</f>
        <v>2</v>
      </c>
      <c r="D295" s="1180">
        <f t="shared" si="12"/>
        <v>0</v>
      </c>
      <c r="E295" s="1180" t="str">
        <f t="shared" si="12"/>
        <v>Comp 2</v>
      </c>
      <c r="F295" s="1164"/>
      <c r="G295" s="1164"/>
      <c r="H295" s="1164"/>
      <c r="I295" s="1164"/>
      <c r="J295" s="1164"/>
      <c r="K295" s="1164"/>
      <c r="L295" s="1164"/>
      <c r="M295" s="1164"/>
      <c r="N295" s="1164"/>
      <c r="O295" s="1164"/>
      <c r="P295" s="1164"/>
      <c r="Q295" s="1164"/>
      <c r="R295" s="1164"/>
      <c r="S295" s="1164"/>
      <c r="T295" s="1164"/>
      <c r="U295" s="1164"/>
      <c r="V295" s="1164"/>
      <c r="W295" s="1164"/>
      <c r="X295" s="1164"/>
      <c r="Y295" s="1164"/>
      <c r="Z295" s="1164"/>
      <c r="AA295" s="1164"/>
      <c r="AB295" s="1164"/>
      <c r="AC295" s="1165"/>
      <c r="AD295" s="1160"/>
      <c r="AE295" s="1160"/>
      <c r="AF295" s="1160"/>
      <c r="AG295" s="1160"/>
      <c r="AH295" s="1160"/>
      <c r="AI295" s="1160"/>
      <c r="AJ295" s="1160"/>
      <c r="AK295" s="1160"/>
      <c r="AL295" s="1160"/>
    </row>
    <row r="296" spans="3:38">
      <c r="C296" s="1163">
        <f t="shared" ref="C296:C323" si="13">C295+1</f>
        <v>3</v>
      </c>
      <c r="D296" s="1180">
        <f t="shared" si="12"/>
        <v>0</v>
      </c>
      <c r="E296" s="1180" t="str">
        <f t="shared" si="12"/>
        <v>Comp 3</v>
      </c>
      <c r="F296" s="1164"/>
      <c r="G296" s="1164"/>
      <c r="H296" s="1164"/>
      <c r="I296" s="1164"/>
      <c r="J296" s="1164"/>
      <c r="K296" s="1164"/>
      <c r="L296" s="1164"/>
      <c r="M296" s="1164"/>
      <c r="N296" s="1164"/>
      <c r="O296" s="1164"/>
      <c r="P296" s="1164"/>
      <c r="Q296" s="1164"/>
      <c r="R296" s="1164"/>
      <c r="S296" s="1164"/>
      <c r="T296" s="1164"/>
      <c r="U296" s="1164"/>
      <c r="V296" s="1164"/>
      <c r="W296" s="1164"/>
      <c r="X296" s="1164"/>
      <c r="Y296" s="1164"/>
      <c r="Z296" s="1164"/>
      <c r="AA296" s="1164"/>
      <c r="AB296" s="1164"/>
      <c r="AC296" s="1165"/>
      <c r="AD296" s="1160"/>
      <c r="AE296" s="1160"/>
      <c r="AF296" s="1160"/>
      <c r="AG296" s="1160"/>
      <c r="AH296" s="1160"/>
      <c r="AI296" s="1160"/>
      <c r="AJ296" s="1160"/>
      <c r="AK296" s="1160"/>
      <c r="AL296" s="1160"/>
    </row>
    <row r="297" spans="3:38">
      <c r="C297" s="1163">
        <f t="shared" si="13"/>
        <v>4</v>
      </c>
      <c r="D297" s="1180">
        <f t="shared" si="12"/>
        <v>0</v>
      </c>
      <c r="E297" s="1180" t="str">
        <f t="shared" si="12"/>
        <v>Comp 4</v>
      </c>
      <c r="F297" s="1164"/>
      <c r="G297" s="1164"/>
      <c r="H297" s="1164"/>
      <c r="I297" s="1164"/>
      <c r="J297" s="1164"/>
      <c r="K297" s="1164"/>
      <c r="L297" s="1164"/>
      <c r="M297" s="1164"/>
      <c r="N297" s="1164"/>
      <c r="O297" s="1164"/>
      <c r="P297" s="1164"/>
      <c r="Q297" s="1164"/>
      <c r="R297" s="1164"/>
      <c r="S297" s="1164"/>
      <c r="T297" s="1164"/>
      <c r="U297" s="1164"/>
      <c r="V297" s="1164"/>
      <c r="W297" s="1164"/>
      <c r="X297" s="1164"/>
      <c r="Y297" s="1164"/>
      <c r="Z297" s="1164"/>
      <c r="AA297" s="1164"/>
      <c r="AB297" s="1164"/>
      <c r="AC297" s="1165"/>
      <c r="AD297" s="1160"/>
      <c r="AE297" s="1160"/>
      <c r="AF297" s="1160"/>
      <c r="AG297" s="1160"/>
      <c r="AH297" s="1160"/>
      <c r="AI297" s="1160"/>
      <c r="AJ297" s="1160"/>
      <c r="AK297" s="1160"/>
      <c r="AL297" s="1160"/>
    </row>
    <row r="298" spans="3:38">
      <c r="C298" s="1163">
        <f t="shared" si="13"/>
        <v>5</v>
      </c>
      <c r="D298" s="1180">
        <f t="shared" si="12"/>
        <v>0</v>
      </c>
      <c r="E298" s="1180" t="str">
        <f t="shared" si="12"/>
        <v>Comp 5</v>
      </c>
      <c r="F298" s="1164"/>
      <c r="G298" s="1164"/>
      <c r="H298" s="1164"/>
      <c r="I298" s="1164"/>
      <c r="J298" s="1164"/>
      <c r="K298" s="1164"/>
      <c r="L298" s="1164"/>
      <c r="M298" s="1164"/>
      <c r="N298" s="1164"/>
      <c r="O298" s="1164"/>
      <c r="P298" s="1164"/>
      <c r="Q298" s="1164"/>
      <c r="R298" s="1164"/>
      <c r="S298" s="1164"/>
      <c r="T298" s="1164"/>
      <c r="U298" s="1164"/>
      <c r="V298" s="1164"/>
      <c r="W298" s="1164"/>
      <c r="X298" s="1164"/>
      <c r="Y298" s="1164"/>
      <c r="Z298" s="1164"/>
      <c r="AA298" s="1164"/>
      <c r="AB298" s="1164"/>
      <c r="AC298" s="1165"/>
      <c r="AD298" s="1160"/>
      <c r="AE298" s="1160"/>
      <c r="AF298" s="1160"/>
      <c r="AG298" s="1160"/>
      <c r="AH298" s="1160"/>
      <c r="AI298" s="1160"/>
      <c r="AJ298" s="1160"/>
      <c r="AK298" s="1160"/>
      <c r="AL298" s="1160"/>
    </row>
    <row r="299" spans="3:38">
      <c r="C299" s="1163">
        <f t="shared" si="13"/>
        <v>6</v>
      </c>
      <c r="D299" s="1180">
        <f t="shared" si="12"/>
        <v>0</v>
      </c>
      <c r="E299" s="1180" t="str">
        <f t="shared" si="12"/>
        <v>Comp 6</v>
      </c>
      <c r="F299" s="1164"/>
      <c r="G299" s="1164"/>
      <c r="H299" s="1164"/>
      <c r="I299" s="1164"/>
      <c r="J299" s="1164"/>
      <c r="K299" s="1164"/>
      <c r="L299" s="1164"/>
      <c r="M299" s="1164"/>
      <c r="N299" s="1164"/>
      <c r="O299" s="1164"/>
      <c r="P299" s="1164"/>
      <c r="Q299" s="1164"/>
      <c r="R299" s="1164"/>
      <c r="S299" s="1164"/>
      <c r="T299" s="1164"/>
      <c r="U299" s="1164"/>
      <c r="V299" s="1164"/>
      <c r="W299" s="1164"/>
      <c r="X299" s="1164"/>
      <c r="Y299" s="1164"/>
      <c r="Z299" s="1164"/>
      <c r="AA299" s="1164"/>
      <c r="AB299" s="1164"/>
      <c r="AC299" s="1165"/>
      <c r="AD299" s="1160"/>
      <c r="AE299" s="1160"/>
      <c r="AF299" s="1160"/>
      <c r="AG299" s="1160"/>
      <c r="AH299" s="1160"/>
      <c r="AI299" s="1160"/>
      <c r="AJ299" s="1160"/>
      <c r="AK299" s="1160"/>
      <c r="AL299" s="1160"/>
    </row>
    <row r="300" spans="3:38">
      <c r="C300" s="1163">
        <f t="shared" si="13"/>
        <v>7</v>
      </c>
      <c r="D300" s="1180">
        <f t="shared" si="12"/>
        <v>0</v>
      </c>
      <c r="E300" s="1180" t="str">
        <f t="shared" si="12"/>
        <v>Comp 7</v>
      </c>
      <c r="F300" s="1164"/>
      <c r="G300" s="1164"/>
      <c r="H300" s="1164"/>
      <c r="I300" s="1164"/>
      <c r="J300" s="1164"/>
      <c r="K300" s="1164"/>
      <c r="L300" s="1164"/>
      <c r="M300" s="1164"/>
      <c r="N300" s="1164"/>
      <c r="O300" s="1164"/>
      <c r="P300" s="1164"/>
      <c r="Q300" s="1164"/>
      <c r="R300" s="1164"/>
      <c r="S300" s="1164"/>
      <c r="T300" s="1164"/>
      <c r="U300" s="1164"/>
      <c r="V300" s="1164"/>
      <c r="W300" s="1164"/>
      <c r="X300" s="1164"/>
      <c r="Y300" s="1164"/>
      <c r="Z300" s="1164"/>
      <c r="AA300" s="1164"/>
      <c r="AB300" s="1164"/>
      <c r="AC300" s="1165"/>
      <c r="AD300" s="1160"/>
      <c r="AE300" s="1160"/>
      <c r="AF300" s="1160"/>
      <c r="AG300" s="1160"/>
      <c r="AH300" s="1160"/>
      <c r="AI300" s="1160"/>
      <c r="AJ300" s="1160"/>
      <c r="AK300" s="1160"/>
      <c r="AL300" s="1160"/>
    </row>
    <row r="301" spans="3:38">
      <c r="C301" s="1163">
        <f t="shared" si="13"/>
        <v>8</v>
      </c>
      <c r="D301" s="1180">
        <f t="shared" si="12"/>
        <v>0</v>
      </c>
      <c r="E301" s="1180" t="str">
        <f t="shared" si="12"/>
        <v>Comp 8</v>
      </c>
      <c r="F301" s="1164"/>
      <c r="G301" s="1164"/>
      <c r="H301" s="1164"/>
      <c r="I301" s="1164"/>
      <c r="J301" s="1164"/>
      <c r="K301" s="1164"/>
      <c r="L301" s="1164"/>
      <c r="M301" s="1164"/>
      <c r="N301" s="1164"/>
      <c r="O301" s="1164"/>
      <c r="P301" s="1164"/>
      <c r="Q301" s="1164"/>
      <c r="R301" s="1164"/>
      <c r="S301" s="1164"/>
      <c r="T301" s="1164"/>
      <c r="U301" s="1164"/>
      <c r="V301" s="1164"/>
      <c r="W301" s="1164"/>
      <c r="X301" s="1164"/>
      <c r="Y301" s="1164"/>
      <c r="Z301" s="1164"/>
      <c r="AA301" s="1164"/>
      <c r="AB301" s="1164"/>
      <c r="AC301" s="1165"/>
      <c r="AD301" s="1160"/>
      <c r="AE301" s="1160"/>
      <c r="AF301" s="1160"/>
      <c r="AG301" s="1160"/>
      <c r="AH301" s="1160"/>
      <c r="AI301" s="1160"/>
      <c r="AJ301" s="1160"/>
      <c r="AK301" s="1160"/>
      <c r="AL301" s="1160"/>
    </row>
    <row r="302" spans="3:38">
      <c r="C302" s="1163">
        <f t="shared" si="13"/>
        <v>9</v>
      </c>
      <c r="D302" s="1180">
        <f t="shared" si="12"/>
        <v>0</v>
      </c>
      <c r="E302" s="1180" t="str">
        <f t="shared" si="12"/>
        <v>Comp 9</v>
      </c>
      <c r="F302" s="1164"/>
      <c r="G302" s="1164"/>
      <c r="H302" s="1164"/>
      <c r="I302" s="1164"/>
      <c r="J302" s="1164"/>
      <c r="K302" s="1164"/>
      <c r="L302" s="1164"/>
      <c r="M302" s="1164"/>
      <c r="N302" s="1164"/>
      <c r="O302" s="1164"/>
      <c r="P302" s="1164"/>
      <c r="Q302" s="1164"/>
      <c r="R302" s="1164"/>
      <c r="S302" s="1164"/>
      <c r="T302" s="1164"/>
      <c r="U302" s="1164"/>
      <c r="V302" s="1164"/>
      <c r="W302" s="1164"/>
      <c r="X302" s="1164"/>
      <c r="Y302" s="1164"/>
      <c r="Z302" s="1164"/>
      <c r="AA302" s="1164"/>
      <c r="AB302" s="1164"/>
      <c r="AC302" s="1165"/>
      <c r="AD302" s="1160"/>
      <c r="AE302" s="1160"/>
      <c r="AF302" s="1160"/>
      <c r="AG302" s="1160"/>
      <c r="AH302" s="1160"/>
      <c r="AI302" s="1160"/>
      <c r="AJ302" s="1160"/>
      <c r="AK302" s="1160"/>
      <c r="AL302" s="1160"/>
    </row>
    <row r="303" spans="3:38">
      <c r="C303" s="1163">
        <f t="shared" si="13"/>
        <v>10</v>
      </c>
      <c r="D303" s="1180">
        <f t="shared" ref="D303:E323" si="14">D31</f>
        <v>0</v>
      </c>
      <c r="E303" s="1180" t="str">
        <f t="shared" si="14"/>
        <v>Comp 10</v>
      </c>
      <c r="F303" s="1164"/>
      <c r="G303" s="1164"/>
      <c r="H303" s="1164"/>
      <c r="I303" s="1164"/>
      <c r="J303" s="1164"/>
      <c r="K303" s="1164"/>
      <c r="L303" s="1164"/>
      <c r="M303" s="1164"/>
      <c r="N303" s="1164"/>
      <c r="O303" s="1164"/>
      <c r="P303" s="1164"/>
      <c r="Q303" s="1164"/>
      <c r="R303" s="1164"/>
      <c r="S303" s="1164"/>
      <c r="T303" s="1164"/>
      <c r="U303" s="1164"/>
      <c r="V303" s="1164"/>
      <c r="W303" s="1164"/>
      <c r="X303" s="1164"/>
      <c r="Y303" s="1164"/>
      <c r="Z303" s="1164"/>
      <c r="AA303" s="1164"/>
      <c r="AB303" s="1164"/>
      <c r="AC303" s="1165"/>
      <c r="AD303" s="1160"/>
      <c r="AE303" s="1160"/>
      <c r="AF303" s="1160"/>
      <c r="AG303" s="1160"/>
      <c r="AH303" s="1160"/>
      <c r="AI303" s="1160"/>
      <c r="AJ303" s="1160"/>
      <c r="AK303" s="1160"/>
      <c r="AL303" s="1160"/>
    </row>
    <row r="304" spans="3:38">
      <c r="C304" s="1163">
        <f t="shared" si="13"/>
        <v>11</v>
      </c>
      <c r="D304" s="1180">
        <f t="shared" si="14"/>
        <v>0</v>
      </c>
      <c r="E304" s="1180" t="str">
        <f t="shared" si="14"/>
        <v>Comp 11</v>
      </c>
      <c r="F304" s="1164"/>
      <c r="G304" s="1164"/>
      <c r="H304" s="1164"/>
      <c r="I304" s="1164"/>
      <c r="J304" s="1164"/>
      <c r="K304" s="1164"/>
      <c r="L304" s="1164"/>
      <c r="M304" s="1164"/>
      <c r="N304" s="1164"/>
      <c r="O304" s="1164"/>
      <c r="P304" s="1164"/>
      <c r="Q304" s="1164"/>
      <c r="R304" s="1164"/>
      <c r="S304" s="1164"/>
      <c r="T304" s="1164"/>
      <c r="U304" s="1164"/>
      <c r="V304" s="1164"/>
      <c r="W304" s="1164"/>
      <c r="X304" s="1164"/>
      <c r="Y304" s="1164"/>
      <c r="Z304" s="1164"/>
      <c r="AA304" s="1164"/>
      <c r="AB304" s="1164"/>
      <c r="AC304" s="1165"/>
      <c r="AD304" s="1160"/>
      <c r="AE304" s="1160"/>
      <c r="AF304" s="1160"/>
      <c r="AG304" s="1160"/>
      <c r="AH304" s="1160"/>
      <c r="AI304" s="1160"/>
      <c r="AJ304" s="1160"/>
      <c r="AK304" s="1160"/>
      <c r="AL304" s="1160"/>
    </row>
    <row r="305" spans="3:38">
      <c r="C305" s="1163">
        <f t="shared" si="13"/>
        <v>12</v>
      </c>
      <c r="D305" s="1180">
        <f t="shared" si="14"/>
        <v>0</v>
      </c>
      <c r="E305" s="1180" t="str">
        <f t="shared" si="14"/>
        <v>Comp 12</v>
      </c>
      <c r="F305" s="1164"/>
      <c r="G305" s="1164"/>
      <c r="H305" s="1164"/>
      <c r="I305" s="1164"/>
      <c r="J305" s="1164"/>
      <c r="K305" s="1164"/>
      <c r="L305" s="1164"/>
      <c r="M305" s="1164"/>
      <c r="N305" s="1164"/>
      <c r="O305" s="1164"/>
      <c r="P305" s="1164"/>
      <c r="Q305" s="1164"/>
      <c r="R305" s="1164"/>
      <c r="S305" s="1164"/>
      <c r="T305" s="1164"/>
      <c r="U305" s="1164"/>
      <c r="V305" s="1164"/>
      <c r="W305" s="1164"/>
      <c r="X305" s="1164"/>
      <c r="Y305" s="1164"/>
      <c r="Z305" s="1164"/>
      <c r="AA305" s="1164"/>
      <c r="AB305" s="1164"/>
      <c r="AC305" s="1165"/>
      <c r="AD305" s="1160"/>
      <c r="AE305" s="1160"/>
      <c r="AF305" s="1160"/>
      <c r="AG305" s="1160"/>
      <c r="AH305" s="1160"/>
      <c r="AI305" s="1160"/>
      <c r="AJ305" s="1160"/>
      <c r="AK305" s="1160"/>
      <c r="AL305" s="1160"/>
    </row>
    <row r="306" spans="3:38">
      <c r="C306" s="1163">
        <f t="shared" si="13"/>
        <v>13</v>
      </c>
      <c r="D306" s="1180">
        <f t="shared" si="14"/>
        <v>0</v>
      </c>
      <c r="E306" s="1180" t="str">
        <f t="shared" si="14"/>
        <v>Comp 13</v>
      </c>
      <c r="F306" s="1164"/>
      <c r="G306" s="1164"/>
      <c r="H306" s="1164"/>
      <c r="I306" s="1164"/>
      <c r="J306" s="1164"/>
      <c r="K306" s="1164"/>
      <c r="L306" s="1164"/>
      <c r="M306" s="1164"/>
      <c r="N306" s="1164"/>
      <c r="O306" s="1164"/>
      <c r="P306" s="1164"/>
      <c r="Q306" s="1164"/>
      <c r="R306" s="1164"/>
      <c r="S306" s="1164"/>
      <c r="T306" s="1164"/>
      <c r="U306" s="1164"/>
      <c r="V306" s="1164"/>
      <c r="W306" s="1164"/>
      <c r="X306" s="1164"/>
      <c r="Y306" s="1164"/>
      <c r="Z306" s="1164"/>
      <c r="AA306" s="1164"/>
      <c r="AB306" s="1164"/>
      <c r="AC306" s="1165"/>
      <c r="AD306" s="1160"/>
      <c r="AE306" s="1160"/>
      <c r="AF306" s="1160"/>
      <c r="AG306" s="1160"/>
      <c r="AH306" s="1160"/>
      <c r="AI306" s="1160"/>
      <c r="AJ306" s="1160"/>
      <c r="AK306" s="1160"/>
      <c r="AL306" s="1160"/>
    </row>
    <row r="307" spans="3:38">
      <c r="C307" s="1163">
        <f t="shared" si="13"/>
        <v>14</v>
      </c>
      <c r="D307" s="1180">
        <f t="shared" si="14"/>
        <v>0</v>
      </c>
      <c r="E307" s="1180" t="str">
        <f t="shared" si="14"/>
        <v>Comp 14</v>
      </c>
      <c r="F307" s="1164"/>
      <c r="G307" s="1164"/>
      <c r="H307" s="1164"/>
      <c r="I307" s="1164"/>
      <c r="J307" s="1164"/>
      <c r="K307" s="1164"/>
      <c r="L307" s="1164"/>
      <c r="M307" s="1164"/>
      <c r="N307" s="1164"/>
      <c r="O307" s="1164"/>
      <c r="P307" s="1164"/>
      <c r="Q307" s="1164"/>
      <c r="R307" s="1164"/>
      <c r="S307" s="1164"/>
      <c r="T307" s="1164"/>
      <c r="U307" s="1164"/>
      <c r="V307" s="1164"/>
      <c r="W307" s="1164"/>
      <c r="X307" s="1164"/>
      <c r="Y307" s="1164"/>
      <c r="Z307" s="1164"/>
      <c r="AA307" s="1164"/>
      <c r="AB307" s="1164"/>
      <c r="AC307" s="1165"/>
      <c r="AD307" s="1160"/>
      <c r="AE307" s="1160"/>
      <c r="AF307" s="1160"/>
      <c r="AG307" s="1160"/>
      <c r="AH307" s="1160"/>
      <c r="AI307" s="1160"/>
      <c r="AJ307" s="1160"/>
      <c r="AK307" s="1160"/>
      <c r="AL307" s="1160"/>
    </row>
    <row r="308" spans="3:38">
      <c r="C308" s="1163">
        <f t="shared" si="13"/>
        <v>15</v>
      </c>
      <c r="D308" s="1180">
        <f t="shared" si="14"/>
        <v>0</v>
      </c>
      <c r="E308" s="1180" t="str">
        <f t="shared" si="14"/>
        <v>Comp 15</v>
      </c>
      <c r="F308" s="1164"/>
      <c r="G308" s="1164"/>
      <c r="H308" s="1164"/>
      <c r="I308" s="1164"/>
      <c r="J308" s="1164"/>
      <c r="K308" s="1164"/>
      <c r="L308" s="1164"/>
      <c r="M308" s="1164"/>
      <c r="N308" s="1164"/>
      <c r="O308" s="1164"/>
      <c r="P308" s="1164"/>
      <c r="Q308" s="1164"/>
      <c r="R308" s="1164"/>
      <c r="S308" s="1164"/>
      <c r="T308" s="1164"/>
      <c r="U308" s="1164"/>
      <c r="V308" s="1164"/>
      <c r="W308" s="1164"/>
      <c r="X308" s="1164"/>
      <c r="Y308" s="1164"/>
      <c r="Z308" s="1164"/>
      <c r="AA308" s="1164"/>
      <c r="AB308" s="1164"/>
      <c r="AC308" s="1165"/>
      <c r="AD308" s="1160"/>
      <c r="AE308" s="1160"/>
      <c r="AF308" s="1160"/>
      <c r="AG308" s="1160"/>
      <c r="AH308" s="1160"/>
      <c r="AI308" s="1160"/>
      <c r="AJ308" s="1160"/>
      <c r="AK308" s="1160"/>
      <c r="AL308" s="1160"/>
    </row>
    <row r="309" spans="3:38">
      <c r="C309" s="1163">
        <f t="shared" si="13"/>
        <v>16</v>
      </c>
      <c r="D309" s="1180">
        <f t="shared" si="14"/>
        <v>0</v>
      </c>
      <c r="E309" s="1180" t="str">
        <f t="shared" si="14"/>
        <v>Comp 16</v>
      </c>
      <c r="F309" s="1164"/>
      <c r="G309" s="1164"/>
      <c r="H309" s="1164"/>
      <c r="I309" s="1164"/>
      <c r="J309" s="1164"/>
      <c r="K309" s="1164"/>
      <c r="L309" s="1164"/>
      <c r="M309" s="1164"/>
      <c r="N309" s="1164"/>
      <c r="O309" s="1164"/>
      <c r="P309" s="1164"/>
      <c r="Q309" s="1164"/>
      <c r="R309" s="1164"/>
      <c r="S309" s="1164"/>
      <c r="T309" s="1164"/>
      <c r="U309" s="1164"/>
      <c r="V309" s="1164"/>
      <c r="W309" s="1164"/>
      <c r="X309" s="1164"/>
      <c r="Y309" s="1164"/>
      <c r="Z309" s="1164"/>
      <c r="AA309" s="1164"/>
      <c r="AB309" s="1164"/>
      <c r="AC309" s="1165"/>
      <c r="AD309" s="1160"/>
      <c r="AE309" s="1160"/>
      <c r="AF309" s="1160"/>
      <c r="AG309" s="1160"/>
      <c r="AH309" s="1160"/>
      <c r="AI309" s="1160"/>
      <c r="AJ309" s="1160"/>
      <c r="AK309" s="1160"/>
      <c r="AL309" s="1160"/>
    </row>
    <row r="310" spans="3:38">
      <c r="C310" s="1163">
        <f t="shared" si="13"/>
        <v>17</v>
      </c>
      <c r="D310" s="1180">
        <f t="shared" si="14"/>
        <v>0</v>
      </c>
      <c r="E310" s="1180" t="str">
        <f t="shared" si="14"/>
        <v>Comp 17</v>
      </c>
      <c r="F310" s="1164"/>
      <c r="G310" s="1164"/>
      <c r="H310" s="1164"/>
      <c r="I310" s="1164"/>
      <c r="J310" s="1164"/>
      <c r="K310" s="1164"/>
      <c r="L310" s="1164"/>
      <c r="M310" s="1164"/>
      <c r="N310" s="1164"/>
      <c r="O310" s="1164"/>
      <c r="P310" s="1164"/>
      <c r="Q310" s="1164"/>
      <c r="R310" s="1164"/>
      <c r="S310" s="1164"/>
      <c r="T310" s="1164"/>
      <c r="U310" s="1164"/>
      <c r="V310" s="1164"/>
      <c r="W310" s="1164"/>
      <c r="X310" s="1164"/>
      <c r="Y310" s="1164"/>
      <c r="Z310" s="1164"/>
      <c r="AA310" s="1164"/>
      <c r="AB310" s="1164"/>
      <c r="AC310" s="1165"/>
      <c r="AD310" s="1160"/>
      <c r="AE310" s="1160"/>
      <c r="AF310" s="1160"/>
      <c r="AG310" s="1160"/>
      <c r="AH310" s="1160"/>
      <c r="AI310" s="1160"/>
      <c r="AJ310" s="1160"/>
      <c r="AK310" s="1160"/>
      <c r="AL310" s="1160"/>
    </row>
    <row r="311" spans="3:38">
      <c r="C311" s="1163">
        <f t="shared" si="13"/>
        <v>18</v>
      </c>
      <c r="D311" s="1180">
        <f t="shared" si="14"/>
        <v>0</v>
      </c>
      <c r="E311" s="1180" t="str">
        <f t="shared" si="14"/>
        <v>Comp 18</v>
      </c>
      <c r="F311" s="1164"/>
      <c r="G311" s="1164"/>
      <c r="H311" s="1164"/>
      <c r="I311" s="1164"/>
      <c r="J311" s="1164"/>
      <c r="K311" s="1164"/>
      <c r="L311" s="1164"/>
      <c r="M311" s="1164"/>
      <c r="N311" s="1164"/>
      <c r="O311" s="1164"/>
      <c r="P311" s="1164"/>
      <c r="Q311" s="1164"/>
      <c r="R311" s="1164"/>
      <c r="S311" s="1164"/>
      <c r="T311" s="1164"/>
      <c r="U311" s="1164"/>
      <c r="V311" s="1164"/>
      <c r="W311" s="1164"/>
      <c r="X311" s="1164"/>
      <c r="Y311" s="1164"/>
      <c r="Z311" s="1164"/>
      <c r="AA311" s="1164"/>
      <c r="AB311" s="1164"/>
      <c r="AC311" s="1165"/>
      <c r="AD311" s="1160"/>
      <c r="AE311" s="1160"/>
      <c r="AF311" s="1160"/>
      <c r="AG311" s="1160"/>
      <c r="AH311" s="1160"/>
      <c r="AI311" s="1160"/>
      <c r="AJ311" s="1160"/>
      <c r="AK311" s="1160"/>
      <c r="AL311" s="1160"/>
    </row>
    <row r="312" spans="3:38">
      <c r="C312" s="1163">
        <f t="shared" si="13"/>
        <v>19</v>
      </c>
      <c r="D312" s="1180">
        <f t="shared" si="14"/>
        <v>0</v>
      </c>
      <c r="E312" s="1180" t="str">
        <f t="shared" si="14"/>
        <v>Comp 19</v>
      </c>
      <c r="F312" s="1164"/>
      <c r="G312" s="1164"/>
      <c r="H312" s="1164"/>
      <c r="I312" s="1164"/>
      <c r="J312" s="1164"/>
      <c r="K312" s="1164"/>
      <c r="L312" s="1164"/>
      <c r="M312" s="1164"/>
      <c r="N312" s="1164"/>
      <c r="O312" s="1164"/>
      <c r="P312" s="1164"/>
      <c r="Q312" s="1164"/>
      <c r="R312" s="1164"/>
      <c r="S312" s="1164"/>
      <c r="T312" s="1164"/>
      <c r="U312" s="1164"/>
      <c r="V312" s="1164"/>
      <c r="W312" s="1164"/>
      <c r="X312" s="1164"/>
      <c r="Y312" s="1164"/>
      <c r="Z312" s="1164"/>
      <c r="AA312" s="1164"/>
      <c r="AB312" s="1164"/>
      <c r="AC312" s="1165"/>
      <c r="AD312" s="1160"/>
      <c r="AE312" s="1160"/>
      <c r="AF312" s="1160"/>
      <c r="AG312" s="1160"/>
      <c r="AH312" s="1160"/>
      <c r="AI312" s="1160"/>
      <c r="AJ312" s="1160"/>
      <c r="AK312" s="1160"/>
      <c r="AL312" s="1160"/>
    </row>
    <row r="313" spans="3:38">
      <c r="C313" s="1163">
        <f t="shared" si="13"/>
        <v>20</v>
      </c>
      <c r="D313" s="1180">
        <f t="shared" si="14"/>
        <v>0</v>
      </c>
      <c r="E313" s="1180" t="str">
        <f t="shared" si="14"/>
        <v>Comp 20</v>
      </c>
      <c r="F313" s="1164"/>
      <c r="G313" s="1164"/>
      <c r="H313" s="1164"/>
      <c r="I313" s="1164"/>
      <c r="J313" s="1164"/>
      <c r="K313" s="1164"/>
      <c r="L313" s="1164"/>
      <c r="M313" s="1164"/>
      <c r="N313" s="1164"/>
      <c r="O313" s="1164"/>
      <c r="P313" s="1164"/>
      <c r="Q313" s="1164"/>
      <c r="R313" s="1164"/>
      <c r="S313" s="1164"/>
      <c r="T313" s="1164"/>
      <c r="U313" s="1164"/>
      <c r="V313" s="1164"/>
      <c r="W313" s="1164"/>
      <c r="X313" s="1164"/>
      <c r="Y313" s="1164"/>
      <c r="Z313" s="1164"/>
      <c r="AA313" s="1164"/>
      <c r="AB313" s="1164"/>
      <c r="AC313" s="1165"/>
      <c r="AD313" s="1160"/>
      <c r="AE313" s="1160"/>
      <c r="AF313" s="1160"/>
      <c r="AG313" s="1160"/>
      <c r="AH313" s="1160"/>
      <c r="AI313" s="1160"/>
      <c r="AJ313" s="1160"/>
      <c r="AK313" s="1160"/>
      <c r="AL313" s="1160"/>
    </row>
    <row r="314" spans="3:38">
      <c r="C314" s="1163">
        <f t="shared" si="13"/>
        <v>21</v>
      </c>
      <c r="D314" s="1180">
        <f t="shared" si="14"/>
        <v>0</v>
      </c>
      <c r="E314" s="1180" t="str">
        <f t="shared" si="14"/>
        <v>Comp 21</v>
      </c>
      <c r="F314" s="1164"/>
      <c r="G314" s="1164"/>
      <c r="H314" s="1164"/>
      <c r="I314" s="1164"/>
      <c r="J314" s="1164"/>
      <c r="K314" s="1164"/>
      <c r="L314" s="1164"/>
      <c r="M314" s="1164"/>
      <c r="N314" s="1164"/>
      <c r="O314" s="1164"/>
      <c r="P314" s="1164"/>
      <c r="Q314" s="1164"/>
      <c r="R314" s="1164"/>
      <c r="S314" s="1164"/>
      <c r="T314" s="1164"/>
      <c r="U314" s="1164"/>
      <c r="V314" s="1164"/>
      <c r="W314" s="1164"/>
      <c r="X314" s="1164"/>
      <c r="Y314" s="1164"/>
      <c r="Z314" s="1164"/>
      <c r="AA314" s="1164"/>
      <c r="AB314" s="1164"/>
      <c r="AC314" s="1165"/>
      <c r="AD314" s="1160"/>
      <c r="AE314" s="1160"/>
      <c r="AF314" s="1160"/>
      <c r="AG314" s="1160"/>
      <c r="AH314" s="1160"/>
      <c r="AI314" s="1160"/>
      <c r="AJ314" s="1160"/>
      <c r="AK314" s="1160"/>
      <c r="AL314" s="1160"/>
    </row>
    <row r="315" spans="3:38">
      <c r="C315" s="1163">
        <f t="shared" si="13"/>
        <v>22</v>
      </c>
      <c r="D315" s="1180">
        <f t="shared" si="14"/>
        <v>0</v>
      </c>
      <c r="E315" s="1180" t="str">
        <f t="shared" si="14"/>
        <v>Comp 22</v>
      </c>
      <c r="F315" s="1164"/>
      <c r="G315" s="1164"/>
      <c r="H315" s="1164"/>
      <c r="I315" s="1164"/>
      <c r="J315" s="1164"/>
      <c r="K315" s="1164"/>
      <c r="L315" s="1164"/>
      <c r="M315" s="1164"/>
      <c r="N315" s="1164"/>
      <c r="O315" s="1164"/>
      <c r="P315" s="1164"/>
      <c r="Q315" s="1164"/>
      <c r="R315" s="1164"/>
      <c r="S315" s="1164"/>
      <c r="T315" s="1164"/>
      <c r="U315" s="1164"/>
      <c r="V315" s="1164"/>
      <c r="W315" s="1164"/>
      <c r="X315" s="1164"/>
      <c r="Y315" s="1164"/>
      <c r="Z315" s="1164"/>
      <c r="AA315" s="1164"/>
      <c r="AB315" s="1164"/>
      <c r="AC315" s="1165"/>
      <c r="AD315" s="1160"/>
      <c r="AE315" s="1160"/>
      <c r="AF315" s="1160"/>
      <c r="AG315" s="1160"/>
      <c r="AH315" s="1160"/>
      <c r="AI315" s="1160"/>
      <c r="AJ315" s="1160"/>
      <c r="AK315" s="1160"/>
      <c r="AL315" s="1160"/>
    </row>
    <row r="316" spans="3:38">
      <c r="C316" s="1163">
        <f t="shared" si="13"/>
        <v>23</v>
      </c>
      <c r="D316" s="1180">
        <f t="shared" si="14"/>
        <v>0</v>
      </c>
      <c r="E316" s="1180" t="str">
        <f t="shared" si="14"/>
        <v>Comp 23</v>
      </c>
      <c r="F316" s="1164"/>
      <c r="G316" s="1164"/>
      <c r="H316" s="1164"/>
      <c r="I316" s="1164"/>
      <c r="J316" s="1164"/>
      <c r="K316" s="1164"/>
      <c r="L316" s="1164"/>
      <c r="M316" s="1164"/>
      <c r="N316" s="1164"/>
      <c r="O316" s="1164"/>
      <c r="P316" s="1164"/>
      <c r="Q316" s="1164"/>
      <c r="R316" s="1164"/>
      <c r="S316" s="1164"/>
      <c r="T316" s="1164"/>
      <c r="U316" s="1164"/>
      <c r="V316" s="1164"/>
      <c r="W316" s="1164"/>
      <c r="X316" s="1164"/>
      <c r="Y316" s="1164"/>
      <c r="Z316" s="1164"/>
      <c r="AA316" s="1164"/>
      <c r="AB316" s="1164"/>
      <c r="AC316" s="1165"/>
      <c r="AD316" s="1160"/>
      <c r="AE316" s="1160"/>
      <c r="AF316" s="1160"/>
      <c r="AG316" s="1160"/>
      <c r="AH316" s="1160"/>
      <c r="AI316" s="1160"/>
      <c r="AJ316" s="1160"/>
      <c r="AK316" s="1160"/>
      <c r="AL316" s="1160"/>
    </row>
    <row r="317" spans="3:38">
      <c r="C317" s="1163">
        <f t="shared" si="13"/>
        <v>24</v>
      </c>
      <c r="D317" s="1180">
        <f t="shared" si="14"/>
        <v>0</v>
      </c>
      <c r="E317" s="1180" t="str">
        <f t="shared" si="14"/>
        <v>Comp 24</v>
      </c>
      <c r="F317" s="1164"/>
      <c r="G317" s="1164"/>
      <c r="H317" s="1164"/>
      <c r="I317" s="1164"/>
      <c r="J317" s="1164"/>
      <c r="K317" s="1164"/>
      <c r="L317" s="1164"/>
      <c r="M317" s="1164"/>
      <c r="N317" s="1164"/>
      <c r="O317" s="1164"/>
      <c r="P317" s="1164"/>
      <c r="Q317" s="1164"/>
      <c r="R317" s="1164"/>
      <c r="S317" s="1164"/>
      <c r="T317" s="1164"/>
      <c r="U317" s="1164"/>
      <c r="V317" s="1164"/>
      <c r="W317" s="1164"/>
      <c r="X317" s="1164"/>
      <c r="Y317" s="1164"/>
      <c r="Z317" s="1164"/>
      <c r="AA317" s="1164"/>
      <c r="AB317" s="1164"/>
      <c r="AC317" s="1165"/>
      <c r="AD317" s="1160"/>
      <c r="AE317" s="1160"/>
      <c r="AF317" s="1160"/>
      <c r="AG317" s="1160"/>
      <c r="AH317" s="1160"/>
      <c r="AI317" s="1160"/>
      <c r="AJ317" s="1160"/>
      <c r="AK317" s="1160"/>
      <c r="AL317" s="1160"/>
    </row>
    <row r="318" spans="3:38">
      <c r="C318" s="1163">
        <f t="shared" si="13"/>
        <v>25</v>
      </c>
      <c r="D318" s="1180">
        <f t="shared" si="14"/>
        <v>0</v>
      </c>
      <c r="E318" s="1180" t="str">
        <f t="shared" si="14"/>
        <v>Comp 25</v>
      </c>
      <c r="F318" s="1164"/>
      <c r="G318" s="1164"/>
      <c r="H318" s="1164"/>
      <c r="I318" s="1164"/>
      <c r="J318" s="1164"/>
      <c r="K318" s="1164"/>
      <c r="L318" s="1164"/>
      <c r="M318" s="1164"/>
      <c r="N318" s="1164"/>
      <c r="O318" s="1164"/>
      <c r="P318" s="1164"/>
      <c r="Q318" s="1164"/>
      <c r="R318" s="1164"/>
      <c r="S318" s="1164"/>
      <c r="T318" s="1164"/>
      <c r="U318" s="1164"/>
      <c r="V318" s="1164"/>
      <c r="W318" s="1164"/>
      <c r="X318" s="1164"/>
      <c r="Y318" s="1164"/>
      <c r="Z318" s="1164"/>
      <c r="AA318" s="1164"/>
      <c r="AB318" s="1164"/>
      <c r="AC318" s="1165"/>
      <c r="AD318" s="1160"/>
      <c r="AE318" s="1160"/>
      <c r="AF318" s="1160"/>
      <c r="AG318" s="1160"/>
      <c r="AH318" s="1160"/>
      <c r="AI318" s="1160"/>
      <c r="AJ318" s="1160"/>
      <c r="AK318" s="1160"/>
      <c r="AL318" s="1160"/>
    </row>
    <row r="319" spans="3:38">
      <c r="C319" s="1163">
        <f t="shared" si="13"/>
        <v>26</v>
      </c>
      <c r="D319" s="1180">
        <f t="shared" si="14"/>
        <v>0</v>
      </c>
      <c r="E319" s="1180" t="str">
        <f t="shared" si="14"/>
        <v>Comp 26</v>
      </c>
      <c r="F319" s="1164"/>
      <c r="G319" s="1164"/>
      <c r="H319" s="1164"/>
      <c r="I319" s="1164"/>
      <c r="J319" s="1164"/>
      <c r="K319" s="1164"/>
      <c r="L319" s="1164"/>
      <c r="M319" s="1164"/>
      <c r="N319" s="1164"/>
      <c r="O319" s="1164"/>
      <c r="P319" s="1164"/>
      <c r="Q319" s="1164"/>
      <c r="R319" s="1164"/>
      <c r="S319" s="1164"/>
      <c r="T319" s="1164"/>
      <c r="U319" s="1164"/>
      <c r="V319" s="1164"/>
      <c r="W319" s="1164"/>
      <c r="X319" s="1164"/>
      <c r="Y319" s="1164"/>
      <c r="Z319" s="1164"/>
      <c r="AA319" s="1164"/>
      <c r="AB319" s="1164"/>
      <c r="AC319" s="1165"/>
      <c r="AD319" s="1160"/>
      <c r="AE319" s="1160"/>
      <c r="AF319" s="1160"/>
      <c r="AG319" s="1160"/>
      <c r="AH319" s="1160"/>
      <c r="AI319" s="1160"/>
      <c r="AJ319" s="1160"/>
      <c r="AK319" s="1160"/>
      <c r="AL319" s="1160"/>
    </row>
    <row r="320" spans="3:38">
      <c r="C320" s="1163">
        <f t="shared" si="13"/>
        <v>27</v>
      </c>
      <c r="D320" s="1180">
        <f t="shared" si="14"/>
        <v>0</v>
      </c>
      <c r="E320" s="1180" t="str">
        <f t="shared" si="14"/>
        <v>Comp 27</v>
      </c>
      <c r="F320" s="1164"/>
      <c r="G320" s="1164"/>
      <c r="H320" s="1164"/>
      <c r="I320" s="1164"/>
      <c r="J320" s="1164"/>
      <c r="K320" s="1164"/>
      <c r="L320" s="1164"/>
      <c r="M320" s="1164"/>
      <c r="N320" s="1164"/>
      <c r="O320" s="1164"/>
      <c r="P320" s="1164"/>
      <c r="Q320" s="1164"/>
      <c r="R320" s="1164"/>
      <c r="S320" s="1164"/>
      <c r="T320" s="1164"/>
      <c r="U320" s="1164"/>
      <c r="V320" s="1164"/>
      <c r="W320" s="1164"/>
      <c r="X320" s="1164"/>
      <c r="Y320" s="1164"/>
      <c r="Z320" s="1164"/>
      <c r="AA320" s="1164"/>
      <c r="AB320" s="1164"/>
      <c r="AC320" s="1164"/>
      <c r="AD320" s="1160"/>
      <c r="AE320" s="1160"/>
      <c r="AF320" s="1160"/>
      <c r="AG320" s="1160"/>
      <c r="AH320" s="1160"/>
      <c r="AI320" s="1160"/>
      <c r="AJ320" s="1160"/>
      <c r="AK320" s="1160"/>
      <c r="AL320" s="1160"/>
    </row>
    <row r="321" spans="3:38">
      <c r="C321" s="1163">
        <f t="shared" si="13"/>
        <v>28</v>
      </c>
      <c r="D321" s="1180">
        <f t="shared" si="14"/>
        <v>0</v>
      </c>
      <c r="E321" s="1180" t="str">
        <f t="shared" si="14"/>
        <v>Comp 28</v>
      </c>
      <c r="F321" s="1164"/>
      <c r="G321" s="1164"/>
      <c r="H321" s="1164"/>
      <c r="I321" s="1164"/>
      <c r="J321" s="1164"/>
      <c r="K321" s="1164"/>
      <c r="L321" s="1164"/>
      <c r="M321" s="1164"/>
      <c r="N321" s="1164"/>
      <c r="O321" s="1164"/>
      <c r="P321" s="1164"/>
      <c r="Q321" s="1164"/>
      <c r="R321" s="1164"/>
      <c r="S321" s="1164"/>
      <c r="T321" s="1164"/>
      <c r="U321" s="1164"/>
      <c r="V321" s="1164"/>
      <c r="W321" s="1164"/>
      <c r="X321" s="1164"/>
      <c r="Y321" s="1164"/>
      <c r="Z321" s="1164"/>
      <c r="AA321" s="1164"/>
      <c r="AB321" s="1164"/>
      <c r="AC321" s="1164"/>
      <c r="AD321" s="1160"/>
      <c r="AE321" s="1160"/>
      <c r="AF321" s="1160"/>
      <c r="AG321" s="1160"/>
      <c r="AH321" s="1160"/>
      <c r="AI321" s="1160"/>
      <c r="AJ321" s="1160"/>
      <c r="AK321" s="1160"/>
      <c r="AL321" s="1160"/>
    </row>
    <row r="322" spans="3:38">
      <c r="C322" s="1163">
        <f t="shared" si="13"/>
        <v>29</v>
      </c>
      <c r="D322" s="1180">
        <f t="shared" si="14"/>
        <v>0</v>
      </c>
      <c r="E322" s="1180" t="str">
        <f t="shared" si="14"/>
        <v>Comp 29</v>
      </c>
      <c r="F322" s="1164"/>
      <c r="G322" s="1164"/>
      <c r="H322" s="1164"/>
      <c r="I322" s="1164"/>
      <c r="J322" s="1164"/>
      <c r="K322" s="1164"/>
      <c r="L322" s="1164"/>
      <c r="M322" s="1164"/>
      <c r="N322" s="1164"/>
      <c r="O322" s="1164"/>
      <c r="P322" s="1164"/>
      <c r="Q322" s="1164"/>
      <c r="R322" s="1164"/>
      <c r="S322" s="1164"/>
      <c r="T322" s="1164"/>
      <c r="U322" s="1164"/>
      <c r="V322" s="1164"/>
      <c r="W322" s="1164"/>
      <c r="X322" s="1164"/>
      <c r="Y322" s="1164"/>
      <c r="Z322" s="1164"/>
      <c r="AA322" s="1164"/>
      <c r="AB322" s="1164"/>
      <c r="AC322" s="1165"/>
      <c r="AD322" s="1160"/>
      <c r="AE322" s="1160"/>
      <c r="AF322" s="1160"/>
      <c r="AG322" s="1160"/>
      <c r="AH322" s="1160"/>
      <c r="AI322" s="1160"/>
      <c r="AJ322" s="1160"/>
      <c r="AK322" s="1160"/>
      <c r="AL322" s="1160"/>
    </row>
    <row r="323" spans="3:38">
      <c r="C323" s="1163">
        <f t="shared" si="13"/>
        <v>30</v>
      </c>
      <c r="D323" s="1180">
        <f t="shared" si="14"/>
        <v>0</v>
      </c>
      <c r="E323" s="1180" t="str">
        <f t="shared" si="14"/>
        <v>Comp 30</v>
      </c>
      <c r="F323" s="1167"/>
      <c r="G323" s="1167"/>
      <c r="H323" s="1167"/>
      <c r="I323" s="1167"/>
      <c r="J323" s="1167"/>
      <c r="K323" s="1167"/>
      <c r="L323" s="1167"/>
      <c r="M323" s="1167"/>
      <c r="N323" s="1167"/>
      <c r="O323" s="1167"/>
      <c r="P323" s="1167"/>
      <c r="Q323" s="1167"/>
      <c r="R323" s="1167"/>
      <c r="S323" s="1167"/>
      <c r="T323" s="1167"/>
      <c r="U323" s="1167"/>
      <c r="V323" s="1167"/>
      <c r="W323" s="1167"/>
      <c r="X323" s="1167"/>
      <c r="Y323" s="1167"/>
      <c r="Z323" s="1167"/>
      <c r="AA323" s="1167"/>
      <c r="AB323" s="1167"/>
      <c r="AC323" s="1168"/>
      <c r="AD323" s="1160"/>
      <c r="AE323" s="1160"/>
      <c r="AF323" s="1160"/>
      <c r="AG323" s="1160"/>
      <c r="AH323" s="1160"/>
      <c r="AI323" s="1160"/>
      <c r="AJ323" s="1160"/>
      <c r="AK323" s="1160"/>
      <c r="AL323" s="1160"/>
    </row>
    <row r="325" spans="3:38">
      <c r="C325" s="1189" t="s">
        <v>1983</v>
      </c>
      <c r="D325" s="1189" t="s">
        <v>1907</v>
      </c>
      <c r="E325" s="1189"/>
      <c r="F325" s="1189"/>
      <c r="G325" s="1189"/>
      <c r="H325" s="1189"/>
      <c r="I325" s="1189"/>
      <c r="J325" s="1189"/>
      <c r="K325" s="1189"/>
      <c r="L325" s="1189"/>
      <c r="M325" s="1189"/>
      <c r="N325" s="1189"/>
    </row>
    <row r="326" spans="3:38">
      <c r="C326" s="1194" t="s">
        <v>1861</v>
      </c>
      <c r="D326" s="1195" t="s">
        <v>1396</v>
      </c>
      <c r="E326" s="1195" t="s">
        <v>1908</v>
      </c>
      <c r="F326" s="1195" t="s">
        <v>1909</v>
      </c>
      <c r="G326" s="1195" t="s">
        <v>1399</v>
      </c>
      <c r="H326" s="1195" t="s">
        <v>1400</v>
      </c>
      <c r="I326" s="1195" t="s">
        <v>1401</v>
      </c>
      <c r="J326" s="1195" t="s">
        <v>1402</v>
      </c>
      <c r="K326" s="1196" t="s">
        <v>1403</v>
      </c>
      <c r="L326" s="1196" t="s">
        <v>1404</v>
      </c>
      <c r="M326" s="1196" t="s">
        <v>1910</v>
      </c>
      <c r="N326" s="1197" t="s">
        <v>1910</v>
      </c>
    </row>
    <row r="327" spans="3:38">
      <c r="C327" s="1177"/>
      <c r="D327" s="1178"/>
      <c r="E327" s="1178"/>
      <c r="F327" s="1179"/>
      <c r="G327" s="1179"/>
      <c r="H327" s="1179"/>
      <c r="I327" s="1179"/>
      <c r="J327" s="1179"/>
      <c r="K327" s="1179"/>
      <c r="L327" s="1179"/>
      <c r="M327" s="1179"/>
      <c r="N327" s="1172"/>
    </row>
    <row r="328" spans="3:38">
      <c r="C328" s="1163">
        <v>1</v>
      </c>
      <c r="D328" s="1185"/>
      <c r="E328" s="1185"/>
      <c r="F328" s="1164"/>
      <c r="G328" s="1164"/>
      <c r="H328" s="1164"/>
      <c r="I328" s="1164"/>
      <c r="J328" s="1164"/>
      <c r="K328" s="1164"/>
      <c r="L328" s="1164"/>
      <c r="M328" s="1164"/>
      <c r="N328" s="1165"/>
    </row>
    <row r="329" spans="3:38">
      <c r="C329" s="1163">
        <f>C328+1</f>
        <v>2</v>
      </c>
      <c r="D329" s="1185"/>
      <c r="E329" s="1185"/>
      <c r="F329" s="1164"/>
      <c r="G329" s="1164"/>
      <c r="H329" s="1164"/>
      <c r="I329" s="1164"/>
      <c r="J329" s="1164"/>
      <c r="K329" s="1164"/>
      <c r="L329" s="1164"/>
      <c r="M329" s="1164"/>
      <c r="N329" s="1165"/>
    </row>
    <row r="330" spans="3:38">
      <c r="C330" s="1163">
        <f t="shared" ref="C330:C357" si="15">C329+1</f>
        <v>3</v>
      </c>
      <c r="D330" s="1185"/>
      <c r="E330" s="1185"/>
      <c r="F330" s="1164"/>
      <c r="G330" s="1164"/>
      <c r="H330" s="1164"/>
      <c r="I330" s="1164"/>
      <c r="J330" s="1164"/>
      <c r="K330" s="1164"/>
      <c r="L330" s="1164"/>
      <c r="M330" s="1164"/>
      <c r="N330" s="1165"/>
    </row>
    <row r="331" spans="3:38">
      <c r="C331" s="1163">
        <f t="shared" si="15"/>
        <v>4</v>
      </c>
      <c r="D331" s="1185"/>
      <c r="E331" s="1185"/>
      <c r="F331" s="1164"/>
      <c r="G331" s="1164"/>
      <c r="H331" s="1164"/>
      <c r="I331" s="1164"/>
      <c r="J331" s="1164"/>
      <c r="K331" s="1164"/>
      <c r="L331" s="1164"/>
      <c r="M331" s="1164"/>
      <c r="N331" s="1165"/>
    </row>
    <row r="332" spans="3:38">
      <c r="C332" s="1163">
        <f t="shared" si="15"/>
        <v>5</v>
      </c>
      <c r="D332" s="1185"/>
      <c r="E332" s="1185"/>
      <c r="F332" s="1164"/>
      <c r="G332" s="1164"/>
      <c r="H332" s="1164"/>
      <c r="I332" s="1164"/>
      <c r="J332" s="1164"/>
      <c r="K332" s="1164"/>
      <c r="L332" s="1164"/>
      <c r="M332" s="1164"/>
      <c r="N332" s="1165"/>
    </row>
    <row r="333" spans="3:38">
      <c r="C333" s="1163">
        <f t="shared" si="15"/>
        <v>6</v>
      </c>
      <c r="D333" s="1185"/>
      <c r="E333" s="1185"/>
      <c r="F333" s="1164"/>
      <c r="G333" s="1164"/>
      <c r="H333" s="1164"/>
      <c r="I333" s="1164"/>
      <c r="J333" s="1164"/>
      <c r="K333" s="1164"/>
      <c r="L333" s="1164"/>
      <c r="M333" s="1164"/>
      <c r="N333" s="1165"/>
    </row>
    <row r="334" spans="3:38">
      <c r="C334" s="1163">
        <f t="shared" si="15"/>
        <v>7</v>
      </c>
      <c r="D334" s="1185"/>
      <c r="E334" s="1185"/>
      <c r="F334" s="1164"/>
      <c r="G334" s="1164"/>
      <c r="H334" s="1164"/>
      <c r="I334" s="1164"/>
      <c r="J334" s="1164"/>
      <c r="K334" s="1164"/>
      <c r="L334" s="1164"/>
      <c r="M334" s="1164"/>
      <c r="N334" s="1165"/>
    </row>
    <row r="335" spans="3:38">
      <c r="C335" s="1163">
        <f t="shared" si="15"/>
        <v>8</v>
      </c>
      <c r="D335" s="1185"/>
      <c r="E335" s="1185"/>
      <c r="F335" s="1164"/>
      <c r="G335" s="1164"/>
      <c r="H335" s="1164"/>
      <c r="I335" s="1164"/>
      <c r="J335" s="1164"/>
      <c r="K335" s="1164"/>
      <c r="L335" s="1164"/>
      <c r="M335" s="1164"/>
      <c r="N335" s="1165"/>
    </row>
    <row r="336" spans="3:38">
      <c r="C336" s="1163">
        <f t="shared" si="15"/>
        <v>9</v>
      </c>
      <c r="D336" s="1185"/>
      <c r="E336" s="1185"/>
      <c r="F336" s="1164"/>
      <c r="G336" s="1164"/>
      <c r="H336" s="1164"/>
      <c r="I336" s="1164"/>
      <c r="J336" s="1164"/>
      <c r="K336" s="1164"/>
      <c r="L336" s="1164"/>
      <c r="M336" s="1164"/>
      <c r="N336" s="1165"/>
    </row>
    <row r="337" spans="3:14">
      <c r="C337" s="1163">
        <f t="shared" si="15"/>
        <v>10</v>
      </c>
      <c r="D337" s="1185"/>
      <c r="E337" s="1185"/>
      <c r="F337" s="1164"/>
      <c r="G337" s="1164"/>
      <c r="H337" s="1164"/>
      <c r="I337" s="1164"/>
      <c r="J337" s="1164"/>
      <c r="K337" s="1164"/>
      <c r="L337" s="1164"/>
      <c r="M337" s="1164"/>
      <c r="N337" s="1165"/>
    </row>
    <row r="338" spans="3:14">
      <c r="C338" s="1163">
        <f t="shared" si="15"/>
        <v>11</v>
      </c>
      <c r="D338" s="1185"/>
      <c r="E338" s="1185"/>
      <c r="F338" s="1164"/>
      <c r="G338" s="1164"/>
      <c r="H338" s="1164"/>
      <c r="I338" s="1164"/>
      <c r="J338" s="1164"/>
      <c r="K338" s="1164"/>
      <c r="L338" s="1164"/>
      <c r="M338" s="1164"/>
      <c r="N338" s="1165"/>
    </row>
    <row r="339" spans="3:14">
      <c r="C339" s="1163">
        <f t="shared" si="15"/>
        <v>12</v>
      </c>
      <c r="D339" s="1185"/>
      <c r="E339" s="1185"/>
      <c r="F339" s="1164"/>
      <c r="G339" s="1164"/>
      <c r="H339" s="1164"/>
      <c r="I339" s="1164"/>
      <c r="J339" s="1164"/>
      <c r="K339" s="1164"/>
      <c r="L339" s="1164"/>
      <c r="M339" s="1164"/>
      <c r="N339" s="1165"/>
    </row>
    <row r="340" spans="3:14">
      <c r="C340" s="1163">
        <f t="shared" si="15"/>
        <v>13</v>
      </c>
      <c r="D340" s="1185"/>
      <c r="E340" s="1185"/>
      <c r="F340" s="1164"/>
      <c r="G340" s="1164"/>
      <c r="H340" s="1164"/>
      <c r="I340" s="1164"/>
      <c r="J340" s="1164"/>
      <c r="K340" s="1164"/>
      <c r="L340" s="1164"/>
      <c r="M340" s="1164"/>
      <c r="N340" s="1165"/>
    </row>
    <row r="341" spans="3:14">
      <c r="C341" s="1163">
        <f t="shared" si="15"/>
        <v>14</v>
      </c>
      <c r="D341" s="1185"/>
      <c r="E341" s="1185"/>
      <c r="F341" s="1164"/>
      <c r="G341" s="1164"/>
      <c r="H341" s="1164"/>
      <c r="I341" s="1164"/>
      <c r="J341" s="1164"/>
      <c r="K341" s="1164"/>
      <c r="L341" s="1164"/>
      <c r="M341" s="1164"/>
      <c r="N341" s="1165"/>
    </row>
    <row r="342" spans="3:14">
      <c r="C342" s="1163">
        <f t="shared" si="15"/>
        <v>15</v>
      </c>
      <c r="D342" s="1185"/>
      <c r="E342" s="1185"/>
      <c r="F342" s="1164"/>
      <c r="G342" s="1164"/>
      <c r="H342" s="1164"/>
      <c r="I342" s="1164"/>
      <c r="J342" s="1164"/>
      <c r="K342" s="1164"/>
      <c r="L342" s="1164"/>
      <c r="M342" s="1164"/>
      <c r="N342" s="1165"/>
    </row>
    <row r="343" spans="3:14">
      <c r="C343" s="1163">
        <f t="shared" si="15"/>
        <v>16</v>
      </c>
      <c r="D343" s="1185"/>
      <c r="E343" s="1185"/>
      <c r="F343" s="1164"/>
      <c r="G343" s="1164"/>
      <c r="H343" s="1164"/>
      <c r="I343" s="1164"/>
      <c r="J343" s="1164"/>
      <c r="K343" s="1164"/>
      <c r="L343" s="1164"/>
      <c r="M343" s="1164"/>
      <c r="N343" s="1165"/>
    </row>
    <row r="344" spans="3:14">
      <c r="C344" s="1163">
        <f t="shared" si="15"/>
        <v>17</v>
      </c>
      <c r="D344" s="1185"/>
      <c r="E344" s="1185"/>
      <c r="F344" s="1164"/>
      <c r="G344" s="1164"/>
      <c r="H344" s="1164"/>
      <c r="I344" s="1164"/>
      <c r="J344" s="1164"/>
      <c r="K344" s="1164"/>
      <c r="L344" s="1164"/>
      <c r="M344" s="1164"/>
      <c r="N344" s="1165"/>
    </row>
    <row r="345" spans="3:14">
      <c r="C345" s="1163">
        <f t="shared" si="15"/>
        <v>18</v>
      </c>
      <c r="D345" s="1185"/>
      <c r="E345" s="1185"/>
      <c r="F345" s="1164"/>
      <c r="G345" s="1164"/>
      <c r="H345" s="1164"/>
      <c r="I345" s="1164"/>
      <c r="J345" s="1164"/>
      <c r="K345" s="1164"/>
      <c r="L345" s="1164"/>
      <c r="M345" s="1164"/>
      <c r="N345" s="1165"/>
    </row>
    <row r="346" spans="3:14">
      <c r="C346" s="1163">
        <f t="shared" si="15"/>
        <v>19</v>
      </c>
      <c r="D346" s="1185"/>
      <c r="E346" s="1185"/>
      <c r="F346" s="1164"/>
      <c r="G346" s="1164"/>
      <c r="H346" s="1164"/>
      <c r="I346" s="1164"/>
      <c r="J346" s="1164"/>
      <c r="K346" s="1164"/>
      <c r="L346" s="1164"/>
      <c r="M346" s="1164"/>
      <c r="N346" s="1165"/>
    </row>
    <row r="347" spans="3:14">
      <c r="C347" s="1163">
        <f t="shared" si="15"/>
        <v>20</v>
      </c>
      <c r="D347" s="1185"/>
      <c r="E347" s="1185"/>
      <c r="F347" s="1164"/>
      <c r="G347" s="1164"/>
      <c r="H347" s="1164"/>
      <c r="I347" s="1164"/>
      <c r="J347" s="1164"/>
      <c r="K347" s="1164"/>
      <c r="L347" s="1164"/>
      <c r="M347" s="1164"/>
      <c r="N347" s="1165"/>
    </row>
    <row r="348" spans="3:14">
      <c r="C348" s="1163">
        <f t="shared" si="15"/>
        <v>21</v>
      </c>
      <c r="D348" s="1185"/>
      <c r="E348" s="1185"/>
      <c r="F348" s="1164"/>
      <c r="G348" s="1164"/>
      <c r="H348" s="1164"/>
      <c r="I348" s="1164"/>
      <c r="J348" s="1164"/>
      <c r="K348" s="1164"/>
      <c r="L348" s="1164"/>
      <c r="M348" s="1164"/>
      <c r="N348" s="1165"/>
    </row>
    <row r="349" spans="3:14">
      <c r="C349" s="1163">
        <f t="shared" si="15"/>
        <v>22</v>
      </c>
      <c r="D349" s="1185"/>
      <c r="E349" s="1185"/>
      <c r="F349" s="1164"/>
      <c r="G349" s="1164"/>
      <c r="H349" s="1164"/>
      <c r="I349" s="1164"/>
      <c r="J349" s="1164"/>
      <c r="K349" s="1164"/>
      <c r="L349" s="1164"/>
      <c r="M349" s="1164"/>
      <c r="N349" s="1165"/>
    </row>
    <row r="350" spans="3:14">
      <c r="C350" s="1163">
        <f t="shared" si="15"/>
        <v>23</v>
      </c>
      <c r="D350" s="1185"/>
      <c r="E350" s="1185"/>
      <c r="F350" s="1164"/>
      <c r="G350" s="1164"/>
      <c r="H350" s="1164"/>
      <c r="I350" s="1164"/>
      <c r="J350" s="1164"/>
      <c r="K350" s="1164"/>
      <c r="L350" s="1164"/>
      <c r="M350" s="1164"/>
      <c r="N350" s="1165"/>
    </row>
    <row r="351" spans="3:14">
      <c r="C351" s="1163">
        <f t="shared" si="15"/>
        <v>24</v>
      </c>
      <c r="D351" s="1185"/>
      <c r="E351" s="1185"/>
      <c r="F351" s="1164"/>
      <c r="G351" s="1164"/>
      <c r="H351" s="1164"/>
      <c r="I351" s="1164"/>
      <c r="J351" s="1164"/>
      <c r="K351" s="1164"/>
      <c r="L351" s="1164"/>
      <c r="M351" s="1164"/>
      <c r="N351" s="1165"/>
    </row>
    <row r="352" spans="3:14">
      <c r="C352" s="1163">
        <f t="shared" si="15"/>
        <v>25</v>
      </c>
      <c r="D352" s="1185"/>
      <c r="E352" s="1185"/>
      <c r="F352" s="1164"/>
      <c r="G352" s="1164"/>
      <c r="H352" s="1164"/>
      <c r="I352" s="1164"/>
      <c r="J352" s="1164"/>
      <c r="K352" s="1164"/>
      <c r="L352" s="1164"/>
      <c r="M352" s="1164"/>
      <c r="N352" s="1165"/>
    </row>
    <row r="353" spans="3:14">
      <c r="C353" s="1163">
        <f t="shared" si="15"/>
        <v>26</v>
      </c>
      <c r="D353" s="1185"/>
      <c r="E353" s="1185"/>
      <c r="F353" s="1164"/>
      <c r="G353" s="1164"/>
      <c r="H353" s="1164"/>
      <c r="I353" s="1164"/>
      <c r="J353" s="1164"/>
      <c r="K353" s="1164"/>
      <c r="L353" s="1164"/>
      <c r="M353" s="1164"/>
      <c r="N353" s="1165"/>
    </row>
    <row r="354" spans="3:14">
      <c r="C354" s="1163">
        <f t="shared" si="15"/>
        <v>27</v>
      </c>
      <c r="D354" s="1185"/>
      <c r="E354" s="1185"/>
      <c r="F354" s="1164"/>
      <c r="G354" s="1164"/>
      <c r="H354" s="1164"/>
      <c r="I354" s="1164"/>
      <c r="J354" s="1164"/>
      <c r="K354" s="1164"/>
      <c r="L354" s="1164"/>
      <c r="M354" s="1164"/>
      <c r="N354" s="1165"/>
    </row>
    <row r="355" spans="3:14">
      <c r="C355" s="1163">
        <f t="shared" si="15"/>
        <v>28</v>
      </c>
      <c r="D355" s="1185"/>
      <c r="E355" s="1185"/>
      <c r="F355" s="1164"/>
      <c r="G355" s="1164"/>
      <c r="H355" s="1164"/>
      <c r="I355" s="1164"/>
      <c r="J355" s="1164"/>
      <c r="K355" s="1164"/>
      <c r="L355" s="1164"/>
      <c r="M355" s="1164"/>
      <c r="N355" s="1165"/>
    </row>
    <row r="356" spans="3:14">
      <c r="C356" s="1163">
        <f t="shared" si="15"/>
        <v>29</v>
      </c>
      <c r="D356" s="1185"/>
      <c r="E356" s="1185"/>
      <c r="F356" s="1164"/>
      <c r="G356" s="1164"/>
      <c r="H356" s="1164"/>
      <c r="I356" s="1164"/>
      <c r="J356" s="1164"/>
      <c r="K356" s="1164"/>
      <c r="L356" s="1164"/>
      <c r="M356" s="1164"/>
      <c r="N356" s="1165"/>
    </row>
    <row r="357" spans="3:14">
      <c r="C357" s="1166">
        <f t="shared" si="15"/>
        <v>30</v>
      </c>
      <c r="D357" s="1186"/>
      <c r="E357" s="1186"/>
      <c r="F357" s="1167"/>
      <c r="G357" s="1167"/>
      <c r="H357" s="1167"/>
      <c r="I357" s="1167"/>
      <c r="J357" s="1167"/>
      <c r="K357" s="1167"/>
      <c r="L357" s="1167"/>
      <c r="M357" s="1167"/>
      <c r="N357" s="1168"/>
    </row>
  </sheetData>
  <mergeCells count="26">
    <mergeCell ref="F258:K258"/>
    <mergeCell ref="L258:Q258"/>
    <mergeCell ref="R258:W258"/>
    <mergeCell ref="F190:K190"/>
    <mergeCell ref="L190:T190"/>
    <mergeCell ref="U190:AC190"/>
    <mergeCell ref="F122:M122"/>
    <mergeCell ref="N122:U122"/>
    <mergeCell ref="F156:K156"/>
    <mergeCell ref="L156:Q156"/>
    <mergeCell ref="V122:AA122"/>
    <mergeCell ref="R156:Y156"/>
    <mergeCell ref="Z156:AG156"/>
    <mergeCell ref="AN224:AP224"/>
    <mergeCell ref="AH156:AL156"/>
    <mergeCell ref="AE224:AG224"/>
    <mergeCell ref="AH224:AJ224"/>
    <mergeCell ref="AK224:AM224"/>
    <mergeCell ref="AD190:AI190"/>
    <mergeCell ref="N88:U88"/>
    <mergeCell ref="V88:AC88"/>
    <mergeCell ref="AD88:AK88"/>
    <mergeCell ref="AL88:AS88"/>
    <mergeCell ref="I54:O54"/>
    <mergeCell ref="P54:V54"/>
    <mergeCell ref="F88:M88"/>
  </mergeCells>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2CB6C812D16045AED75F443849D7BB" ma:contentTypeVersion="22" ma:contentTypeDescription="Create a new document." ma:contentTypeScope="" ma:versionID="e9ea0095b186397fd06c92bb972e316c">
  <xsd:schema xmlns:xsd="http://www.w3.org/2001/XMLSchema" xmlns:xs="http://www.w3.org/2001/XMLSchema" xmlns:p="http://schemas.microsoft.com/office/2006/metadata/properties" xmlns:ns1="http://schemas.microsoft.com/sharepoint/v3" xmlns:ns2="4d15f376-9a54-4a7f-8398-4d36b29fec2d" xmlns:ns3="1a0d2482-af94-4a55-9733-fa0647237748" targetNamespace="http://schemas.microsoft.com/office/2006/metadata/properties" ma:root="true" ma:fieldsID="01320f8e0ab291fab39fbcca4d55a6ce" ns1:_="" ns2:_="" ns3:_="">
    <xsd:import namespace="http://schemas.microsoft.com/sharepoint/v3"/>
    <xsd:import namespace="4d15f376-9a54-4a7f-8398-4d36b29fec2d"/>
    <xsd:import namespace="1a0d2482-af94-4a55-9733-fa0647237748"/>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Location" minOccurs="0"/>
                <xsd:element ref="ns3:MediaServiceAutoKeyPoints" minOccurs="0"/>
                <xsd:element ref="ns3:MediaServiceKeyPoints" minOccurs="0"/>
                <xsd:element ref="ns3:MediaLengthInSeconds" minOccurs="0"/>
                <xsd:element ref="ns1:_ip_UnifiedCompliancePolicyProperties" minOccurs="0"/>
                <xsd:element ref="ns1:_ip_UnifiedCompliancePolicyUIAction"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15f376-9a54-4a7f-8398-4d36b29fec2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element name="TaxCatchAll" ma:index="27" nillable="true" ma:displayName="Taxonomy Catch All Column" ma:hidden="true" ma:list="{ff013ce0-ce85-40f9-b784-c26736f73574}" ma:internalName="TaxCatchAll" ma:showField="CatchAllData" ma:web="4d15f376-9a54-4a7f-8398-4d36b29fec2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a0d2482-af94-4a55-9733-fa0647237748"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LengthInSeconds" ma:index="22"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673fa8f4-abb8-42fa-a77b-edc5bc29ea4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1a0d2482-af94-4a55-9733-fa0647237748">
      <Terms xmlns="http://schemas.microsoft.com/office/infopath/2007/PartnerControls"/>
    </lcf76f155ced4ddcb4097134ff3c332f>
    <TaxCatchAll xmlns="4d15f376-9a54-4a7f-8398-4d36b29fec2d"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92853B02-065A-4E7B-9116-545C7C198B95}">
  <ds:schemaRefs>
    <ds:schemaRef ds:uri="http://schemas.microsoft.com/sharepoint/v3/contenttype/forms"/>
  </ds:schemaRefs>
</ds:datastoreItem>
</file>

<file path=customXml/itemProps2.xml><?xml version="1.0" encoding="utf-8"?>
<ds:datastoreItem xmlns:ds="http://schemas.openxmlformats.org/officeDocument/2006/customXml" ds:itemID="{1CC32F9E-F48A-4D18-B043-50D5C131A1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d15f376-9a54-4a7f-8398-4d36b29fec2d"/>
    <ds:schemaRef ds:uri="1a0d2482-af94-4a55-9733-fa06472377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37F84D1-85FC-4A55-A9E3-E22F45B6A916}">
  <ds:schemaRefs>
    <ds:schemaRef ds:uri="4d15f376-9a54-4a7f-8398-4d36b29fec2d"/>
    <ds:schemaRef ds:uri="http://schemas.microsoft.com/office/2006/documentManagement/types"/>
    <ds:schemaRef ds:uri="http://purl.org/dc/elements/1.1/"/>
    <ds:schemaRef ds:uri="http://schemas.microsoft.com/office/2006/metadata/properties"/>
    <ds:schemaRef ds:uri="http://schemas.microsoft.com/office/infopath/2007/PartnerControls"/>
    <ds:schemaRef ds:uri="http://schemas.microsoft.com/sharepoint/v3"/>
    <ds:schemaRef ds:uri="http://schemas.openxmlformats.org/package/2006/metadata/core-properties"/>
    <ds:schemaRef ds:uri="http://purl.org/dc/terms/"/>
    <ds:schemaRef ds:uri="1a0d2482-af94-4a55-9733-fa064723774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34</vt:i4>
      </vt:variant>
    </vt:vector>
  </HeadingPairs>
  <TitlesOfParts>
    <vt:vector size="76" baseType="lpstr">
      <vt:lpstr>Cover</vt:lpstr>
      <vt:lpstr>Form</vt:lpstr>
      <vt:lpstr>Inputs</vt:lpstr>
      <vt:lpstr>Hist.Fin</vt:lpstr>
      <vt:lpstr>Notes</vt:lpstr>
      <vt:lpstr>Summary&gt;&gt;</vt:lpstr>
      <vt:lpstr>Key Outputs</vt:lpstr>
      <vt:lpstr>ReportData</vt:lpstr>
      <vt:lpstr>Log</vt:lpstr>
      <vt:lpstr>Report</vt:lpstr>
      <vt:lpstr>Sheet4</vt:lpstr>
      <vt:lpstr>Sensitivities</vt:lpstr>
      <vt:lpstr>Outputs&gt;&gt;</vt:lpstr>
      <vt:lpstr>Insights</vt:lpstr>
      <vt:lpstr>Flags</vt:lpstr>
      <vt:lpstr>IS</vt:lpstr>
      <vt:lpstr>BS</vt:lpstr>
      <vt:lpstr>CFS</vt:lpstr>
      <vt:lpstr>DCF</vt:lpstr>
      <vt:lpstr>BS_Calc</vt:lpstr>
      <vt:lpstr>ValSum</vt:lpstr>
      <vt:lpstr>Workings&gt;&gt;</vt:lpstr>
      <vt:lpstr>IS_Calcs</vt:lpstr>
      <vt:lpstr>WACC</vt:lpstr>
      <vt:lpstr>GPC Analysis &gt;</vt:lpstr>
      <vt:lpstr>Multiples</vt:lpstr>
      <vt:lpstr>Transact</vt:lpstr>
      <vt:lpstr>Growth</vt:lpstr>
      <vt:lpstr>Margins</vt:lpstr>
      <vt:lpstr>Capex, Dep, WC</vt:lpstr>
      <vt:lpstr>D|E</vt:lpstr>
      <vt:lpstr>GPCDes</vt:lpstr>
      <vt:lpstr>GPCRatios</vt:lpstr>
      <vt:lpstr>PBC&gt;&gt;</vt:lpstr>
      <vt:lpstr>FS</vt:lpstr>
      <vt:lpstr>Sources&gt;</vt:lpstr>
      <vt:lpstr>DamodaranCRP</vt:lpstr>
      <vt:lpstr>Industry Beta</vt:lpstr>
      <vt:lpstr>SizePremia</vt:lpstr>
      <vt:lpstr>GPCTradingData</vt:lpstr>
      <vt:lpstr>Tax</vt:lpstr>
      <vt:lpstr>GPC Data</vt:lpstr>
      <vt:lpstr>client.company.short</vt:lpstr>
      <vt:lpstr>client.name.long</vt:lpstr>
      <vt:lpstr>curr.unit.conversion</vt:lpstr>
      <vt:lpstr>currency.denomination</vt:lpstr>
      <vt:lpstr>currency.heading1</vt:lpstr>
      <vt:lpstr>currency.type</vt:lpstr>
      <vt:lpstr>effective.taxrate</vt:lpstr>
      <vt:lpstr>growth.assumption</vt:lpstr>
      <vt:lpstr>long.term.growth</vt:lpstr>
      <vt:lpstr>'Capex, Dep, WC'!Print_Area</vt:lpstr>
      <vt:lpstr>DCF!Print_Area</vt:lpstr>
      <vt:lpstr>Growth!Print_Area</vt:lpstr>
      <vt:lpstr>'Key Outputs'!Print_Area</vt:lpstr>
      <vt:lpstr>Margins!Print_Area</vt:lpstr>
      <vt:lpstr>Multiples!Print_Area</vt:lpstr>
      <vt:lpstr>Report!Print_Area</vt:lpstr>
      <vt:lpstr>SizePremia!Print_Area</vt:lpstr>
      <vt:lpstr>Transact!Print_Area</vt:lpstr>
      <vt:lpstr>WACC!Print_Area</vt:lpstr>
      <vt:lpstr>project.title</vt:lpstr>
      <vt:lpstr>projected.year1.end</vt:lpstr>
      <vt:lpstr>stub.period</vt:lpstr>
      <vt:lpstr>stub.toggle</vt:lpstr>
      <vt:lpstr>subject.name</vt:lpstr>
      <vt:lpstr>target.name</vt:lpstr>
      <vt:lpstr>tax.rate</vt:lpstr>
      <vt:lpstr>Form!val.date</vt:lpstr>
      <vt:lpstr>valuation.date</vt:lpstr>
      <vt:lpstr>valuation.date.header</vt:lpstr>
      <vt:lpstr>value.premise</vt:lpstr>
      <vt:lpstr>ytd.months</vt:lpstr>
      <vt:lpstr>ytg.actual</vt:lpstr>
      <vt:lpstr>ytg.approach</vt:lpstr>
      <vt:lpstr>ytg.mgt</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keywords/>
  <cp:lastModifiedBy>Anurag Goel</cp:lastModifiedBy>
  <cp:lastPrinted>2024-11-04T10:50:03Z</cp:lastPrinted>
  <dcterms:created xsi:type="dcterms:W3CDTF">1998-05-21T07:40:42Z</dcterms:created>
  <dcterms:modified xsi:type="dcterms:W3CDTF">2025-02-20T18:51:50Z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wner">
    <vt:lpwstr>Brent Sloan</vt:lpwstr>
  </property>
  <property fmtid="{D5CDD505-2E9C-101B-9397-08002B2CF9AE}" pid="3" name="{A44787D4-0540-4523-9961-78E4036D8C6D}">
    <vt:lpwstr>{EC5C4320-BA04-4243-A2F8-90E78652F40F}</vt:lpwstr>
  </property>
  <property fmtid="{D5CDD505-2E9C-101B-9397-08002B2CF9AE}" pid="4" name="MSIP_Label_6aa6c647-222b-4d41-8d37-745db9563e7e_Enabled">
    <vt:lpwstr>True</vt:lpwstr>
  </property>
  <property fmtid="{D5CDD505-2E9C-101B-9397-08002B2CF9AE}" pid="5" name="MSIP_Label_6aa6c647-222b-4d41-8d37-745db9563e7e_SiteId">
    <vt:lpwstr>b723253f-7281-4adc-bc1c-fc9ef3674d78</vt:lpwstr>
  </property>
  <property fmtid="{D5CDD505-2E9C-101B-9397-08002B2CF9AE}" pid="6" name="MSIP_Label_6aa6c647-222b-4d41-8d37-745db9563e7e_Owner">
    <vt:lpwstr>Samuel.J.Beesley@uk.gt.com</vt:lpwstr>
  </property>
  <property fmtid="{D5CDD505-2E9C-101B-9397-08002B2CF9AE}" pid="7" name="MSIP_Label_6aa6c647-222b-4d41-8d37-745db9563e7e_SetDate">
    <vt:lpwstr>2018-10-31T10:08:23.6030887Z</vt:lpwstr>
  </property>
  <property fmtid="{D5CDD505-2E9C-101B-9397-08002B2CF9AE}" pid="8" name="MSIP_Label_6aa6c647-222b-4d41-8d37-745db9563e7e_Name">
    <vt:lpwstr>Confidential</vt:lpwstr>
  </property>
  <property fmtid="{D5CDD505-2E9C-101B-9397-08002B2CF9AE}" pid="9" name="MSIP_Label_6aa6c647-222b-4d41-8d37-745db9563e7e_Application">
    <vt:lpwstr>Microsoft Azure Information Protection</vt:lpwstr>
  </property>
  <property fmtid="{D5CDD505-2E9C-101B-9397-08002B2CF9AE}" pid="10" name="MSIP_Label_6aa6c647-222b-4d41-8d37-745db9563e7e_Extended_MSFT_Method">
    <vt:lpwstr>Manual</vt:lpwstr>
  </property>
  <property fmtid="{D5CDD505-2E9C-101B-9397-08002B2CF9AE}" pid="11" name="Sensitivity">
    <vt:lpwstr>Confidential</vt:lpwstr>
  </property>
  <property fmtid="{D5CDD505-2E9C-101B-9397-08002B2CF9AE}" pid="12" name="ContentTypeId">
    <vt:lpwstr>0x0101007B2CB6C812D16045AED75F443849D7BB</vt:lpwstr>
  </property>
  <property fmtid="{D5CDD505-2E9C-101B-9397-08002B2CF9AE}" pid="13" name="MediaServiceImageTags">
    <vt:lpwstr/>
  </property>
</Properties>
</file>