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Default Extension="emf" ContentType="image/x-em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omments/comment2.xml" ContentType="application/vnd.openxmlformats-officedocument.spreadsheetml.comments+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comments/comment3.xml" ContentType="application/vnd.openxmlformats-officedocument.spreadsheetml.comments+xml"/>
  <Override PartName="/xl/worksheets/sheet29.xml" ContentType="application/vnd.openxmlformats-officedocument.spreadsheetml.worksheet+xml"/>
  <Override PartName="/xl/comments/comment4.xml" ContentType="application/vnd.openxmlformats-officedocument.spreadsheetml.comments+xml"/>
  <Override PartName="/xl/worksheets/sheet30.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31.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32.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comments/comment8.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omments/comment9.xml" ContentType="application/vnd.openxmlformats-officedocument.spreadsheetml.comment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0300" tabRatio="937" firstSheet="6" activeTab="3" autoFilterDateGrouping="1"/>
  </bookViews>
  <sheets>
    <sheet name="NavigationList" sheetId="1" state="veryHidden" r:id="rId1"/>
    <sheet name="Cover" sheetId="2" state="visible" r:id="rId2"/>
    <sheet name="Form" sheetId="3" state="visible" r:id="rId3"/>
    <sheet name="Inputs" sheetId="4" state="visible" r:id="rId4"/>
    <sheet name="Hist.Fin" sheetId="5" state="visible" r:id="rId5"/>
    <sheet name="Notes" sheetId="6" state="visible" r:id="rId6"/>
    <sheet name="Summary&gt;&gt;" sheetId="7" state="visible" r:id="rId7"/>
    <sheet name="Key Outputs" sheetId="8" state="visible" r:id="rId8"/>
    <sheet name="ReportData" sheetId="9" state="visible" r:id="rId9"/>
    <sheet name="Log" sheetId="10" state="visible" r:id="rId10"/>
    <sheet name="Report" sheetId="11" state="visible" r:id="rId11"/>
    <sheet name="Sheet4" sheetId="12" state="hidden" r:id="rId12"/>
    <sheet name="Sensitivities" sheetId="13" state="visible" r:id="rId13"/>
    <sheet name="Outputs&gt;&gt;" sheetId="14" state="visible" r:id="rId14"/>
    <sheet name="Insights" sheetId="15" state="visible" r:id="rId15"/>
    <sheet name="Flags" sheetId="16" state="visible" r:id="rId16"/>
    <sheet name="IS" sheetId="17" state="visible" r:id="rId17"/>
    <sheet name="BS" sheetId="18" state="visible" r:id="rId18"/>
    <sheet name="CFS" sheetId="19" state="visible" r:id="rId19"/>
    <sheet name="DCF" sheetId="20" state="visible" r:id="rId20"/>
    <sheet name="ValSum" sheetId="21" state="visible" r:id="rId21"/>
    <sheet name="Workings&gt;&gt;" sheetId="22" state="visible" r:id="rId22"/>
    <sheet name="IS_Calcs" sheetId="23" state="visible" r:id="rId23"/>
    <sheet name="BS_Calc" sheetId="24" state="visible" r:id="rId24"/>
    <sheet name="WACC" sheetId="25" state="visible" r:id="rId25"/>
    <sheet name="GPC Analysis &gt;" sheetId="26" state="visible" r:id="rId26"/>
    <sheet name="_CIQHiddenCacheSheet" sheetId="27" state="veryHidden" r:id="rId27"/>
    <sheet name="Multiples" sheetId="28" state="visible" r:id="rId28"/>
    <sheet name="Transact" sheetId="29" state="visible" r:id="rId29"/>
    <sheet name="Growth" sheetId="30" state="visible" r:id="rId30"/>
    <sheet name="Margins" sheetId="31" state="visible" r:id="rId31"/>
    <sheet name="Capex, Dep, WC" sheetId="32" state="visible" r:id="rId32"/>
    <sheet name="D|E" sheetId="33" state="visible" r:id="rId33"/>
    <sheet name="GPCDes" sheetId="34" state="visible" r:id="rId34"/>
    <sheet name="GPCRatios" sheetId="35" state="visible" r:id="rId35"/>
    <sheet name="PBC&gt;&gt;" sheetId="36" state="visible" r:id="rId36"/>
    <sheet name="FS" sheetId="37" state="visible" r:id="rId37"/>
    <sheet name="Sources&gt;" sheetId="38" state="visible" r:id="rId38"/>
    <sheet name="DamodaranCRP" sheetId="39" state="visible" r:id="rId39"/>
    <sheet name="Industry Beta" sheetId="40" state="visible" r:id="rId40"/>
    <sheet name="SizePremia" sheetId="41" state="visible" r:id="rId41"/>
    <sheet name="GPCTradingData" sheetId="42" state="visible" r:id="rId42"/>
    <sheet name="Tax" sheetId="43" state="visible" r:id="rId43"/>
    <sheet name="GPC Data" sheetId="44" state="visible" r:id="rId44"/>
  </sheets>
  <externalReferences>
    <externalReference r:id="rId45"/>
    <externalReference r:id="rId46"/>
    <externalReference r:id="rId47"/>
    <externalReference r:id="rId48"/>
    <externalReference r:id="rId49"/>
    <externalReference r:id="rId50"/>
  </externalReferences>
  <definedNames>
    <definedName name="_UNDO_UPS_"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Inputs!$E$19</definedName>
    <definedName name="curr.unit.conversion">DCF!$Q$32</definedName>
    <definedName name="currency.denomination">Inputs!$E$45</definedName>
    <definedName name="currency.heading1">Inputs!$E$46</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rowth.assumption">Inputs!$E$244</definedName>
    <definedName name="HTML_CodePage" hidden="1">1252</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IF(Values_Entered,Header_Row+Number_of_Payments,Header_Row)</definedName>
    <definedName name="long.term.growth">Inputs!$E$245</definedName>
    <definedName name="Payment_Date">DATE(YEAR(Loan_Start),MONTH(Loan_Start)+Payment_Number,DAY(Loan_Start))</definedName>
    <definedName name="project.title">Inputs!$E$26</definedName>
    <definedName name="projected.year1.end">Inputs!$E$30</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[1]Form!$H$19</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Inputs!$E$33</definedName>
    <definedName name="ytg.actual">Inputs!$E$39</definedName>
    <definedName name="ytg.approach">Inputs!$E$36</definedName>
    <definedName name="ytg.mgt">Inputs!$E$40</definedName>
    <definedName name="_UNDO_UPS_" localSheetId="2" hidden="1">#REF!</definedName>
    <definedName name="client.name.long" localSheetId="2">[2]Inputs!$E$7</definedName>
    <definedName name="currency.denomination" localSheetId="2">[2]Inputs!$E$30</definedName>
    <definedName name="currency.heading1" localSheetId="2">[2]Inputs!$E$31</definedName>
    <definedName name="currency.type" localSheetId="2">[2]Inputs!$E$29</definedName>
    <definedName name="HTML_Control" localSheetId="2" hidden="1">{"'Sheet1'!$A$1:$H$145"}</definedName>
    <definedName name="Last_Row" localSheetId="2">IF(Values_Entered,Header_Row+Form!Number_of_Payments,Header_Row)</definedName>
    <definedName name="Payment_Date" localSheetId="2">DATE(YEAR(Loan_Start),MONTH(Loan_Start)+Payment_Number,DAY(Loan_Start))</definedName>
    <definedName name="project.title" localSheetId="2">[2]Inputs!$E$9</definedName>
    <definedName name="projected.year1.end" localSheetId="2">[2]Inputs!$E$15</definedName>
    <definedName name="stub.period" localSheetId="2">[2]Inputs!$E$18</definedName>
    <definedName name="val.date" localSheetId="2">Form!$N$26</definedName>
    <definedName name="valuation.date" localSheetId="2">[2]Inputs!$E$14</definedName>
    <definedName name="ytd.months" localSheetId="2">[2]Inputs!$E$19</definedName>
    <definedName name="_xlnm.Print_Area" localSheetId="7">'Key Outputs'!$B$2:$R$35</definedName>
    <definedName name="_xlnm.Print_Area" localSheetId="10">'Report'!$B$50:$F$93</definedName>
    <definedName name="_UNDO_UPS_" localSheetId="15" hidden="1">#REF!</definedName>
    <definedName name="_UNDO_UPS_SEL_" localSheetId="15" hidden="1">#REF!</definedName>
    <definedName name="client.name.long" localSheetId="15">[1]Inputs!$E$7</definedName>
    <definedName name="currency.denomination" localSheetId="15">[1]Inputs!$E$30</definedName>
    <definedName name="currency.heading1" localSheetId="15">[1]Inputs!$E$31</definedName>
    <definedName name="currency.type" localSheetId="15">[1]Inputs!$E$29</definedName>
    <definedName name="HTML_Control" localSheetId="15" hidden="1">{"'Sheet1'!$A$1:$H$145"}</definedName>
    <definedName name="project.title" localSheetId="15">[1]Inputs!$E$9</definedName>
    <definedName name="projected.year1.end" localSheetId="15">[1]Inputs!$E$15</definedName>
    <definedName name="stub.period" localSheetId="15">[1]Inputs!$E$18</definedName>
    <definedName name="valuation.date" localSheetId="15">[1]Inputs!$E$14</definedName>
    <definedName name="ytd.months" localSheetId="15">[1]Inputs!$E$19</definedName>
    <definedName name="_xlnm.Print_Area" localSheetId="19">'DCF'!$C$2:$S$63</definedName>
    <definedName name="_xlnm.Print_Area" localSheetId="24">'WACC'!$B$2:$K$106</definedName>
    <definedName name="_xlnm.Print_Area" localSheetId="27">'Multiples'!$B$2:$AT$34</definedName>
    <definedName name="_xlnm.Print_Area" localSheetId="28">'Transact'!$B$2:$L$50</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_xlnm.Print_Area" localSheetId="29">'Growth'!$B$2:$X$98</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_xlnm.Print_Area" localSheetId="30">'Margins'!$B$2:$N$106</definedName>
    <definedName name="_xlnm.Print_Area" localSheetId="31">'Capex, Dep, WC'!$B$2:$N$156</definedName>
    <definedName name="_xlnm.Print_Area" localSheetId="40">'SizePremia'!$B$2:$CD$40</definedName>
  </definedNames>
  <calcPr calcId="191029" calcMode="autoNoTable" fullCalcOnLoad="1" iterate="1" iterateDelta="0.0001"/>
</workbook>
</file>

<file path=xl/styles.xml><?xml version="1.0" encoding="utf-8"?>
<styleSheet xmlns="http://schemas.openxmlformats.org/spreadsheetml/2006/main">
  <numFmts count="35">
    <numFmt numFmtId="164" formatCode="#,##0;\(#,##0\);\-"/>
    <numFmt numFmtId="165" formatCode="_(* #,##0.0\ \x_);_(* \(#,##0.0\ \x\);_(* &quot;-&quot;??_);_(@_)"/>
    <numFmt numFmtId="166" formatCode="_(&quot;$&quot;* #,##0.00_);_(&quot;$&quot;* \(#,##0.00\);_(&quot;$&quot;* &quot;-&quot;??_);_(@_)"/>
    <numFmt numFmtId="167" formatCode="_(* #,##0.0_);_(* \(#,##0.0\);_(* &quot;-&quot;??_);_(@_)"/>
    <numFmt numFmtId="168" formatCode="[$-409]d\-mmm\-yy;@"/>
    <numFmt numFmtId="169" formatCode="_(* #,##0.0_);_(* \(#,##0.0\);_(* &quot;-&quot;_);_(@_)"/>
    <numFmt numFmtId="170" formatCode="0.0%"/>
    <numFmt numFmtId="171" formatCode="_(* #,##0.00_);_(* \(#,##0.00\);_(* &quot;-&quot;_);_(@_)"/>
    <numFmt numFmtId="172" formatCode="_(* #,##0_);_(* \(#,##0\);_(* &quot;-&quot;??_);_(@_)"/>
    <numFmt numFmtId="173" formatCode="0.0"/>
    <numFmt numFmtId="174" formatCode="mmm\ dd\,\ \'yy"/>
    <numFmt numFmtId="175" formatCode="#,##0.0;\(#,##0.0\);\-"/>
    <numFmt numFmtId="176" formatCode="#,##0.00;\(#,##0.00\);\-"/>
    <numFmt numFmtId="177" formatCode="_(* 0.0%_);_(* \(0.0%\);_(@_)"/>
    <numFmt numFmtId="178" formatCode="\(0\)"/>
    <numFmt numFmtId="179" formatCode="_-[$£-809]* #,##0_-;\-[$£-809]* #,##0_-;_-[$£-809]* &quot;-&quot;_-;_-@_-"/>
    <numFmt numFmtId="180" formatCode="_-* #,##0.00_-;\-* #,##0.00_-;_-* &quot;-&quot;??_-;_-@_-"/>
    <numFmt numFmtId="181" formatCode="_-* #,##0.0_-;\-* #,##0.0_-;_-* &quot;-&quot;??_-;_-@_-"/>
    <numFmt numFmtId="182" formatCode="[$-409]mmm\ d\,\ \'yy;@"/>
    <numFmt numFmtId="183" formatCode="_(* #,##0.0\x_);_(* \(#,##0.0\x\);_(* &quot;-&quot;??_);_(@_)"/>
    <numFmt numFmtId="184" formatCode="_(* #,##0.00_);_(* \(#,##0.00\);_(* &quot;-&quot;?_);_(@_)"/>
    <numFmt numFmtId="185" formatCode="00000"/>
    <numFmt numFmtId="186" formatCode="_(* #,##0.0_);_(* \(#,##0.0\);_(* &quot;-&quot;?_);_(@_)"/>
    <numFmt numFmtId="187" formatCode="_(&quot;$&quot;* #,##0.000_);_(&quot;$&quot;* \(#,##0.000\);_(&quot;$&quot;* &quot;-&quot;_);_(@_)"/>
    <numFmt numFmtId="188" formatCode="_(* 0.00%_);_(* \(0.00%\);_(@_)"/>
    <numFmt numFmtId="189" formatCode="_(* #,##0.000_);_(* \(#,##0.000\);_(* &quot;-&quot;???_);_(@_)"/>
    <numFmt numFmtId="190" formatCode="_-[$$-409]* #,##0.000_ ;_-[$$-409]* \-#,##0.000\ ;_-[$$-409]* &quot;-&quot;??_ ;_-@_ "/>
    <numFmt numFmtId="191" formatCode="[$-409]mmmm\ d\,\ yyyy;@"/>
    <numFmt numFmtId="192" formatCode="_-* #,##0_-;\-* #,##0_-;_-* &quot;-&quot;??_-;_-@_-"/>
    <numFmt numFmtId="193" formatCode="_(* #,##0.000_);_(* \(#,##0.000\);_(* &quot;-&quot;??_);_(@_)"/>
    <numFmt numFmtId="194" formatCode="#,##0;\(#,##0\);\-;@"/>
    <numFmt numFmtId="195" formatCode="#,##0.00_)&quot;yrs&quot;"/>
    <numFmt numFmtId="196" formatCode="#,##0_);\(#,##0\);&quot;-  &quot;;&quot; &quot;@&quot; &quot;"/>
    <numFmt numFmtId="197" formatCode="mmm\ yyyy_);&quot;Error &lt;0  &quot;;dd\ mmm\ yyyy_);&quot;  &quot;@"/>
    <numFmt numFmtId="198" formatCode="dd\ mmm\ yy"/>
  </numFmts>
  <fonts count="249">
    <font>
      <name val="Arial"/>
      <sz val="12"/>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0"/>
    </font>
    <font>
      <name val="Arial"/>
      <family val="2"/>
      <sz val="10"/>
    </font>
    <font>
      <name val="Arial"/>
      <family val="2"/>
      <sz val="10"/>
    </font>
    <font>
      <name val="Arial"/>
      <family val="2"/>
      <sz val="12"/>
    </font>
    <font>
      <name val="Arial"/>
      <family val="2"/>
      <sz val="8"/>
    </font>
    <font>
      <name val="Arial"/>
      <family val="2"/>
      <color indexed="12"/>
      <sz val="8"/>
    </font>
    <font>
      <name val="Times New Roman"/>
      <family val="1"/>
      <sz val="10"/>
    </font>
    <font>
      <name val="Arial"/>
      <family val="2"/>
      <i val="1"/>
      <sz val="10"/>
    </font>
    <font>
      <name val="Arial"/>
      <family val="2"/>
      <color indexed="8"/>
      <sz val="10"/>
    </font>
    <font>
      <name val="Arial"/>
      <family val="2"/>
      <b val="1"/>
      <i val="1"/>
      <sz val="10"/>
      <u val="single"/>
    </font>
    <font>
      <name val="Arial"/>
      <family val="2"/>
      <i val="1"/>
      <sz val="9"/>
    </font>
    <font>
      <name val="Calibri"/>
      <family val="2"/>
      <color indexed="8"/>
      <sz val="11"/>
    </font>
    <font>
      <name val="Calibri"/>
      <family val="2"/>
      <color indexed="9"/>
      <sz val="11"/>
    </font>
    <font>
      <name val="Calibri"/>
      <family val="2"/>
      <color indexed="20"/>
      <sz val="11"/>
    </font>
    <font>
      <name val="Calibri"/>
      <family val="2"/>
      <b val="1"/>
      <color indexed="10"/>
      <sz val="11"/>
    </font>
    <font>
      <name val="Calibri"/>
      <family val="2"/>
      <b val="1"/>
      <color indexed="9"/>
      <sz val="11"/>
    </font>
    <font>
      <name val="Calibri"/>
      <family val="2"/>
      <i val="1"/>
      <color indexed="23"/>
      <sz val="11"/>
    </font>
    <font>
      <name val="Calibri"/>
      <family val="2"/>
      <color indexed="17"/>
      <sz val="11"/>
    </font>
    <font>
      <name val="Calibri"/>
      <family val="2"/>
      <b val="1"/>
      <color indexed="62"/>
      <sz val="15"/>
    </font>
    <font>
      <name val="Calibri"/>
      <family val="2"/>
      <b val="1"/>
      <color indexed="62"/>
      <sz val="13"/>
    </font>
    <font>
      <name val="Calibri"/>
      <family val="2"/>
      <b val="1"/>
      <color indexed="62"/>
      <sz val="11"/>
    </font>
    <font>
      <name val="Calibri"/>
      <family val="2"/>
      <color indexed="10"/>
      <sz val="11"/>
    </font>
    <font>
      <name val="Calibri"/>
      <family val="2"/>
      <color indexed="19"/>
      <sz val="11"/>
    </font>
    <font>
      <name val="MS Sans Serif"/>
      <family val="2"/>
      <color indexed="8"/>
      <sz val="10"/>
    </font>
    <font>
      <name val="Calibri"/>
      <family val="2"/>
      <b val="1"/>
      <color indexed="63"/>
      <sz val="11"/>
    </font>
    <font>
      <name val="Cambria"/>
      <family val="2"/>
      <b val="1"/>
      <color indexed="62"/>
      <sz val="18"/>
    </font>
    <font>
      <name val="Calibri"/>
      <family val="2"/>
      <b val="1"/>
      <color indexed="8"/>
      <sz val="11"/>
    </font>
    <font>
      <name val="Arial"/>
      <family val="2"/>
      <b val="1"/>
      <sz val="10"/>
      <u val="singleAccounting"/>
    </font>
    <font>
      <name val="Arial"/>
      <family val="2"/>
      <b val="1"/>
      <color rgb="FF4F2D7F"/>
      <sz val="12"/>
    </font>
    <font>
      <name val="Arial"/>
      <family val="2"/>
      <b val="1"/>
      <color rgb="FF4F2D7F"/>
      <sz val="14"/>
    </font>
    <font>
      <name val="Arial"/>
      <family val="2"/>
      <sz val="12"/>
    </font>
    <font>
      <name val="Arial"/>
      <family val="2"/>
      <color theme="1"/>
      <sz val="11"/>
      <scheme val="minor"/>
    </font>
    <font>
      <name val="Arial"/>
      <family val="2"/>
      <color indexed="12"/>
      <sz val="7.5"/>
      <u val="single"/>
    </font>
    <font>
      <name val="Arial"/>
      <family val="2"/>
      <color theme="11"/>
      <sz val="12"/>
      <u val="single"/>
    </font>
    <font>
      <name val="Arial"/>
      <family val="2"/>
      <color rgb="FF4F367F"/>
      <sz val="10"/>
      <u val="single"/>
    </font>
    <font>
      <name val="Arial"/>
      <family val="2"/>
      <color theme="10"/>
      <sz val="12"/>
      <u val="single"/>
    </font>
    <font>
      <name val="Tahoma"/>
      <family val="2"/>
      <color indexed="81"/>
      <sz val="9"/>
    </font>
    <font>
      <name val="Tahoma"/>
      <family val="2"/>
      <b val="1"/>
      <color indexed="81"/>
      <sz val="9"/>
    </font>
    <font>
      <name val="Arial"/>
      <family val="2"/>
      <color theme="10"/>
      <sz val="12"/>
      <u val="single"/>
    </font>
    <font>
      <name val="Arial"/>
      <family val="2"/>
      <color theme="1"/>
      <sz val="8"/>
    </font>
    <font>
      <name val="Helv"/>
      <sz val="10"/>
    </font>
    <font>
      <name val="Arial"/>
      <family val="2"/>
      <color indexed="8"/>
      <sz val="8"/>
    </font>
    <font>
      <name val="Arial"/>
      <family val="2"/>
      <color rgb="FF800000"/>
      <sz val="10"/>
      <scheme val="major"/>
    </font>
    <font>
      <name val="Arial"/>
      <family val="2"/>
      <b val="1"/>
      <color theme="3"/>
      <sz val="9"/>
      <scheme val="major"/>
    </font>
    <font>
      <name val="Arial"/>
      <family val="2"/>
      <color theme="3"/>
      <sz val="9"/>
      <scheme val="major"/>
    </font>
    <font>
      <name val="Arial"/>
      <family val="2"/>
      <color rgb="FF00684F"/>
      <sz val="10"/>
      <scheme val="major"/>
    </font>
    <font>
      <name val="Arial"/>
      <family val="2"/>
      <b val="1"/>
      <color rgb="FF00684F"/>
      <sz val="12"/>
      <scheme val="major"/>
    </font>
    <font>
      <name val="Arial"/>
      <family val="2"/>
      <color rgb="FF4F2D7F"/>
      <sz val="12"/>
      <scheme val="major"/>
    </font>
    <font>
      <name val="Arial"/>
      <family val="2"/>
      <color rgb="FFFF0000"/>
      <sz val="10"/>
      <scheme val="major"/>
    </font>
    <font>
      <name val="Arial"/>
      <family val="2"/>
      <color theme="0" tint="-0.3499862666707358"/>
      <sz val="10"/>
      <scheme val="major"/>
    </font>
    <font>
      <name val="Arial"/>
      <family val="2"/>
      <b val="1"/>
      <color rgb="FF000000"/>
      <sz val="8"/>
      <scheme val="major"/>
    </font>
    <font>
      <name val="Arial"/>
      <family val="2"/>
      <b val="1"/>
      <sz val="8"/>
      <scheme val="major"/>
    </font>
    <font>
      <name val="Arial"/>
      <family val="2"/>
      <b val="1"/>
      <color theme="3"/>
      <sz val="8"/>
      <scheme val="major"/>
    </font>
    <font>
      <name val="Arial"/>
      <family val="2"/>
      <color rgb="FF383838"/>
      <sz val="8"/>
      <scheme val="major"/>
    </font>
    <font>
      <name val="Arial"/>
      <family val="2"/>
      <color theme="1"/>
      <sz val="8"/>
      <scheme val="major"/>
    </font>
    <font>
      <name val="Arial"/>
      <family val="2"/>
      <color theme="0"/>
      <sz val="8"/>
      <scheme val="major"/>
    </font>
    <font>
      <name val="Arial"/>
      <family val="2"/>
      <b val="1"/>
      <color theme="1"/>
      <sz val="8"/>
      <scheme val="major"/>
    </font>
    <font>
      <name val="Arial"/>
      <family val="2"/>
      <sz val="10"/>
      <scheme val="major"/>
    </font>
    <font>
      <name val="Arial"/>
      <family val="2"/>
      <b val="1"/>
      <color rgb="FF383838"/>
      <sz val="8"/>
      <scheme val="major"/>
    </font>
    <font>
      <name val="Arial"/>
      <family val="2"/>
      <color rgb="FF00684F"/>
      <sz val="8"/>
      <scheme val="major"/>
    </font>
    <font>
      <name val="Arial"/>
      <family val="2"/>
      <sz val="9"/>
      <scheme val="major"/>
    </font>
    <font>
      <name val="Geneva"/>
      <family val="2"/>
      <sz val="9"/>
    </font>
    <font>
      <name val="Arial"/>
      <family val="2"/>
      <color rgb="FF0000CC"/>
      <sz val="10"/>
    </font>
    <font>
      <name val="Arial"/>
      <family val="2"/>
      <color indexed="10"/>
      <sz val="10"/>
    </font>
    <font>
      <name val="Calibri"/>
      <family val="2"/>
      <color rgb="FF000000"/>
      <sz val="11"/>
    </font>
    <font>
      <name val="Leelawadee"/>
      <family val="2"/>
      <color theme="1"/>
      <sz val="8"/>
    </font>
    <font>
      <name val="Leelawadee"/>
      <family val="2"/>
      <b val="1"/>
      <color rgb="FF003399"/>
      <sz val="10"/>
    </font>
    <font>
      <name val="Leelawadee"/>
      <family val="2"/>
      <b val="1"/>
      <color theme="1"/>
      <sz val="8"/>
    </font>
    <font>
      <name val="Leelawadee"/>
      <family val="2"/>
      <b val="1"/>
      <color theme="0"/>
      <sz val="8"/>
    </font>
    <font>
      <name val="Leelawadee"/>
      <family val="2"/>
      <color indexed="12"/>
      <sz val="8"/>
    </font>
    <font>
      <name val="Leelawadee"/>
      <family val="2"/>
      <b val="1"/>
      <color rgb="FFFF0000"/>
      <sz val="8"/>
    </font>
    <font>
      <name val="Leelawadee"/>
      <family val="2"/>
      <b val="1"/>
      <color rgb="FF003399"/>
      <sz val="8"/>
    </font>
    <font>
      <name val="Leelawadee"/>
      <family val="2"/>
      <sz val="8"/>
    </font>
    <font>
      <name val="Leelawadee"/>
      <family val="2"/>
      <color rgb="FF003399"/>
      <sz val="8"/>
    </font>
    <font>
      <name val="Leelawadee"/>
      <family val="2"/>
      <b val="1"/>
      <color theme="1" tint="0.499984740745262"/>
      <sz val="8"/>
    </font>
    <font>
      <name val="Leelawadee"/>
      <family val="2"/>
      <b val="1"/>
      <i val="1"/>
      <color theme="0"/>
      <sz val="8"/>
    </font>
    <font>
      <name val="Leelawadee"/>
      <family val="2"/>
      <sz val="12"/>
    </font>
    <font>
      <name val="Leelawadee"/>
      <family val="2"/>
      <color indexed="8"/>
      <sz val="8"/>
    </font>
    <font>
      <name val="Leelawadee"/>
      <family val="2"/>
      <i val="1"/>
      <sz val="8"/>
    </font>
    <font>
      <name val="Leelawadee"/>
      <family val="2"/>
      <b val="1"/>
      <sz val="8"/>
      <u val="single"/>
    </font>
    <font>
      <name val="Leelawadee"/>
      <family val="2"/>
      <sz val="8"/>
      <u val="single"/>
    </font>
    <font>
      <name val="Leelawadee"/>
      <family val="2"/>
      <b val="1"/>
      <color rgb="FF00B050"/>
      <sz val="8"/>
    </font>
    <font>
      <name val="Leelawadee"/>
      <family val="2"/>
      <b val="1"/>
      <color theme="3"/>
      <sz val="8"/>
    </font>
    <font>
      <name val="Leelawadee"/>
      <family val="2"/>
      <b val="1"/>
      <sz val="8"/>
    </font>
    <font>
      <name val="Leelawadee"/>
      <family val="2"/>
      <b val="1"/>
      <color rgb="FF00CCE2"/>
      <sz val="8"/>
    </font>
    <font>
      <name val="Leelawadee"/>
      <family val="2"/>
      <b val="1"/>
      <color theme="0" tint="-0.499984740745262"/>
      <sz val="8"/>
    </font>
    <font>
      <name val="Leelawadee"/>
      <family val="2"/>
      <b val="1"/>
      <color rgb="FF0070C0"/>
      <sz val="8"/>
    </font>
    <font>
      <name val="Leelawadee"/>
      <family val="2"/>
      <b val="1"/>
      <color rgb="FF383838"/>
      <sz val="8"/>
    </font>
    <font>
      <name val="Leelawadee"/>
      <family val="2"/>
      <b val="1"/>
      <color theme="0"/>
      <sz val="8"/>
      <u val="single"/>
    </font>
    <font>
      <name val="Leelawadee"/>
      <family val="2"/>
      <b val="1"/>
      <color rgb="FF003399"/>
      <sz val="9"/>
    </font>
    <font>
      <name val="Leelawadee"/>
      <family val="2"/>
      <sz val="9"/>
    </font>
    <font>
      <name val="Leelawadee"/>
      <family val="2"/>
      <sz val="10"/>
    </font>
    <font>
      <name val="Leelawadee"/>
      <family val="2"/>
      <color rgb="FF003399"/>
      <sz val="9"/>
    </font>
    <font>
      <name val="Leelawadee"/>
      <family val="2"/>
      <color theme="3"/>
      <sz val="9"/>
    </font>
    <font>
      <name val="Leelawadee"/>
      <family val="2"/>
      <b val="1"/>
      <color theme="0"/>
      <sz val="9"/>
    </font>
    <font>
      <name val="Leelawadee"/>
      <family val="2"/>
      <color theme="0"/>
      <sz val="9"/>
    </font>
    <font>
      <name val="Leelawadee"/>
      <family val="2"/>
      <color theme="0"/>
      <sz val="12"/>
    </font>
    <font>
      <name val="Leelawadee"/>
      <family val="2"/>
      <color theme="0"/>
      <sz val="10"/>
    </font>
    <font>
      <name val="Leelawadee"/>
      <family val="2"/>
      <b val="1"/>
      <color theme="0"/>
      <sz val="10"/>
    </font>
    <font>
      <name val="Leelawadee"/>
      <family val="2"/>
      <b val="1"/>
      <sz val="10"/>
    </font>
    <font>
      <name val="Leelawadee"/>
      <family val="2"/>
      <color theme="3"/>
      <sz val="8"/>
    </font>
    <font>
      <name val="Leelawadee"/>
      <family val="2"/>
      <color theme="0" tint="-0.1499984740745262"/>
      <sz val="8"/>
    </font>
    <font>
      <name val="Leelawadee"/>
      <family val="2"/>
      <color rgb="FF0000FF"/>
      <sz val="8"/>
    </font>
    <font>
      <name val="Leelawadee"/>
      <family val="2"/>
      <b val="1"/>
      <color rgb="FF0000FF"/>
      <sz val="8"/>
    </font>
    <font>
      <name val="Leelawadee"/>
      <family val="2"/>
      <b val="1"/>
      <color rgb="FFFF0000"/>
      <sz val="20"/>
    </font>
    <font>
      <name val="Leelawadee"/>
      <family val="2"/>
      <b val="1"/>
      <color theme="1"/>
      <sz val="8"/>
      <u val="single"/>
    </font>
    <font>
      <name val="Leelawadee"/>
      <family val="2"/>
      <b val="1"/>
      <color rgb="FF7030A0"/>
      <sz val="8"/>
    </font>
    <font>
      <name val="Leelawadee"/>
      <family val="2"/>
      <color rgb="FF7030A0"/>
      <sz val="8"/>
    </font>
    <font>
      <name val="Leelawadee"/>
      <family val="2"/>
      <i val="1"/>
      <color theme="1"/>
      <sz val="8"/>
    </font>
    <font>
      <name val="Leelawadee"/>
      <family val="2"/>
      <color theme="0"/>
      <sz val="8"/>
    </font>
    <font>
      <name val="Leelawadee"/>
      <family val="2"/>
      <b val="1"/>
      <i val="1"/>
      <color theme="1"/>
      <sz val="8"/>
    </font>
    <font>
      <name val="Leelawadee"/>
      <family val="2"/>
      <b val="1"/>
      <i val="1"/>
      <color theme="1"/>
      <sz val="8"/>
      <u val="single"/>
    </font>
    <font>
      <name val="Leelawadee"/>
      <family val="2"/>
      <color rgb="FF800000"/>
      <sz val="8"/>
    </font>
    <font>
      <name val="Leelawadee"/>
      <family val="2"/>
      <b val="1"/>
      <color rgb="FF4F2D7F"/>
      <sz val="8"/>
    </font>
    <font>
      <name val="Leelawadee"/>
      <family val="2"/>
      <b val="1"/>
      <color rgb="FF00684F"/>
      <sz val="8"/>
    </font>
    <font>
      <name val="Leelawadee"/>
      <family val="2"/>
      <color rgb="FF00684F"/>
      <sz val="8"/>
    </font>
    <font>
      <name val="Leelawadee"/>
      <family val="2"/>
      <b val="1"/>
      <i val="1"/>
      <color theme="3"/>
      <sz val="8"/>
    </font>
    <font>
      <name val="Leelawadee"/>
      <family val="2"/>
      <b val="1"/>
      <i val="1"/>
      <color rgb="FF7030A0"/>
      <sz val="8"/>
    </font>
    <font>
      <name val="Leelawadee"/>
      <family val="2"/>
      <color rgb="FF000000"/>
      <sz val="8"/>
    </font>
    <font>
      <name val="Leelawadee"/>
      <family val="2"/>
      <b val="1"/>
      <color rgb="FF000000"/>
      <sz val="8"/>
    </font>
    <font>
      <name val="Leelawadee"/>
      <family val="2"/>
      <b val="1"/>
      <color rgb="FF009B76"/>
      <sz val="8"/>
    </font>
    <font>
      <name val="Leelawadee"/>
      <family val="2"/>
      <color theme="10"/>
      <sz val="8"/>
      <u val="single"/>
    </font>
    <font>
      <name val="Leelawadee"/>
      <family val="2"/>
      <color rgb="FFFFFFFF"/>
      <sz val="8"/>
    </font>
    <font>
      <name val="Leelawadee"/>
      <family val="2"/>
      <b val="1"/>
      <color theme="1"/>
      <sz val="8"/>
      <u val="singleAccounting"/>
    </font>
    <font>
      <name val="Leelawadee"/>
      <family val="2"/>
      <b val="1"/>
      <color indexed="62"/>
      <sz val="8"/>
    </font>
    <font>
      <name val="Leelawadee"/>
      <family val="2"/>
      <color rgb="FF383838"/>
      <sz val="8"/>
    </font>
    <font>
      <name val="Leelawadee"/>
      <family val="2"/>
      <b val="1"/>
      <i val="1"/>
      <sz val="8"/>
    </font>
    <font>
      <name val="Leelawadee"/>
      <family val="2"/>
      <b val="1"/>
      <color rgb="FF800000"/>
      <sz val="8"/>
    </font>
    <font>
      <name val="Leelawadee"/>
      <family val="2"/>
      <b val="1"/>
      <i val="1"/>
      <sz val="8"/>
      <u val="single"/>
    </font>
    <font>
      <name val="Leelawadee"/>
      <family val="2"/>
      <color rgb="FFFF0000"/>
      <sz val="8"/>
    </font>
    <font>
      <name val="Leelawadee"/>
      <family val="2"/>
      <i val="1"/>
      <color rgb="FFFF0000"/>
      <sz val="8"/>
    </font>
    <font>
      <name val="Leelawadee"/>
      <family val="2"/>
      <b val="1"/>
      <color rgb="FFC00000"/>
      <sz val="8"/>
    </font>
    <font>
      <name val="Leelawadee"/>
      <family val="2"/>
      <color theme="0" tint="-0.3499862666707358"/>
      <sz val="8"/>
    </font>
    <font>
      <name val="Leelawadee"/>
      <family val="2"/>
      <color rgb="FF4F2D7F"/>
      <sz val="8"/>
    </font>
    <font>
      <name val="Leelawadee"/>
      <family val="2"/>
      <color rgb="FFC00000"/>
      <sz val="8"/>
    </font>
    <font>
      <name val="Leelawadee"/>
      <family val="2"/>
      <color theme="1" tint="0.3499862666707358"/>
      <sz val="8"/>
    </font>
    <font>
      <name val="Leelawadee"/>
      <family val="2"/>
      <b val="1"/>
      <color rgb="FF800000"/>
      <sz val="8"/>
      <u val="singleAccounting"/>
    </font>
    <font>
      <name val="Leelawadee"/>
      <family val="2"/>
      <b val="1"/>
      <i val="1"/>
      <color rgb="FF800000"/>
      <sz val="8"/>
      <u val="single"/>
    </font>
    <font>
      <name val="Leelawadee"/>
      <family val="2"/>
      <b val="1"/>
      <i val="1"/>
      <color rgb="FF800000"/>
      <sz val="8"/>
    </font>
    <font>
      <name val="Leelawadee"/>
      <family val="2"/>
      <i val="1"/>
      <color rgb="FF800000"/>
      <sz val="8"/>
    </font>
    <font>
      <name val="Leelawadee"/>
      <family val="2"/>
      <color rgb="FF800000"/>
      <sz val="8"/>
      <u val="singleAccounting"/>
    </font>
    <font>
      <name val="Leelawadee"/>
      <family val="2"/>
      <b val="1"/>
      <color theme="3"/>
      <sz val="8"/>
      <u val="single"/>
    </font>
    <font>
      <name val="Leelawadee"/>
      <family val="2"/>
      <color rgb="FF660066"/>
      <sz val="8"/>
    </font>
    <font>
      <name val="Leelawadee"/>
      <family val="2"/>
      <color theme="1"/>
      <sz val="8"/>
      <u val="single"/>
    </font>
    <font>
      <name val="Leelawadee"/>
      <family val="2"/>
      <i val="1"/>
      <color theme="9"/>
      <sz val="8"/>
    </font>
    <font>
      <name val="Leelawadee"/>
      <family val="2"/>
      <i val="1"/>
      <color theme="3"/>
      <sz val="8"/>
    </font>
    <font>
      <name val="Leelawadee"/>
      <family val="2"/>
      <b val="1"/>
      <i val="1"/>
      <color theme="9"/>
      <sz val="8"/>
    </font>
    <font>
      <name val="Leelawadee"/>
      <family val="2"/>
      <color theme="1"/>
      <sz val="11"/>
    </font>
    <font>
      <name val="Leelawadee"/>
      <family val="2"/>
      <b val="1"/>
      <color theme="0"/>
      <sz val="11"/>
    </font>
    <font>
      <name val="Leelawadee"/>
      <family val="2"/>
      <color theme="0"/>
      <sz val="11"/>
    </font>
    <font>
      <name val="Leelawadee"/>
      <family val="2"/>
      <b val="1"/>
      <color theme="1"/>
      <sz val="11"/>
    </font>
    <font>
      <name val="Leelawadee"/>
      <family val="2"/>
      <b val="1"/>
      <color theme="4"/>
      <sz val="8"/>
    </font>
    <font>
      <name val="Leelawadee"/>
      <family val="2"/>
      <color theme="4"/>
      <sz val="8"/>
    </font>
    <font>
      <name val="Leelawadee"/>
      <family val="2"/>
      <color theme="1" tint="0.3499862666707358"/>
      <sz val="8"/>
      <u val="single"/>
    </font>
    <font>
      <name val="Leelawadee"/>
      <family val="2"/>
      <b val="1"/>
      <color theme="1" tint="0.3499862666707358"/>
      <sz val="8"/>
    </font>
    <font>
      <name val="Leelawadee"/>
      <family val="2"/>
      <color indexed="8"/>
      <sz val="8"/>
      <u val="singleAccounting"/>
    </font>
    <font>
      <name val="Leelawadee"/>
      <family val="2"/>
      <b val="1"/>
      <sz val="8"/>
      <u val="doubleAccounting"/>
    </font>
    <font>
      <name val="Leelawadee"/>
      <family val="2"/>
      <color theme="0" tint="-0.249977111117893"/>
      <sz val="8"/>
    </font>
    <font>
      <name val="Leelawadee"/>
      <family val="2"/>
      <color theme="0" tint="-0.249977111117893"/>
      <sz val="8"/>
      <u val="single"/>
    </font>
    <font>
      <name val="Leelawadee"/>
      <family val="2"/>
      <b val="1"/>
      <color theme="0" tint="-0.249977111117893"/>
      <sz val="8"/>
    </font>
    <font>
      <name val="Leelawadee"/>
      <family val="2"/>
      <b val="1"/>
      <color indexed="8"/>
      <sz val="8"/>
    </font>
    <font>
      <name val="Leelawadee"/>
      <family val="2"/>
      <color rgb="FF00CCE2"/>
      <sz val="8"/>
    </font>
    <font>
      <name val="Leelawadee"/>
      <family val="2"/>
      <color rgb="FFC00000"/>
      <sz val="8"/>
      <u val="single"/>
    </font>
    <font>
      <name val="Leelawadee"/>
      <family val="2"/>
      <color theme="1" tint="0.0499893185216834"/>
      <sz val="8"/>
    </font>
    <font>
      <name val="Leelawadee"/>
      <family val="2"/>
      <b val="1"/>
      <i val="1"/>
      <color rgb="FFFF0000"/>
      <sz val="8"/>
      <u val="single"/>
    </font>
    <font>
      <name val="Leelawadee"/>
      <family val="2"/>
      <i val="1"/>
      <color indexed="8"/>
      <sz val="8"/>
    </font>
    <font>
      <name val="Leelawadee"/>
      <family val="2"/>
      <i val="1"/>
      <color theme="0"/>
      <sz val="8"/>
    </font>
    <font>
      <name val="Leelawadee"/>
      <family val="2"/>
      <i val="1"/>
      <color rgb="FF4F2D7F"/>
      <sz val="8"/>
    </font>
    <font>
      <name val="Leelawadee"/>
      <family val="2"/>
      <color theme="0" tint="-0.3499862666707358"/>
      <sz val="10"/>
    </font>
    <font>
      <name val="Leelawadee"/>
      <family val="2"/>
      <b val="1"/>
      <color theme="0" tint="-0.3499862666707358"/>
      <sz val="14"/>
    </font>
    <font>
      <name val="Leelawadee"/>
      <family val="2"/>
      <color rgb="FF800000"/>
      <sz val="10"/>
    </font>
    <font>
      <name val="Leelawadee"/>
      <family val="2"/>
      <color rgb="FF00684F"/>
      <sz val="12"/>
    </font>
    <font>
      <name val="Leelawadee"/>
      <family val="2"/>
      <color rgb="FF00684F"/>
      <sz val="10"/>
    </font>
    <font>
      <name val="Leelawadee"/>
      <family val="2"/>
      <i val="1"/>
      <sz val="10"/>
    </font>
    <font>
      <name val="Leelawadee"/>
      <family val="2"/>
      <b val="1"/>
      <i val="1"/>
      <sz val="10"/>
    </font>
    <font>
      <name val="Leelawadee"/>
      <family val="2"/>
      <b val="1"/>
      <i val="1"/>
      <sz val="10"/>
      <u val="single"/>
    </font>
    <font>
      <name val="Leelawadee"/>
      <family val="2"/>
      <i val="1"/>
      <sz val="9"/>
    </font>
    <font>
      <name val="Leelawadee"/>
      <family val="2"/>
      <b val="1"/>
      <color theme="0"/>
      <sz val="10"/>
      <u val="singleAccounting"/>
    </font>
    <font>
      <name val="Leelawadee"/>
      <family val="2"/>
      <i val="1"/>
      <color theme="1"/>
      <sz val="11"/>
      <u val="single"/>
    </font>
    <font>
      <name val="Leelawadee"/>
      <family val="2"/>
      <i val="1"/>
      <color theme="1"/>
      <sz val="11"/>
    </font>
    <font>
      <name val="Leelawadee"/>
      <family val="2"/>
      <color rgb="FFFF0000"/>
      <sz val="11"/>
    </font>
    <font>
      <name val="Leelawadee"/>
      <family val="2"/>
      <b val="1"/>
      <color theme="3"/>
      <sz val="11"/>
    </font>
    <font>
      <name val="Leelawadee"/>
      <family val="2"/>
      <sz val="11"/>
    </font>
    <font>
      <name val="Leelawadee"/>
      <family val="2"/>
      <color theme="3"/>
      <sz val="11"/>
    </font>
    <font>
      <name val="Leelawadee"/>
      <family val="2"/>
      <b val="1"/>
      <color theme="1" tint="0.499984740745262"/>
      <sz val="11"/>
    </font>
    <font>
      <name val="Leelawadee"/>
      <family val="2"/>
      <color rgb="FF4F2D7F"/>
      <sz val="11"/>
    </font>
    <font>
      <name val="Leelawadee"/>
      <family val="2"/>
      <color rgb="FF00684F"/>
      <sz val="11"/>
    </font>
    <font>
      <name val="Leelawadee"/>
      <family val="2"/>
      <color theme="0" tint="-0.3499862666707358"/>
      <sz val="11"/>
    </font>
    <font>
      <name val="Leelawadee"/>
      <family val="2"/>
      <b val="1"/>
      <i val="1"/>
      <color rgb="FF0070C0"/>
      <sz val="10"/>
    </font>
    <font>
      <name val="Leelawadee"/>
      <family val="2"/>
      <b val="1"/>
      <color rgb="FFFF0000"/>
      <sz val="11"/>
    </font>
    <font>
      <name val="Leelawadee"/>
      <family val="2"/>
      <color theme="10"/>
      <sz val="12"/>
      <u val="single"/>
    </font>
    <font>
      <name val="Leelawadee"/>
      <family val="2"/>
      <color rgb="FF212529"/>
      <sz val="12"/>
    </font>
    <font>
      <name val="Leelawadee"/>
      <family val="2"/>
      <b val="1"/>
      <color theme="0"/>
      <sz val="12"/>
    </font>
    <font>
      <name val="Calibri"/>
      <family val="2"/>
      <color rgb="FF000000"/>
      <sz val="12"/>
    </font>
    <font>
      <name val="Verdana"/>
      <family val="2"/>
      <b val="1"/>
      <i val="1"/>
      <color theme="0"/>
      <sz val="10"/>
    </font>
    <font>
      <name val="Leelawadee"/>
      <family val="2"/>
      <color rgb="FF00B050"/>
      <sz val="8"/>
    </font>
    <font>
      <name val="Leelawadee"/>
      <family val="2"/>
      <color rgb="FF0070C0"/>
      <sz val="11"/>
    </font>
    <font>
      <name val="Leelawadee"/>
      <family val="2"/>
      <i val="1"/>
      <sz val="11"/>
    </font>
    <font>
      <name val="Leelawadee"/>
      <family val="2"/>
      <color theme="0" tint="-0.0499893185216834"/>
      <sz val="11"/>
    </font>
    <font>
      <name val="Leelawadee"/>
      <family val="2"/>
      <color theme="1"/>
      <sz val="11"/>
      <u val="single"/>
    </font>
    <font>
      <name val="Leelawadee"/>
      <family val="2"/>
      <color theme="4"/>
      <sz val="11"/>
    </font>
    <font>
      <name val="Leelawadee"/>
      <family val="2"/>
      <color theme="0" tint="-0.249977111117893"/>
      <sz val="11"/>
    </font>
    <font>
      <name val="Leelawadee"/>
      <family val="2"/>
      <color rgb="FF138CD7"/>
      <sz val="11"/>
    </font>
    <font>
      <name val="Leelawadee"/>
      <family val="2"/>
      <i val="1"/>
      <sz val="8"/>
      <u val="single"/>
    </font>
    <font>
      <name val="Leelawadee"/>
      <family val="2"/>
      <i val="1"/>
      <color theme="0"/>
      <sz val="8"/>
      <u val="single"/>
    </font>
    <font>
      <name val="Leelawadee"/>
      <family val="2"/>
      <color rgb="FFFF0000"/>
      <sz val="10"/>
    </font>
    <font>
      <name val="Leelawadee"/>
      <family val="2"/>
      <b val="1"/>
      <color theme="1"/>
      <sz val="10"/>
    </font>
    <font>
      <name val="Leelawadee"/>
      <family val="2"/>
      <i val="1"/>
      <color theme="0" tint="-0.249977111117893"/>
      <sz val="8"/>
    </font>
    <font>
      <name val="Leelawadee"/>
      <family val="2"/>
      <b val="1"/>
      <color rgb="FF00CCE2"/>
      <sz val="10"/>
    </font>
    <font>
      <name val="Leelawadee"/>
      <family val="2"/>
      <b val="1"/>
      <sz val="10"/>
      <u val="single"/>
    </font>
    <font>
      <name val="Leelawadee UI"/>
      <family val="2"/>
      <b val="1"/>
      <color rgb="FF0D0D0D"/>
      <sz val="11"/>
    </font>
    <font>
      <name val="Arial"/>
      <family val="2"/>
      <sz val="12"/>
      <u val="single"/>
    </font>
    <font>
      <name val="Leelawadee"/>
      <family val="2"/>
      <b val="1"/>
      <color rgb="FF000099"/>
      <sz val="10.5"/>
    </font>
    <font>
      <name val="Leelawadee"/>
      <charset val="222"/>
      <family val="2"/>
      <b val="1"/>
      <color theme="1"/>
      <sz val="8"/>
    </font>
    <font>
      <name val="Leelawadee"/>
      <charset val="222"/>
      <family val="2"/>
      <b val="1"/>
      <color theme="1"/>
      <sz val="8"/>
      <u val="single"/>
    </font>
    <font>
      <name val="Leelawadee"/>
      <family val="2"/>
      <sz val="10"/>
      <u val="single"/>
    </font>
    <font>
      <name val="Leelawadee"/>
      <charset val="222"/>
      <family val="2"/>
      <b val="1"/>
      <sz val="10"/>
      <u val="single"/>
    </font>
    <font>
      <name val="Leelawadee"/>
      <charset val="222"/>
      <family val="2"/>
      <b val="1"/>
      <sz val="10"/>
    </font>
    <font>
      <name val="Leelawadee"/>
      <charset val="222"/>
      <family val="2"/>
      <b val="1"/>
      <color rgb="FF00CCE2"/>
      <sz val="36"/>
    </font>
    <font>
      <name val="Leelawadee"/>
      <charset val="222"/>
      <family val="2"/>
      <b val="1"/>
      <color theme="0"/>
      <sz val="12"/>
    </font>
    <font>
      <name val="Leelawadee"/>
      <charset val="222"/>
      <family val="2"/>
      <b val="1"/>
      <color theme="0"/>
      <sz val="14"/>
    </font>
    <font>
      <name val="Leelawadee"/>
      <charset val="222"/>
      <family val="2"/>
      <color theme="8"/>
      <sz val="10"/>
    </font>
    <font>
      <name val="Leelawadee"/>
      <family val="2"/>
      <color theme="8"/>
      <sz val="10"/>
    </font>
    <font>
      <name val="Leelawadee"/>
      <charset val="222"/>
      <family val="2"/>
      <b val="1"/>
      <color rgb="FF003399"/>
      <sz val="12"/>
    </font>
    <font>
      <name val="Leelawadee"/>
      <charset val="222"/>
      <family val="2"/>
      <color rgb="FF000000"/>
      <sz val="10"/>
    </font>
    <font>
      <name val="Leelawadee"/>
      <charset val="222"/>
      <family val="2"/>
      <b val="1"/>
      <sz val="8"/>
    </font>
    <font>
      <name val="Leelawadee"/>
      <family val="2"/>
      <b val="1"/>
      <color rgb="FF00CCE2"/>
      <sz val="11"/>
    </font>
    <font>
      <name val="Leelawadee"/>
      <family val="2"/>
      <b val="1"/>
      <sz val="11"/>
    </font>
    <font>
      <name val="Leelawadee"/>
      <family val="2"/>
      <b val="1"/>
      <color rgb="FF0070C0"/>
      <sz val="11"/>
    </font>
    <font>
      <name val="Leelawadee"/>
      <family val="2"/>
      <b val="1"/>
      <color rgb="FF138CD7"/>
      <sz val="8"/>
    </font>
    <font>
      <name val="Leelawadee"/>
      <family val="2"/>
      <color theme="1"/>
      <sz val="10"/>
    </font>
    <font>
      <name val="Leelawadee"/>
      <family val="2"/>
      <color theme="1"/>
      <sz val="12"/>
    </font>
    <font>
      <name val="Leelawadee"/>
      <family val="2"/>
      <b val="1"/>
      <i val="1"/>
      <color rgb="FF383838"/>
      <sz val="8"/>
    </font>
    <font>
      <name val="Leelawadee"/>
      <charset val="222"/>
      <family val="2"/>
      <b val="1"/>
      <color theme="0"/>
      <sz val="8"/>
    </font>
  </fonts>
  <fills count="59">
    <fill>
      <patternFill/>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
        <bgColor indexed="64"/>
      </patternFill>
    </fill>
    <fill>
      <patternFill patternType="solid">
        <fgColor theme="0" tint="-0.0499893185216834"/>
        <bgColor indexed="64"/>
      </patternFill>
    </fill>
    <fill>
      <patternFill patternType="solid">
        <fgColor rgb="FFFFFFFF"/>
        <bgColor indexed="8"/>
      </patternFill>
    </fill>
    <fill>
      <patternFill patternType="solid">
        <fgColor theme="0" tint="-0.0499893185216834"/>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
        <bgColor indexed="64"/>
      </patternFill>
    </fill>
    <fill>
      <patternFill patternType="solid">
        <fgColor rgb="FFFFFFCC"/>
        <bgColor indexed="64"/>
      </patternFill>
    </fill>
    <fill>
      <patternFill patternType="solid">
        <fgColor theme="6" tint="0.7999816888943144"/>
        <bgColor indexed="64"/>
      </patternFill>
    </fill>
    <fill>
      <patternFill patternType="solid">
        <fgColor rgb="FFE7E6E6"/>
        <bgColor indexed="64"/>
      </patternFill>
    </fill>
    <fill>
      <patternFill patternType="solid">
        <fgColor theme="7" tint="0.5999938962981048"/>
        <bgColor indexed="64"/>
      </patternFill>
    </fill>
    <fill>
      <patternFill patternType="solid">
        <fgColor rgb="FFD7EEF1"/>
        <bgColor indexed="64"/>
      </patternFill>
    </fill>
    <fill>
      <patternFill patternType="solid">
        <fgColor theme="7" tint="0.7999816888943144"/>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0.09997863704336681"/>
        <bgColor indexed="64"/>
      </patternFill>
    </fill>
    <fill>
      <patternFill patternType="solid">
        <fgColor rgb="FF7030A0"/>
        <bgColor indexed="64"/>
      </patternFill>
    </fill>
    <fill>
      <patternFill patternType="solid">
        <fgColor theme="8" tint="0.7999816888943144"/>
        <bgColor indexed="64"/>
      </patternFill>
    </fill>
    <fill>
      <patternFill patternType="solid">
        <fgColor theme="9" tint="0.7999816888943144"/>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0.0499893185216834"/>
        <bgColor indexed="64"/>
      </patternFill>
    </fill>
    <fill>
      <patternFill patternType="solid">
        <fgColor theme="7"/>
        <bgColor indexed="64"/>
      </patternFill>
    </fill>
    <fill>
      <patternFill patternType="solid">
        <fgColor rgb="FF92A4FC"/>
        <bgColor indexed="64"/>
      </patternFill>
    </fill>
    <fill>
      <patternFill patternType="solid">
        <fgColor theme="0" tint="-0.3499862666707358"/>
        <bgColor indexed="64"/>
      </patternFill>
    </fill>
    <fill>
      <patternFill patternType="solid">
        <fgColor rgb="FFFF0000"/>
        <bgColor indexed="64"/>
      </patternFill>
    </fill>
  </fills>
  <borders count="1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
      </bottom>
      <diagonal/>
    </border>
    <border>
      <left/>
      <right/>
      <top/>
      <bottom style="thin">
        <color theme="1" tint="0.1499679555650502"/>
      </bottom>
      <diagonal/>
    </border>
    <border>
      <left/>
      <right/>
      <top style="thin">
        <color theme="1" tint="0.1499679555650502"/>
      </top>
      <bottom/>
      <diagonal/>
    </border>
    <border>
      <left/>
      <right/>
      <top/>
      <bottom style="thin">
        <color theme="1" tint="0.1499374370555742"/>
      </bottom>
      <diagonal/>
    </border>
    <border>
      <left/>
      <right/>
      <top style="thin">
        <color theme="1" tint="0.1499374370555742"/>
      </top>
      <bottom/>
      <diagonal/>
    </border>
    <border>
      <left/>
      <right/>
      <top style="thin">
        <color theme="1" tint="0.1499679555650502"/>
      </top>
      <bottom style="thin">
        <color theme="1" tint="0.1499679555650502"/>
      </bottom>
      <diagonal/>
    </border>
    <border>
      <left style="hair">
        <color theme="1" tint="0.1499374370555742"/>
      </left>
      <right style="hair">
        <color theme="1" tint="0.1499374370555742"/>
      </right>
      <top style="hair">
        <color theme="1" tint="0.1499374370555742"/>
      </top>
      <bottom style="hair">
        <color theme="1" tint="0.1499374370555742"/>
      </bottom>
      <diagonal/>
    </border>
    <border>
      <left style="thin">
        <color theme="1" tint="0.1499679555650502"/>
      </left>
      <right/>
      <top style="thin">
        <color theme="1" tint="0.1499679555650502"/>
      </top>
      <bottom/>
      <diagonal/>
    </border>
    <border>
      <left style="thin">
        <color theme="1" tint="0.1499679555650502"/>
      </left>
      <right/>
      <top/>
      <bottom/>
      <diagonal/>
    </border>
    <border>
      <left style="thin">
        <color theme="1" tint="0.1499679555650502"/>
      </left>
      <right/>
      <top/>
      <bottom style="thin">
        <color theme="1" tint="0.1499679555650502"/>
      </bottom>
      <diagonal/>
    </border>
    <border>
      <left style="thin">
        <color theme="1" tint="0.1499374370555742"/>
      </left>
      <right/>
      <top style="thin">
        <color theme="1" tint="0.1499679555650502"/>
      </top>
      <bottom/>
      <diagonal/>
    </border>
    <border>
      <left style="thin">
        <color theme="1" tint="0.1499374370555742"/>
      </left>
      <right/>
      <top/>
      <bottom/>
      <diagonal/>
    </border>
    <border>
      <left style="thin">
        <color theme="1" tint="0.1499374370555742"/>
      </left>
      <right/>
      <top/>
      <bottom style="thin">
        <color theme="1" tint="0.149967955565050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
      </bottom>
      <diagonal/>
    </border>
    <border>
      <left style="dotted">
        <color theme="1" tint="0.1499374370555742"/>
      </left>
      <right style="dotted">
        <color theme="1" tint="0.1499374370555742"/>
      </right>
      <top style="dotted">
        <color theme="1" tint="0.1499069185460982"/>
      </top>
      <bottom style="dotted">
        <color theme="1" tint="0.1499069185460982"/>
      </bottom>
      <diagonal/>
    </border>
    <border>
      <left style="dotted">
        <color theme="1" tint="0.1499374370555742"/>
      </left>
      <right style="dotted">
        <color theme="1" tint="0.1499374370555742"/>
      </right>
      <top style="dotted">
        <color theme="1" tint="0.1499069185460982"/>
      </top>
      <bottom style="thin">
        <color theme="1" tint="0.149906918546098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right/>
      <top/>
      <bottom style="thin">
        <color indexed="64"/>
      </bottom>
      <diagonal/>
    </border>
    <border>
      <left/>
      <right/>
      <top/>
      <bottom style="thick">
        <color theme="3" tint="0.5999938962981048"/>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
      </left>
      <right/>
      <top style="hair">
        <color theme="1" tint="0.1499374370555742"/>
      </top>
      <bottom style="hair">
        <color theme="1" tint="0.1499374370555742"/>
      </bottom>
      <diagonal/>
    </border>
    <border>
      <left/>
      <right/>
      <top/>
      <bottom style="thick">
        <color theme="3" tint="0.7999816888943144"/>
      </bottom>
      <diagonal/>
    </border>
    <border>
      <left/>
      <right style="thin">
        <color indexed="64"/>
      </right>
      <top style="thin">
        <color theme="1" tint="0.1499679555650502"/>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0.0499893185216834"/>
      </left>
      <right style="thin">
        <color theme="1" tint="0.0499893185216834"/>
      </right>
      <top style="thin">
        <color theme="1" tint="0.0499893185216834"/>
      </top>
      <bottom style="thin">
        <color theme="1" tint="0.0499893185216834"/>
      </bottom>
      <diagonal/>
    </border>
    <border>
      <left style="thin">
        <color theme="1" tint="0.0499893185216834"/>
      </left>
      <right/>
      <top style="thin">
        <color theme="1" tint="0.0499893185216834"/>
      </top>
      <bottom/>
      <diagonal/>
    </border>
    <border>
      <left/>
      <right/>
      <top style="thin">
        <color theme="1" tint="0.0499893185216834"/>
      </top>
      <bottom/>
      <diagonal/>
    </border>
    <border>
      <left/>
      <right style="thin">
        <color theme="1" tint="0.0499893185216834"/>
      </right>
      <top style="thin">
        <color theme="1" tint="0.0499893185216834"/>
      </top>
      <bottom/>
      <diagonal/>
    </border>
    <border>
      <left style="thin">
        <color theme="1" tint="0.0499893185216834"/>
      </left>
      <right/>
      <top/>
      <bottom/>
      <diagonal/>
    </border>
    <border>
      <left/>
      <right style="thin">
        <color theme="1" tint="0.0499893185216834"/>
      </right>
      <top/>
      <bottom/>
      <diagonal/>
    </border>
    <border>
      <left style="thin">
        <color theme="1" tint="0.0499893185216834"/>
      </left>
      <right/>
      <top/>
      <bottom style="thin">
        <color theme="1" tint="0.1499679555650502"/>
      </bottom>
      <diagonal/>
    </border>
    <border>
      <left/>
      <right style="thin">
        <color theme="1" tint="0.0499893185216834"/>
      </right>
      <top/>
      <bottom style="thin">
        <color theme="1" tint="0.1499679555650502"/>
      </bottom>
      <diagonal/>
    </border>
    <border>
      <left style="thin">
        <color theme="1" tint="0.0499893185216834"/>
      </left>
      <right/>
      <top/>
      <bottom style="thin">
        <color theme="1" tint="0.0499893185216834"/>
      </bottom>
      <diagonal/>
    </border>
    <border>
      <left/>
      <right/>
      <top/>
      <bottom style="thin">
        <color theme="1" tint="0.0499893185216834"/>
      </bottom>
      <diagonal/>
    </border>
    <border>
      <left/>
      <right style="thin">
        <color theme="1" tint="0.0499893185216834"/>
      </right>
      <top/>
      <bottom style="thin">
        <color theme="1" tint="0.0499893185216834"/>
      </bottom>
      <diagonal/>
    </border>
    <border>
      <left style="thin">
        <color theme="1" tint="0.0499893185216834"/>
      </left>
      <right style="thin">
        <color theme="1" tint="0.0499893185216834"/>
      </right>
      <top/>
      <bottom style="thin">
        <color theme="1" tint="0.0499893185216834"/>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0.0499893185216834"/>
      </top>
      <bottom/>
      <diagonal/>
    </border>
    <border>
      <left/>
      <right style="thin">
        <color indexed="64"/>
      </right>
      <top style="thin">
        <color theme="1" tint="0.0499893185216834"/>
      </top>
      <bottom/>
      <diagonal/>
    </border>
    <border>
      <left style="thin">
        <color theme="0" tint="-0.1499984740745262"/>
      </left>
      <right/>
      <top style="thin">
        <color theme="0" tint="-0.1499984740745262"/>
      </top>
      <bottom/>
      <diagonal/>
    </border>
    <border>
      <left/>
      <right/>
      <top style="thin">
        <color theme="0" tint="-0.1499984740745262"/>
      </top>
      <bottom/>
      <diagonal/>
    </border>
    <border>
      <left/>
      <right style="thin">
        <color theme="0" tint="-0.1499984740745262"/>
      </right>
      <top style="thin">
        <color theme="0" tint="-0.1499984740745262"/>
      </top>
      <bottom/>
      <diagonal/>
    </border>
    <border>
      <left style="thin">
        <color theme="0" tint="-0.1499984740745262"/>
      </left>
      <right/>
      <top/>
      <bottom/>
      <diagonal/>
    </border>
    <border>
      <left/>
      <right style="thin">
        <color theme="0" tint="-0.1499984740745262"/>
      </right>
      <top/>
      <bottom/>
      <diagonal/>
    </border>
    <border>
      <left style="thin">
        <color theme="0" tint="-0.1499984740745262"/>
      </left>
      <right/>
      <top/>
      <bottom style="thin">
        <color theme="0" tint="-0.1499984740745262"/>
      </bottom>
      <diagonal/>
    </border>
    <border>
      <left/>
      <right/>
      <top/>
      <bottom style="thin">
        <color theme="0" tint="-0.1499984740745262"/>
      </bottom>
      <diagonal/>
    </border>
    <border>
      <left/>
      <right style="thin">
        <color theme="0" tint="-0.1499984740745262"/>
      </right>
      <top/>
      <bottom style="thin">
        <color theme="0" tint="-0.1499984740745262"/>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
      </top>
      <bottom style="thin">
        <color indexed="64"/>
      </bottom>
      <diagonal/>
    </border>
    <border>
      <left/>
      <right/>
      <top style="thin">
        <color theme="0" tint="-0.1499984740745262"/>
      </top>
      <bottom style="thin">
        <color indexed="64"/>
      </bottom>
      <diagonal/>
    </border>
    <border>
      <left/>
      <right style="thin">
        <color indexed="64"/>
      </right>
      <top style="thin">
        <color theme="0" tint="-0.1499984740745262"/>
      </top>
      <bottom style="thin">
        <color indexed="64"/>
      </bottom>
      <diagonal/>
    </border>
    <border>
      <left/>
      <right style="thin">
        <color theme="0" tint="-0.1499984740745262"/>
      </right>
      <top style="thin">
        <color theme="0" tint="-0.1499984740745262"/>
      </top>
      <bottom style="thin">
        <color indexed="64"/>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s>
  <cellStyleXfs count="151">
    <xf numFmtId="0" fontId="0" fillId="0" borderId="0"/>
    <xf numFmtId="0" fontId="26" fillId="2" borderId="0"/>
    <xf numFmtId="0" fontId="26" fillId="3" borderId="0"/>
    <xf numFmtId="0" fontId="26" fillId="4" borderId="0"/>
    <xf numFmtId="0" fontId="26" fillId="5" borderId="0"/>
    <xf numFmtId="0" fontId="26" fillId="6" borderId="0"/>
    <xf numFmtId="0" fontId="26" fillId="4" borderId="0"/>
    <xf numFmtId="0" fontId="26" fillId="6" borderId="0"/>
    <xf numFmtId="0" fontId="26" fillId="3" borderId="0"/>
    <xf numFmtId="0" fontId="26" fillId="7" borderId="0"/>
    <xf numFmtId="0" fontId="26" fillId="8" borderId="0"/>
    <xf numFmtId="0" fontId="26" fillId="6" borderId="0"/>
    <xf numFmtId="0" fontId="26" fillId="4" borderId="0"/>
    <xf numFmtId="0" fontId="27" fillId="6" borderId="0"/>
    <xf numFmtId="0" fontId="27" fillId="9" borderId="0"/>
    <xf numFmtId="0" fontId="27" fillId="10" borderId="0"/>
    <xf numFmtId="0" fontId="27" fillId="8" borderId="0"/>
    <xf numFmtId="0" fontId="27" fillId="6" borderId="0"/>
    <xf numFmtId="0" fontId="27" fillId="3" borderId="0"/>
    <xf numFmtId="0" fontId="27" fillId="11" borderId="0"/>
    <xf numFmtId="0" fontId="27" fillId="9" borderId="0"/>
    <xf numFmtId="0" fontId="27" fillId="10" borderId="0"/>
    <xf numFmtId="0" fontId="27" fillId="12" borderId="0"/>
    <xf numFmtId="0" fontId="27" fillId="13" borderId="0"/>
    <xf numFmtId="0" fontId="27" fillId="14" borderId="0"/>
    <xf numFmtId="0" fontId="28" fillId="15" borderId="0"/>
    <xf numFmtId="0" fontId="29" fillId="16" borderId="1"/>
    <xf numFmtId="0" fontId="30" fillId="17" borderId="2"/>
    <xf numFmtId="43" fontId="17" fillId="0" borderId="0"/>
    <xf numFmtId="166" fontId="17" fillId="0" borderId="0"/>
    <xf numFmtId="42" fontId="17" fillId="0" borderId="0"/>
    <xf numFmtId="0" fontId="31" fillId="0" borderId="0"/>
    <xf numFmtId="0" fontId="32" fillId="6" borderId="0"/>
    <xf numFmtId="0" fontId="33" fillId="0" borderId="3"/>
    <xf numFmtId="0" fontId="34" fillId="0" borderId="4"/>
    <xf numFmtId="0" fontId="35" fillId="0" borderId="5"/>
    <xf numFmtId="0" fontId="35" fillId="0" borderId="0"/>
    <xf numFmtId="38" fontId="20" fillId="0" borderId="0" applyProtection="1">
      <protection locked="0" hidden="0"/>
    </xf>
    <xf numFmtId="0" fontId="36" fillId="0" borderId="6"/>
    <xf numFmtId="0" fontId="37" fillId="7" borderId="0"/>
    <xf numFmtId="0" fontId="38" fillId="4" borderId="7"/>
    <xf numFmtId="0" fontId="39" fillId="16" borderId="8"/>
    <xf numFmtId="9" fontId="17" fillId="0" borderId="0"/>
    <xf numFmtId="0" fontId="40" fillId="0" borderId="0"/>
    <xf numFmtId="0" fontId="41" fillId="0" borderId="9"/>
    <xf numFmtId="0" fontId="36" fillId="0" borderId="0"/>
    <xf numFmtId="0" fontId="42" fillId="0" borderId="0" applyAlignment="1">
      <alignment horizontal="centerContinuous"/>
    </xf>
    <xf numFmtId="0" fontId="17" fillId="18" borderId="0"/>
    <xf numFmtId="41" fontId="23" fillId="0" borderId="0" applyAlignment="1">
      <alignment horizontal="right"/>
    </xf>
    <xf numFmtId="0" fontId="17" fillId="0" borderId="0"/>
    <xf numFmtId="0" fontId="43" fillId="0" borderId="0" applyAlignment="1">
      <alignment vertical="center"/>
    </xf>
    <xf numFmtId="0" fontId="44" fillId="0" borderId="10" applyAlignment="1">
      <alignment vertical="center"/>
    </xf>
    <xf numFmtId="42" fontId="17" fillId="0" borderId="0" applyAlignment="1">
      <alignment horizontal="right"/>
    </xf>
    <xf numFmtId="165" fontId="23" fillId="0" borderId="0" applyAlignment="1">
      <alignment horizontal="right"/>
    </xf>
    <xf numFmtId="177" fontId="22" fillId="0" borderId="0" applyAlignment="1">
      <alignment horizontal="right"/>
    </xf>
    <xf numFmtId="191" fontId="17" fillId="0" borderId="0"/>
    <xf numFmtId="0" fontId="25" fillId="0" borderId="0"/>
    <xf numFmtId="0" fontId="24" fillId="0" borderId="0"/>
    <xf numFmtId="182" fontId="17" fillId="0" borderId="0"/>
    <xf numFmtId="186" fontId="23" fillId="0" borderId="0" applyAlignment="1">
      <alignment horizontal="right"/>
    </xf>
    <xf numFmtId="41" fontId="45" fillId="0" borderId="0"/>
    <xf numFmtId="195" fontId="23" fillId="0" borderId="0" applyAlignment="1">
      <alignment horizontal="right"/>
    </xf>
    <xf numFmtId="0" fontId="47" fillId="0" borderId="0" applyAlignment="1" applyProtection="1">
      <alignment vertical="top"/>
      <protection locked="0" hidden="0"/>
    </xf>
    <xf numFmtId="0" fontId="48" fillId="0" borderId="0" applyAlignment="1" applyProtection="1">
      <alignment vertical="top"/>
      <protection locked="0" hidden="0"/>
    </xf>
    <xf numFmtId="0" fontId="49" fillId="0" borderId="0"/>
    <xf numFmtId="42" fontId="17" fillId="0" borderId="0"/>
    <xf numFmtId="178" fontId="25" fillId="0" borderId="0"/>
    <xf numFmtId="0" fontId="45" fillId="0" borderId="0"/>
    <xf numFmtId="9" fontId="21" fillId="0" borderId="0"/>
    <xf numFmtId="9" fontId="15" fillId="0" borderId="0"/>
    <xf numFmtId="0" fontId="15" fillId="0" borderId="0"/>
    <xf numFmtId="9" fontId="17" fillId="0" borderId="0"/>
    <xf numFmtId="0" fontId="45" fillId="0" borderId="0"/>
    <xf numFmtId="0" fontId="46" fillId="0" borderId="0"/>
    <xf numFmtId="0" fontId="54" fillId="0" borderId="0"/>
    <xf numFmtId="177" fontId="46" fillId="0" borderId="0"/>
    <xf numFmtId="0" fontId="56" fillId="0" borderId="0"/>
    <xf numFmtId="9" fontId="46" fillId="0" borderId="0"/>
    <xf numFmtId="0" fontId="46" fillId="0" borderId="0"/>
    <xf numFmtId="42" fontId="46" fillId="0" borderId="0"/>
    <xf numFmtId="177" fontId="46" fillId="0" borderId="0"/>
    <xf numFmtId="0" fontId="17" fillId="0" borderId="0"/>
    <xf numFmtId="0" fontId="46" fillId="0" borderId="0"/>
    <xf numFmtId="0" fontId="46" fillId="0" borderId="0"/>
    <xf numFmtId="0" fontId="76" fillId="0" borderId="0"/>
    <xf numFmtId="9" fontId="76" fillId="0" borderId="0"/>
    <xf numFmtId="0" fontId="46" fillId="0" borderId="0"/>
    <xf numFmtId="0" fontId="15"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180" fontId="46" fillId="0" borderId="0"/>
    <xf numFmtId="9" fontId="46" fillId="0" borderId="0"/>
    <xf numFmtId="0" fontId="46" fillId="0" borderId="0"/>
    <xf numFmtId="196" fontId="54" fillId="0" borderId="0" applyAlignment="1">
      <alignment vertical="top"/>
    </xf>
    <xf numFmtId="197" fontId="78" fillId="0" borderId="0"/>
    <xf numFmtId="198" fontId="77" fillId="0" borderId="0"/>
    <xf numFmtId="180" fontId="46" fillId="0" borderId="0"/>
    <xf numFmtId="180" fontId="46" fillId="0" borderId="0"/>
    <xf numFmtId="180" fontId="46" fillId="0" borderId="0"/>
    <xf numFmtId="0" fontId="17" fillId="0" borderId="0"/>
    <xf numFmtId="186" fontId="46" fillId="0" borderId="0"/>
    <xf numFmtId="0" fontId="79" fillId="0" borderId="0"/>
    <xf numFmtId="180" fontId="46" fillId="0" borderId="0"/>
    <xf numFmtId="9" fontId="46" fillId="0" borderId="0"/>
    <xf numFmtId="0" fontId="46" fillId="0" borderId="0"/>
    <xf numFmtId="180" fontId="46" fillId="0" borderId="0"/>
    <xf numFmtId="17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0" fontId="55" fillId="0" borderId="0"/>
    <xf numFmtId="180" fontId="17" fillId="0" borderId="0"/>
    <xf numFmtId="180" fontId="46" fillId="0" borderId="0"/>
    <xf numFmtId="18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180" fontId="17" fillId="0" borderId="0"/>
    <xf numFmtId="0" fontId="46" fillId="0" borderId="0"/>
    <xf numFmtId="9" fontId="46" fillId="0" borderId="0"/>
    <xf numFmtId="0" fontId="46" fillId="0" borderId="0"/>
    <xf numFmtId="0" fontId="46" fillId="0" borderId="0"/>
    <xf numFmtId="180" fontId="46" fillId="0" borderId="0"/>
    <xf numFmtId="0" fontId="46" fillId="0" borderId="0"/>
    <xf numFmtId="180" fontId="46" fillId="0" borderId="0"/>
    <xf numFmtId="9" fontId="46" fillId="0" borderId="0"/>
  </cellStyleXfs>
  <cellXfs count="2536">
    <xf numFmtId="0" fontId="0" fillId="0" borderId="0" pivotButton="0" quotePrefix="0" xfId="0"/>
    <xf numFmtId="0" fontId="16" fillId="0" borderId="0" pivotButton="0" quotePrefix="0" xfId="0"/>
    <xf numFmtId="0" fontId="16" fillId="0" borderId="0" pivotButton="0" quotePrefix="0" xfId="49"/>
    <xf numFmtId="37" fontId="16" fillId="0" borderId="0" applyAlignment="1" pivotButton="0" quotePrefix="0" xfId="49">
      <alignment horizontal="center"/>
    </xf>
    <xf numFmtId="0" fontId="57" fillId="0" borderId="0" pivotButton="0" quotePrefix="0" xfId="49"/>
    <xf numFmtId="0" fontId="58" fillId="0" borderId="0" applyAlignment="1" pivotButton="0" quotePrefix="0" xfId="51">
      <alignment horizontal="right" vertical="center"/>
    </xf>
    <xf numFmtId="0" fontId="60" fillId="0" borderId="0" pivotButton="0" quotePrefix="0" xfId="49"/>
    <xf numFmtId="0" fontId="59" fillId="0" borderId="0" applyAlignment="1" pivotButton="0" quotePrefix="0" xfId="50">
      <alignment horizontal="right" vertical="center"/>
    </xf>
    <xf numFmtId="0" fontId="59" fillId="0" borderId="30" applyAlignment="1" pivotButton="0" quotePrefix="0" xfId="50">
      <alignment horizontal="right" vertical="center"/>
    </xf>
    <xf numFmtId="0" fontId="61" fillId="0" borderId="0" applyAlignment="1" pivotButton="0" quotePrefix="0" xfId="50">
      <alignment vertical="center"/>
    </xf>
    <xf numFmtId="0" fontId="62" fillId="21" borderId="13" applyAlignment="1" pivotButton="0" quotePrefix="0" xfId="50">
      <alignment horizontal="right" vertical="center"/>
    </xf>
    <xf numFmtId="0" fontId="62" fillId="21" borderId="15" applyAlignment="1" pivotButton="0" quotePrefix="0" xfId="50">
      <alignment horizontal="right" vertical="center"/>
    </xf>
    <xf numFmtId="0" fontId="63" fillId="0" borderId="0" pivotButton="0" quotePrefix="0" xfId="49"/>
    <xf numFmtId="0" fontId="64" fillId="0" borderId="0" pivotButton="0" quotePrefix="0" xfId="49"/>
    <xf numFmtId="0" fontId="64" fillId="0" borderId="0" applyAlignment="1" pivotButton="0" quotePrefix="0" xfId="49">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21"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0" fontId="72" fillId="0" borderId="0" pivotButton="0" quotePrefix="0" xfId="49"/>
    <xf numFmtId="164" fontId="73" fillId="21" borderId="30" applyAlignment="1" pivotButton="0" quotePrefix="0" xfId="112">
      <alignment horizontal="left" vertical="center"/>
    </xf>
    <xf numFmtId="0" fontId="66" fillId="0" borderId="30" applyAlignment="1" pivotButton="0" quotePrefix="0" xfId="50">
      <alignment vertical="center"/>
    </xf>
    <xf numFmtId="0" fontId="74" fillId="0" borderId="30" applyAlignment="1" pivotButton="0" quotePrefix="0" xfId="50">
      <alignment vertical="center"/>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0" fontId="75" fillId="0" borderId="0" applyAlignment="1" pivotButton="0" quotePrefix="0" xfId="51">
      <alignment vertical="center"/>
    </xf>
    <xf numFmtId="0" fontId="75" fillId="0" borderId="30" applyAlignment="1" pivotButton="0" quotePrefix="0" xfId="50">
      <alignment vertical="center"/>
    </xf>
    <xf numFmtId="0" fontId="75" fillId="0" borderId="0" applyAlignment="1" pivotButton="0" quotePrefix="0" xfId="50">
      <alignment vertical="center"/>
    </xf>
    <xf numFmtId="0" fontId="58" fillId="24" borderId="0" applyAlignment="1" pivotButton="0" quotePrefix="0" xfId="144">
      <alignment horizontal="left" vertical="center"/>
    </xf>
    <xf numFmtId="0" fontId="59" fillId="24" borderId="0" applyAlignment="1" pivotButton="0" quotePrefix="0" xfId="144">
      <alignment horizontal="left" vertical="center"/>
    </xf>
    <xf numFmtId="0" fontId="59" fillId="24" borderId="30" applyAlignment="1" pivotButton="0" quotePrefix="0" xfId="144">
      <alignment horizontal="left" vertical="center"/>
    </xf>
    <xf numFmtId="0" fontId="58" fillId="24" borderId="0" applyAlignment="1" pivotButton="0" quotePrefix="0" xfId="144">
      <alignment horizontal="left"/>
    </xf>
    <xf numFmtId="0" fontId="65" fillId="25" borderId="28" applyAlignment="1" pivotButton="0" quotePrefix="0" xfId="144">
      <alignment horizontal="left" wrapText="1"/>
    </xf>
    <xf numFmtId="166" fontId="66" fillId="23" borderId="30" applyAlignment="1" pivotButton="0" quotePrefix="0" xfId="96">
      <alignment horizontal="right"/>
    </xf>
    <xf numFmtId="164" fontId="69" fillId="21" borderId="0" applyAlignment="1" pivotButton="0" quotePrefix="0" xfId="50">
      <alignment horizontal="right" vertical="center"/>
    </xf>
    <xf numFmtId="165" fontId="69" fillId="0" borderId="0" applyAlignment="1" pivotButton="0" quotePrefix="0" xfId="53">
      <alignment horizontal="right"/>
    </xf>
    <xf numFmtId="9" fontId="69" fillId="21" borderId="0" applyAlignment="1" pivotButton="0" quotePrefix="0" xfId="143">
      <alignment horizontal="right" vertical="center"/>
    </xf>
    <xf numFmtId="164" fontId="69" fillId="32" borderId="0" applyAlignment="1" pivotButton="0" quotePrefix="0" xfId="112">
      <alignment horizontal="right" vertical="center"/>
    </xf>
    <xf numFmtId="164" fontId="71" fillId="32" borderId="0" applyAlignment="1" pivotButton="0" quotePrefix="0" xfId="112">
      <alignment horizontal="right" vertical="center"/>
    </xf>
    <xf numFmtId="0" fontId="80" fillId="0" borderId="0" pivotButton="0" quotePrefix="0" xfId="117"/>
    <xf numFmtId="0" fontId="81" fillId="0" borderId="0" applyAlignment="1" pivotButton="0" quotePrefix="0" xfId="118">
      <alignment horizontal="left"/>
    </xf>
    <xf numFmtId="0" fontId="80" fillId="0" borderId="97" pivotButton="0" quotePrefix="0" xfId="117"/>
    <xf numFmtId="0" fontId="82" fillId="0" borderId="0" pivotButton="0" quotePrefix="0" xfId="117"/>
    <xf numFmtId="0" fontId="83" fillId="40" borderId="0" applyAlignment="1" pivotButton="0" quotePrefix="0" xfId="117">
      <alignment horizontal="center"/>
    </xf>
    <xf numFmtId="167" fontId="84" fillId="20" borderId="56" applyAlignment="1" applyProtection="1" pivotButton="0" quotePrefix="0" xfId="119">
      <alignment horizontal="center" vertical="center"/>
      <protection locked="0" hidden="0"/>
    </xf>
    <xf numFmtId="9" fontId="84" fillId="0" borderId="0" applyAlignment="1" applyProtection="1" pivotButton="0" quotePrefix="0" xfId="120">
      <alignment horizontal="center" vertical="center"/>
      <protection locked="0" hidden="0"/>
    </xf>
    <xf numFmtId="0" fontId="80" fillId="0" borderId="0" applyAlignment="1" pivotButton="0" quotePrefix="0" xfId="117">
      <alignment horizontal="center"/>
    </xf>
    <xf numFmtId="0" fontId="80" fillId="39" borderId="0" pivotButton="0" quotePrefix="0" xfId="117"/>
    <xf numFmtId="0" fontId="80" fillId="28" borderId="0" applyAlignment="1" pivotButton="0" quotePrefix="0" xfId="117">
      <alignment horizontal="center"/>
    </xf>
    <xf numFmtId="168" fontId="80" fillId="23" borderId="0" pivotButton="0" quotePrefix="0" xfId="100"/>
    <xf numFmtId="0" fontId="80" fillId="23" borderId="0" applyAlignment="1" pivotButton="0" quotePrefix="0" xfId="117">
      <alignment horizontal="center"/>
    </xf>
    <xf numFmtId="0" fontId="85" fillId="0" borderId="0" pivotButton="0" quotePrefix="0" xfId="117"/>
    <xf numFmtId="0" fontId="86" fillId="0" borderId="0" pivotButton="0" quotePrefix="0" xfId="0"/>
    <xf numFmtId="0" fontId="87" fillId="0" borderId="0" pivotButton="0" quotePrefix="0" xfId="0"/>
    <xf numFmtId="0" fontId="88" fillId="0" borderId="0" pivotButton="0" quotePrefix="0" xfId="0"/>
    <xf numFmtId="0" fontId="89" fillId="0" borderId="0" pivotButton="0" quotePrefix="0" xfId="0"/>
    <xf numFmtId="0" fontId="87" fillId="0" borderId="96" pivotButton="0" quotePrefix="0" xfId="0"/>
    <xf numFmtId="0" fontId="90" fillId="37" borderId="0" applyAlignment="1" pivotButton="0" quotePrefix="0" xfId="0">
      <alignment horizontal="left"/>
    </xf>
    <xf numFmtId="0" fontId="87" fillId="37" borderId="0" pivotButton="0" quotePrefix="0" xfId="0"/>
    <xf numFmtId="0" fontId="83" fillId="37" borderId="0" applyAlignment="1" pivotButton="0" quotePrefix="0" xfId="0">
      <alignment horizontal="right"/>
    </xf>
    <xf numFmtId="0" fontId="83" fillId="37" borderId="0" applyAlignment="1" pivotButton="0" quotePrefix="0" xfId="0">
      <alignment horizontal="right" wrapText="1"/>
    </xf>
    <xf numFmtId="0" fontId="91" fillId="0" borderId="0" pivotButton="0" quotePrefix="0" xfId="0"/>
    <xf numFmtId="0" fontId="87" fillId="19" borderId="0" applyProtection="1" pivotButton="0" quotePrefix="0" xfId="49">
      <protection locked="0" hidden="0"/>
    </xf>
    <xf numFmtId="0" fontId="87" fillId="0" borderId="0" applyProtection="1" pivotButton="0" quotePrefix="0" xfId="49">
      <protection locked="0" hidden="0"/>
    </xf>
    <xf numFmtId="0" fontId="87" fillId="19" borderId="0" pivotButton="0" quotePrefix="0" xfId="49"/>
    <xf numFmtId="0" fontId="93" fillId="19" borderId="0" pivotButton="0" quotePrefix="0" xfId="49"/>
    <xf numFmtId="0" fontId="93" fillId="0" borderId="0" pivotButton="0" quotePrefix="0" xfId="0"/>
    <xf numFmtId="0" fontId="94" fillId="19" borderId="0" pivotButton="0" quotePrefix="0" xfId="49"/>
    <xf numFmtId="169" fontId="87" fillId="19" borderId="0" pivotButton="0" quotePrefix="0" xfId="105"/>
    <xf numFmtId="0" fontId="94" fillId="19" borderId="0" applyProtection="1" pivotButton="0" quotePrefix="0" xfId="49">
      <protection locked="0" hidden="0"/>
    </xf>
    <xf numFmtId="0" fontId="95" fillId="0" borderId="0" pivotButton="0" quotePrefix="0" xfId="0"/>
    <xf numFmtId="0" fontId="87" fillId="19" borderId="0" applyAlignment="1" applyProtection="1" pivotButton="0" quotePrefix="0" xfId="49">
      <alignment horizontal="right"/>
      <protection locked="0" hidden="0"/>
    </xf>
    <xf numFmtId="0" fontId="94" fillId="0" borderId="0" pivotButton="0" quotePrefix="0" xfId="0"/>
    <xf numFmtId="0" fontId="95" fillId="0" borderId="0" applyAlignment="1" pivotButton="0" quotePrefix="0" xfId="0">
      <alignment horizontal="right"/>
    </xf>
    <xf numFmtId="0" fontId="94" fillId="22" borderId="0" pivotButton="0" quotePrefix="0" xfId="0"/>
    <xf numFmtId="0" fontId="80" fillId="19" borderId="0" applyAlignment="1" pivotButton="0" quotePrefix="0" xfId="0">
      <alignment horizontal="left"/>
    </xf>
    <xf numFmtId="9" fontId="87" fillId="0" borderId="0" applyAlignment="1" pivotButton="0" quotePrefix="0" xfId="0">
      <alignment horizontal="center"/>
    </xf>
    <xf numFmtId="170" fontId="87" fillId="26" borderId="0" applyProtection="1" pivotButton="0" quotePrefix="1" xfId="49">
      <protection locked="0" hidden="0"/>
    </xf>
    <xf numFmtId="170" fontId="87" fillId="26" borderId="0" applyProtection="1" pivotButton="0" quotePrefix="0" xfId="49">
      <protection locked="0" hidden="0"/>
    </xf>
    <xf numFmtId="15" fontId="87" fillId="26" borderId="0" pivotButton="0" quotePrefix="0" xfId="0"/>
    <xf numFmtId="0" fontId="96" fillId="0" borderId="0" pivotButton="0" quotePrefix="0" xfId="0"/>
    <xf numFmtId="171" fontId="87" fillId="26" borderId="0" applyProtection="1" pivotButton="0" quotePrefix="1" xfId="105">
      <protection locked="0" hidden="0"/>
    </xf>
    <xf numFmtId="169" fontId="87" fillId="19" borderId="0" applyProtection="1" pivotButton="0" quotePrefix="0" xfId="105">
      <protection locked="0" hidden="0"/>
    </xf>
    <xf numFmtId="0" fontId="90" fillId="40" borderId="0" applyAlignment="1" pivotButton="0" quotePrefix="0" xfId="0">
      <alignment horizontal="left"/>
    </xf>
    <xf numFmtId="0" fontId="83" fillId="40" borderId="0" applyAlignment="1" pivotButton="0" quotePrefix="0" xfId="0">
      <alignment horizontal="right"/>
    </xf>
    <xf numFmtId="166" fontId="83" fillId="40" borderId="30" pivotButton="0" quotePrefix="0" xfId="0"/>
    <xf numFmtId="166" fontId="83" fillId="40" borderId="30" applyAlignment="1" pivotButton="0" quotePrefix="0" xfId="0">
      <alignment horizontal="right"/>
    </xf>
    <xf numFmtId="166" fontId="83" fillId="40" borderId="0" pivotButton="0" quotePrefix="0" xfId="0"/>
    <xf numFmtId="0" fontId="97" fillId="0" borderId="0" pivotButton="0" quotePrefix="0" xfId="0"/>
    <xf numFmtId="0" fontId="98" fillId="0" borderId="96" pivotButton="0" quotePrefix="0" xfId="0"/>
    <xf numFmtId="0" fontId="91" fillId="0" borderId="96" pivotButton="0" quotePrefix="0" xfId="0"/>
    <xf numFmtId="0" fontId="99" fillId="0" borderId="0" pivotButton="0" quotePrefix="0" xfId="0"/>
    <xf numFmtId="0" fontId="87" fillId="0" borderId="57" pivotButton="0" quotePrefix="0" xfId="0"/>
    <xf numFmtId="0" fontId="93" fillId="0" borderId="57" applyAlignment="1" pivotButton="0" quotePrefix="0" xfId="0">
      <alignment horizontal="right"/>
    </xf>
    <xf numFmtId="0" fontId="98" fillId="0" borderId="57" applyAlignment="1" pivotButton="0" quotePrefix="0" xfId="0">
      <alignment horizontal="right"/>
    </xf>
    <xf numFmtId="0" fontId="87" fillId="0" borderId="0" applyAlignment="1" pivotButton="0" quotePrefix="0" xfId="0">
      <alignment horizontal="right"/>
    </xf>
    <xf numFmtId="41" fontId="87" fillId="0" borderId="0" applyAlignment="1" pivotButton="0" quotePrefix="0" xfId="105">
      <alignment horizontal="right"/>
    </xf>
    <xf numFmtId="41" fontId="87" fillId="0" borderId="0" applyAlignment="1" pivotButton="0" quotePrefix="0" xfId="0">
      <alignment horizontal="right"/>
    </xf>
    <xf numFmtId="0" fontId="87" fillId="22" borderId="0" applyAlignment="1" pivotButton="0" quotePrefix="0" xfId="0">
      <alignment horizontal="right"/>
    </xf>
    <xf numFmtId="0" fontId="80" fillId="19" borderId="0" pivotButton="0" quotePrefix="0" xfId="0"/>
    <xf numFmtId="172" fontId="80" fillId="19" borderId="0" pivotButton="0" quotePrefix="0" xfId="119"/>
    <xf numFmtId="9" fontId="80" fillId="19" borderId="0" applyAlignment="1" pivotButton="0" quotePrefix="0" xfId="120">
      <alignment horizontal="right"/>
    </xf>
    <xf numFmtId="172" fontId="80" fillId="0" borderId="0" applyAlignment="1" pivotButton="0" quotePrefix="0" xfId="0">
      <alignment horizontal="right"/>
    </xf>
    <xf numFmtId="0" fontId="83" fillId="37" borderId="53" pivotButton="0" quotePrefix="0" xfId="0"/>
    <xf numFmtId="0" fontId="83" fillId="37" borderId="54" pivotButton="0" quotePrefix="0" xfId="0"/>
    <xf numFmtId="0" fontId="83" fillId="37" borderId="54" applyAlignment="1" pivotButton="0" quotePrefix="0" xfId="0">
      <alignment horizontal="right"/>
    </xf>
    <xf numFmtId="0" fontId="83" fillId="37" borderId="52" applyAlignment="1" pivotButton="0" quotePrefix="0" xfId="0">
      <alignment horizontal="right"/>
    </xf>
    <xf numFmtId="0" fontId="80" fillId="19" borderId="55" pivotButton="0" quotePrefix="0" xfId="0"/>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0" fontId="80" fillId="19" borderId="49" pivotButton="0" quotePrefix="0" xfId="0"/>
    <xf numFmtId="0" fontId="80" fillId="19" borderId="57" pivotButton="0" quotePrefix="0" xfId="0"/>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0" fontId="98" fillId="0" borderId="0" applyAlignment="1" pivotButton="0" quotePrefix="0" xfId="0">
      <alignment horizontal="right"/>
    </xf>
    <xf numFmtId="0" fontId="100" fillId="0" borderId="0" pivotButton="0" quotePrefix="0" xfId="0"/>
    <xf numFmtId="164" fontId="97" fillId="0" borderId="88" applyAlignment="1" pivotButton="0" quotePrefix="0" xfId="112">
      <alignment horizontal="left"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0" fontId="87" fillId="0" borderId="92" pivotButton="0" quotePrefix="0" xfId="0"/>
    <xf numFmtId="41" fontId="87" fillId="0" borderId="93" applyAlignment="1" pivotButton="0" quotePrefix="0" xfId="105">
      <alignment horizontal="right"/>
    </xf>
    <xf numFmtId="41" fontId="87" fillId="0" borderId="94" applyAlignment="1" pivotButton="0" quotePrefix="0" xfId="105">
      <alignment horizontal="right"/>
    </xf>
    <xf numFmtId="0" fontId="87" fillId="0" borderId="88" pivotButton="0" quotePrefix="0" xfId="0"/>
    <xf numFmtId="41" fontId="87" fillId="0" borderId="0" pivotButton="0" quotePrefix="0" xfId="105"/>
    <xf numFmtId="41" fontId="87" fillId="0" borderId="0" applyAlignment="1" pivotButton="0" quotePrefix="0" xfId="105">
      <alignment horizontal="right"/>
    </xf>
    <xf numFmtId="41" fontId="87" fillId="0" borderId="89" applyAlignment="1" pivotButton="0" quotePrefix="0" xfId="105">
      <alignment horizontal="right"/>
    </xf>
    <xf numFmtId="9" fontId="101" fillId="35" borderId="0" applyAlignment="1" pivotButton="0" quotePrefix="0" xfId="175">
      <alignment horizontal="right" vertical="center"/>
    </xf>
    <xf numFmtId="9" fontId="87" fillId="0" borderId="0" applyAlignment="1" pivotButton="0" quotePrefix="0" xfId="98">
      <alignment horizontal="right"/>
    </xf>
    <xf numFmtId="9" fontId="87" fillId="0" borderId="89" applyAlignment="1" pivotButton="0" quotePrefix="0" xfId="98">
      <alignment horizontal="right"/>
    </xf>
    <xf numFmtId="164" fontId="80" fillId="0" borderId="90" applyAlignment="1" pivotButton="0" quotePrefix="0" xfId="112">
      <alignment horizontal="left" vertical="center"/>
    </xf>
    <xf numFmtId="164" fontId="102" fillId="0" borderId="92" applyAlignment="1" pivotButton="0" quotePrefix="0" xfId="112">
      <alignment horizontal="left"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0">
      <alignment horizontal="right"/>
    </xf>
    <xf numFmtId="165" fontId="80" fillId="0" borderId="89" applyAlignment="1" pivotButton="0" quotePrefix="0" xfId="53">
      <alignment horizontal="right"/>
    </xf>
    <xf numFmtId="9" fontId="80" fillId="0" borderId="0" applyAlignment="1" pivotButton="0" quotePrefix="0" xfId="175">
      <alignment horizontal="right" vertical="center"/>
    </xf>
    <xf numFmtId="9" fontId="80" fillId="0" borderId="89" applyAlignment="1" pivotButton="0" quotePrefix="0" xfId="175">
      <alignment horizontal="right" vertical="center"/>
    </xf>
    <xf numFmtId="0" fontId="83" fillId="37" borderId="86" applyAlignment="1" pivotButton="0" quotePrefix="0" xfId="0">
      <alignment horizontal="right"/>
    </xf>
    <xf numFmtId="0" fontId="83" fillId="37" borderId="87" applyAlignment="1" pivotButton="0" quotePrefix="0" xfId="0">
      <alignment horizontal="right"/>
    </xf>
    <xf numFmtId="164" fontId="87" fillId="0" borderId="0" applyAlignment="1" pivotButton="0" quotePrefix="0" xfId="0">
      <alignment horizontal="right"/>
    </xf>
    <xf numFmtId="0" fontId="83" fillId="37" borderId="85" pivotButton="0" quotePrefix="0" xfId="0"/>
    <xf numFmtId="0" fontId="104" fillId="24" borderId="0" applyAlignment="1" pivotButton="0" quotePrefix="0" xfId="174">
      <alignment horizontal="left" vertical="center"/>
    </xf>
    <xf numFmtId="0" fontId="105" fillId="0" borderId="0" applyAlignment="1" pivotButton="0" quotePrefix="0" xfId="51">
      <alignment vertical="center"/>
    </xf>
    <xf numFmtId="0" fontId="106" fillId="0" borderId="0" applyAlignment="1" pivotButton="0" quotePrefix="0" xfId="0">
      <alignment horizontal="left"/>
    </xf>
    <xf numFmtId="0" fontId="106" fillId="0" borderId="0" pivotButton="0" quotePrefix="0" xfId="0"/>
    <xf numFmtId="0" fontId="107" fillId="24" borderId="0" applyAlignment="1" pivotButton="0" quotePrefix="0" xfId="174">
      <alignment horizontal="left" vertical="center"/>
    </xf>
    <xf numFmtId="0" fontId="105" fillId="0" borderId="0" applyAlignment="1" pivotButton="0" quotePrefix="0" xfId="50">
      <alignment vertical="center"/>
    </xf>
    <xf numFmtId="0" fontId="107" fillId="24" borderId="30" applyAlignment="1" pivotButton="0" quotePrefix="0" xfId="174">
      <alignment horizontal="left" vertical="center"/>
    </xf>
    <xf numFmtId="0" fontId="105" fillId="0" borderId="30" applyAlignment="1" pivotButton="0" quotePrefix="0" xfId="50">
      <alignment vertical="center"/>
    </xf>
    <xf numFmtId="0" fontId="108" fillId="24" borderId="0" applyAlignment="1" pivotButton="0" quotePrefix="0" xfId="174">
      <alignment horizontal="left" vertical="center"/>
    </xf>
    <xf numFmtId="0" fontId="105" fillId="0" borderId="0" applyAlignment="1" pivotButton="0" quotePrefix="0" xfId="50">
      <alignment vertical="center"/>
    </xf>
    <xf numFmtId="0" fontId="109" fillId="41" borderId="0" applyAlignment="1" pivotButton="0" quotePrefix="0" xfId="174">
      <alignment horizontal="left" vertical="center"/>
    </xf>
    <xf numFmtId="0" fontId="110" fillId="40" borderId="0" applyAlignment="1" pivotButton="0" quotePrefix="0" xfId="50">
      <alignment vertical="center"/>
    </xf>
    <xf numFmtId="0" fontId="111" fillId="40" borderId="0" pivotButton="0" quotePrefix="0" xfId="0"/>
    <xf numFmtId="0" fontId="112" fillId="40" borderId="0" applyAlignment="1" pivotButton="0" quotePrefix="0" xfId="0">
      <alignment horizontal="left"/>
    </xf>
    <xf numFmtId="0" fontId="112" fillId="40" borderId="0" pivotButton="0" quotePrefix="0" xfId="0"/>
    <xf numFmtId="0" fontId="113" fillId="37" borderId="53" applyAlignment="1" pivotButton="0" quotePrefix="0" xfId="0">
      <alignment horizontal="left"/>
    </xf>
    <xf numFmtId="0" fontId="113" fillId="37" borderId="54" applyAlignment="1" pivotButton="0" quotePrefix="0" xfId="0">
      <alignment horizontal="right"/>
    </xf>
    <xf numFmtId="0" fontId="113" fillId="37" borderId="52" applyAlignment="1" pivotButton="0" quotePrefix="0" xfId="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0" fontId="108" fillId="0" borderId="0" applyAlignment="1" pivotButton="0" quotePrefix="0" xfId="174">
      <alignment horizontal="left" vertical="center"/>
    </xf>
    <xf numFmtId="0" fontId="113" fillId="37" borderId="52" applyAlignment="1" pivotButton="0" quotePrefix="0" xfId="0">
      <alignment horizontal="right" wrapText="1"/>
    </xf>
    <xf numFmtId="41" fontId="114" fillId="0" borderId="51" applyAlignment="1" pivotButton="0" quotePrefix="0" xfId="105">
      <alignment horizontal="left"/>
    </xf>
    <xf numFmtId="169" fontId="114" fillId="0" borderId="76" pivotButton="0" quotePrefix="0" xfId="0"/>
    <xf numFmtId="41" fontId="87" fillId="0" borderId="0" pivotButton="0" quotePrefix="0" xfId="105"/>
    <xf numFmtId="169" fontId="87" fillId="0" borderId="0" pivotButton="0" quotePrefix="0" xfId="105"/>
    <xf numFmtId="0" fontId="106" fillId="0" borderId="55" applyAlignment="1" pivotButton="0" quotePrefix="0" xfId="0">
      <alignment horizontal="left"/>
    </xf>
    <xf numFmtId="0" fontId="106" fillId="0" borderId="27" pivotButton="0" quotePrefix="0" xfId="0"/>
    <xf numFmtId="173" fontId="106" fillId="0" borderId="0" pivotButton="0" quotePrefix="0" xfId="0"/>
    <xf numFmtId="173" fontId="106" fillId="0" borderId="27" pivotButton="0" quotePrefix="0" xfId="0"/>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9" fontId="106" fillId="0" borderId="0" pivotButton="0" quotePrefix="0" xfId="98"/>
    <xf numFmtId="9" fontId="106" fillId="0" borderId="27" pivotButton="0" quotePrefix="0" xfId="98"/>
    <xf numFmtId="0" fontId="106" fillId="0" borderId="49" applyAlignment="1" pivotButton="0" quotePrefix="0" xfId="0">
      <alignment horizontal="left"/>
    </xf>
    <xf numFmtId="9" fontId="106" fillId="0" borderId="57" pivotButton="0" quotePrefix="0" xfId="98"/>
    <xf numFmtId="9" fontId="106" fillId="0" borderId="47" pivotButton="0" quotePrefix="0" xfId="98"/>
    <xf numFmtId="9" fontId="106" fillId="0" borderId="0" pivotButton="0" quotePrefix="0" xfId="98"/>
    <xf numFmtId="9" fontId="113" fillId="37" borderId="54" applyAlignment="1" pivotButton="0" quotePrefix="0" xfId="0">
      <alignment horizontal="right"/>
    </xf>
    <xf numFmtId="9" fontId="113" fillId="37" borderId="52" applyAlignment="1" pivotButton="0" quotePrefix="0" xfId="0">
      <alignment horizontal="right"/>
    </xf>
    <xf numFmtId="41" fontId="106" fillId="22" borderId="0" pivotButton="0" quotePrefix="0" xfId="105"/>
    <xf numFmtId="41" fontId="106" fillId="0" borderId="0" pivotButton="0" quotePrefix="0" xfId="105"/>
    <xf numFmtId="41" fontId="106" fillId="0" borderId="27" pivotButton="0" quotePrefix="0" xfId="105"/>
    <xf numFmtId="41" fontId="114" fillId="0" borderId="76" pivotButton="0" quotePrefix="0" xfId="105"/>
    <xf numFmtId="41" fontId="114" fillId="0" borderId="50" pivotButton="0" quotePrefix="0" xfId="105"/>
    <xf numFmtId="0" fontId="113" fillId="37" borderId="55" applyAlignment="1" pivotButton="0" quotePrefix="0" xfId="0">
      <alignment horizontal="left"/>
    </xf>
    <xf numFmtId="9" fontId="113" fillId="37" borderId="27" applyAlignment="1" pivotButton="0" quotePrefix="0" xfId="0">
      <alignment horizontal="right"/>
    </xf>
    <xf numFmtId="0" fontId="106" fillId="22" borderId="0" pivotButton="0" quotePrefix="0" xfId="0"/>
    <xf numFmtId="173" fontId="106" fillId="22" borderId="0" pivotButton="0" quotePrefix="0" xfId="0"/>
    <xf numFmtId="9" fontId="91" fillId="0" borderId="0" pivotButton="0" quotePrefix="0" xfId="0"/>
    <xf numFmtId="0" fontId="115" fillId="0" borderId="0" pivotButton="0" quotePrefix="0" xfId="0"/>
    <xf numFmtId="0" fontId="98" fillId="0" borderId="58" pivotButton="0" quotePrefix="0" xfId="0"/>
    <xf numFmtId="0" fontId="87" fillId="0" borderId="58" pivotButton="0" quotePrefix="0" xfId="0"/>
    <xf numFmtId="0" fontId="87" fillId="0" borderId="0" applyAlignment="1" pivotButton="0" quotePrefix="0" xfId="0">
      <alignment horizontal="center"/>
    </xf>
    <xf numFmtId="0" fontId="87" fillId="0" borderId="0" pivotButton="0" quotePrefix="0" xfId="49"/>
    <xf numFmtId="0" fontId="87" fillId="0" borderId="96" applyAlignment="1" pivotButton="0" quotePrefix="0" xfId="0">
      <alignment horizontal="center"/>
    </xf>
    <xf numFmtId="0" fontId="93" fillId="0" borderId="0" pivotButton="0" quotePrefix="0" xfId="49"/>
    <xf numFmtId="0" fontId="98" fillId="0" borderId="0" pivotButton="0" quotePrefix="0" xfId="49"/>
    <xf numFmtId="0" fontId="116" fillId="0" borderId="0" pivotButton="0" quotePrefix="0" xfId="49"/>
    <xf numFmtId="0" fontId="87" fillId="0" borderId="0" applyAlignment="1" pivotButton="0" quotePrefix="0" xfId="49">
      <alignment horizontal="center"/>
    </xf>
    <xf numFmtId="0" fontId="98" fillId="22" borderId="82" applyAlignment="1" pivotButton="0" quotePrefix="0" xfId="49">
      <alignment horizontal="center"/>
    </xf>
    <xf numFmtId="0" fontId="98" fillId="36" borderId="82" pivotButton="0" quotePrefix="0" xfId="49"/>
    <xf numFmtId="170" fontId="87" fillId="22" borderId="83" applyAlignment="1" pivotButton="0" quotePrefix="0" xfId="98">
      <alignment horizontal="center"/>
    </xf>
    <xf numFmtId="41" fontId="87" fillId="36" borderId="83" pivotButton="0" quotePrefix="0" xfId="105"/>
    <xf numFmtId="0" fontId="87" fillId="23" borderId="0" pivotButton="0" quotePrefix="0" xfId="49"/>
    <xf numFmtId="41" fontId="87" fillId="23" borderId="0" pivotButton="0" quotePrefix="0" xfId="49"/>
    <xf numFmtId="0" fontId="87" fillId="23" borderId="57" pivotButton="0" quotePrefix="0" xfId="49"/>
    <xf numFmtId="41" fontId="87" fillId="23" borderId="57" pivotButton="0" quotePrefix="0" xfId="49"/>
    <xf numFmtId="41" fontId="98" fillId="0" borderId="0" pivotButton="0" quotePrefix="0" xfId="49"/>
    <xf numFmtId="0" fontId="98" fillId="0" borderId="54" pivotButton="0" quotePrefix="0" xfId="49"/>
    <xf numFmtId="41" fontId="98" fillId="0" borderId="54" pivotButton="0" quotePrefix="0" xfId="49"/>
    <xf numFmtId="0" fontId="87" fillId="23" borderId="0" pivotButton="0" quotePrefix="0" xfId="49"/>
    <xf numFmtId="0" fontId="98" fillId="0" borderId="54" pivotButton="0" quotePrefix="0" xfId="49"/>
    <xf numFmtId="41" fontId="98" fillId="0" borderId="54" pivotButton="0" quotePrefix="0" xfId="105"/>
    <xf numFmtId="41" fontId="98" fillId="0" borderId="54" pivotButton="0" quotePrefix="0" xfId="49"/>
    <xf numFmtId="170" fontId="87" fillId="22" borderId="48" applyAlignment="1" pivotButton="0" quotePrefix="0" xfId="98">
      <alignment horizontal="center"/>
    </xf>
    <xf numFmtId="0" fontId="87" fillId="0" borderId="0" pivotButton="0" quotePrefix="0" xfId="49"/>
    <xf numFmtId="0" fontId="87" fillId="0" borderId="0" pivotButton="0" quotePrefix="1" xfId="49"/>
    <xf numFmtId="170" fontId="87" fillId="0" borderId="0" pivotButton="0" quotePrefix="0" xfId="98"/>
    <xf numFmtId="0" fontId="98" fillId="35" borderId="82" applyAlignment="1" pivotButton="0" quotePrefix="0" xfId="49">
      <alignment horizontal="center"/>
    </xf>
    <xf numFmtId="170" fontId="87" fillId="35" borderId="83" applyAlignment="1" pivotButton="0" quotePrefix="0" xfId="98">
      <alignment horizontal="center"/>
    </xf>
    <xf numFmtId="170" fontId="87" fillId="35" borderId="48" applyAlignment="1" pivotButton="0" quotePrefix="0" xfId="98">
      <alignment horizontal="center"/>
    </xf>
    <xf numFmtId="0" fontId="98" fillId="0" borderId="0" pivotButton="0" quotePrefix="0" xfId="49"/>
    <xf numFmtId="0" fontId="87" fillId="0" borderId="0" pivotButton="0" quotePrefix="0" xfId="49"/>
    <xf numFmtId="0" fontId="87" fillId="0" borderId="0" pivotButton="0" quotePrefix="0" xfId="49"/>
    <xf numFmtId="0" fontId="90" fillId="37" borderId="53" applyAlignment="1" pivotButton="0" quotePrefix="0" xfId="0">
      <alignment horizontal="left"/>
    </xf>
    <xf numFmtId="0" fontId="87" fillId="37" borderId="54" pivotButton="0" quotePrefix="0" xfId="0"/>
    <xf numFmtId="0" fontId="87" fillId="37" borderId="52" pivotButton="0" quotePrefix="0" xfId="0"/>
    <xf numFmtId="0" fontId="83" fillId="37" borderId="53" applyAlignment="1" pivotButton="0" quotePrefix="0" xfId="0">
      <alignment horizontal="right"/>
    </xf>
    <xf numFmtId="0" fontId="87" fillId="37" borderId="55" pivotButton="0" quotePrefix="0" xfId="0"/>
    <xf numFmtId="0" fontId="87" fillId="37" borderId="27" pivotButton="0" quotePrefix="0" xfId="0"/>
    <xf numFmtId="0" fontId="83" fillId="37" borderId="55" applyAlignment="1" pivotButton="0" quotePrefix="0" xfId="0">
      <alignment horizontal="right"/>
    </xf>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0" fontId="117" fillId="0" borderId="0" pivotButton="0" quotePrefix="0" xfId="49"/>
    <xf numFmtId="0" fontId="87" fillId="31" borderId="0" pivotButton="0" quotePrefix="0" xfId="49"/>
    <xf numFmtId="41" fontId="117" fillId="0" borderId="0" pivotButton="0" quotePrefix="0" xfId="49"/>
    <xf numFmtId="41" fontId="118" fillId="0" borderId="0" pivotButton="0" quotePrefix="0" xfId="105"/>
    <xf numFmtId="41" fontId="98" fillId="31" borderId="0" pivotButton="0" quotePrefix="0" xfId="105"/>
    <xf numFmtId="0" fontId="87" fillId="0" borderId="54" pivotButton="0" quotePrefix="0" xfId="49"/>
    <xf numFmtId="41" fontId="117" fillId="0" borderId="54" pivotButton="0" quotePrefix="0" xfId="105"/>
    <xf numFmtId="41" fontId="87" fillId="31" borderId="54" pivotButton="0" quotePrefix="0" xfId="105"/>
    <xf numFmtId="41" fontId="118" fillId="0" borderId="0" pivotButton="0" quotePrefix="0" xfId="49"/>
    <xf numFmtId="0" fontId="119" fillId="0" borderId="0" pivotButton="0" quotePrefix="0" xfId="0"/>
    <xf numFmtId="0" fontId="83" fillId="37" borderId="52" applyAlignment="1" pivotButton="0" quotePrefix="0" xfId="0">
      <alignment horizontal="right" wrapText="1"/>
    </xf>
    <xf numFmtId="0" fontId="83" fillId="37" borderId="27" applyAlignment="1" pivotButton="0" quotePrefix="0" xfId="0">
      <alignment horizontal="right"/>
    </xf>
    <xf numFmtId="0" fontId="98" fillId="35" borderId="0" applyAlignment="1" pivotButton="0" quotePrefix="0" xfId="49">
      <alignment horizontal="center"/>
    </xf>
    <xf numFmtId="0" fontId="80" fillId="0" borderId="0" pivotButton="0" quotePrefix="0" xfId="0"/>
    <xf numFmtId="0" fontId="120" fillId="0" borderId="0" pivotButton="0" quotePrefix="0" xfId="0"/>
    <xf numFmtId="170" fontId="87" fillId="35" borderId="0" applyAlignment="1" pivotButton="0" quotePrefix="0" xfId="98">
      <alignment horizontal="center"/>
    </xf>
    <xf numFmtId="0" fontId="82" fillId="0" borderId="0" pivotButton="0" quotePrefix="0" xfId="0"/>
    <xf numFmtId="0" fontId="82" fillId="0" borderId="81" pivotButton="0" quotePrefix="0" xfId="0"/>
    <xf numFmtId="41" fontId="82" fillId="0" borderId="81" pivotButton="0" quotePrefix="0" xfId="105"/>
    <xf numFmtId="41" fontId="80" fillId="0" borderId="0" pivotButton="0" quotePrefix="0" xfId="105"/>
    <xf numFmtId="0" fontId="98" fillId="34" borderId="76" pivotButton="0" quotePrefix="0" xfId="0"/>
    <xf numFmtId="0" fontId="98" fillId="34" borderId="76" pivotButton="0" quotePrefix="0" xfId="49"/>
    <xf numFmtId="41" fontId="98" fillId="34" borderId="76" pivotButton="0" quotePrefix="0" xfId="105"/>
    <xf numFmtId="0" fontId="83" fillId="0" borderId="0" pivotButton="0" quotePrefix="0" xfId="0"/>
    <xf numFmtId="0" fontId="98" fillId="0" borderId="0" pivotButton="0" quotePrefix="0" xfId="0"/>
    <xf numFmtId="0" fontId="98" fillId="0" borderId="77" pivotButton="0" quotePrefix="0" xfId="0"/>
    <xf numFmtId="0" fontId="98" fillId="0" borderId="77" pivotButton="0" quotePrefix="0" xfId="49"/>
    <xf numFmtId="41" fontId="98" fillId="0" borderId="77" pivotButton="0" quotePrefix="0" xfId="105"/>
    <xf numFmtId="0" fontId="121" fillId="24" borderId="0" applyAlignment="1" pivotButton="0" quotePrefix="0" xfId="125">
      <alignment horizontal="left" vertical="center"/>
    </xf>
    <xf numFmtId="0" fontId="80" fillId="0" borderId="0" pivotButton="0" quotePrefix="0" xfId="126"/>
    <xf numFmtId="0" fontId="122" fillId="0" borderId="0" applyAlignment="1" pivotButton="0" quotePrefix="0" xfId="51">
      <alignment vertical="center"/>
    </xf>
    <xf numFmtId="0" fontId="86" fillId="0" borderId="0" applyAlignment="1" pivotButton="0" quotePrefix="0" xfId="51">
      <alignment horizontal="right" vertical="center"/>
    </xf>
    <xf numFmtId="0" fontId="121" fillId="0" borderId="0" applyAlignment="1" pivotButton="0" quotePrefix="0" xfId="51">
      <alignment horizontal="right" vertical="center"/>
    </xf>
    <xf numFmtId="0" fontId="122" fillId="24" borderId="0" applyAlignment="1" pivotButton="0" quotePrefix="0" xfId="125">
      <alignment horizontal="left" vertical="center"/>
    </xf>
    <xf numFmtId="0" fontId="122" fillId="0" borderId="0" applyAlignment="1" pivotButton="0" quotePrefix="0" xfId="50">
      <alignment vertical="center"/>
    </xf>
    <xf numFmtId="0" fontId="122" fillId="0" borderId="0" applyAlignment="1" pivotButton="0" quotePrefix="0" xfId="50">
      <alignment horizontal="right" vertical="center"/>
    </xf>
    <xf numFmtId="0" fontId="80" fillId="0" borderId="0" pivotButton="0" quotePrefix="0" xfId="126"/>
    <xf numFmtId="0" fontId="122" fillId="0" borderId="0" applyAlignment="1" pivotButton="0" quotePrefix="0" xfId="50">
      <alignment vertical="center"/>
    </xf>
    <xf numFmtId="0" fontId="88" fillId="0" borderId="0" applyAlignment="1" pivotButton="0" quotePrefix="0" xfId="50">
      <alignment horizontal="right" vertical="center"/>
    </xf>
    <xf numFmtId="0" fontId="122" fillId="0" borderId="0" applyAlignment="1" pivotButton="0" quotePrefix="0" xfId="50">
      <alignment horizontal="right" vertical="center"/>
    </xf>
    <xf numFmtId="0" fontId="80" fillId="0" borderId="96" pivotButton="0" quotePrefix="0" xfId="126"/>
    <xf numFmtId="0" fontId="86" fillId="24" borderId="0" applyAlignment="1" pivotButton="0" quotePrefix="0" xfId="125">
      <alignment horizontal="left" vertical="center"/>
    </xf>
    <xf numFmtId="0" fontId="83" fillId="37" borderId="53" pivotButton="0" quotePrefix="0" xfId="126"/>
    <xf numFmtId="0" fontId="83" fillId="37" borderId="54" pivotButton="0" quotePrefix="0" xfId="126"/>
    <xf numFmtId="0" fontId="83" fillId="37" borderId="52" applyAlignment="1" pivotButton="0" quotePrefix="0" xfId="126">
      <alignment wrapText="1"/>
    </xf>
    <xf numFmtId="0" fontId="83" fillId="37" borderId="49" pivotButton="0" quotePrefix="0" xfId="126"/>
    <xf numFmtId="0" fontId="83" fillId="37" borderId="57" pivotButton="0" quotePrefix="0" xfId="126"/>
    <xf numFmtId="174" fontId="83" fillId="37" borderId="57" pivotButton="0" quotePrefix="0" xfId="126"/>
    <xf numFmtId="0" fontId="83" fillId="37" borderId="47" applyAlignment="1" pivotButton="0" quotePrefix="0" xfId="126">
      <alignment horizontal="right" wrapText="1"/>
    </xf>
    <xf numFmtId="0" fontId="82" fillId="0" borderId="53" pivotButton="0" quotePrefix="0" xfId="126"/>
    <xf numFmtId="0" fontId="82" fillId="0" borderId="54" pivotButton="0" quotePrefix="0" xfId="126"/>
    <xf numFmtId="0" fontId="80" fillId="0" borderId="54" pivotButton="0" quotePrefix="0" xfId="126"/>
    <xf numFmtId="167" fontId="82" fillId="0" borderId="54" pivotButton="0" quotePrefix="0" xfId="127"/>
    <xf numFmtId="167" fontId="82" fillId="0" borderId="52" pivotButton="0" quotePrefix="0" xfId="127"/>
    <xf numFmtId="0" fontId="82" fillId="0" borderId="55" pivotButton="0" quotePrefix="0" xfId="126"/>
    <xf numFmtId="0" fontId="82" fillId="0" borderId="0" pivotButton="0" quotePrefix="0" xfId="126"/>
    <xf numFmtId="0" fontId="80" fillId="0" borderId="55" pivotButton="0" quotePrefix="0" xfId="126"/>
    <xf numFmtId="0" fontId="80" fillId="0" borderId="27" pivotButton="0" quotePrefix="0" xfId="126"/>
    <xf numFmtId="167" fontId="80" fillId="0" borderId="0" pivotButton="0" quotePrefix="0" xfId="127"/>
    <xf numFmtId="167" fontId="80" fillId="0" borderId="27" pivotButton="0" quotePrefix="0" xfId="127"/>
    <xf numFmtId="172" fontId="80" fillId="0" borderId="0" pivotButton="0" quotePrefix="0" xfId="127"/>
    <xf numFmtId="0" fontId="82" fillId="0" borderId="49" pivotButton="0" quotePrefix="0" xfId="126"/>
    <xf numFmtId="0" fontId="82" fillId="0" borderId="57" pivotButton="0" quotePrefix="0" xfId="126"/>
    <xf numFmtId="0" fontId="80" fillId="0" borderId="57" pivotButton="0" quotePrefix="0" xfId="126"/>
    <xf numFmtId="167" fontId="82" fillId="0" borderId="76" pivotButton="0" quotePrefix="0" xfId="127"/>
    <xf numFmtId="167" fontId="82" fillId="0" borderId="50" pivotButton="0" quotePrefix="0" xfId="127"/>
    <xf numFmtId="172" fontId="80" fillId="0" borderId="27" pivotButton="0" quotePrefix="0" xfId="127"/>
    <xf numFmtId="172" fontId="80" fillId="0" borderId="0"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0" fontId="124" fillId="37" borderId="53" pivotButton="0" quotePrefix="0" xfId="126"/>
    <xf numFmtId="0" fontId="124" fillId="37" borderId="54" pivotButton="0" quotePrefix="0" xfId="126"/>
    <xf numFmtId="0" fontId="83" fillId="37" borderId="54" applyAlignment="1" pivotButton="0" quotePrefix="0" xfId="126">
      <alignment horizontal="right"/>
    </xf>
    <xf numFmtId="0" fontId="83" fillId="37" borderId="52" applyAlignment="1" pivotButton="0" quotePrefix="0" xfId="126">
      <alignment horizontal="right"/>
    </xf>
    <xf numFmtId="0" fontId="82" fillId="0" borderId="51" pivotButton="0" quotePrefix="0" xfId="126"/>
    <xf numFmtId="0" fontId="82" fillId="0" borderId="76" pivotButton="0" quotePrefix="0" xfId="126"/>
    <xf numFmtId="0" fontId="80" fillId="0" borderId="76" pivotButton="0" quotePrefix="0" xfId="126"/>
    <xf numFmtId="170" fontId="80" fillId="0" borderId="0" pivotButton="0" quotePrefix="0" xfId="126"/>
    <xf numFmtId="170" fontId="80" fillId="0" borderId="27" pivotButton="0" quotePrefix="0" xfId="126"/>
    <xf numFmtId="43" fontId="80" fillId="0" borderId="27" pivotButton="0" quotePrefix="0" xfId="127"/>
    <xf numFmtId="167" fontId="80" fillId="0" borderId="76" pivotButton="0" quotePrefix="0" xfId="127"/>
    <xf numFmtId="167" fontId="80" fillId="0" borderId="50" pivotButton="0" quotePrefix="0" xfId="127"/>
    <xf numFmtId="0" fontId="82" fillId="35" borderId="53" pivotButton="0" quotePrefix="0" xfId="126"/>
    <xf numFmtId="0" fontId="82" fillId="35" borderId="54" pivotButton="0" quotePrefix="0" xfId="126"/>
    <xf numFmtId="0" fontId="123" fillId="35" borderId="54" pivotButton="0" quotePrefix="0" xfId="126"/>
    <xf numFmtId="167" fontId="82" fillId="35" borderId="54" pivotButton="0" quotePrefix="0" xfId="127"/>
    <xf numFmtId="167" fontId="82" fillId="35" borderId="52" pivotButton="0" quotePrefix="0" xfId="127"/>
    <xf numFmtId="0" fontId="98" fillId="0" borderId="76" pivotButton="0" quotePrefix="0" xfId="0"/>
    <xf numFmtId="0" fontId="87" fillId="0" borderId="46" pivotButton="0" quotePrefix="0" xfId="0"/>
    <xf numFmtId="171" fontId="87" fillId="34" borderId="50" pivotButton="0" quotePrefix="0" xfId="105"/>
    <xf numFmtId="0" fontId="125" fillId="0" borderId="76" pivotButton="0" quotePrefix="0" xfId="126"/>
    <xf numFmtId="0" fontId="98" fillId="0" borderId="57" pivotButton="0" quotePrefix="0" xfId="0"/>
    <xf numFmtId="0" fontId="87" fillId="31" borderId="48" pivotButton="0" quotePrefix="0" xfId="0"/>
    <xf numFmtId="171" fontId="87" fillId="34" borderId="47" pivotButton="0" quotePrefix="0" xfId="105"/>
    <xf numFmtId="0" fontId="86" fillId="0" borderId="0" pivotButton="0" quotePrefix="0" xfId="49"/>
    <xf numFmtId="0" fontId="80" fillId="0" borderId="55" applyAlignment="1" pivotButton="0" quotePrefix="0" xfId="126">
      <alignment horizontal="left"/>
    </xf>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0" fontId="97" fillId="0" borderId="0" pivotButton="0" quotePrefix="0" xfId="49"/>
    <xf numFmtId="0" fontId="80" fillId="0" borderId="0" pivotButton="0" quotePrefix="0" xfId="49"/>
    <xf numFmtId="170" fontId="82" fillId="0" borderId="17" applyAlignment="1" pivotButton="0" quotePrefix="0" xfId="49">
      <alignment horizontal="center" vertical="center"/>
    </xf>
    <xf numFmtId="0" fontId="86" fillId="24" borderId="0" applyAlignment="1" pivotButton="0" quotePrefix="0" xfId="125">
      <alignment horizontal="left"/>
    </xf>
    <xf numFmtId="0" fontId="97" fillId="24" borderId="0" applyAlignment="1" pivotButton="0" quotePrefix="0" xfId="125">
      <alignment horizontal="left"/>
    </xf>
    <xf numFmtId="0" fontId="82" fillId="23" borderId="0" applyAlignment="1" pivotButton="0" quotePrefix="0" xfId="49">
      <alignment horizontal="left"/>
    </xf>
    <xf numFmtId="0" fontId="80" fillId="23" borderId="0" applyAlignment="1" pivotButton="0" quotePrefix="0" xfId="49">
      <alignment horizontal="right"/>
    </xf>
    <xf numFmtId="164" fontId="82" fillId="0" borderId="0" applyAlignment="1" pivotButton="0" quotePrefix="0" xfId="49">
      <alignment horizontal="center" vertical="center"/>
    </xf>
    <xf numFmtId="0" fontId="80" fillId="23" borderId="0" pivotButton="0" quotePrefix="0" xfId="49"/>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0" fontId="126" fillId="0" borderId="0" pivotButton="0" quotePrefix="0" xfId="57"/>
    <xf numFmtId="0" fontId="127" fillId="0" borderId="0" pivotButton="0" quotePrefix="0" xfId="49"/>
    <xf numFmtId="0" fontId="87" fillId="0" borderId="0" applyAlignment="1" pivotButton="0" quotePrefix="0" xfId="51">
      <alignment vertical="center"/>
    </xf>
    <xf numFmtId="0" fontId="98" fillId="0" borderId="0" applyAlignment="1" pivotButton="0" quotePrefix="0" xfId="114">
      <alignment horizontal="right" vertical="center"/>
    </xf>
    <xf numFmtId="0" fontId="97" fillId="24" borderId="0" applyAlignment="1" pivotButton="0" quotePrefix="0" xfId="114">
      <alignment horizontal="right" vertical="center"/>
    </xf>
    <xf numFmtId="0" fontId="128" fillId="0" borderId="0" applyAlignment="1" pivotButton="0" quotePrefix="0" xfId="51">
      <alignment horizontal="right" vertical="center"/>
    </xf>
    <xf numFmtId="0" fontId="86" fillId="24" borderId="0" applyAlignment="1" pivotButton="0" quotePrefix="0" xfId="114">
      <alignment horizontal="left" vertical="center"/>
    </xf>
    <xf numFmtId="0" fontId="87" fillId="0" borderId="0" applyAlignment="1" pivotButton="0" quotePrefix="0" xfId="50">
      <alignment vertical="center"/>
    </xf>
    <xf numFmtId="0" fontId="87" fillId="0" borderId="0" applyAlignment="1" pivotButton="0" quotePrefix="0" xfId="114">
      <alignment horizontal="right" vertical="center"/>
    </xf>
    <xf numFmtId="0" fontId="115" fillId="24" borderId="0" applyAlignment="1" pivotButton="0" quotePrefix="0" xfId="114">
      <alignment horizontal="right" vertical="center"/>
    </xf>
    <xf numFmtId="0" fontId="128" fillId="0" borderId="0" applyAlignment="1" pivotButton="0" quotePrefix="0" xfId="50">
      <alignment horizontal="right" vertical="center"/>
    </xf>
    <xf numFmtId="0" fontId="115" fillId="24" borderId="29" applyAlignment="1" pivotButton="0" quotePrefix="0" xfId="114">
      <alignment horizontal="left" vertical="center"/>
    </xf>
    <xf numFmtId="0" fontId="87" fillId="0" borderId="29" applyAlignment="1" pivotButton="0" quotePrefix="0" xfId="50">
      <alignment vertical="center"/>
    </xf>
    <xf numFmtId="0" fontId="87" fillId="0" borderId="29" applyAlignment="1" pivotButton="0" quotePrefix="0" xfId="114">
      <alignment horizontal="right" vertical="center"/>
    </xf>
    <xf numFmtId="0" fontId="80" fillId="0" borderId="0" pivotButton="0" quotePrefix="0" xfId="49"/>
    <xf numFmtId="0" fontId="129" fillId="0" borderId="0" applyAlignment="1" pivotButton="0" quotePrefix="0" xfId="50">
      <alignment vertical="center"/>
    </xf>
    <xf numFmtId="0" fontId="130" fillId="0" borderId="0" pivotButton="0" quotePrefix="0" xfId="49"/>
    <xf numFmtId="0" fontId="82" fillId="0" borderId="0" pivotButton="0" quotePrefix="0" xfId="49"/>
    <xf numFmtId="0" fontId="98" fillId="0" borderId="51" applyAlignment="1" pivotButton="0" quotePrefix="0" xfId="50">
      <alignment vertical="center"/>
    </xf>
    <xf numFmtId="0" fontId="117" fillId="31" borderId="50" applyAlignment="1" pivotButton="0" quotePrefix="0" xfId="50">
      <alignment vertical="center"/>
    </xf>
    <xf numFmtId="0" fontId="132" fillId="0" borderId="57" pivotButton="0" quotePrefix="0" xfId="49"/>
    <xf numFmtId="0" fontId="87" fillId="0" borderId="57" pivotButton="0" quotePrefix="0" xfId="49"/>
    <xf numFmtId="10" fontId="80" fillId="0" borderId="0" applyAlignment="1" pivotButton="0" quotePrefix="0" xfId="98">
      <alignment horizontal="right"/>
    </xf>
    <xf numFmtId="170" fontId="80" fillId="19" borderId="0" applyAlignment="1" pivotButton="0" quotePrefix="0" xfId="97">
      <alignment horizontal="right"/>
    </xf>
    <xf numFmtId="170" fontId="134" fillId="19" borderId="67" applyAlignment="1" pivotButton="0" quotePrefix="0" xfId="98">
      <alignment horizontal="right"/>
    </xf>
    <xf numFmtId="170" fontId="98" fillId="19" borderId="63" applyAlignment="1" pivotButton="0" quotePrefix="0" xfId="98">
      <alignment horizontal="right"/>
    </xf>
    <xf numFmtId="170" fontId="133" fillId="19" borderId="0" applyAlignment="1" pivotButton="0" quotePrefix="0" xfId="97">
      <alignment horizontal="right"/>
    </xf>
    <xf numFmtId="0" fontId="136" fillId="0" borderId="0" pivotButton="0" quotePrefix="0" xfId="176"/>
    <xf numFmtId="170" fontId="134" fillId="19" borderId="67" applyAlignment="1" pivotButton="0" quotePrefix="0" xfId="97">
      <alignment horizontal="right"/>
    </xf>
    <xf numFmtId="10" fontId="133" fillId="19" borderId="0" applyAlignment="1" pivotButton="0" quotePrefix="0" xfId="97">
      <alignment horizontal="right"/>
    </xf>
    <xf numFmtId="167" fontId="87" fillId="19" borderId="0" applyAlignment="1" pivotButton="0" quotePrefix="0" xfId="127">
      <alignment horizontal="left"/>
    </xf>
    <xf numFmtId="10" fontId="87" fillId="19" borderId="0" applyAlignment="1" pivotButton="0" quotePrefix="0" xfId="97">
      <alignment horizontal="right"/>
    </xf>
    <xf numFmtId="170" fontId="133" fillId="31" borderId="63" applyAlignment="1" pivotButton="0" quotePrefix="0" xfId="97">
      <alignment horizontal="right"/>
    </xf>
    <xf numFmtId="170" fontId="134" fillId="19" borderId="63" applyAlignment="1" pivotButton="0" quotePrefix="0" xfId="98">
      <alignment horizontal="right"/>
    </xf>
    <xf numFmtId="0" fontId="86" fillId="24" borderId="0" applyAlignment="1" pivotButton="0" quotePrefix="0" xfId="114">
      <alignment horizontal="left"/>
    </xf>
    <xf numFmtId="0" fontId="137" fillId="0" borderId="0" applyAlignment="1" pivotButton="0" quotePrefix="0" xfId="49">
      <alignment horizontal="center" wrapText="1"/>
    </xf>
    <xf numFmtId="0" fontId="98" fillId="0" borderId="0" applyAlignment="1" pivotButton="0" quotePrefix="0" xfId="49">
      <alignment horizontal="center"/>
    </xf>
    <xf numFmtId="0" fontId="82" fillId="0" borderId="0" applyAlignment="1" pivotButton="0" quotePrefix="0" xfId="49">
      <alignment horizontal="center"/>
    </xf>
    <xf numFmtId="0" fontId="98" fillId="0" borderId="0" applyAlignment="1" pivotButton="0" quotePrefix="0" xfId="49">
      <alignment horizontal="center" wrapText="1"/>
    </xf>
    <xf numFmtId="0" fontId="83" fillId="38" borderId="0" applyAlignment="1" pivotButton="0" quotePrefix="0" xfId="114">
      <alignment horizontal="left" wrapText="1"/>
    </xf>
    <xf numFmtId="0" fontId="83" fillId="38" borderId="0" applyAlignment="1" pivotButton="0" quotePrefix="0" xfId="114">
      <alignment horizontal="right" wrapText="1"/>
    </xf>
    <xf numFmtId="0" fontId="98" fillId="0" borderId="0" pivotButton="0" quotePrefix="0" xfId="49"/>
    <xf numFmtId="0" fontId="98" fillId="0" borderId="0" applyAlignment="1" pivotButton="0" quotePrefix="0" xfId="49">
      <alignment horizontal="center" wrapText="1"/>
    </xf>
    <xf numFmtId="0" fontId="98" fillId="0" borderId="0" applyAlignment="1" pivotButton="0" quotePrefix="0" xfId="49">
      <alignment horizontal="center"/>
    </xf>
    <xf numFmtId="0" fontId="138" fillId="0" borderId="0" applyAlignment="1" pivotButton="0" quotePrefix="0" xfId="49">
      <alignment horizontal="center" wrapText="1"/>
    </xf>
    <xf numFmtId="0" fontId="124" fillId="0" borderId="0" pivotButton="0" quotePrefix="0" xfId="49"/>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0" fontId="87" fillId="0" borderId="11" applyAlignment="1" pivotButton="0" quotePrefix="0" xfId="49">
      <alignment horizontal="center"/>
    </xf>
    <xf numFmtId="0" fontId="87" fillId="0" borderId="0" applyAlignment="1" pivotButton="0" quotePrefix="0" xfId="49">
      <alignment horizontal="center"/>
    </xf>
    <xf numFmtId="10" fontId="87" fillId="0" borderId="0" applyAlignment="1" pivotButton="0" quotePrefix="0" xfId="98">
      <alignment horizontal="right"/>
    </xf>
    <xf numFmtId="2" fontId="80" fillId="0" borderId="0" applyAlignment="1" pivotButton="0" quotePrefix="0" xfId="59">
      <alignment horizontal="center"/>
    </xf>
    <xf numFmtId="0" fontId="80" fillId="0" borderId="0" applyAlignment="1" pivotButton="0" quotePrefix="0" xfId="49">
      <alignment horizontal="center"/>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0" fontId="87" fillId="0" borderId="31" applyAlignment="1" pivotButton="0" quotePrefix="0" xfId="49">
      <alignment horizontal="left"/>
    </xf>
    <xf numFmtId="0" fontId="98" fillId="0" borderId="31" pivotButton="0" quotePrefix="0" xfId="49"/>
    <xf numFmtId="0" fontId="139" fillId="24" borderId="31" applyAlignment="1" pivotButton="0" quotePrefix="0" xfId="114">
      <alignment horizontal="left"/>
    </xf>
    <xf numFmtId="170" fontId="140" fillId="21" borderId="31" applyAlignment="1" pivotButton="0" quotePrefix="0" xfId="98">
      <alignment horizontal="right"/>
    </xf>
    <xf numFmtId="176" fontId="140" fillId="21" borderId="31" applyAlignment="1" pivotButton="0" quotePrefix="0" xfId="105">
      <alignment horizontal="right"/>
    </xf>
    <xf numFmtId="2" fontId="82" fillId="0" borderId="0" applyAlignment="1" pivotButton="0" quotePrefix="0" xfId="59">
      <alignment horizontal="center"/>
    </xf>
    <xf numFmtId="2" fontId="82" fillId="0" borderId="0" applyAlignment="1" pivotButton="0" quotePrefix="0" xfId="49">
      <alignment horizontal="center"/>
    </xf>
    <xf numFmtId="0" fontId="82" fillId="0" borderId="0" pivotButton="0" quotePrefix="0" xfId="49"/>
    <xf numFmtId="0" fontId="87" fillId="0" borderId="0" applyAlignment="1" pivotButton="0" quotePrefix="0" xfId="49">
      <alignment horizontal="left"/>
    </xf>
    <xf numFmtId="0" fontId="139" fillId="24" borderId="0" applyAlignment="1" pivotButton="0" quotePrefix="0" xfId="114">
      <alignment horizontal="left"/>
    </xf>
    <xf numFmtId="170" fontId="140" fillId="21" borderId="0" applyAlignment="1" pivotButton="0" quotePrefix="0" xfId="98">
      <alignment horizontal="right"/>
    </xf>
    <xf numFmtId="176" fontId="140" fillId="21" borderId="0" applyAlignment="1" pivotButton="0" quotePrefix="0" xfId="105">
      <alignment horizontal="right"/>
    </xf>
    <xf numFmtId="0" fontId="97" fillId="24" borderId="0" applyAlignment="1" pivotButton="0" quotePrefix="0" xfId="114">
      <alignment horizontal="lef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0" fontId="98" fillId="0" borderId="0" applyAlignment="1" pivotButton="0" quotePrefix="0" xfId="49">
      <alignment horizontal="right"/>
    </xf>
    <xf numFmtId="4" fontId="82" fillId="0" borderId="0" applyAlignment="1" pivotButton="0" quotePrefix="0" xfId="59">
      <alignment horizontal="center"/>
    </xf>
    <xf numFmtId="170" fontId="80" fillId="21" borderId="0" applyAlignment="1" pivotButton="0" quotePrefix="0" xfId="98">
      <alignment horizontal="right"/>
    </xf>
    <xf numFmtId="170" fontId="80" fillId="0" borderId="30" applyAlignment="1" pivotButton="0" quotePrefix="0" xfId="98">
      <alignment horizontal="right"/>
    </xf>
    <xf numFmtId="176" fontId="98" fillId="0" borderId="0" pivotButton="0" quotePrefix="0" xfId="49"/>
    <xf numFmtId="0" fontId="141"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0" fontId="138" fillId="0" borderId="0" applyAlignment="1" pivotButton="0" quotePrefix="0" xfId="46">
      <alignment horizontal="center"/>
    </xf>
    <xf numFmtId="0" fontId="138" fillId="0" borderId="0" applyAlignment="1" pivotButton="0" quotePrefix="0" xfId="46">
      <alignment horizontal="centerContinuous"/>
    </xf>
    <xf numFmtId="0" fontId="142" fillId="0" borderId="0" pivotButton="0" quotePrefix="0" xfId="49"/>
    <xf numFmtId="0" fontId="97" fillId="24" borderId="30" applyAlignment="1" pivotButton="0" quotePrefix="0" xfId="114">
      <alignment horizontal="left"/>
    </xf>
    <xf numFmtId="0" fontId="87" fillId="0" borderId="30" pivotButton="0" quotePrefix="0" xfId="49"/>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0" fontId="98" fillId="0" borderId="32" pivotButton="0" quotePrefix="0" xfId="57"/>
    <xf numFmtId="0" fontId="143" fillId="0" borderId="32" pivotButton="0" quotePrefix="0" xfId="57"/>
    <xf numFmtId="0" fontId="143" fillId="0" borderId="0" pivotButton="0" quotePrefix="0" xfId="57"/>
    <xf numFmtId="178" fontId="87" fillId="0" borderId="0" pivotButton="0" quotePrefix="1" xfId="92"/>
    <xf numFmtId="0" fontId="87" fillId="0" borderId="0" pivotButton="0" quotePrefix="0" xfId="56"/>
    <xf numFmtId="0" fontId="93" fillId="0" borderId="0" pivotButton="0" quotePrefix="0" xfId="56"/>
    <xf numFmtId="178" fontId="144" fillId="0" borderId="0" pivotButton="0" quotePrefix="1" xfId="92"/>
    <xf numFmtId="0" fontId="145" fillId="0" borderId="0" pivotButton="0" quotePrefix="0" xfId="56"/>
    <xf numFmtId="0" fontId="87" fillId="24" borderId="29" applyAlignment="1" pivotButton="0" quotePrefix="0" xfId="114">
      <alignment horizontal="right" vertical="center"/>
    </xf>
    <xf numFmtId="0" fontId="87" fillId="0" borderId="0" applyAlignment="1" pivotButton="0" quotePrefix="0" xfId="50">
      <alignment horizontal="right" vertical="center"/>
    </xf>
    <xf numFmtId="0" fontId="147" fillId="0" borderId="0" pivotButton="0" quotePrefix="0" xfId="49"/>
    <xf numFmtId="0" fontId="86" fillId="0" borderId="0" applyAlignment="1" pivotButton="0" quotePrefix="0" xfId="51">
      <alignment vertical="center"/>
    </xf>
    <xf numFmtId="0" fontId="87" fillId="0" borderId="0" applyAlignment="1" pivotButton="0" quotePrefix="0" xfId="50">
      <alignment vertical="center"/>
    </xf>
    <xf numFmtId="0" fontId="115" fillId="0" borderId="30" applyAlignment="1" pivotButton="0" quotePrefix="0" xfId="50">
      <alignment vertical="center"/>
    </xf>
    <xf numFmtId="0" fontId="87" fillId="0" borderId="30" applyAlignment="1" pivotButton="0" quotePrefix="0" xfId="50">
      <alignment vertical="center"/>
    </xf>
    <xf numFmtId="0" fontId="115" fillId="0" borderId="30" applyAlignment="1" pivotButton="0" quotePrefix="0" xfId="50">
      <alignment horizontal="right" vertical="center"/>
    </xf>
    <xf numFmtId="0" fontId="129" fillId="0" borderId="0" applyAlignment="1" pivotButton="0" quotePrefix="0" xfId="50">
      <alignment vertical="center"/>
    </xf>
    <xf numFmtId="0" fontId="128" fillId="21" borderId="14" applyAlignment="1" pivotButton="0" quotePrefix="0" xfId="49">
      <alignment horizontal="left"/>
    </xf>
    <xf numFmtId="0" fontId="148" fillId="21" borderId="13" applyAlignment="1" pivotButton="0" quotePrefix="0" xfId="49">
      <alignment horizontal="right"/>
    </xf>
    <xf numFmtId="0" fontId="148" fillId="21" borderId="13" applyAlignment="1" pivotButton="0" quotePrefix="1" xfId="49">
      <alignment horizontal="right"/>
    </xf>
    <xf numFmtId="0" fontId="148" fillId="21" borderId="15" applyAlignment="1" pivotButton="0" quotePrefix="1" xfId="49">
      <alignment horizontal="right"/>
    </xf>
    <xf numFmtId="0" fontId="83" fillId="37" borderId="0" applyAlignment="1" pivotButton="0" quotePrefix="0" xfId="0">
      <alignment horizontal="left"/>
    </xf>
    <xf numFmtId="0" fontId="94" fillId="0" borderId="0" applyAlignment="1" pivotButton="0" quotePrefix="0" xfId="49">
      <alignment horizontal="center"/>
    </xf>
    <xf numFmtId="0" fontId="83" fillId="37" borderId="30" applyAlignment="1" pivotButton="0" quotePrefix="0" xfId="0">
      <alignment horizontal="left"/>
    </xf>
    <xf numFmtId="0" fontId="83" fillId="37" borderId="30" applyAlignment="1" pivotButton="0" quotePrefix="0" xfId="0">
      <alignment horizontal="right" wrapText="1"/>
    </xf>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70" fontId="87" fillId="0" borderId="0" applyAlignment="1" pivotButton="0" quotePrefix="0" xfId="98">
      <alignment horizontal="right"/>
    </xf>
    <xf numFmtId="165" fontId="87" fillId="0" borderId="0" applyAlignment="1" pivotButton="0" quotePrefix="0" xfId="0">
      <alignment horizontal="right"/>
    </xf>
    <xf numFmtId="0" fontId="87" fillId="0" borderId="31" pivotButton="0" quotePrefix="0" xfId="49"/>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0" fontId="87" fillId="0" borderId="30" pivotButton="0" quotePrefix="0" xfId="49"/>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0" fontId="150" fillId="0" borderId="0" applyAlignment="1" pivotButton="0" quotePrefix="0" xfId="49">
      <alignment horizontal="left"/>
    </xf>
    <xf numFmtId="0" fontId="151" fillId="0" borderId="0" applyAlignment="1" pivotButton="0" quotePrefix="0" xfId="46">
      <alignment horizontal="centerContinuous"/>
    </xf>
    <xf numFmtId="0" fontId="143" fillId="0" borderId="0" pivotButton="0" quotePrefix="0" xfId="57"/>
    <xf numFmtId="0" fontId="152" fillId="0" borderId="0" pivotButton="0" quotePrefix="0" xfId="57"/>
    <xf numFmtId="0" fontId="153" fillId="0" borderId="0" pivotButton="0" quotePrefix="0" xfId="49"/>
    <xf numFmtId="0" fontId="154" fillId="0" borderId="0" pivotButton="0" quotePrefix="0" xfId="49"/>
    <xf numFmtId="177" fontId="153" fillId="0" borderId="0" applyAlignment="1" pivotButton="0" quotePrefix="0" xfId="54">
      <alignment horizontal="right"/>
    </xf>
    <xf numFmtId="178" fontId="93" fillId="0" borderId="0" pivotButton="0" quotePrefix="1" xfId="92"/>
    <xf numFmtId="0" fontId="154" fillId="0" borderId="0" pivotButton="0" quotePrefix="0" xfId="56"/>
    <xf numFmtId="0" fontId="155" fillId="0" borderId="0" applyAlignment="1" pivotButton="0" quotePrefix="0" xfId="49">
      <alignment horizontal="centerContinuous"/>
    </xf>
    <xf numFmtId="177" fontId="142" fillId="0" borderId="0" applyAlignment="1" pivotButton="0" quotePrefix="0" xfId="54">
      <alignment horizontal="right"/>
    </xf>
    <xf numFmtId="179" fontId="142" fillId="0" borderId="0" applyAlignment="1" pivotButton="0" quotePrefix="0" xfId="52">
      <alignment horizontal="right"/>
    </xf>
    <xf numFmtId="0" fontId="87" fillId="0" borderId="30" applyAlignment="1" pivotButton="0" quotePrefix="0" xfId="50">
      <alignment horizontal="right" vertical="center"/>
    </xf>
    <xf numFmtId="0" fontId="83" fillId="37" borderId="0" pivotButton="0" quotePrefix="0" xfId="0"/>
    <xf numFmtId="0" fontId="156" fillId="0" borderId="0" pivotButton="0" quotePrefix="0" xfId="0"/>
    <xf numFmtId="171" fontId="87" fillId="22" borderId="0" applyAlignment="1" pivotButton="0" quotePrefix="0" xfId="105">
      <alignment horizontal="right"/>
    </xf>
    <xf numFmtId="169" fontId="87" fillId="22" borderId="0" applyAlignment="1" pivotButton="0" quotePrefix="0" xfId="105">
      <alignment horizontal="right"/>
    </xf>
    <xf numFmtId="0" fontId="87" fillId="36" borderId="83" pivotButton="0" quotePrefix="0" xfId="0"/>
    <xf numFmtId="0" fontId="83" fillId="37" borderId="54" applyAlignment="1" pivotButton="0" quotePrefix="0" xfId="0">
      <alignment horizontal="right" wrapText="1"/>
    </xf>
    <xf numFmtId="0" fontId="83" fillId="37" borderId="65" pivotButton="0" quotePrefix="0" xfId="0"/>
    <xf numFmtId="0" fontId="98" fillId="18" borderId="55" pivotButton="0" quotePrefix="0" xfId="0"/>
    <xf numFmtId="0" fontId="98" fillId="18" borderId="0" pivotButton="0" quotePrefix="0" xfId="0"/>
    <xf numFmtId="0" fontId="87" fillId="0" borderId="27" applyAlignment="1" pivotButton="0" quotePrefix="0" xfId="0">
      <alignment horizontal="right" wrapText="1"/>
    </xf>
    <xf numFmtId="0" fontId="95" fillId="0" borderId="55" pivotButton="0" quotePrefix="0" xfId="0"/>
    <xf numFmtId="0" fontId="87" fillId="0" borderId="55" pivotButton="0" quotePrefix="0" xfId="0"/>
    <xf numFmtId="0" fontId="117" fillId="0" borderId="0" applyAlignment="1" pivotButton="0" quotePrefix="0" xfId="0">
      <alignment horizontal="right"/>
    </xf>
    <xf numFmtId="41" fontId="157" fillId="35" borderId="0" applyAlignment="1" pivotButton="0" quotePrefix="0" xfId="105">
      <alignment horizontal="right"/>
    </xf>
    <xf numFmtId="41" fontId="87" fillId="0"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0" fontId="83" fillId="0" borderId="0" applyAlignment="1" pivotButton="0" quotePrefix="0" xfId="0">
      <alignment horizontal="right"/>
    </xf>
    <xf numFmtId="0" fontId="83" fillId="0" borderId="27" applyAlignment="1" pivotButton="0" quotePrefix="0" xfId="0">
      <alignment horizontal="right" wrapText="1"/>
    </xf>
    <xf numFmtId="0" fontId="80" fillId="19" borderId="55" applyAlignment="1" pivotButton="0" quotePrefix="0" xfId="0">
      <alignment horizontal="left"/>
    </xf>
    <xf numFmtId="172" fontId="80" fillId="19" borderId="0" applyAlignment="1" pivotButton="0" quotePrefix="0" xfId="119">
      <alignment horizontal="right"/>
    </xf>
    <xf numFmtId="41" fontId="80" fillId="35" borderId="0" applyAlignment="1" pivotButton="0" quotePrefix="0" xfId="105">
      <alignment horizontal="right"/>
    </xf>
    <xf numFmtId="172" fontId="80" fillId="19" borderId="27" applyAlignment="1" pivotButton="0" quotePrefix="0" xfId="119">
      <alignment horizontal="right"/>
    </xf>
    <xf numFmtId="0" fontId="82" fillId="19" borderId="71" applyAlignment="1" pivotButton="0" quotePrefix="0" xfId="0">
      <alignment horizontal="left"/>
    </xf>
    <xf numFmtId="0" fontId="82" fillId="19" borderId="60" applyAlignment="1" pivotButton="0" quotePrefix="0" xfId="0">
      <alignment horizontal="left"/>
    </xf>
    <xf numFmtId="172" fontId="82" fillId="19" borderId="60" applyAlignment="1" pivotButton="0" quotePrefix="0" xfId="119">
      <alignment horizontal="right"/>
    </xf>
    <xf numFmtId="172" fontId="82" fillId="19" borderId="72" applyAlignment="1" pivotButton="0" quotePrefix="0" xfId="119">
      <alignment horizontal="right"/>
    </xf>
    <xf numFmtId="0" fontId="123" fillId="19" borderId="55" applyAlignment="1" pivotButton="0" quotePrefix="0" xfId="0">
      <alignment horizontal="left"/>
    </xf>
    <xf numFmtId="0" fontId="123" fillId="19" borderId="0" applyAlignment="1" pivotButton="0" quotePrefix="0" xfId="0">
      <alignment horizontal="lef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0" fontId="82" fillId="30" borderId="73" pivotButton="0" quotePrefix="0" xfId="0"/>
    <xf numFmtId="0" fontId="82" fillId="30" borderId="74" pivotButton="0" quotePrefix="0" xfId="0"/>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0" fontId="80" fillId="19" borderId="27" pivotButton="0" quotePrefix="0" xfId="0"/>
    <xf numFmtId="0" fontId="120" fillId="19" borderId="55" pivotButton="0" quotePrefix="0" xfId="0"/>
    <xf numFmtId="170" fontId="80" fillId="19" borderId="27" pivotButton="0" quotePrefix="0" xfId="120"/>
    <xf numFmtId="0" fontId="80" fillId="19" borderId="49" applyAlignment="1" pivotButton="0" quotePrefix="0" xfId="0">
      <alignment horizontal="left"/>
    </xf>
    <xf numFmtId="172" fontId="80" fillId="19" borderId="57" pivotButton="0" quotePrefix="0" xfId="0"/>
    <xf numFmtId="170" fontId="80" fillId="19" borderId="57" pivotButton="0" quotePrefix="0" xfId="120"/>
    <xf numFmtId="170" fontId="80" fillId="19" borderId="47" pivotButton="0" quotePrefix="0" xfId="120"/>
    <xf numFmtId="0" fontId="83" fillId="37" borderId="59" pivotButton="0" quotePrefix="0" xfId="0"/>
    <xf numFmtId="0" fontId="83" fillId="37" borderId="60" pivotButton="0" quotePrefix="0" xfId="0"/>
    <xf numFmtId="0" fontId="83" fillId="37" borderId="60" applyAlignment="1" pivotButton="0" quotePrefix="0" xfId="0">
      <alignment horizontal="right"/>
    </xf>
    <xf numFmtId="0" fontId="83" fillId="37" borderId="61" applyAlignment="1" pivotButton="0" quotePrefix="0" xfId="0">
      <alignment horizontal="right"/>
    </xf>
    <xf numFmtId="0" fontId="83" fillId="37" borderId="59" applyAlignment="1" pivotButton="0" quotePrefix="0" xfId="0">
      <alignment horizontal="right"/>
    </xf>
    <xf numFmtId="0" fontId="83" fillId="37" borderId="61" applyAlignment="1" pivotButton="0" quotePrefix="0" xfId="0">
      <alignment horizontal="right" wrapText="1"/>
    </xf>
    <xf numFmtId="0" fontId="156" fillId="0" borderId="65" pivotButton="0" quotePrefix="0" xfId="0"/>
    <xf numFmtId="0" fontId="156" fillId="0" borderId="0" applyAlignment="1" pivotButton="0" quotePrefix="0" xfId="0">
      <alignment horizontal="right"/>
    </xf>
    <xf numFmtId="0" fontId="156" fillId="0" borderId="66" applyAlignment="1" pivotButton="0" quotePrefix="0" xfId="0">
      <alignment horizontal="right" wrapText="1"/>
    </xf>
    <xf numFmtId="0" fontId="80" fillId="19" borderId="65" applyAlignment="1" pivotButton="0" quotePrefix="0" xfId="0">
      <alignment horizontal="left"/>
    </xf>
    <xf numFmtId="41" fontId="87" fillId="35" borderId="0" applyAlignment="1" pivotButton="0" quotePrefix="0" xfId="105">
      <alignment horizontal="center"/>
    </xf>
    <xf numFmtId="172" fontId="80" fillId="19" borderId="0" applyAlignment="1" pivotButton="0" quotePrefix="0" xfId="119">
      <alignment horizontal="right"/>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0" fontId="82" fillId="19" borderId="55" applyAlignment="1" pivotButton="0" quotePrefix="0" xfId="0">
      <alignment horizontal="left"/>
    </xf>
    <xf numFmtId="0" fontId="82" fillId="19" borderId="0" applyAlignment="1" pivotButton="0" quotePrefix="0" xfId="0">
      <alignment horizontal="left"/>
    </xf>
    <xf numFmtId="172" fontId="82" fillId="19" borderId="0" applyAlignment="1" pivotButton="0" quotePrefix="0" xfId="119">
      <alignment horizontal="right"/>
    </xf>
    <xf numFmtId="172" fontId="82" fillId="19" borderId="27" applyAlignment="1" pivotButton="0" quotePrefix="0" xfId="119">
      <alignment horizontal="right"/>
    </xf>
    <xf numFmtId="0" fontId="82" fillId="18" borderId="51" applyAlignment="1" pivotButton="0" quotePrefix="0" xfId="0">
      <alignment horizontal="left"/>
    </xf>
    <xf numFmtId="0" fontId="82" fillId="18" borderId="76" applyAlignment="1" pivotButton="0" quotePrefix="0" xfId="0">
      <alignment horizontal="left"/>
    </xf>
    <xf numFmtId="172" fontId="82" fillId="18" borderId="76" applyAlignment="1" pivotButton="0" quotePrefix="0" xfId="119">
      <alignment horizontal="right"/>
    </xf>
    <xf numFmtId="172" fontId="82" fillId="18" borderId="50" applyAlignment="1" pivotButton="0" quotePrefix="0" xfId="119">
      <alignment horizontal="right"/>
    </xf>
    <xf numFmtId="0" fontId="80" fillId="19" borderId="53" pivotButton="0" quotePrefix="0" xfId="0"/>
    <xf numFmtId="0" fontId="80" fillId="19" borderId="54" pivotButton="0" quotePrefix="0" xfId="0"/>
    <xf numFmtId="0" fontId="80" fillId="19" borderId="52" pivotButton="0" quotePrefix="0" xfId="0"/>
    <xf numFmtId="0" fontId="94" fillId="22" borderId="55" pivotButton="0" quotePrefix="0" xfId="0"/>
    <xf numFmtId="0" fontId="98" fillId="22" borderId="0" pivotButton="0" quotePrefix="0" xfId="0"/>
    <xf numFmtId="0" fontId="98" fillId="22" borderId="0" applyAlignment="1" pivotButton="0" quotePrefix="0" xfId="0">
      <alignment horizontal="right"/>
    </xf>
    <xf numFmtId="0" fontId="98" fillId="22" borderId="27" applyAlignment="1" pivotButton="0" quotePrefix="0" xfId="0">
      <alignment horizontal="right" wrapText="1"/>
    </xf>
    <xf numFmtId="0" fontId="80" fillId="0" borderId="55" applyAlignment="1" pivotButton="0" quotePrefix="0" xfId="0">
      <alignment horizontal="left"/>
    </xf>
    <xf numFmtId="0" fontId="80" fillId="0" borderId="0" applyAlignment="1" pivotButton="0" quotePrefix="0" xfId="0">
      <alignment horizontal="left"/>
    </xf>
    <xf numFmtId="9" fontId="80" fillId="0" borderId="0" applyAlignment="1" pivotButton="0" quotePrefix="0" xfId="98">
      <alignment horizontal="right"/>
    </xf>
    <xf numFmtId="9" fontId="80" fillId="0" borderId="27" applyAlignment="1" pivotButton="0" quotePrefix="0" xfId="98">
      <alignment horizontal="right"/>
    </xf>
    <xf numFmtId="170" fontId="80" fillId="19" borderId="0" pivotButton="0" quotePrefix="0" xfId="98"/>
    <xf numFmtId="170" fontId="80" fillId="19" borderId="57" pivotButton="0" quotePrefix="0" xfId="98"/>
    <xf numFmtId="0" fontId="83" fillId="37" borderId="66" applyAlignment="1" pivotButton="0" quotePrefix="0" xfId="0">
      <alignment horizontal="right"/>
    </xf>
    <xf numFmtId="0" fontId="83" fillId="37" borderId="65" applyAlignment="1" pivotButton="0" quotePrefix="0" xfId="0">
      <alignment horizontal="right"/>
    </xf>
    <xf numFmtId="172" fontId="80" fillId="31" borderId="0" applyAlignment="1" pivotButton="0" quotePrefix="0" xfId="119">
      <alignment horizontal="right"/>
    </xf>
    <xf numFmtId="172" fontId="117" fillId="0" borderId="0" applyAlignment="1" pivotButton="0" quotePrefix="0" xfId="119">
      <alignment horizontal="right"/>
    </xf>
    <xf numFmtId="172" fontId="80" fillId="35" borderId="0" applyAlignment="1" pivotButton="0" quotePrefix="0" xfId="119">
      <alignment horizontal="right"/>
    </xf>
    <xf numFmtId="0" fontId="82" fillId="19" borderId="68" pivotButton="0" quotePrefix="0" xfId="0"/>
    <xf numFmtId="0" fontId="82" fillId="19" borderId="69" pivotButton="0" quotePrefix="0" xfId="0"/>
    <xf numFmtId="172" fontId="82" fillId="19" borderId="69" applyAlignment="1" pivotButton="0" quotePrefix="0" xfId="119">
      <alignment horizontal="right"/>
    </xf>
    <xf numFmtId="172" fontId="82" fillId="19" borderId="70" applyAlignment="1" pivotButton="0" quotePrefix="0" xfId="119">
      <alignment horizontal="right"/>
    </xf>
    <xf numFmtId="0" fontId="83" fillId="37" borderId="63" pivotButton="0" quotePrefix="0" xfId="0"/>
    <xf numFmtId="0" fontId="83" fillId="37" borderId="63" applyAlignment="1" pivotButton="0" quotePrefix="0" xfId="0">
      <alignment horizontal="right"/>
    </xf>
    <xf numFmtId="0" fontId="83" fillId="37" borderId="64" applyAlignment="1" pivotButton="0" quotePrefix="0" xfId="0">
      <alignment horizontal="right"/>
    </xf>
    <xf numFmtId="0" fontId="83" fillId="37" borderId="62" applyAlignment="1" pivotButton="0" quotePrefix="0" xfId="0">
      <alignment horizontal="right"/>
    </xf>
    <xf numFmtId="170" fontId="117" fillId="0" borderId="0" pivotButton="0" quotePrefix="0" xfId="120"/>
    <xf numFmtId="170" fontId="117" fillId="0" borderId="66" pivotButton="0" quotePrefix="0" xfId="120"/>
    <xf numFmtId="0" fontId="80" fillId="19" borderId="63" pivotButton="0" quotePrefix="0" xfId="0"/>
    <xf numFmtId="0" fontId="82" fillId="19" borderId="62" pivotButton="0" quotePrefix="0" xfId="0"/>
    <xf numFmtId="0" fontId="82" fillId="19" borderId="63" pivotButton="0" quotePrefix="0" xfId="0"/>
    <xf numFmtId="170" fontId="82" fillId="19" borderId="74" pivotButton="0" quotePrefix="0" xfId="120"/>
    <xf numFmtId="170" fontId="82" fillId="19" borderId="63" pivotButton="0" quotePrefix="0" xfId="120"/>
    <xf numFmtId="170" fontId="82" fillId="19" borderId="64" pivotButton="0" quotePrefix="0" xfId="120"/>
    <xf numFmtId="41" fontId="87" fillId="36" borderId="48" applyAlignment="1" pivotButton="0" quotePrefix="0" xfId="105">
      <alignment horizontal="right"/>
    </xf>
    <xf numFmtId="0" fontId="83" fillId="37" borderId="55" pivotButton="0" quotePrefix="0" xfId="0"/>
    <xf numFmtId="0" fontId="94" fillId="0" borderId="55" pivotButton="0" quotePrefix="0" xfId="0"/>
    <xf numFmtId="0" fontId="83" fillId="0" borderId="27" applyAlignment="1" pivotButton="0" quotePrefix="0" xfId="0">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0" fontId="82" fillId="19" borderId="51" pivotButton="0" quotePrefix="0" xfId="0"/>
    <xf numFmtId="0" fontId="82" fillId="19" borderId="76" pivotButton="0" quotePrefix="0" xfId="0"/>
    <xf numFmtId="172" fontId="82" fillId="19" borderId="76" applyAlignment="1" pivotButton="0" quotePrefix="0" xfId="119">
      <alignment horizontal="right"/>
    </xf>
    <xf numFmtId="172" fontId="82" fillId="19" borderId="50" applyAlignment="1" pivotButton="0" quotePrefix="0" xfId="119">
      <alignment horizontal="right"/>
    </xf>
    <xf numFmtId="0" fontId="82" fillId="19" borderId="0" pivotButton="0" quotePrefix="0" xfId="0"/>
    <xf numFmtId="172" fontId="82" fillId="35" borderId="0" applyAlignment="1" pivotButton="0" quotePrefix="0" xfId="119">
      <alignment horizontal="right"/>
    </xf>
    <xf numFmtId="9" fontId="80" fillId="19" borderId="0" applyAlignment="1" pivotButton="0" quotePrefix="0" xfId="98">
      <alignment horizontal="right"/>
    </xf>
    <xf numFmtId="9" fontId="80" fillId="19" borderId="27" applyAlignment="1" pivotButton="0" quotePrefix="0" xfId="98">
      <alignment horizontal="right"/>
    </xf>
    <xf numFmtId="0" fontId="82" fillId="19" borderId="57" pivotButton="0" quotePrefix="0" xfId="0"/>
    <xf numFmtId="0" fontId="94" fillId="0" borderId="53" pivotButton="0" quotePrefix="0" xfId="0"/>
    <xf numFmtId="0" fontId="83" fillId="0" borderId="54" pivotButton="0" quotePrefix="0" xfId="0"/>
    <xf numFmtId="0" fontId="83" fillId="0" borderId="54" applyAlignment="1" pivotButton="0" quotePrefix="0" xfId="0">
      <alignment horizontal="right"/>
    </xf>
    <xf numFmtId="0" fontId="83" fillId="0" borderId="52" applyAlignment="1" pivotButton="0" quotePrefix="0" xfId="0">
      <alignment horizontal="right"/>
    </xf>
    <xf numFmtId="0" fontId="120" fillId="0" borderId="53" pivotButton="0" quotePrefix="0" xfId="144"/>
    <xf numFmtId="0" fontId="87" fillId="0" borderId="54" pivotButton="0" quotePrefix="0" xfId="0"/>
    <xf numFmtId="41" fontId="87" fillId="0" borderId="54" pivotButton="0" quotePrefix="0" xfId="0"/>
    <xf numFmtId="0" fontId="87" fillId="0" borderId="52" pivotButton="0" quotePrefix="0" xfId="0"/>
    <xf numFmtId="0" fontId="80" fillId="0" borderId="55" pivotButton="0" quotePrefix="0" xfId="144"/>
    <xf numFmtId="41" fontId="87" fillId="0" borderId="0" pivotButton="0" quotePrefix="0" xfId="0"/>
    <xf numFmtId="41" fontId="87" fillId="0" borderId="0" pivotButton="0" quotePrefix="0" xfId="105"/>
    <xf numFmtId="41" fontId="87" fillId="0" borderId="27" pivotButton="0" quotePrefix="0" xfId="105"/>
    <xf numFmtId="0" fontId="80" fillId="0" borderId="49" pivotButton="0" quotePrefix="0" xfId="144"/>
    <xf numFmtId="41" fontId="87" fillId="0" borderId="57" pivotButton="0" quotePrefix="0" xfId="0"/>
    <xf numFmtId="41" fontId="87" fillId="0" borderId="57" pivotButton="0" quotePrefix="0" xfId="105"/>
    <xf numFmtId="41" fontId="87" fillId="0" borderId="47" pivotButton="0" quotePrefix="0" xfId="105"/>
    <xf numFmtId="0" fontId="82" fillId="0" borderId="0" pivotButton="0" quotePrefix="0" xfId="144"/>
    <xf numFmtId="0" fontId="158" fillId="0" borderId="0" pivotButton="0" quotePrefix="0" xfId="144"/>
    <xf numFmtId="0" fontId="80" fillId="0" borderId="0" pivotButton="0" quotePrefix="0" xfId="144"/>
    <xf numFmtId="0" fontId="82" fillId="0" borderId="76" pivotButton="0" quotePrefix="0" xfId="144"/>
    <xf numFmtId="41" fontId="98" fillId="0" borderId="76" pivotButton="0" quotePrefix="0" xfId="0"/>
    <xf numFmtId="180" fontId="82" fillId="22" borderId="0" pivotButton="0" quotePrefix="0" xfId="145"/>
    <xf numFmtId="0" fontId="82" fillId="22" borderId="0" pivotButton="0" quotePrefix="0" xfId="144"/>
    <xf numFmtId="172" fontId="117" fillId="0" borderId="0" pivotButton="0" quotePrefix="0" xfId="144"/>
    <xf numFmtId="0" fontId="159" fillId="0" borderId="0" applyAlignment="1" pivotButton="0" quotePrefix="0" xfId="144">
      <alignment horizontal="right"/>
    </xf>
    <xf numFmtId="0" fontId="159" fillId="0" borderId="0" applyAlignment="1" pivotButton="0" quotePrefix="0" xfId="144">
      <alignment horizontal="center"/>
    </xf>
    <xf numFmtId="172" fontId="80" fillId="0" borderId="0" pivotButton="0" quotePrefix="0" xfId="144"/>
    <xf numFmtId="0" fontId="80" fillId="0" borderId="0" applyAlignment="1" pivotButton="0" quotePrefix="0" xfId="144">
      <alignment horizontal="center"/>
    </xf>
    <xf numFmtId="0" fontId="160" fillId="0" borderId="0" applyAlignment="1" pivotButton="0" quotePrefix="0" xfId="144">
      <alignment horizontal="center"/>
    </xf>
    <xf numFmtId="0" fontId="87" fillId="22" borderId="0" pivotButton="0" quotePrefix="0" xfId="0"/>
    <xf numFmtId="41" fontId="117" fillId="0" borderId="0" pivotButton="0" quotePrefix="0" xfId="0"/>
    <xf numFmtId="0" fontId="117" fillId="0" borderId="0" pivotButton="0" quotePrefix="0" xfId="0"/>
    <xf numFmtId="172" fontId="82" fillId="0" borderId="76" pivotButton="0" quotePrefix="0" xfId="144"/>
    <xf numFmtId="0" fontId="161" fillId="0" borderId="76" applyAlignment="1" pivotButton="0" quotePrefix="0" xfId="144">
      <alignment horizontal="right"/>
    </xf>
    <xf numFmtId="0" fontId="131" fillId="0" borderId="76" applyAlignment="1" pivotButton="0" quotePrefix="0" xfId="144">
      <alignment horizontal="center"/>
    </xf>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0" fontId="80" fillId="0" borderId="76" pivotButton="0" quotePrefix="0" xfId="144"/>
    <xf numFmtId="0" fontId="159" fillId="0" borderId="76" applyAlignment="1" pivotButton="0" quotePrefix="0" xfId="144">
      <alignment horizontal="right"/>
    </xf>
    <xf numFmtId="0" fontId="160" fillId="0" borderId="76" applyAlignment="1" pivotButton="0" quotePrefix="0" xfId="144">
      <alignment horizontal="center"/>
    </xf>
    <xf numFmtId="0" fontId="87" fillId="22" borderId="76" pivotButton="0" quotePrefix="0" xfId="0"/>
    <xf numFmtId="41" fontId="87" fillId="0" borderId="76" pivotButton="0" quotePrefix="0" xfId="105"/>
    <xf numFmtId="0" fontId="123" fillId="0" borderId="76" applyAlignment="1" pivotButton="0" quotePrefix="0" xfId="144">
      <alignment horizontal="right"/>
    </xf>
    <xf numFmtId="0" fontId="160" fillId="22" borderId="76" applyAlignment="1" pivotButton="0" quotePrefix="0" xfId="144">
      <alignment horizontal="center"/>
    </xf>
    <xf numFmtId="41" fontId="98" fillId="0" borderId="76" applyAlignment="1" pivotButton="0" quotePrefix="0" xfId="105">
      <alignment horizontal="right"/>
    </xf>
    <xf numFmtId="0" fontId="125" fillId="0" borderId="76" applyAlignment="1" pivotButton="0" quotePrefix="0" xfId="144">
      <alignment horizontal="right"/>
    </xf>
    <xf numFmtId="0" fontId="131" fillId="22" borderId="76" applyAlignment="1" pivotButton="0" quotePrefix="0" xfId="144">
      <alignment horizontal="center"/>
    </xf>
    <xf numFmtId="41" fontId="131" fillId="0" borderId="76" applyAlignment="1" pivotButton="0" quotePrefix="0" xfId="105">
      <alignment horizontal="center"/>
    </xf>
    <xf numFmtId="0" fontId="162" fillId="0" borderId="0" applyAlignment="1" pivotButton="0" quotePrefix="0" xfId="177">
      <alignment vertical="top"/>
    </xf>
    <xf numFmtId="169" fontId="162" fillId="0" borderId="0" applyAlignment="1" pivotButton="0" quotePrefix="0" xfId="105">
      <alignment vertical="top"/>
    </xf>
    <xf numFmtId="0" fontId="162" fillId="0" borderId="57" applyAlignment="1" pivotButton="0" quotePrefix="0" xfId="177">
      <alignment vertical="top"/>
    </xf>
    <xf numFmtId="0" fontId="165" fillId="0" borderId="57" applyAlignment="1" pivotButton="0" quotePrefix="0" xfId="177">
      <alignment vertical="top"/>
    </xf>
    <xf numFmtId="0" fontId="165" fillId="0" borderId="57" applyAlignment="1" pivotButton="0" quotePrefix="0" xfId="177">
      <alignment vertical="top" wrapText="1"/>
    </xf>
    <xf numFmtId="9" fontId="162" fillId="0" borderId="0" applyAlignment="1" pivotButton="0" quotePrefix="0" xfId="98">
      <alignment vertical="top"/>
    </xf>
    <xf numFmtId="0" fontId="162" fillId="0" borderId="0" applyAlignment="1" pivotButton="0" quotePrefix="0" xfId="177">
      <alignment vertical="top" wrapText="1"/>
    </xf>
    <xf numFmtId="9" fontId="162" fillId="0" borderId="0" applyAlignment="1" pivotButton="0" quotePrefix="0" xfId="177">
      <alignment vertical="top"/>
    </xf>
    <xf numFmtId="0" fontId="130" fillId="0" borderId="0" pivotButton="0" quotePrefix="0" xfId="49"/>
    <xf numFmtId="0" fontId="88" fillId="0" borderId="0" applyAlignment="1" pivotButton="0" quotePrefix="0" xfId="51">
      <alignment vertical="center"/>
    </xf>
    <xf numFmtId="0" fontId="87" fillId="0" borderId="0" applyAlignment="1" pivotButton="0" quotePrefix="0" xfId="51">
      <alignment horizontal="right" vertical="center"/>
    </xf>
    <xf numFmtId="0" fontId="97" fillId="0" borderId="0" applyAlignment="1" pivotButton="0" quotePrefix="0" xfId="51">
      <alignment horizontal="right" vertical="center"/>
    </xf>
    <xf numFmtId="0" fontId="88" fillId="0" borderId="0" applyAlignment="1" pivotButton="0" quotePrefix="0" xfId="50">
      <alignment vertical="center"/>
    </xf>
    <xf numFmtId="14" fontId="87" fillId="0" borderId="0" applyAlignment="1" pivotButton="0" quotePrefix="0" xfId="50">
      <alignment horizontal="center" vertical="center"/>
    </xf>
    <xf numFmtId="0" fontId="87" fillId="0" borderId="0" applyAlignment="1" pivotButton="0" quotePrefix="0" xfId="50">
      <alignment horizontal="center" vertical="center"/>
    </xf>
    <xf numFmtId="0" fontId="115" fillId="0" borderId="0" applyAlignment="1" pivotButton="0" quotePrefix="0" xfId="50">
      <alignment horizontal="right" vertical="center"/>
    </xf>
    <xf numFmtId="0" fontId="130" fillId="0" borderId="0" pivotButton="0" quotePrefix="0" xfId="49"/>
    <xf numFmtId="0" fontId="130" fillId="0" borderId="0" pivotButton="0" quotePrefix="0" xfId="49"/>
    <xf numFmtId="0" fontId="127" fillId="0" borderId="0" pivotButton="0" quotePrefix="0" xfId="49"/>
    <xf numFmtId="0" fontId="127" fillId="0" borderId="79" pivotButton="0" quotePrefix="0" xfId="49"/>
    <xf numFmtId="0" fontId="127" fillId="0" borderId="96" pivotButton="0" quotePrefix="0" xfId="49"/>
    <xf numFmtId="14" fontId="127" fillId="0" borderId="96" pivotButton="0" quotePrefix="0" xfId="49"/>
    <xf numFmtId="0" fontId="127" fillId="0" borderId="0" pivotButton="0" quotePrefix="0" xfId="49"/>
    <xf numFmtId="0" fontId="142" fillId="0" borderId="0" pivotButton="0" quotePrefix="0" xfId="49"/>
    <xf numFmtId="166" fontId="83" fillId="37" borderId="0" applyAlignment="1" pivotButton="0" quotePrefix="0" xfId="49">
      <alignment horizontal="center"/>
    </xf>
    <xf numFmtId="166" fontId="98" fillId="23" borderId="0" applyAlignment="1" pivotButton="0" quotePrefix="0" xfId="49">
      <alignment horizontal="centerContinuous"/>
    </xf>
    <xf numFmtId="0" fontId="124" fillId="37" borderId="30" applyAlignment="1" pivotButton="0" quotePrefix="0" xfId="49">
      <alignment wrapText="1"/>
    </xf>
    <xf numFmtId="0" fontId="124" fillId="37" borderId="30" pivotButton="0" quotePrefix="0" xfId="49"/>
    <xf numFmtId="0" fontId="124" fillId="37" borderId="30" applyAlignment="1" pivotButton="0" quotePrefix="0" xfId="49">
      <alignment horizontal="center" wrapText="1"/>
    </xf>
    <xf numFmtId="0" fontId="124" fillId="37" borderId="30" applyAlignment="1" pivotButton="0" quotePrefix="0" xfId="49">
      <alignment horizontal="center" vertical="center" wrapText="1"/>
    </xf>
    <xf numFmtId="0" fontId="87" fillId="23" borderId="30" applyAlignment="1" pivotButton="0" quotePrefix="0" xfId="49">
      <alignment wrapText="1"/>
    </xf>
    <xf numFmtId="0" fontId="87" fillId="23" borderId="30" applyAlignment="1" pivotButton="0" quotePrefix="0" xfId="49">
      <alignment horizontal="center" wrapText="1"/>
    </xf>
    <xf numFmtId="0" fontId="87" fillId="0" borderId="31" pivotButton="0" quotePrefix="0" xfId="49"/>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lef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0" applyAlignment="1" pivotButton="0" quotePrefix="0" xfId="46">
      <alignment horizontal="center"/>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0" fontId="87" fillId="0" borderId="31" applyAlignment="1" pivotButton="0" quotePrefix="0" xfId="4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83" fontId="87" fillId="0" borderId="0" applyAlignment="1" pivotButton="0" quotePrefix="0" xfId="53">
      <alignment horizontal="right"/>
    </xf>
    <xf numFmtId="0" fontId="87" fillId="23" borderId="0" applyAlignment="1" pivotButton="0" quotePrefix="0" xfId="49">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0" fontId="87" fillId="0" borderId="30" applyAlignment="1" pivotButton="0" quotePrefix="0" xfId="49">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0" fontId="98" fillId="0" borderId="0" applyAlignment="1" pivotButton="0" quotePrefix="0" xfId="49">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0" fontId="98" fillId="23" borderId="0" pivotButton="0" quotePrefix="0" xfId="49"/>
    <xf numFmtId="0" fontId="98" fillId="23" borderId="0" applyAlignment="1" pivotButton="0" quotePrefix="0" xfId="49">
      <alignment horizontal="center"/>
    </xf>
    <xf numFmtId="0" fontId="98" fillId="23" borderId="30" applyAlignment="1" pivotButton="0" quotePrefix="0" xfId="49">
      <alignment horizontal="right" wrapText="1"/>
    </xf>
    <xf numFmtId="0" fontId="98" fillId="23" borderId="30" applyAlignment="1" pivotButton="0" quotePrefix="0" xfId="49">
      <alignment horizontal="right"/>
    </xf>
    <xf numFmtId="170" fontId="87" fillId="0" borderId="42" pivotButton="0" quotePrefix="0" xfId="98"/>
    <xf numFmtId="165" fontId="87" fillId="0" borderId="42" applyAlignment="1" pivotButton="0" quotePrefix="0" xfId="49">
      <alignment horizontal="center"/>
    </xf>
    <xf numFmtId="0" fontId="124" fillId="0" borderId="0" applyAlignment="1" pivotButton="0" quotePrefix="0" xfId="49">
      <alignment horizontal="right"/>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166" fillId="0" borderId="0" applyAlignment="1" pivotButton="0" quotePrefix="0" xfId="51">
      <alignment horizontal="right" vertical="center"/>
    </xf>
    <xf numFmtId="0" fontId="167" fillId="0" borderId="0" applyAlignment="1" pivotButton="0" quotePrefix="0" xfId="50">
      <alignment horizontal="right" vertical="center"/>
    </xf>
    <xf numFmtId="0" fontId="130" fillId="0" borderId="96" applyAlignment="1" pivotButton="0" quotePrefix="0" xfId="50">
      <alignment vertical="center"/>
    </xf>
    <xf numFmtId="0" fontId="129" fillId="0" borderId="96" applyAlignment="1" pivotButton="0" quotePrefix="0" xfId="50">
      <alignment vertical="center"/>
    </xf>
    <xf numFmtId="0" fontId="85" fillId="0" borderId="0" applyAlignment="1" pivotButton="0" quotePrefix="0" xfId="49">
      <alignment horizontal="center"/>
    </xf>
    <xf numFmtId="49" fontId="166" fillId="21" borderId="12" pivotButton="0" quotePrefix="0" xfId="49"/>
    <xf numFmtId="0" fontId="98" fillId="0" borderId="0" applyAlignment="1" pivotButton="0" quotePrefix="0" xfId="49">
      <alignment vertical="center"/>
    </xf>
    <xf numFmtId="0" fontId="83" fillId="37" borderId="0" applyAlignment="1" pivotButton="0" quotePrefix="0" xfId="49">
      <alignment vertical="top"/>
    </xf>
    <xf numFmtId="185" fontId="83" fillId="37" borderId="27" applyAlignment="1" pivotButton="0" quotePrefix="0" xfId="49">
      <alignment horizontal="center"/>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0" fontId="83" fillId="0" borderId="0" pivotButton="0" quotePrefix="0" xfId="49"/>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0" fontId="144" fillId="23" borderId="31" applyAlignment="1" pivotButton="0" quotePrefix="0" xfId="97">
      <alignment horizontal="right"/>
    </xf>
    <xf numFmtId="170" fontId="150" fillId="0" borderId="18" applyAlignment="1" pivotButton="0" quotePrefix="0" xfId="97">
      <alignment horizontal="right"/>
    </xf>
    <xf numFmtId="0" fontId="87" fillId="0" borderId="0"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87" fillId="0" borderId="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41" fontId="92" fillId="0" borderId="0" applyAlignment="1" pivotButton="0" quotePrefix="0" xfId="48">
      <alignment horizontal="right"/>
    </xf>
    <xf numFmtId="170" fontId="92" fillId="0" borderId="40" applyAlignment="1" pivotButton="0" quotePrefix="0" xfId="48">
      <alignment horizontal="right"/>
    </xf>
    <xf numFmtId="170" fontId="92" fillId="0" borderId="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170" fillId="0" borderId="0" applyAlignment="1" pivotButton="0" quotePrefix="0"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0" fontId="98" fillId="0" borderId="0" applyAlignment="1" pivotButton="0" quotePrefix="0" xfId="51">
      <alignment vertical="center"/>
    </xf>
    <xf numFmtId="0" fontId="130" fillId="0" borderId="31" applyAlignment="1" pivotButton="0" quotePrefix="0" xfId="50">
      <alignment vertical="center"/>
    </xf>
    <xf numFmtId="0" fontId="85"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0" fontId="87" fillId="0" borderId="31" applyAlignment="1" pivotButton="0" quotePrefix="0" xfId="49">
      <alignment horizontal="center"/>
    </xf>
    <xf numFmtId="170" fontId="172" fillId="0" borderId="18" applyAlignment="1" pivotButton="0" quotePrefix="0" xfId="49">
      <alignment horizontal="right"/>
    </xf>
    <xf numFmtId="170" fontId="172" fillId="0" borderId="18" applyAlignment="1" pivotButton="0" quotePrefix="0" xfId="97">
      <alignment horizontal="right"/>
    </xf>
    <xf numFmtId="0" fontId="172" fillId="0" borderId="0" applyAlignment="1" pivotButton="0" quotePrefix="0" xfId="97">
      <alignment horizontal="right"/>
    </xf>
    <xf numFmtId="166" fontId="87" fillId="0" borderId="0" applyAlignment="1" pivotButton="0" quotePrefix="0" xfId="49">
      <alignment horizontal="left"/>
    </xf>
    <xf numFmtId="174" fontId="87" fillId="0" borderId="0" applyAlignment="1" pivotButton="0" quotePrefix="0" xfId="49">
      <alignment horizontal="center"/>
    </xf>
    <xf numFmtId="0" fontId="150" fillId="0" borderId="0" applyAlignment="1" pivotButton="0" quotePrefix="0" xfId="49">
      <alignment horizontal="left"/>
    </xf>
    <xf numFmtId="0" fontId="172" fillId="0" borderId="0" pivotButton="0" quotePrefix="0" xfId="49"/>
    <xf numFmtId="41" fontId="92" fillId="0" borderId="31" applyAlignment="1" pivotButton="0" quotePrefix="0" xfId="48">
      <alignment horizontal="right"/>
    </xf>
    <xf numFmtId="170" fontId="92" fillId="0" borderId="31" applyAlignment="1" pivotButton="0" quotePrefix="0" xfId="48">
      <alignment horizontal="right"/>
    </xf>
    <xf numFmtId="41" fontId="92" fillId="0" borderId="0" applyAlignment="1" pivotButton="0" quotePrefix="0" xfId="48">
      <alignment horizontal="right"/>
    </xf>
    <xf numFmtId="170" fontId="92" fillId="0" borderId="0" applyAlignment="1" pivotButton="0" quotePrefix="0" xfId="48">
      <alignment horizontal="right"/>
    </xf>
    <xf numFmtId="41" fontId="92" fillId="0" borderId="30" applyAlignment="1" pivotButton="0" quotePrefix="0" xfId="48">
      <alignment horizontal="right"/>
    </xf>
    <xf numFmtId="170" fontId="92" fillId="0" borderId="30" applyAlignment="1" pivotButton="0" quotePrefix="0" xfId="48">
      <alignment horizontal="right"/>
    </xf>
    <xf numFmtId="41" fontId="175" fillId="0" borderId="0" applyAlignment="1" pivotButton="0" quotePrefix="0" xfId="48">
      <alignment horizontal="right"/>
    </xf>
    <xf numFmtId="170" fontId="92" fillId="23"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0" fontId="99" fillId="0" borderId="0" applyAlignment="1" pivotButton="0" quotePrefix="0" xfId="51">
      <alignment vertical="center"/>
    </xf>
    <xf numFmtId="170" fontId="130" fillId="0" borderId="0" pivotButton="0" quotePrefix="0" xfId="49"/>
    <xf numFmtId="0" fontId="176" fillId="0" borderId="0" applyAlignment="1" pivotButton="0" quotePrefix="0" xfId="50">
      <alignment vertical="center"/>
    </xf>
    <xf numFmtId="0" fontId="88" fillId="0" borderId="30" applyAlignment="1" pivotButton="0" quotePrefix="0" xfId="50">
      <alignment vertical="center"/>
    </xf>
    <xf numFmtId="0" fontId="176" fillId="0" borderId="30" applyAlignment="1" pivotButton="0" quotePrefix="0" xfId="50">
      <alignment vertical="center"/>
    </xf>
    <xf numFmtId="0" fontId="86" fillId="0" borderId="0" applyAlignment="1" pivotButton="0" quotePrefix="0" xfId="50">
      <alignment vertical="center"/>
    </xf>
    <xf numFmtId="0" fontId="176" fillId="0" borderId="0" applyAlignment="1" pivotButton="0" quotePrefix="0" xfId="50">
      <alignment vertical="center"/>
    </xf>
    <xf numFmtId="0" fontId="130" fillId="0" borderId="0" applyAlignment="1" pivotButton="0" quotePrefix="0" xfId="50">
      <alignment vertical="center"/>
    </xf>
    <xf numFmtId="0" fontId="99" fillId="0" borderId="0" pivotButton="0" quotePrefix="0" xfId="49"/>
    <xf numFmtId="49" fontId="86" fillId="21" borderId="12" pivotButton="0" quotePrefix="0" xfId="49"/>
    <xf numFmtId="0" fontId="98" fillId="23" borderId="0" applyAlignment="1" pivotButton="0" quotePrefix="0" xfId="49">
      <alignment vertical="top"/>
    </xf>
    <xf numFmtId="185" fontId="98" fillId="23" borderId="0" applyAlignment="1" pivotButton="0" quotePrefix="0" xfId="49">
      <alignment horizontal="center"/>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82" fontId="98" fillId="23" borderId="0" applyAlignment="1" pivotButton="0" quotePrefix="0" xfId="58">
      <alignment horizontal="left"/>
    </xf>
    <xf numFmtId="182" fontId="98" fillId="23" borderId="0" applyAlignment="1" pivotButton="0" quotePrefix="0" xfId="58">
      <alignment horizontal="center"/>
    </xf>
    <xf numFmtId="0" fontId="98" fillId="23" borderId="0" applyAlignment="1" pivotButton="0" quotePrefix="0" xfId="49">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0" borderId="0" applyAlignment="1" pivotButton="0" quotePrefix="0" xfId="105">
      <alignment horizontal="right"/>
    </xf>
    <xf numFmtId="41" fontId="87" fillId="23" borderId="0" applyAlignment="1" pivotButton="0" quotePrefix="0" xfId="105">
      <alignment horizontal="right"/>
    </xf>
    <xf numFmtId="41" fontId="92" fillId="0" borderId="0" applyAlignment="1" pivotButton="0" quotePrefix="1" xfId="48">
      <alignment horizontal="right"/>
    </xf>
    <xf numFmtId="41" fontId="170" fillId="0" borderId="0" applyAlignment="1" pivotButton="0" quotePrefix="1" xfId="48">
      <alignment horizontal="right"/>
    </xf>
    <xf numFmtId="0" fontId="93" fillId="0" borderId="0" pivotButton="0" quotePrefix="0" xfId="56"/>
    <xf numFmtId="178" fontId="93" fillId="0" borderId="0" pivotButton="0" quotePrefix="1" xfId="92"/>
    <xf numFmtId="41" fontId="86" fillId="0" borderId="0" applyAlignment="1" pivotButton="0" quotePrefix="1" xfId="48">
      <alignment horizontal="left"/>
    </xf>
    <xf numFmtId="185" fontId="98" fillId="23" borderId="0" pivotButton="0" quotePrefix="0" xfId="49"/>
    <xf numFmtId="0" fontId="82"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0" fontId="88" fillId="0" borderId="0" pivotButton="0" quotePrefix="0" xfId="49"/>
    <xf numFmtId="170" fontId="87" fillId="0" borderId="31" pivotButton="0" quotePrefix="0" xfId="98"/>
    <xf numFmtId="170" fontId="87" fillId="0" borderId="31" applyAlignment="1" pivotButton="0" quotePrefix="0" xfId="98">
      <alignment horizontal="right"/>
    </xf>
    <xf numFmtId="42" fontId="87" fillId="0" borderId="0" applyAlignment="1" pivotButton="0" quotePrefix="0" xfId="49">
      <alignment horizontal="right"/>
    </xf>
    <xf numFmtId="0" fontId="177" fillId="0" borderId="0" applyAlignment="1" pivotButton="0" quotePrefix="0" xfId="49">
      <alignment horizontal="left"/>
    </xf>
    <xf numFmtId="0" fontId="146" fillId="0" borderId="0" applyAlignment="1" pivotButton="0" quotePrefix="0" xfId="49">
      <alignment horizontal="center"/>
    </xf>
    <xf numFmtId="170" fontId="87" fillId="0" borderId="0" pivotButton="0" quotePrefix="0" xfId="98"/>
    <xf numFmtId="170" fontId="87" fillId="0" borderId="0" applyAlignment="1" pivotButton="0" quotePrefix="0" xfId="98">
      <alignment horizontal="right"/>
    </xf>
    <xf numFmtId="0" fontId="149" fillId="0" borderId="0" applyAlignment="1" pivotButton="0" quotePrefix="0" xfId="49">
      <alignment horizontal="center"/>
    </xf>
    <xf numFmtId="0" fontId="149" fillId="0" borderId="0" applyAlignment="1" pivotButton="0" quotePrefix="0" xfId="49">
      <alignment horizontal="left"/>
    </xf>
    <xf numFmtId="0" fontId="98" fillId="0" borderId="0" applyAlignment="1" pivotButton="0" quotePrefix="0" xfId="49">
      <alignment horizontal="lef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0" fontId="128" fillId="0" borderId="0" applyAlignment="1" pivotButton="0" quotePrefix="0" xfId="50">
      <alignment vertical="center"/>
    </xf>
    <xf numFmtId="0" fontId="144" fillId="0" borderId="0" pivotButton="0" quotePrefix="0" xfId="49"/>
    <xf numFmtId="49" fontId="148" fillId="21" borderId="12" pivotButton="0" quotePrefix="0" xfId="49"/>
    <xf numFmtId="0" fontId="87" fillId="23" borderId="0" applyAlignment="1" pivotButton="0" quotePrefix="0" xfId="49">
      <alignment wrapText="1"/>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0" fontId="179" fillId="0" borderId="0" pivotButton="0" quotePrefix="0" xfId="57"/>
    <xf numFmtId="178" fontId="93" fillId="0" borderId="0" pivotButton="0" quotePrefix="0" xfId="92"/>
    <xf numFmtId="0" fontId="87" fillId="23" borderId="0" applyAlignment="1" pivotButton="0" quotePrefix="0" xfId="49">
      <alignment horizontal="center" wrapText="1"/>
    </xf>
    <xf numFmtId="0" fontId="98" fillId="23" borderId="0" pivotButton="0" quotePrefix="0" xfId="49"/>
    <xf numFmtId="0" fontId="98" fillId="23" borderId="0" applyAlignment="1" pivotButton="0" quotePrefix="0" xfId="49">
      <alignment horizontal="right" wrapText="1"/>
    </xf>
    <xf numFmtId="0" fontId="124" fillId="0" borderId="0" pivotButton="0" quotePrefix="0" xfId="0"/>
    <xf numFmtId="0" fontId="87" fillId="0" borderId="31" pivotButton="0" quotePrefix="0" xfId="0"/>
    <xf numFmtId="170" fontId="98" fillId="23" borderId="31" applyAlignment="1" pivotButton="0" quotePrefix="0" xfId="98">
      <alignment horizontal="right"/>
    </xf>
    <xf numFmtId="170" fontId="98" fillId="23" borderId="0" applyAlignment="1" pivotButton="0" quotePrefix="0" xfId="98">
      <alignment horizontal="right"/>
    </xf>
    <xf numFmtId="0" fontId="87" fillId="0" borderId="30" pivotButton="0" quotePrefix="0" xfId="0"/>
    <xf numFmtId="170" fontId="87" fillId="0" borderId="30" pivotButton="0" quotePrefix="0" xfId="98"/>
    <xf numFmtId="170" fontId="98" fillId="23" borderId="30" applyAlignment="1" pivotButton="0" quotePrefix="0" xfId="98">
      <alignment horizontal="right"/>
    </xf>
    <xf numFmtId="0" fontId="99" fillId="21" borderId="12" applyAlignment="1" pivotButton="0" quotePrefix="0" xfId="49">
      <alignment horizontal="left"/>
    </xf>
    <xf numFmtId="0" fontId="97" fillId="0" borderId="0" applyAlignment="1" pivotButton="0" quotePrefix="0" xfId="51">
      <alignment vertical="center"/>
    </xf>
    <xf numFmtId="0" fontId="115" fillId="0" borderId="0" applyAlignment="1" pivotButton="0" quotePrefix="0" xfId="50">
      <alignment vertical="center"/>
    </xf>
    <xf numFmtId="0" fontId="98" fillId="0" borderId="31" applyAlignment="1" pivotButton="0" quotePrefix="0" xfId="49">
      <alignment horizontal="left"/>
    </xf>
    <xf numFmtId="182" fontId="87" fillId="0" borderId="31" applyAlignment="1" pivotButton="0" quotePrefix="0" xfId="58">
      <alignment horizontal="center"/>
    </xf>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0" fontId="124" fillId="19" borderId="0" pivotButton="0" quotePrefix="0" xfId="49"/>
    <xf numFmtId="0" fontId="87" fillId="0" borderId="0" applyAlignment="1" pivotButton="0" quotePrefix="0" xfId="49">
      <alignment horizontal="left" wrapText="1"/>
    </xf>
    <xf numFmtId="0" fontId="87" fillId="0" borderId="0" applyAlignment="1" pivotButton="0" quotePrefix="0" xfId="49">
      <alignment horizontal="center"/>
    </xf>
    <xf numFmtId="182" fontId="87" fillId="0" borderId="0" applyAlignment="1" pivotButton="0" quotePrefix="0" xfId="58">
      <alignment horizontal="center"/>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0" fontId="83" fillId="19" borderId="0" pivotButton="0" quotePrefix="0" xfId="49"/>
    <xf numFmtId="0" fontId="98" fillId="0" borderId="0" applyAlignment="1" pivotButton="0" quotePrefix="0" xfId="49">
      <alignment horizontal="center"/>
    </xf>
    <xf numFmtId="186" fontId="92"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0" fontId="93" fillId="0" borderId="0" pivotButton="0" quotePrefix="0" xfId="49"/>
    <xf numFmtId="0" fontId="93" fillId="0" borderId="0" applyAlignment="1" pivotButton="0" quotePrefix="0" xfId="49">
      <alignment wrapText="1"/>
    </xf>
    <xf numFmtId="169" fontId="92" fillId="0" borderId="30" applyAlignment="1" pivotButton="0" quotePrefix="0" xfId="105">
      <alignment horizontal="right"/>
    </xf>
    <xf numFmtId="0" fontId="87" fillId="0" borderId="0" applyAlignment="1" pivotButton="0" quotePrefix="0" xfId="49">
      <alignment wrapText="1"/>
    </xf>
    <xf numFmtId="0" fontId="93" fillId="0" borderId="0" pivotButton="0" quotePrefix="0" xfId="56"/>
    <xf numFmtId="0" fontId="93" fillId="0" borderId="0" applyAlignment="1" pivotButton="0" quotePrefix="0" xfId="56">
      <alignment wrapText="1"/>
    </xf>
    <xf numFmtId="0" fontId="98" fillId="0" borderId="0" applyAlignment="1" pivotButton="0" quotePrefix="0" xfId="49">
      <alignment horizontal="right" indent="1"/>
    </xf>
    <xf numFmtId="0" fontId="93" fillId="0" borderId="0" pivotButton="0" quotePrefix="0" xfId="56"/>
    <xf numFmtId="0" fontId="87" fillId="0" borderId="0" applyAlignment="1" pivotButton="0" quotePrefix="0" xfId="49">
      <alignment wrapText="1"/>
    </xf>
    <xf numFmtId="0" fontId="128" fillId="0" borderId="97" applyAlignment="1" pivotButton="0" quotePrefix="0" xfId="50">
      <alignment vertical="center"/>
    </xf>
    <xf numFmtId="0" fontId="148" fillId="0" borderId="97" applyAlignment="1" pivotButton="0" quotePrefix="0" xfId="50">
      <alignment vertical="center"/>
    </xf>
    <xf numFmtId="0" fontId="87" fillId="0" borderId="97" pivotButton="0" quotePrefix="0" xfId="49"/>
    <xf numFmtId="0" fontId="124" fillId="37" borderId="0" pivotButton="0" quotePrefix="0" xfId="49"/>
    <xf numFmtId="0" fontId="83" fillId="37" borderId="30" applyAlignment="1" pivotButton="0" quotePrefix="0" xfId="49">
      <alignment wrapText="1"/>
    </xf>
    <xf numFmtId="0" fontId="83" fillId="37" borderId="30" applyAlignment="1" pivotButton="0" quotePrefix="0" xfId="49">
      <alignment horizontal="center" wrapText="1"/>
    </xf>
    <xf numFmtId="0" fontId="181" fillId="37" borderId="30" applyAlignment="1" pivotButton="0" quotePrefix="0" xfId="49">
      <alignment horizontal="center" wrapText="1"/>
    </xf>
    <xf numFmtId="0" fontId="98" fillId="0" borderId="97" pivotButton="0" quotePrefix="0" xfId="0"/>
    <xf numFmtId="0" fontId="87" fillId="0" borderId="97" pivotButton="0" quotePrefix="0" xfId="0"/>
    <xf numFmtId="0" fontId="83" fillId="0" borderId="0" applyAlignment="1" pivotButton="0" quotePrefix="0" xfId="0">
      <alignment horizontal="left"/>
    </xf>
    <xf numFmtId="0" fontId="182" fillId="0" borderId="0" applyAlignment="1" pivotButton="0" quotePrefix="0" xfId="0">
      <alignment horizontal="left"/>
    </xf>
    <xf numFmtId="0" fontId="87" fillId="29" borderId="0" pivotButton="0" quotePrefix="0" xfId="0"/>
    <xf numFmtId="0" fontId="90" fillId="0" borderId="0" applyAlignment="1" pivotButton="0" quotePrefix="0" xfId="0">
      <alignment horizontal="left"/>
    </xf>
    <xf numFmtId="0" fontId="83" fillId="40" borderId="0" applyAlignment="1" pivotButton="0" quotePrefix="0" xfId="0">
      <alignment horizontal="left"/>
    </xf>
    <xf numFmtId="0" fontId="124" fillId="40" borderId="0" pivotButton="0" quotePrefix="0" xfId="0"/>
    <xf numFmtId="0" fontId="83" fillId="40" borderId="0" pivotButton="0" quotePrefix="0" xfId="49"/>
    <xf numFmtId="0" fontId="124" fillId="40" borderId="0" pivotButton="0" quotePrefix="0" xfId="49"/>
    <xf numFmtId="41" fontId="87" fillId="31" borderId="0" pivotButton="0" quotePrefix="0" xfId="49"/>
    <xf numFmtId="41" fontId="98" fillId="31" borderId="0" pivotButton="0" quotePrefix="0" xfId="49"/>
    <xf numFmtId="0" fontId="98" fillId="36" borderId="51" pivotButton="0" quotePrefix="0" xfId="0"/>
    <xf numFmtId="15" fontId="87" fillId="36" borderId="50" pivotButton="0" quotePrefix="0" xfId="0"/>
    <xf numFmtId="0" fontId="90" fillId="37" borderId="46" pivotButton="0" quotePrefix="0" xfId="0"/>
    <xf numFmtId="0" fontId="90" fillId="37" borderId="50" applyAlignment="1" pivotButton="0" quotePrefix="0" xfId="0">
      <alignment horizontal="center"/>
    </xf>
    <xf numFmtId="0" fontId="83" fillId="37" borderId="50" applyAlignment="1" pivotButton="0" quotePrefix="0" xfId="0">
      <alignment horizontal="center"/>
    </xf>
    <xf numFmtId="0" fontId="87" fillId="33" borderId="48" pivotButton="0" quotePrefix="0" xfId="0"/>
    <xf numFmtId="10" fontId="87" fillId="21" borderId="47" applyAlignment="1" pivotButton="0" quotePrefix="0" xfId="0">
      <alignment horizontal="center"/>
    </xf>
    <xf numFmtId="0" fontId="87" fillId="21" borderId="47" applyAlignment="1" pivotButton="0" quotePrefix="0" xfId="0">
      <alignment horizontal="center"/>
    </xf>
    <xf numFmtId="0" fontId="87" fillId="21" borderId="48" applyAlignment="1" pivotButton="0" quotePrefix="0" xfId="0">
      <alignment horizontal="left"/>
    </xf>
    <xf numFmtId="0" fontId="183" fillId="0" borderId="0" pivotButton="0" quotePrefix="0" xfId="49"/>
    <xf numFmtId="0" fontId="183" fillId="0" borderId="0" pivotButton="0" quotePrefix="0" xfId="49"/>
    <xf numFmtId="0" fontId="184" fillId="0" borderId="0" applyAlignment="1" pivotButton="0" quotePrefix="0" xfId="51">
      <alignment vertical="center"/>
    </xf>
    <xf numFmtId="0" fontId="184" fillId="0" borderId="0" applyAlignment="1" pivotButton="0" quotePrefix="0" xfId="51">
      <alignment horizontal="right" vertical="center"/>
    </xf>
    <xf numFmtId="0" fontId="185" fillId="0" borderId="0" pivotButton="0" quotePrefix="0" xfId="49"/>
    <xf numFmtId="0" fontId="186" fillId="0" borderId="0" applyAlignment="1" pivotButton="0" quotePrefix="0" xfId="50">
      <alignment vertical="center"/>
    </xf>
    <xf numFmtId="0" fontId="187" fillId="0" borderId="0" pivotButton="0" quotePrefix="0" xfId="49"/>
    <xf numFmtId="0" fontId="106" fillId="0" borderId="0" pivotButton="0" quotePrefix="0" xfId="49"/>
    <xf numFmtId="0" fontId="106" fillId="0" borderId="0" pivotButton="0" quotePrefix="0" xfId="49"/>
    <xf numFmtId="0" fontId="114" fillId="0" borderId="31" pivotButton="0" quotePrefix="0" xfId="49"/>
    <xf numFmtId="0" fontId="106" fillId="0" borderId="31" pivotButton="0" quotePrefix="0" xfId="49"/>
    <xf numFmtId="0" fontId="106" fillId="0" borderId="0" applyAlignment="1" pivotButton="0" quotePrefix="0" xfId="49">
      <alignment horizontal="left"/>
    </xf>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0" fontId="114" fillId="0" borderId="0" pivotButton="0" quotePrefix="0" xfId="49"/>
    <xf numFmtId="10" fontId="188" fillId="0" borderId="0" applyAlignment="1" pivotButton="0" quotePrefix="0" xfId="98">
      <alignment horizontal="right"/>
    </xf>
    <xf numFmtId="190" fontId="106" fillId="0" borderId="0" applyAlignment="1" pivotButton="0" quotePrefix="0" xfId="52">
      <alignment horizontal="right"/>
    </xf>
    <xf numFmtId="0" fontId="114" fillId="0" borderId="0" applyAlignment="1" pivotButton="0" quotePrefix="0" xfId="49">
      <alignment horizontal="left"/>
    </xf>
    <xf numFmtId="0" fontId="114" fillId="0" borderId="0" applyAlignment="1" pivotButton="0" quotePrefix="1" xfId="49">
      <alignment horizontal="left"/>
    </xf>
    <xf numFmtId="189" fontId="114" fillId="0" borderId="0" applyAlignment="1" pivotButton="0" quotePrefix="0" xfId="52">
      <alignment horizontal="right"/>
    </xf>
    <xf numFmtId="10" fontId="189" fillId="0" borderId="0" applyAlignment="1" pivotButton="0" quotePrefix="0" xfId="98">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0" fontId="114" fillId="0" borderId="34" applyAlignment="1" pivotButton="0" quotePrefix="0" xfId="49">
      <alignment horizontal="left"/>
    </xf>
    <xf numFmtId="187" fontId="114" fillId="0" borderId="34" applyAlignment="1" pivotButton="0" quotePrefix="0" xfId="52">
      <alignment horizontal="right"/>
    </xf>
    <xf numFmtId="188" fontId="189" fillId="0" borderId="34" applyAlignment="1" pivotButton="0" quotePrefix="0" xfId="54">
      <alignment horizontal="right"/>
    </xf>
    <xf numFmtId="0" fontId="114" fillId="0" borderId="34" pivotButton="0" quotePrefix="0" xfId="49"/>
    <xf numFmtId="177" fontId="189" fillId="0" borderId="34" applyAlignment="1" pivotButton="0" quotePrefix="0" xfId="54">
      <alignment horizontal="right"/>
    </xf>
    <xf numFmtId="42" fontId="114" fillId="0" borderId="34" applyAlignment="1" pivotButton="0" quotePrefix="0" xfId="52">
      <alignment horizontal="right"/>
    </xf>
    <xf numFmtId="0" fontId="188" fillId="0" borderId="0" applyAlignment="1" pivotButton="0" quotePrefix="0" xfId="49">
      <alignment horizontal="left" indent="1"/>
    </xf>
    <xf numFmtId="0" fontId="188" fillId="0" borderId="0" applyAlignment="1" pivotButton="0" quotePrefix="0" xfId="49">
      <alignment horizontal="left"/>
    </xf>
    <xf numFmtId="189" fontId="188" fillId="0" borderId="0" applyAlignment="1" pivotButton="0" quotePrefix="0" xfId="52">
      <alignment horizontal="right"/>
    </xf>
    <xf numFmtId="0" fontId="188" fillId="0" borderId="0" pivotButton="0" quotePrefix="0" xfId="49"/>
    <xf numFmtId="42" fontId="188" fillId="0" borderId="0" applyAlignment="1" pivotButton="0" quotePrefix="0" xfId="52">
      <alignment horizontal="right"/>
    </xf>
    <xf numFmtId="10" fontId="189" fillId="0" borderId="34" applyAlignment="1" pivotButton="0" quotePrefix="0" xfId="98">
      <alignment horizontal="right"/>
    </xf>
    <xf numFmtId="41" fontId="188" fillId="0" borderId="0" applyAlignment="1" pivotButton="0" quotePrefix="0" xfId="52">
      <alignment horizontal="right"/>
    </xf>
    <xf numFmtId="188" fontId="106" fillId="0" borderId="0" pivotButton="0" quotePrefix="0" xfId="49"/>
    <xf numFmtId="49" fontId="114" fillId="0" borderId="44" applyAlignment="1" pivotButton="0" quotePrefix="0" xfId="52">
      <alignment horizontal="center"/>
    </xf>
    <xf numFmtId="42" fontId="114" fillId="0" borderId="44" applyAlignment="1" pivotButton="0" quotePrefix="0" xfId="52">
      <alignment horizontal="right"/>
    </xf>
    <xf numFmtId="0" fontId="114" fillId="0" borderId="44" applyAlignment="1" pivotButton="0" quotePrefix="1" xfId="49">
      <alignment horizontal="center"/>
    </xf>
    <xf numFmtId="0" fontId="114" fillId="0" borderId="30" pivotButton="0" quotePrefix="0" xfId="49"/>
    <xf numFmtId="10" fontId="114" fillId="0" borderId="45" applyAlignment="1" pivotButton="0" quotePrefix="0" xfId="54">
      <alignment horizontal="center"/>
    </xf>
    <xf numFmtId="10" fontId="106" fillId="0" borderId="30" pivotButton="0" quotePrefix="0" xfId="49"/>
    <xf numFmtId="0" fontId="106" fillId="0" borderId="30" pivotButton="0" quotePrefix="0" xfId="49"/>
    <xf numFmtId="10" fontId="106" fillId="0" borderId="0" pivotButton="0" quotePrefix="0" xfId="49"/>
    <xf numFmtId="0" fontId="190" fillId="0" borderId="0" pivotButton="0" quotePrefix="0" xfId="96"/>
    <xf numFmtId="0" fontId="91" fillId="0" borderId="0" pivotButton="0" quotePrefix="0" xfId="96"/>
    <xf numFmtId="178" fontId="191" fillId="0" borderId="0" applyAlignment="1" pivotButton="0" quotePrefix="1" xfId="92">
      <alignment vertical="center"/>
    </xf>
    <xf numFmtId="0" fontId="191" fillId="0" borderId="0" applyAlignment="1" pivotButton="0" quotePrefix="0" xfId="56">
      <alignment wrapText="1"/>
    </xf>
    <xf numFmtId="0" fontId="191" fillId="0" borderId="0" pivotButton="0" quotePrefix="0" xfId="56"/>
    <xf numFmtId="0" fontId="188" fillId="0" borderId="0" pivotButton="0" quotePrefix="0" xfId="49"/>
    <xf numFmtId="0" fontId="112" fillId="37" borderId="0" pivotButton="0" quotePrefix="0" xfId="49"/>
    <xf numFmtId="0" fontId="192" fillId="37" borderId="0" applyAlignment="1" pivotButton="0" quotePrefix="1" xfId="46">
      <alignment horizontal="centerContinuous"/>
    </xf>
    <xf numFmtId="0" fontId="192" fillId="37" borderId="0" applyAlignment="1" pivotButton="0" quotePrefix="0" xfId="46">
      <alignment horizontal="centerContinuous"/>
    </xf>
    <xf numFmtId="0" fontId="112" fillId="37" borderId="0" pivotButton="0" quotePrefix="0" xfId="49"/>
    <xf numFmtId="0" fontId="192" fillId="37" borderId="0" pivotButton="0" quotePrefix="0" xfId="46"/>
    <xf numFmtId="0" fontId="113" fillId="37" borderId="0" applyAlignment="1" pivotButton="0" quotePrefix="0" xfId="49">
      <alignment horizontal="center"/>
    </xf>
    <xf numFmtId="0" fontId="113" fillId="37" borderId="0" applyAlignment="1" pivotButton="0" quotePrefix="0" xfId="49">
      <alignment horizontal="center"/>
    </xf>
    <xf numFmtId="0" fontId="192" fillId="37" borderId="0" applyAlignment="1" pivotButton="0" quotePrefix="0" xfId="46">
      <alignment horizontal="center"/>
    </xf>
    <xf numFmtId="0" fontId="87" fillId="0" borderId="0" applyAlignment="1" pivotButton="0" quotePrefix="0" xfId="49">
      <alignment wrapText="1"/>
    </xf>
    <xf numFmtId="0" fontId="87" fillId="0" borderId="54" applyAlignment="1" pivotButton="0" quotePrefix="0" xfId="49">
      <alignment horizontal="left"/>
    </xf>
    <xf numFmtId="14" fontId="87" fillId="0" borderId="31" pivotButton="0" quotePrefix="0" xfId="49"/>
    <xf numFmtId="41" fontId="87" fillId="0" borderId="31" applyAlignment="1" pivotButton="0" quotePrefix="0" xfId="105">
      <alignment horizontal="right"/>
    </xf>
    <xf numFmtId="10" fontId="87" fillId="0" borderId="31" pivotButton="0" quotePrefix="0" xfId="98"/>
    <xf numFmtId="14" fontId="87" fillId="0" borderId="0" pivotButton="0" quotePrefix="0" xfId="49"/>
    <xf numFmtId="0" fontId="83" fillId="37" borderId="0" applyAlignment="1" pivotButton="0" quotePrefix="0" xfId="49">
      <alignment wrapText="1"/>
    </xf>
    <xf numFmtId="0" fontId="83" fillId="37" borderId="0" applyAlignment="1" pivotButton="0" quotePrefix="0" xfId="49">
      <alignment horizontal="left" wrapText="1"/>
    </xf>
    <xf numFmtId="41" fontId="83" fillId="37" borderId="0" applyAlignment="1" pivotButton="0" quotePrefix="0" xfId="49">
      <alignment wrapText="1"/>
    </xf>
    <xf numFmtId="41" fontId="83" fillId="37" borderId="0" applyAlignment="1" pivotButton="0" quotePrefix="0" xfId="49">
      <alignment horizontal="right" wrapText="1"/>
    </xf>
    <xf numFmtId="0" fontId="162" fillId="0" borderId="0" pivotButton="0" quotePrefix="0" xfId="113"/>
    <xf numFmtId="0" fontId="196" fillId="0" borderId="0" pivotButton="0" quotePrefix="0" xfId="0"/>
    <xf numFmtId="0" fontId="197" fillId="0" borderId="0" pivotButton="0" quotePrefix="0" xfId="0"/>
    <xf numFmtId="0" fontId="198" fillId="0" borderId="0" pivotButton="0" quotePrefix="0" xfId="0"/>
    <xf numFmtId="0" fontId="199" fillId="0" borderId="0" pivotButton="0" quotePrefix="0" xfId="0"/>
    <xf numFmtId="0" fontId="200" fillId="19" borderId="0" applyAlignment="1" pivotButton="0" quotePrefix="0" xfId="51">
      <alignment vertical="center"/>
    </xf>
    <xf numFmtId="0" fontId="201" fillId="19" borderId="0" pivotButton="0" quotePrefix="0" xfId="0"/>
    <xf numFmtId="0" fontId="202" fillId="19" borderId="0" pivotButton="0" quotePrefix="0" xfId="0"/>
    <xf numFmtId="166" fontId="114" fillId="23" borderId="0" pivotButton="0" quotePrefix="0" xfId="0"/>
    <xf numFmtId="166" fontId="188" fillId="23" borderId="0" pivotButton="0" quotePrefix="0" xfId="0"/>
    <xf numFmtId="0" fontId="203" fillId="0" borderId="0" pivotButton="0" quotePrefix="0" xfId="0"/>
    <xf numFmtId="0" fontId="114" fillId="0" borderId="0" applyAlignment="1" pivotButton="0" quotePrefix="0" xfId="0">
      <alignment vertical="center"/>
    </xf>
    <xf numFmtId="0" fontId="197" fillId="31" borderId="0" pivotButton="0" quotePrefix="0" xfId="0"/>
    <xf numFmtId="0" fontId="105" fillId="19" borderId="0" pivotButton="0" quotePrefix="0" xfId="0"/>
    <xf numFmtId="0" fontId="191" fillId="19" borderId="0" pivotButton="0" quotePrefix="0" xfId="0"/>
    <xf numFmtId="0" fontId="106" fillId="19" borderId="0" pivotButton="0" quotePrefix="0" xfId="0"/>
    <xf numFmtId="0" fontId="204" fillId="0" borderId="0" pivotButton="0" quotePrefix="0" xfId="0"/>
    <xf numFmtId="0" fontId="105" fillId="0" borderId="0" pivotButton="0" quotePrefix="0" xfId="0"/>
    <xf numFmtId="0" fontId="105" fillId="0" borderId="0" applyAlignment="1" pivotButton="0" quotePrefix="0" xfId="0">
      <alignment wrapText="1"/>
    </xf>
    <xf numFmtId="0" fontId="197" fillId="0" borderId="0" applyAlignment="1" pivotButton="0" quotePrefix="0" xfId="0">
      <alignment wrapText="1"/>
    </xf>
    <xf numFmtId="0" fontId="105" fillId="0" borderId="55" applyAlignment="1" pivotButton="0" quotePrefix="0" xfId="0">
      <alignment horizontal="center" vertical="center"/>
    </xf>
    <xf numFmtId="0" fontId="105" fillId="31" borderId="0" pivotButton="0" quotePrefix="0" xfId="0"/>
    <xf numFmtId="0" fontId="105" fillId="31" borderId="27" pivotButton="0" quotePrefix="0" xfId="0"/>
    <xf numFmtId="0" fontId="105" fillId="0" borderId="49" applyAlignment="1" pivotButton="0" quotePrefix="0" xfId="0">
      <alignment horizontal="center" vertical="center"/>
    </xf>
    <xf numFmtId="0" fontId="105" fillId="31" borderId="57" pivotButton="0" quotePrefix="0" xfId="0"/>
    <xf numFmtId="0" fontId="105" fillId="31" borderId="47" pivotButton="0" quotePrefix="0" xfId="0"/>
    <xf numFmtId="0" fontId="109" fillId="27" borderId="55" applyAlignment="1" pivotButton="0" quotePrefix="0" xfId="0">
      <alignment wrapText="1"/>
    </xf>
    <xf numFmtId="0" fontId="109" fillId="27" borderId="0" applyAlignment="1" pivotButton="0" quotePrefix="0" xfId="0">
      <alignment vertical="center" wrapText="1"/>
    </xf>
    <xf numFmtId="0" fontId="109" fillId="27" borderId="0" applyAlignment="1" pivotButton="0" quotePrefix="0" xfId="0">
      <alignment wrapText="1"/>
    </xf>
    <xf numFmtId="0" fontId="109" fillId="27" borderId="27" applyAlignment="1" pivotButton="0" quotePrefix="0" xfId="0">
      <alignment horizontal="center"/>
    </xf>
    <xf numFmtId="0" fontId="109" fillId="27" borderId="27" applyAlignment="1" pivotButton="0" quotePrefix="0" xfId="0">
      <alignment wrapText="1"/>
    </xf>
    <xf numFmtId="0" fontId="109" fillId="27" borderId="55" applyAlignment="1" pivotButton="0" quotePrefix="0" xfId="0">
      <alignment vertical="center" wrapText="1"/>
    </xf>
    <xf numFmtId="0" fontId="105" fillId="31" borderId="55" pivotButton="0" quotePrefix="0" xfId="0"/>
    <xf numFmtId="0" fontId="105" fillId="31" borderId="49" pivotButton="0" quotePrefix="0" xfId="0"/>
    <xf numFmtId="0" fontId="109" fillId="27" borderId="55" pivotButton="0" quotePrefix="0" xfId="0"/>
    <xf numFmtId="0" fontId="109" fillId="27" borderId="0" pivotButton="0" quotePrefix="0" xfId="0"/>
    <xf numFmtId="0" fontId="109" fillId="27" borderId="0" applyAlignment="1" pivotButton="0" quotePrefix="0" xfId="0">
      <alignment horizontal="center"/>
    </xf>
    <xf numFmtId="41" fontId="105" fillId="0" borderId="0" applyAlignment="1" pivotButton="0" quotePrefix="0" xfId="105">
      <alignment horizontal="left"/>
    </xf>
    <xf numFmtId="41" fontId="105" fillId="0" borderId="57" applyAlignment="1" pivotButton="0" quotePrefix="0" xfId="105">
      <alignment horizontal="left"/>
    </xf>
    <xf numFmtId="0" fontId="105" fillId="0" borderId="0" applyAlignment="1" pivotButton="0" quotePrefix="0" xfId="0">
      <alignment vertical="center"/>
    </xf>
    <xf numFmtId="0" fontId="109" fillId="27" borderId="0" applyAlignment="1" pivotButton="0" quotePrefix="0" xfId="0">
      <alignment horizontal="center" wrapText="1"/>
    </xf>
    <xf numFmtId="0" fontId="109" fillId="27" borderId="27" applyAlignment="1" pivotButton="0" quotePrefix="0" xfId="0">
      <alignment horizontal="center" wrapText="1"/>
    </xf>
    <xf numFmtId="41" fontId="105" fillId="31" borderId="0" applyAlignment="1" pivotButton="0" quotePrefix="0" xfId="105">
      <alignment horizontal="left"/>
    </xf>
    <xf numFmtId="41" fontId="105" fillId="31" borderId="57" applyAlignment="1" pivotButton="0" quotePrefix="0" xfId="105">
      <alignment horizontal="left"/>
    </xf>
    <xf numFmtId="0" fontId="197" fillId="0" borderId="97" pivotButton="0" quotePrefix="0" xfId="0"/>
    <xf numFmtId="0" fontId="201" fillId="19" borderId="97" pivotButton="0" quotePrefix="0" xfId="0"/>
    <xf numFmtId="0" fontId="109" fillId="37" borderId="0" pivotButton="0" quotePrefix="0" xfId="0"/>
    <xf numFmtId="0" fontId="109" fillId="40" borderId="53" applyAlignment="1" pivotButton="0" quotePrefix="0" xfId="0">
      <alignment wrapText="1"/>
    </xf>
    <xf numFmtId="0" fontId="109" fillId="40" borderId="54" applyAlignment="1" pivotButton="0" quotePrefix="0" xfId="0">
      <alignment vertical="center" wrapText="1"/>
    </xf>
    <xf numFmtId="0" fontId="109" fillId="40" borderId="54" applyAlignment="1" pivotButton="0" quotePrefix="0" xfId="0">
      <alignment wrapText="1"/>
    </xf>
    <xf numFmtId="0" fontId="109" fillId="40" borderId="52" applyAlignment="1" pivotButton="0" quotePrefix="0" xfId="0">
      <alignment wrapText="1"/>
    </xf>
    <xf numFmtId="0" fontId="109" fillId="40" borderId="53" pivotButton="0" quotePrefix="0" xfId="0"/>
    <xf numFmtId="0" fontId="109" fillId="40" borderId="54" applyAlignment="1" pivotButton="0" quotePrefix="0" xfId="0">
      <alignment vertical="center"/>
    </xf>
    <xf numFmtId="0" fontId="109" fillId="40" borderId="54" pivotButton="0" quotePrefix="0" xfId="0"/>
    <xf numFmtId="0" fontId="109" fillId="40" borderId="52" pivotButton="0" quotePrefix="0" xfId="0"/>
    <xf numFmtId="0" fontId="163" fillId="40" borderId="0" applyAlignment="1" pivotButton="0" quotePrefix="0" xfId="177">
      <alignment vertical="top"/>
    </xf>
    <xf numFmtId="0" fontId="164" fillId="40" borderId="0" applyAlignment="1" pivotButton="0" quotePrefix="0" xfId="177">
      <alignment vertical="top"/>
    </xf>
    <xf numFmtId="0" fontId="163" fillId="37" borderId="0" applyAlignment="1" pivotButton="0" quotePrefix="0" xfId="177">
      <alignment vertical="top"/>
    </xf>
    <xf numFmtId="0" fontId="164" fillId="37" borderId="0" applyAlignment="1" pivotButton="0" quotePrefix="0" xfId="177">
      <alignment vertical="top"/>
    </xf>
    <xf numFmtId="0" fontId="162" fillId="0" borderId="0" applyAlignment="1" pivotButton="0" quotePrefix="0" xfId="177">
      <alignment horizontal="center" vertical="top"/>
    </xf>
    <xf numFmtId="0" fontId="164" fillId="37" borderId="0" applyAlignment="1" pivotButton="0" quotePrefix="0" xfId="177">
      <alignment horizontal="center" vertical="top"/>
    </xf>
    <xf numFmtId="0" fontId="164" fillId="40" borderId="0" applyAlignment="1" pivotButton="0" quotePrefix="0" xfId="177">
      <alignment horizontal="center" vertical="top"/>
    </xf>
    <xf numFmtId="0" fontId="165" fillId="22" borderId="57" applyAlignment="1" pivotButton="0" quotePrefix="0" xfId="177">
      <alignment vertical="top"/>
    </xf>
    <xf numFmtId="0" fontId="165" fillId="22" borderId="57" applyAlignment="1" pivotButton="0" quotePrefix="0" xfId="177">
      <alignment horizontal="center" vertical="top"/>
    </xf>
    <xf numFmtId="0" fontId="98" fillId="35" borderId="53" pivotButton="0" quotePrefix="0" xfId="49"/>
    <xf numFmtId="0" fontId="87" fillId="35" borderId="54" pivotButton="0" quotePrefix="0" xfId="49"/>
    <xf numFmtId="0" fontId="87" fillId="35" borderId="52" pivotButton="0" quotePrefix="0" xfId="49"/>
    <xf numFmtId="0" fontId="87" fillId="0" borderId="55" pivotButton="0" quotePrefix="1" xfId="49"/>
    <xf numFmtId="170" fontId="87" fillId="0" borderId="27" pivotButton="0" quotePrefix="0" xfId="98"/>
    <xf numFmtId="0" fontId="87" fillId="0" borderId="55" pivotButton="0" quotePrefix="0" xfId="49"/>
    <xf numFmtId="0" fontId="87" fillId="0" borderId="49" pivotButton="0" quotePrefix="0" xfId="49"/>
    <xf numFmtId="170" fontId="87" fillId="0" borderId="57" pivotButton="0" quotePrefix="0" xfId="98"/>
    <xf numFmtId="170" fontId="87" fillId="0" borderId="47" pivotButton="0" quotePrefix="0" xfId="98"/>
    <xf numFmtId="0" fontId="98" fillId="0" borderId="55" pivotButton="0" quotePrefix="0" xfId="49"/>
    <xf numFmtId="0" fontId="87" fillId="0" borderId="27" pivotButton="0" quotePrefix="0" xfId="49"/>
    <xf numFmtId="0" fontId="87" fillId="23" borderId="55" pivotButton="0" quotePrefix="0" xfId="49"/>
    <xf numFmtId="41" fontId="87" fillId="23" borderId="27" pivotButton="0" quotePrefix="0" xfId="49"/>
    <xf numFmtId="0" fontId="87" fillId="23" borderId="49" pivotButton="0" quotePrefix="0" xfId="49"/>
    <xf numFmtId="41" fontId="87" fillId="23" borderId="47" pivotButton="0" quotePrefix="0" xfId="49"/>
    <xf numFmtId="41" fontId="98" fillId="0" borderId="0" pivotButton="0" quotePrefix="0" xfId="49"/>
    <xf numFmtId="41" fontId="98" fillId="0" borderId="27" pivotButton="0" quotePrefix="0" xfId="49"/>
    <xf numFmtId="0" fontId="98" fillId="0" borderId="53" pivotButton="0" quotePrefix="0" xfId="49"/>
    <xf numFmtId="41" fontId="98" fillId="0" borderId="52" pivotButton="0" quotePrefix="0" xfId="49"/>
    <xf numFmtId="0" fontId="98" fillId="0" borderId="53" pivotButton="0" quotePrefix="0" xfId="49"/>
    <xf numFmtId="41" fontId="98" fillId="0" borderId="52" pivotButton="0" quotePrefix="0" xfId="105"/>
    <xf numFmtId="41" fontId="98" fillId="0" borderId="52" pivotButton="0" quotePrefix="0" xfId="49"/>
    <xf numFmtId="0" fontId="87" fillId="0" borderId="47" pivotButton="0" quotePrefix="0" xfId="49"/>
    <xf numFmtId="9" fontId="162" fillId="31" borderId="0" applyAlignment="1" pivotButton="0" quotePrefix="0" xfId="177">
      <alignment horizontal="center" vertical="top"/>
    </xf>
    <xf numFmtId="0" fontId="162" fillId="31" borderId="0" applyAlignment="1" pivotButton="0" quotePrefix="0" xfId="177">
      <alignment horizontal="center" vertical="top"/>
    </xf>
    <xf numFmtId="0" fontId="162" fillId="42" borderId="0" applyAlignment="1" pivotButton="0" quotePrefix="0" xfId="177">
      <alignment vertical="top"/>
    </xf>
    <xf numFmtId="0" fontId="18" fillId="0" borderId="0" pivotButton="0" quotePrefix="0" xfId="0"/>
    <xf numFmtId="0" fontId="98" fillId="35" borderId="0" pivotButton="0" quotePrefix="0" xfId="0"/>
    <xf numFmtId="9" fontId="87" fillId="0" borderId="0" pivotButton="0" quotePrefix="0" xfId="98"/>
    <xf numFmtId="0" fontId="87" fillId="0" borderId="0" applyProtection="1" pivotButton="0" quotePrefix="1" xfId="49">
      <protection locked="0" hidden="0"/>
    </xf>
    <xf numFmtId="0" fontId="87" fillId="26" borderId="0" pivotButton="0" quotePrefix="0" xfId="0"/>
    <xf numFmtId="0" fontId="83" fillId="48" borderId="0" pivotButton="0" quotePrefix="0" xfId="0"/>
    <xf numFmtId="0" fontId="124" fillId="48" borderId="0" pivotButton="0" quotePrefix="0" xfId="0"/>
    <xf numFmtId="41" fontId="87" fillId="47" borderId="0" applyAlignment="1" pivotButton="0" quotePrefix="0" xfId="105">
      <alignment horizontal="right"/>
    </xf>
    <xf numFmtId="0" fontId="83" fillId="37" borderId="99" pivotButton="0" quotePrefix="0" xfId="0"/>
    <xf numFmtId="0" fontId="83" fillId="37" borderId="100" applyAlignment="1" pivotButton="0" quotePrefix="0" xfId="0">
      <alignment horizontal="right"/>
    </xf>
    <xf numFmtId="41" fontId="87" fillId="47" borderId="27" applyAlignment="1" pivotButton="0" quotePrefix="0" xfId="105">
      <alignment horizontal="right"/>
    </xf>
    <xf numFmtId="164" fontId="102" fillId="0" borderId="51" applyAlignment="1" pivotButton="0" quotePrefix="0" xfId="112">
      <alignment horizontal="left"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41" fontId="87" fillId="0" borderId="27" applyAlignment="1" pivotButton="0" quotePrefix="0" xfId="105">
      <alignment horizontal="right"/>
    </xf>
    <xf numFmtId="0" fontId="87" fillId="0" borderId="53" pivotButton="0" quotePrefix="0" xfId="0"/>
    <xf numFmtId="0" fontId="98" fillId="0" borderId="51" pivotButton="0" quotePrefix="0" xfId="0"/>
    <xf numFmtId="41" fontId="98" fillId="0" borderId="76" applyAlignment="1" pivotButton="0" quotePrefix="0" xfId="105">
      <alignment horizontal="right"/>
    </xf>
    <xf numFmtId="41" fontId="98" fillId="0" borderId="50" applyAlignment="1" pivotButton="0" quotePrefix="0" xfId="105">
      <alignment horizontal="right"/>
    </xf>
    <xf numFmtId="0" fontId="98" fillId="0" borderId="76" applyAlignment="1" pivotButton="0" quotePrefix="0" xfId="105">
      <alignment horizontal="right"/>
    </xf>
    <xf numFmtId="165" fontId="118" fillId="35" borderId="0" applyAlignment="1" pivotButton="0" quotePrefix="0" xfId="53">
      <alignment horizontal="right"/>
    </xf>
    <xf numFmtId="0" fontId="205" fillId="0" borderId="46" applyAlignment="1" pivotButton="0" quotePrefix="0" xfId="176">
      <alignment horizontal="left" vertical="center"/>
    </xf>
    <xf numFmtId="0" fontId="206" fillId="0" borderId="46" applyAlignment="1" pivotButton="0" quotePrefix="0" xfId="0">
      <alignment vertical="center"/>
    </xf>
    <xf numFmtId="0" fontId="207" fillId="49" borderId="0" applyAlignment="1" pivotButton="0" quotePrefix="0" xfId="0">
      <alignment horizontal="left" vertical="center" wrapText="1"/>
    </xf>
    <xf numFmtId="0" fontId="207" fillId="49" borderId="0" applyAlignment="1" pivotButton="0" quotePrefix="0" xfId="0">
      <alignment horizontal="right" vertical="center" wrapText="1"/>
    </xf>
    <xf numFmtId="0" fontId="162" fillId="32" borderId="0" pivotButton="0" quotePrefix="0" xfId="113"/>
    <xf numFmtId="0" fontId="83" fillId="37" borderId="49" pivotButton="0" quotePrefix="0" xfId="0"/>
    <xf numFmtId="0" fontId="83" fillId="37" borderId="57" pivotButton="0" quotePrefix="0" xfId="0"/>
    <xf numFmtId="0" fontId="83" fillId="37" borderId="57" applyAlignment="1" pivotButton="0" quotePrefix="0" xfId="0">
      <alignment horizontal="right"/>
    </xf>
    <xf numFmtId="0" fontId="83" fillId="37" borderId="47" applyAlignment="1" pivotButton="0" quotePrefix="0" xfId="0">
      <alignment horizontal="right" wrapText="1"/>
    </xf>
    <xf numFmtId="0" fontId="87" fillId="50" borderId="0" pivotButton="0" quotePrefix="0" xfId="49"/>
    <xf numFmtId="0" fontId="208" fillId="51" borderId="46" pivotButton="0" quotePrefix="0" xfId="0"/>
    <xf numFmtId="0" fontId="208" fillId="51" borderId="46" applyAlignment="1" pivotButton="0" quotePrefix="0" xfId="0">
      <alignment horizontal="center"/>
    </xf>
    <xf numFmtId="10" fontId="208" fillId="51" borderId="46" applyAlignment="1" pivotButton="0" quotePrefix="0" xfId="0">
      <alignment horizontal="center"/>
    </xf>
    <xf numFmtId="0" fontId="208" fillId="0" borderId="46" pivotButton="0" quotePrefix="0" xfId="0"/>
    <xf numFmtId="0" fontId="208" fillId="0" borderId="46" applyAlignment="1" pivotButton="0" quotePrefix="0" xfId="0">
      <alignment horizontal="center"/>
    </xf>
    <xf numFmtId="10" fontId="208" fillId="0" borderId="46" applyAlignment="1" pivotButton="0" quotePrefix="0" xfId="0">
      <alignment horizontal="center"/>
    </xf>
    <xf numFmtId="0" fontId="0" fillId="0" borderId="0" applyAlignment="1" pivotButton="0" quotePrefix="0" xfId="0">
      <alignment horizontal="left" wrapText="1"/>
    </xf>
    <xf numFmtId="0" fontId="209" fillId="49" borderId="46" applyAlignment="1" pivotButton="0" quotePrefix="0" xfId="0">
      <alignment horizontal="left" wrapText="1"/>
    </xf>
    <xf numFmtId="9" fontId="87" fillId="26" borderId="0" applyAlignment="1" applyProtection="1" pivotButton="0" quotePrefix="0" xfId="49">
      <alignment horizontal="left"/>
      <protection locked="0" hidden="0"/>
    </xf>
    <xf numFmtId="172" fontId="80" fillId="0" borderId="0" applyAlignment="1" pivotButton="0" quotePrefix="0" xfId="119">
      <alignment horizontal="right"/>
    </xf>
    <xf numFmtId="172" fontId="80" fillId="0" borderId="27"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0" fontId="117" fillId="19" borderId="0" applyAlignment="1" pivotButton="0" quotePrefix="0" xfId="0">
      <alignment horizontal="left"/>
    </xf>
    <xf numFmtId="9" fontId="80" fillId="19" borderId="0" applyAlignment="1" pivotButton="0" quotePrefix="0" xfId="98">
      <alignment horizontal="center"/>
    </xf>
    <xf numFmtId="9" fontId="80" fillId="19" borderId="0" applyAlignment="1" pivotButton="0" quotePrefix="0" xfId="98">
      <alignment horizontal="left"/>
    </xf>
    <xf numFmtId="9" fontId="117" fillId="19" borderId="0" applyAlignment="1" pivotButton="0" quotePrefix="0" xfId="0">
      <alignment horizontal="left"/>
    </xf>
    <xf numFmtId="0" fontId="80" fillId="19" borderId="57"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0" fontId="80" fillId="32" borderId="0" applyAlignment="1" pivotButton="0" quotePrefix="0" xfId="0">
      <alignment horizontal="left"/>
    </xf>
    <xf numFmtId="41" fontId="87" fillId="0" borderId="27" pivotButton="0" quotePrefix="0" xfId="105"/>
    <xf numFmtId="170" fontId="117" fillId="0" borderId="0" pivotButton="0" quotePrefix="0" xfId="98"/>
    <xf numFmtId="0" fontId="87" fillId="47" borderId="0" pivotButton="0" quotePrefix="0" xfId="49"/>
    <xf numFmtId="41" fontId="87" fillId="47" borderId="0" pivotButton="0" quotePrefix="0" xfId="105"/>
    <xf numFmtId="0" fontId="96" fillId="26" borderId="0" pivotButton="0" quotePrefix="0" xfId="0"/>
    <xf numFmtId="0" fontId="96" fillId="26" borderId="0" applyProtection="1" pivotButton="0" quotePrefix="1" xfId="49">
      <protection locked="0" hidden="0"/>
    </xf>
    <xf numFmtId="0" fontId="163" fillId="43" borderId="0" applyAlignment="1" pivotButton="0" quotePrefix="0" xfId="0">
      <alignment vertical="top"/>
    </xf>
    <xf numFmtId="0" fontId="163" fillId="43" borderId="0" pivotButton="0" quotePrefix="0" xfId="0"/>
    <xf numFmtId="0" fontId="163" fillId="43" borderId="0" applyAlignment="1" pivotButton="0" quotePrefix="0" xfId="0">
      <alignment vertical="top" wrapText="1"/>
    </xf>
    <xf numFmtId="0" fontId="163" fillId="43" borderId="0" applyAlignment="1" pivotButton="0" quotePrefix="0" xfId="0">
      <alignment wrapText="1"/>
    </xf>
    <xf numFmtId="0" fontId="197" fillId="0" borderId="0" applyAlignment="1" pivotButton="0" quotePrefix="0" xfId="0">
      <alignment vertical="top"/>
    </xf>
    <xf numFmtId="0" fontId="197" fillId="0" borderId="0" applyAlignment="1" pivotButton="0" quotePrefix="0" xfId="0">
      <alignment vertical="top" wrapText="1"/>
    </xf>
    <xf numFmtId="0" fontId="197" fillId="36" borderId="57" pivotButton="0" quotePrefix="0" xfId="49"/>
    <xf numFmtId="0" fontId="197" fillId="0" borderId="57" applyAlignment="1" pivotButton="0" quotePrefix="0" xfId="96">
      <alignment horizontal="center"/>
    </xf>
    <xf numFmtId="0" fontId="197" fillId="0" borderId="0" pivotButton="0" quotePrefix="0" xfId="49"/>
    <xf numFmtId="0" fontId="197" fillId="0" borderId="0" applyAlignment="1" pivotButton="0" quotePrefix="0" xfId="96">
      <alignment horizontal="center"/>
    </xf>
    <xf numFmtId="0" fontId="217" fillId="36" borderId="76" applyProtection="1" pivotButton="0" quotePrefix="0" xfId="49">
      <protection locked="0" hidden="0"/>
    </xf>
    <xf numFmtId="0" fontId="96" fillId="26" borderId="0" applyProtection="1" pivotButton="0" quotePrefix="0" xfId="49">
      <protection locked="0" hidden="0"/>
    </xf>
    <xf numFmtId="173" fontId="96" fillId="26" borderId="0" applyProtection="1" pivotButton="0" quotePrefix="0" xfId="49">
      <protection locked="0" hidden="0"/>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0" fontId="87" fillId="0" borderId="0" applyAlignment="1" applyProtection="1" pivotButton="0" quotePrefix="0" xfId="49">
      <alignment horizontal="left"/>
      <protection locked="0" hidden="0"/>
    </xf>
    <xf numFmtId="0" fontId="96" fillId="26" borderId="0" applyAlignment="1" applyProtection="1" pivotButton="0" quotePrefix="1" xfId="49">
      <alignment horizontal="left"/>
      <protection locked="0" hidden="0"/>
    </xf>
    <xf numFmtId="180" fontId="96" fillId="26" borderId="0" applyProtection="1" pivotButton="0" quotePrefix="0" xfId="49">
      <protection locked="0" hidden="0"/>
    </xf>
    <xf numFmtId="41" fontId="96" fillId="26" borderId="0" applyAlignment="1" applyProtection="1" pivotButton="0" quotePrefix="0" xfId="105">
      <alignment horizontal="right"/>
      <protection locked="0" hidden="0"/>
    </xf>
    <xf numFmtId="41" fontId="211" fillId="36" borderId="57" applyAlignment="1" pivotButton="0" quotePrefix="0" xfId="105">
      <alignment horizontal="left"/>
    </xf>
    <xf numFmtId="9" fontId="96" fillId="26" borderId="0" pivotButton="0" quotePrefix="0" xfId="0"/>
    <xf numFmtId="9" fontId="96" fillId="26" borderId="0" applyProtection="1" pivotButton="0" quotePrefix="0" xfId="98">
      <protection locked="0" hidden="0"/>
    </xf>
    <xf numFmtId="9" fontId="96" fillId="26" borderId="0" pivotButton="0" quotePrefix="0" xfId="98"/>
    <xf numFmtId="172" fontId="117" fillId="0" borderId="27" applyAlignment="1" pivotButton="0" quotePrefix="0" xfId="119">
      <alignment horizontal="right"/>
    </xf>
    <xf numFmtId="9" fontId="96" fillId="0" borderId="0" pivotButton="0" quotePrefix="0" xfId="98"/>
    <xf numFmtId="41" fontId="96" fillId="0" borderId="0" pivotButton="0" quotePrefix="0" xfId="105"/>
    <xf numFmtId="41" fontId="96" fillId="26" borderId="0" pivotButton="0" quotePrefix="0" xfId="105"/>
    <xf numFmtId="9" fontId="96" fillId="0" borderId="0" applyAlignment="1" pivotButton="0" quotePrefix="0" xfId="0">
      <alignment horizontal="center"/>
    </xf>
    <xf numFmtId="0" fontId="98" fillId="22" borderId="0" applyProtection="1" pivotButton="0" quotePrefix="0" xfId="49">
      <protection locked="0" hidden="0"/>
    </xf>
    <xf numFmtId="9" fontId="87" fillId="22" borderId="0" applyAlignment="1" pivotButton="0" quotePrefix="0" xfId="0">
      <alignment horizontal="center"/>
    </xf>
    <xf numFmtId="41" fontId="87" fillId="22" borderId="0" applyAlignment="1" pivotButton="0" quotePrefix="0" xfId="105">
      <alignment horizontal="center"/>
    </xf>
    <xf numFmtId="166" fontId="83" fillId="40" borderId="0" applyAlignment="1" pivotButton="0" quotePrefix="0" xfId="0">
      <alignment horizontal="right"/>
    </xf>
    <xf numFmtId="0" fontId="87" fillId="0" borderId="0" applyProtection="1" pivotButton="0" quotePrefix="0" xfId="49">
      <protection locked="0" hidden="0"/>
    </xf>
    <xf numFmtId="41" fontId="87" fillId="0" borderId="0" applyAlignment="1" pivotButton="0" quotePrefix="0" xfId="105">
      <alignment horizontal="center"/>
    </xf>
    <xf numFmtId="0" fontId="94" fillId="0" borderId="0" applyProtection="1" pivotButton="0" quotePrefix="0" xfId="49">
      <protection locked="0" hidden="0"/>
    </xf>
    <xf numFmtId="9" fontId="95" fillId="0" borderId="0" applyAlignment="1" pivotButton="0" quotePrefix="0" xfId="0">
      <alignment horizontal="center"/>
    </xf>
    <xf numFmtId="0" fontId="80" fillId="0" borderId="0" applyAlignment="1" pivotButton="0" quotePrefix="0" xfId="178">
      <alignment vertical="top" wrapText="1"/>
    </xf>
    <xf numFmtId="0" fontId="120" fillId="0" borderId="0" applyAlignment="1" pivotButton="0" quotePrefix="0" xfId="178">
      <alignment vertical="top" wrapText="1"/>
    </xf>
    <xf numFmtId="172" fontId="80" fillId="19" borderId="0" applyAlignment="1" pivotButton="0" quotePrefix="0" xfId="119">
      <alignment horizontal="left"/>
    </xf>
    <xf numFmtId="41" fontId="80" fillId="19" borderId="0" applyAlignment="1" pivotButton="0" quotePrefix="0" xfId="105">
      <alignment horizontal="left"/>
    </xf>
    <xf numFmtId="172" fontId="82" fillId="47" borderId="57" applyAlignment="1" pivotButton="0" quotePrefix="0" xfId="119">
      <alignment horizontal="right"/>
    </xf>
    <xf numFmtId="172" fontId="82" fillId="47" borderId="47" applyAlignment="1" pivotButton="0" quotePrefix="0" xfId="119">
      <alignment horizontal="right"/>
    </xf>
    <xf numFmtId="172" fontId="82" fillId="0" borderId="0" applyAlignment="1" pivotButton="0" quotePrefix="0" xfId="119">
      <alignment horizontal="right"/>
    </xf>
    <xf numFmtId="170" fontId="117" fillId="0" borderId="0" pivotButton="0" quotePrefix="0" xfId="49"/>
    <xf numFmtId="0" fontId="87" fillId="22" borderId="0" applyProtection="1" pivotButton="0" quotePrefix="0" xfId="49">
      <protection locked="0" hidden="0"/>
    </xf>
    <xf numFmtId="9" fontId="87" fillId="22" borderId="0" pivotButton="0" quotePrefix="0" xfId="98"/>
    <xf numFmtId="0" fontId="87" fillId="32" borderId="46" applyAlignment="1" pivotButton="0" quotePrefix="0" xfId="0">
      <alignment horizontal="center"/>
    </xf>
    <xf numFmtId="0" fontId="120" fillId="19" borderId="0" applyAlignment="1" pivotButton="0" quotePrefix="0" xfId="0">
      <alignment horizontal="left"/>
    </xf>
    <xf numFmtId="9" fontId="117" fillId="19" borderId="0" applyAlignment="1" pivotButton="0" quotePrefix="0" xfId="0">
      <alignment horizontal="center"/>
    </xf>
    <xf numFmtId="9" fontId="96" fillId="26" borderId="0" applyProtection="1" pivotButton="0" quotePrefix="0" xfId="49">
      <protection locked="0" hidden="0"/>
    </xf>
    <xf numFmtId="172" fontId="80" fillId="0" borderId="66" applyAlignment="1" pivotButton="0" quotePrefix="0" xfId="119">
      <alignment horizontal="right"/>
    </xf>
    <xf numFmtId="0" fontId="117" fillId="22" borderId="0" applyAlignment="1" pivotButton="0" quotePrefix="0" xfId="0">
      <alignment horizontal="right"/>
    </xf>
    <xf numFmtId="0" fontId="218" fillId="0" borderId="0" applyAlignment="1" pivotButton="0" quotePrefix="0" xfId="0">
      <alignment horizontal="center"/>
    </xf>
    <xf numFmtId="0" fontId="93" fillId="0" borderId="0" applyAlignment="1" pivotButton="0" quotePrefix="0" xfId="0">
      <alignment horizontal="center"/>
    </xf>
    <xf numFmtId="0" fontId="93" fillId="0" borderId="96" applyAlignment="1" pivotButton="0" quotePrefix="0" xfId="0">
      <alignment horizontal="center"/>
    </xf>
    <xf numFmtId="170" fontId="117" fillId="19" borderId="0" pivotButton="0" quotePrefix="0" xfId="98"/>
    <xf numFmtId="170" fontId="117" fillId="0" borderId="0" pivotButton="0" quotePrefix="0" xfId="98"/>
    <xf numFmtId="170" fontId="117" fillId="19" borderId="27" pivotButton="0" quotePrefix="0" xfId="98"/>
    <xf numFmtId="170" fontId="117" fillId="19" borderId="0" pivotButton="0" quotePrefix="0" xfId="98"/>
    <xf numFmtId="170" fontId="117" fillId="19" borderId="57" pivotButton="0" quotePrefix="0" xfId="98"/>
    <xf numFmtId="170" fontId="117" fillId="19" borderId="47" pivotButton="0" quotePrefix="0" xfId="98"/>
    <xf numFmtId="9" fontId="87" fillId="0" borderId="27" applyAlignment="1" pivotButton="0" quotePrefix="0" xfId="98">
      <alignment horizontal="right"/>
    </xf>
    <xf numFmtId="0" fontId="93" fillId="0" borderId="54" applyAlignment="1" pivotButton="0" quotePrefix="0" xfId="0">
      <alignment horizontal="center"/>
    </xf>
    <xf numFmtId="41" fontId="87" fillId="0" borderId="54" pivotButton="0" quotePrefix="0" xfId="105"/>
    <xf numFmtId="0" fontId="83" fillId="40" borderId="0" pivotButton="0" quotePrefix="0" xfId="0"/>
    <xf numFmtId="0" fontId="219" fillId="40" borderId="0" applyAlignment="1" pivotButton="0" quotePrefix="0" xfId="0">
      <alignment horizontal="center"/>
    </xf>
    <xf numFmtId="9" fontId="80" fillId="22" borderId="0" applyAlignment="1" pivotButton="0" quotePrefix="0" xfId="98">
      <alignment horizontal="right"/>
    </xf>
    <xf numFmtId="170" fontId="80" fillId="22" borderId="0" pivotButton="0" quotePrefix="0" xfId="98"/>
    <xf numFmtId="170" fontId="80" fillId="22" borderId="57" pivotButton="0" quotePrefix="0" xfId="98"/>
    <xf numFmtId="41" fontId="117" fillId="31" borderId="0" applyAlignment="1" pivotButton="0" quotePrefix="0" xfId="105">
      <alignment horizontal="right"/>
    </xf>
    <xf numFmtId="172" fontId="80" fillId="47" borderId="0" applyAlignment="1" pivotButton="0" quotePrefix="0" xfId="119">
      <alignment horizontal="right"/>
    </xf>
    <xf numFmtId="170" fontId="117" fillId="31" borderId="0" pivotButton="0" quotePrefix="0" xfId="98"/>
    <xf numFmtId="172" fontId="117" fillId="31" borderId="0" applyAlignment="1" pivotButton="0" quotePrefix="0" xfId="119">
      <alignment horizontal="right"/>
    </xf>
    <xf numFmtId="172" fontId="118" fillId="31" borderId="63" applyAlignment="1" pivotButton="0" quotePrefix="0" xfId="119">
      <alignment horizontal="right"/>
    </xf>
    <xf numFmtId="9" fontId="87" fillId="0" borderId="0" pivotButton="0" quotePrefix="0" xfId="0"/>
    <xf numFmtId="170" fontId="87" fillId="26" borderId="0" applyAlignment="1" applyProtection="1" pivotButton="0" quotePrefix="0" xfId="49">
      <alignment horizontal="right"/>
      <protection locked="0" hidden="0"/>
    </xf>
    <xf numFmtId="0" fontId="106" fillId="0" borderId="57" pivotButton="0" quotePrefix="0" xfId="0"/>
    <xf numFmtId="0" fontId="114" fillId="0" borderId="57" applyAlignment="1" pivotButton="0" quotePrefix="0" xfId="0">
      <alignment horizontal="right"/>
    </xf>
    <xf numFmtId="0" fontId="114" fillId="36" borderId="57" applyAlignment="1" pivotButton="0" quotePrefix="0" xfId="0">
      <alignment horizontal="right"/>
    </xf>
    <xf numFmtId="0" fontId="114" fillId="35" borderId="57" applyAlignment="1" pivotButton="0" quotePrefix="0" xfId="0">
      <alignment horizontal="right"/>
    </xf>
    <xf numFmtId="0" fontId="106" fillId="0" borderId="53" pivotButton="0" quotePrefix="0" xfId="0"/>
    <xf numFmtId="0" fontId="106" fillId="0" borderId="55" pivotButton="0" quotePrefix="0" xfId="0"/>
    <xf numFmtId="0" fontId="114" fillId="0" borderId="0" applyAlignment="1" pivotButton="0" quotePrefix="0" xfId="0">
      <alignment horizontal="right"/>
    </xf>
    <xf numFmtId="0" fontId="114" fillId="36" borderId="0" applyAlignment="1" pivotButton="0" quotePrefix="0" xfId="0">
      <alignment horizontal="right"/>
    </xf>
    <xf numFmtId="0" fontId="114" fillId="35" borderId="0" applyAlignment="1" pivotButton="0" quotePrefix="0" xfId="0">
      <alignment horizontal="right"/>
    </xf>
    <xf numFmtId="0" fontId="114" fillId="35" borderId="27" applyAlignment="1" pivotButton="0" quotePrefix="0" xfId="0">
      <alignment horizontal="right"/>
    </xf>
    <xf numFmtId="0" fontId="114" fillId="35" borderId="47" applyAlignment="1" pivotButton="0" quotePrefix="0" xfId="0">
      <alignment horizontal="right"/>
    </xf>
    <xf numFmtId="0" fontId="106" fillId="36" borderId="0" pivotButton="0" quotePrefix="0" xfId="0"/>
    <xf numFmtId="0" fontId="106" fillId="35" borderId="0" pivotButton="0" quotePrefix="0" xfId="0"/>
    <xf numFmtId="0" fontId="106" fillId="35" borderId="27" pivotButton="0" quotePrefix="0" xfId="0"/>
    <xf numFmtId="0" fontId="106" fillId="0" borderId="49" pivotButton="0" quotePrefix="0" xfId="0"/>
    <xf numFmtId="0" fontId="106" fillId="0" borderId="47" pivotButton="0" quotePrefix="0" xfId="0"/>
    <xf numFmtId="9" fontId="114" fillId="0" borderId="76" pivotButton="0" quotePrefix="0" xfId="98"/>
    <xf numFmtId="9" fontId="114" fillId="0" borderId="50" pivotButton="0" quotePrefix="0" xfId="98"/>
    <xf numFmtId="9" fontId="113" fillId="37" borderId="0" applyAlignment="1" pivotButton="0" quotePrefix="0" xfId="0">
      <alignment horizontal="right"/>
    </xf>
    <xf numFmtId="41" fontId="106" fillId="47" borderId="57" pivotButton="0" quotePrefix="0" xfId="105"/>
    <xf numFmtId="41" fontId="106" fillId="47" borderId="47" pivotButton="0" quotePrefix="0" xfId="105"/>
    <xf numFmtId="0" fontId="221" fillId="0" borderId="0"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164" fontId="80" fillId="0" borderId="55" applyAlignment="1" pivotButton="0" quotePrefix="0" xfId="112">
      <alignment horizontal="left" vertical="center"/>
    </xf>
    <xf numFmtId="164" fontId="82" fillId="0" borderId="51" applyAlignment="1" pivotButton="0" quotePrefix="0" xfId="112">
      <alignment horizontal="left"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0" fontId="222" fillId="0" borderId="0" pivotButton="0" quotePrefix="0" xfId="0"/>
    <xf numFmtId="0" fontId="87" fillId="35" borderId="46" pivotButton="0" quotePrefix="0" xfId="0"/>
    <xf numFmtId="0" fontId="106" fillId="35" borderId="0" applyAlignment="1" pivotButton="0" quotePrefix="0" xfId="0">
      <alignment horizontal="left"/>
    </xf>
    <xf numFmtId="41" fontId="106" fillId="35" borderId="0" applyAlignment="1" pivotButton="0" quotePrefix="0" xfId="105">
      <alignment horizontal="left"/>
    </xf>
    <xf numFmtId="49" fontId="96" fillId="26" borderId="0" applyProtection="1" pivotButton="0" quotePrefix="1" xfId="49">
      <protection locked="0" hidden="0"/>
    </xf>
    <xf numFmtId="0" fontId="224" fillId="0" borderId="0" pivotButton="0" quotePrefix="0" xfId="0"/>
    <xf numFmtId="0" fontId="226" fillId="0" borderId="0" pivotButton="0" quotePrefix="0" xfId="0"/>
    <xf numFmtId="0" fontId="83" fillId="40" borderId="53" pivotButton="0" quotePrefix="0" xfId="0"/>
    <xf numFmtId="0" fontId="83" fillId="40" borderId="54" applyAlignment="1" pivotButton="0" quotePrefix="0" xfId="0">
      <alignment horizontal="right"/>
    </xf>
    <xf numFmtId="0" fontId="83" fillId="40" borderId="52" applyAlignment="1" pivotButton="0" quotePrefix="0" xfId="0">
      <alignment horizontal="right"/>
    </xf>
    <xf numFmtId="0" fontId="80" fillId="32" borderId="76" pivotButton="0" quotePrefix="0" xfId="0"/>
    <xf numFmtId="172" fontId="80" fillId="32" borderId="76" pivotButton="0" quotePrefix="0" xfId="0"/>
    <xf numFmtId="0" fontId="228" fillId="32" borderId="51" applyAlignment="1" pivotButton="0" quotePrefix="0" xfId="0">
      <alignment horizontal="left"/>
    </xf>
    <xf numFmtId="0" fontId="228" fillId="32" borderId="76" pivotButton="0" quotePrefix="0" xfId="0"/>
    <xf numFmtId="172" fontId="228" fillId="32" borderId="76" pivotButton="0" quotePrefix="0" xfId="0"/>
    <xf numFmtId="170" fontId="228" fillId="32" borderId="76" pivotButton="0" quotePrefix="0" xfId="120"/>
    <xf numFmtId="170" fontId="228" fillId="32" borderId="50" pivotButton="0" quotePrefix="0" xfId="120"/>
    <xf numFmtId="0" fontId="229" fillId="19" borderId="0" pivotButton="0" quotePrefix="0" xfId="0"/>
    <xf numFmtId="0" fontId="228" fillId="32" borderId="51" pivotButton="0" quotePrefix="0" xfId="0"/>
    <xf numFmtId="170" fontId="80" fillId="32" borderId="76" pivotButton="0" quotePrefix="0" xfId="98"/>
    <xf numFmtId="41" fontId="80" fillId="32" borderId="76" pivotButton="0" quotePrefix="0" xfId="105"/>
    <xf numFmtId="41" fontId="80" fillId="32" borderId="50" pivotButton="0" quotePrefix="0" xfId="105"/>
    <xf numFmtId="9" fontId="106" fillId="35" borderId="0" applyAlignment="1" pivotButton="0" quotePrefix="0" xfId="98">
      <alignment horizontal="left"/>
    </xf>
    <xf numFmtId="41" fontId="87" fillId="47" borderId="0" pivotButton="0" quotePrefix="0" xfId="105"/>
    <xf numFmtId="0" fontId="230" fillId="0" borderId="0" pivotButton="0" quotePrefix="0" xfId="0"/>
    <xf numFmtId="0" fontId="106" fillId="26" borderId="55" pivotButton="0" quotePrefix="0" xfId="0"/>
    <xf numFmtId="9" fontId="106" fillId="26" borderId="27" pivotButton="0" quotePrefix="0" xfId="0"/>
    <xf numFmtId="0" fontId="106" fillId="26" borderId="49" pivotButton="0" quotePrefix="0" xfId="0"/>
    <xf numFmtId="0" fontId="106" fillId="26" borderId="47" pivotButton="0" quotePrefix="0" xfId="0"/>
    <xf numFmtId="0" fontId="231" fillId="26" borderId="53" pivotButton="0" quotePrefix="0" xfId="0"/>
    <xf numFmtId="0" fontId="231" fillId="26" borderId="52" pivotButton="0" quotePrefix="0" xfId="0"/>
    <xf numFmtId="0" fontId="232" fillId="26" borderId="53" pivotButton="0" quotePrefix="0" xfId="0"/>
    <xf numFmtId="0" fontId="106" fillId="26" borderId="52" pivotButton="0" quotePrefix="0" xfId="0"/>
    <xf numFmtId="0" fontId="232" fillId="26" borderId="55" pivotButton="0" quotePrefix="0" xfId="0"/>
    <xf numFmtId="0" fontId="106" fillId="26" borderId="27" pivotButton="0" quotePrefix="0" xfId="0"/>
    <xf numFmtId="0" fontId="232" fillId="26" borderId="49" pivotButton="0" quotePrefix="0" xfId="0"/>
    <xf numFmtId="0" fontId="114" fillId="0" borderId="0" pivotButton="0" quotePrefix="0" xfId="0"/>
    <xf numFmtId="191" fontId="188" fillId="0" borderId="0" applyAlignment="1" applyProtection="1" pivotButton="0" quotePrefix="0" xfId="55">
      <alignment horizontal="left"/>
      <protection locked="0" hidden="0"/>
    </xf>
    <xf numFmtId="0" fontId="223" fillId="0" borderId="0" pivotButton="0" quotePrefix="0" xfId="0"/>
    <xf numFmtId="0" fontId="224" fillId="0" borderId="101" pivotButton="0" quotePrefix="0" xfId="0"/>
    <xf numFmtId="0" fontId="106" fillId="0" borderId="102" pivotButton="0" quotePrefix="0" xfId="0"/>
    <xf numFmtId="0" fontId="106" fillId="0" borderId="104" pivotButton="0" quotePrefix="0" xfId="0"/>
    <xf numFmtId="0" fontId="106" fillId="0" borderId="106" pivotButton="0" quotePrefix="0" xfId="0"/>
    <xf numFmtId="0" fontId="106" fillId="0" borderId="107" pivotButton="0" quotePrefix="0" xfId="0"/>
    <xf numFmtId="0" fontId="224" fillId="0" borderId="104" pivotButton="0" quotePrefix="0" xfId="0"/>
    <xf numFmtId="0" fontId="223" fillId="0" borderId="0" applyAlignment="1" pivotButton="0" quotePrefix="0" xfId="0">
      <alignment horizontal="justify" vertical="center" readingOrder="1"/>
    </xf>
    <xf numFmtId="0" fontId="233" fillId="0" borderId="0" applyAlignment="1" pivotButton="0" quotePrefix="0" xfId="0">
      <alignment horizontal="center"/>
    </xf>
    <xf numFmtId="0" fontId="207" fillId="54" borderId="0" applyAlignment="1" pivotButton="0" quotePrefix="0" xfId="0">
      <alignment horizontal="center"/>
    </xf>
    <xf numFmtId="0" fontId="225" fillId="0" borderId="0" applyAlignment="1" pivotButton="0" quotePrefix="0" xfId="0">
      <alignment horizontal="left" vertical="center" readingOrder="1"/>
    </xf>
    <xf numFmtId="0" fontId="207" fillId="55" borderId="0" applyAlignment="1" pivotButton="0" quotePrefix="0" xfId="0">
      <alignment horizontal="center"/>
    </xf>
    <xf numFmtId="0" fontId="207" fillId="40" borderId="0" applyAlignment="1" pivotButton="0" quotePrefix="0" xfId="0">
      <alignment horizontal="center"/>
    </xf>
    <xf numFmtId="0" fontId="83" fillId="56" borderId="0" pivotButton="0" quotePrefix="0" xfId="0"/>
    <xf numFmtId="0" fontId="220" fillId="0" borderId="0" pivotButton="0" quotePrefix="0" xfId="0"/>
    <xf numFmtId="0" fontId="106" fillId="0" borderId="103" pivotButton="0" quotePrefix="0" xfId="0"/>
    <xf numFmtId="0" fontId="106" fillId="0" borderId="105" pivotButton="0" quotePrefix="0" xfId="0"/>
    <xf numFmtId="0" fontId="207" fillId="0" borderId="105" applyAlignment="1" pivotButton="0" quotePrefix="0" xfId="0">
      <alignment horizontal="center"/>
    </xf>
    <xf numFmtId="0" fontId="224" fillId="0" borderId="105" pivotButton="0" quotePrefix="0" xfId="0"/>
    <xf numFmtId="0" fontId="83" fillId="0" borderId="105" pivotButton="0" quotePrefix="0" xfId="0"/>
    <xf numFmtId="0" fontId="220" fillId="0" borderId="105" pivotButton="0" quotePrefix="0" xfId="0"/>
    <xf numFmtId="0" fontId="106" fillId="0" borderId="108" pivotButton="0" quotePrefix="0" xfId="0"/>
    <xf numFmtId="0" fontId="207" fillId="57" borderId="0" applyAlignment="1" pivotButton="0" quotePrefix="0" xfId="0">
      <alignment horizontal="center"/>
    </xf>
    <xf numFmtId="0" fontId="227" fillId="0" borderId="0" applyAlignment="1" pivotButton="0" quotePrefix="0" xfId="0">
      <alignment horizontal="left" vertical="center" readingOrder="1"/>
    </xf>
    <xf numFmtId="0" fontId="227" fillId="0" borderId="105" applyAlignment="1" pivotButton="0" quotePrefix="0" xfId="0">
      <alignment horizontal="left" vertical="center" readingOrder="1"/>
    </xf>
    <xf numFmtId="0" fontId="233" fillId="0" borderId="0" pivotButton="0" quotePrefix="0" xfId="0"/>
    <xf numFmtId="0" fontId="223" fillId="0" borderId="105" pivotButton="0" quotePrefix="0" xfId="0"/>
    <xf numFmtId="0" fontId="223" fillId="0" borderId="105" applyAlignment="1" pivotButton="0" quotePrefix="0" xfId="0">
      <alignment horizontal="justify" vertical="center" readingOrder="1"/>
    </xf>
    <xf numFmtId="0" fontId="106" fillId="0" borderId="101" pivotButton="0" quotePrefix="0" xfId="0"/>
    <xf numFmtId="0" fontId="112" fillId="54" borderId="0" pivotButton="0" quotePrefix="0" xfId="0"/>
    <xf numFmtId="0" fontId="234" fillId="54" borderId="0" pivotButton="0" quotePrefix="0" xfId="0"/>
    <xf numFmtId="0" fontId="234" fillId="0" borderId="0" pivotButton="0" quotePrefix="0" xfId="0"/>
    <xf numFmtId="0" fontId="235" fillId="54" borderId="0" applyAlignment="1" pivotButton="0" quotePrefix="0" xfId="0">
      <alignment horizontal="center"/>
    </xf>
    <xf numFmtId="0" fontId="235" fillId="37" borderId="0" applyAlignment="1" pivotButton="0" quotePrefix="0" xfId="0">
      <alignment horizontal="center"/>
    </xf>
    <xf numFmtId="0" fontId="235" fillId="55" borderId="0" applyAlignment="1" pivotButton="0" quotePrefix="0" xfId="0">
      <alignment horizontal="center"/>
    </xf>
    <xf numFmtId="0" fontId="235" fillId="40" borderId="0" applyAlignment="1" pivotButton="0" quotePrefix="0" xfId="0">
      <alignment horizontal="center"/>
    </xf>
    <xf numFmtId="0" fontId="112" fillId="0" borderId="0" pivotButton="0" quotePrefix="0" xfId="0"/>
    <xf numFmtId="0" fontId="236" fillId="0" borderId="0" applyAlignment="1" pivotButton="0" quotePrefix="0" xfId="0">
      <alignment horizontal="center"/>
    </xf>
    <xf numFmtId="0" fontId="237" fillId="0" borderId="0" applyAlignment="1" pivotButton="0" quotePrefix="0" xfId="0">
      <alignment horizontal="center"/>
    </xf>
    <xf numFmtId="0" fontId="238" fillId="0" borderId="0" pivotButton="0" quotePrefix="0" xfId="0"/>
    <xf numFmtId="9" fontId="80" fillId="0" borderId="0" pivotButton="0" quotePrefix="0" xfId="98"/>
    <xf numFmtId="167" fontId="82" fillId="0" borderId="57" pivotButton="0" quotePrefix="0" xfId="127"/>
    <xf numFmtId="167" fontId="82" fillId="0" borderId="47" pivotButton="0" quotePrefix="0" xfId="127"/>
    <xf numFmtId="0" fontId="80" fillId="0" borderId="49" pivotButton="0" quotePrefix="0" xfId="126"/>
    <xf numFmtId="167" fontId="80" fillId="0" borderId="57" pivotButton="0" quotePrefix="0" xfId="127"/>
    <xf numFmtId="167" fontId="87" fillId="0" borderId="57" pivotButton="0" quotePrefix="0" xfId="127"/>
    <xf numFmtId="167" fontId="87" fillId="0" borderId="47" pivotButton="0" quotePrefix="0" xfId="127"/>
    <xf numFmtId="172" fontId="80" fillId="35" borderId="52" pivotButton="0" quotePrefix="0" xfId="127"/>
    <xf numFmtId="0" fontId="82" fillId="35" borderId="49" pivotButton="0" quotePrefix="0" xfId="126"/>
    <xf numFmtId="0" fontId="82" fillId="35" borderId="57" pivotButton="0" quotePrefix="0" xfId="126"/>
    <xf numFmtId="167" fontId="82" fillId="35" borderId="57" pivotButton="0" quotePrefix="0" xfId="127"/>
    <xf numFmtId="172" fontId="80" fillId="35" borderId="47" pivotButton="0" quotePrefix="0" xfId="127"/>
    <xf numFmtId="41" fontId="87" fillId="0" borderId="54" applyAlignment="1" pivotButton="0" quotePrefix="0" xfId="105">
      <alignment horizontal="right"/>
    </xf>
    <xf numFmtId="41" fontId="87" fillId="0" borderId="52" applyAlignment="1" pivotButton="0" quotePrefix="0" xfId="105">
      <alignment horizontal="right"/>
    </xf>
    <xf numFmtId="170" fontId="87" fillId="0" borderId="27" applyAlignment="1" pivotButton="0" quotePrefix="0" xfId="98">
      <alignment horizontal="right"/>
    </xf>
    <xf numFmtId="165" fontId="101" fillId="0" borderId="0" applyAlignment="1" pivotButton="0" quotePrefix="0" xfId="53">
      <alignment horizontal="right"/>
    </xf>
    <xf numFmtId="0" fontId="233" fillId="0" borderId="0" applyAlignment="1" pivotButton="0" quotePrefix="0" xfId="0">
      <alignment horizontal="left"/>
    </xf>
    <xf numFmtId="0" fontId="232" fillId="0" borderId="0" pivotButton="0" quotePrefix="0" xfId="0"/>
    <xf numFmtId="14" fontId="106" fillId="0" borderId="0" pivotButton="0" quotePrefix="0" xfId="0"/>
    <xf numFmtId="0" fontId="239" fillId="0" borderId="0" pivotButton="0" quotePrefix="0" xfId="0"/>
    <xf numFmtId="41" fontId="106" fillId="0" borderId="0" pivotButton="0" quotePrefix="0" xfId="105"/>
    <xf numFmtId="170" fontId="87" fillId="0" borderId="0" pivotButton="0" quotePrefix="0" xfId="49"/>
    <xf numFmtId="0" fontId="87" fillId="58" borderId="0" pivotButton="0" quotePrefix="0" xfId="56"/>
    <xf numFmtId="0" fontId="165" fillId="0" borderId="0" pivotButton="0" quotePrefix="0" xfId="180"/>
    <xf numFmtId="0" fontId="162" fillId="0" borderId="0" applyAlignment="1" pivotButton="0" quotePrefix="0" xfId="180">
      <alignment vertical="top"/>
    </xf>
    <xf numFmtId="0" fontId="162" fillId="0" borderId="0" pivotButton="0" quotePrefix="0" xfId="180"/>
    <xf numFmtId="0" fontId="162" fillId="0" borderId="0" applyAlignment="1" pivotButton="0" quotePrefix="0" xfId="180">
      <alignment vertical="top" wrapText="1"/>
    </xf>
    <xf numFmtId="0" fontId="204" fillId="0" borderId="0" applyAlignment="1" pivotButton="0" quotePrefix="0" xfId="180">
      <alignment vertical="top" wrapText="1"/>
    </xf>
    <xf numFmtId="0" fontId="162" fillId="0" borderId="0" applyAlignment="1" pivotButton="0" quotePrefix="0" xfId="180">
      <alignment horizontal="center"/>
    </xf>
    <xf numFmtId="192" fontId="91" fillId="0" borderId="0" applyAlignment="1" pivotButton="0" quotePrefix="0" xfId="181">
      <alignment wrapText="1"/>
    </xf>
    <xf numFmtId="17" fontId="162" fillId="0" borderId="0" pivotButton="0" quotePrefix="0" xfId="180"/>
    <xf numFmtId="0" fontId="162" fillId="0" borderId="0" applyAlignment="1" pivotButton="0" quotePrefix="0" xfId="180">
      <alignment wrapText="1"/>
    </xf>
    <xf numFmtId="0" fontId="193" fillId="0" borderId="0" applyAlignment="1" pivotButton="0" quotePrefix="0" xfId="180">
      <alignment horizontal="center" vertical="top" wrapText="1"/>
    </xf>
    <xf numFmtId="0" fontId="193" fillId="0" borderId="0" pivotButton="0" quotePrefix="0" xfId="180"/>
    <xf numFmtId="0" fontId="193" fillId="0" borderId="0" applyAlignment="1" pivotButton="0" quotePrefix="0" xfId="180">
      <alignment horizontal="center"/>
    </xf>
    <xf numFmtId="0" fontId="214" fillId="0" borderId="0" pivotButton="0" quotePrefix="0" xfId="180"/>
    <xf numFmtId="0" fontId="193" fillId="0" borderId="0" applyAlignment="1" pivotButton="0" quotePrefix="0" xfId="180">
      <alignment wrapText="1"/>
    </xf>
    <xf numFmtId="0" fontId="217" fillId="36" borderId="0" pivotButton="0" quotePrefix="0" xfId="0"/>
    <xf numFmtId="0" fontId="163" fillId="43" borderId="0" applyAlignment="1" pivotButton="0" quotePrefix="0" xfId="180">
      <alignment vertical="top"/>
    </xf>
    <xf numFmtId="0" fontId="163" fillId="43" borderId="0" pivotButton="0" quotePrefix="0" xfId="180"/>
    <xf numFmtId="0" fontId="163" fillId="43" borderId="0" applyAlignment="1" pivotButton="0" quotePrefix="0" xfId="180">
      <alignment vertical="top" wrapText="1"/>
    </xf>
    <xf numFmtId="0" fontId="163" fillId="43" borderId="0" applyAlignment="1" pivotButton="0" quotePrefix="0" xfId="180">
      <alignment horizontal="center"/>
    </xf>
    <xf numFmtId="0" fontId="163" fillId="43" borderId="0" applyAlignment="1" pivotButton="0" quotePrefix="0" xfId="180">
      <alignment wrapText="1"/>
    </xf>
    <xf numFmtId="173" fontId="165" fillId="44" borderId="0" pivotButton="0" quotePrefix="0" xfId="180"/>
    <xf numFmtId="0" fontId="165" fillId="44" borderId="0" applyAlignment="1" pivotButton="0" quotePrefix="0" xfId="180">
      <alignment vertical="top"/>
    </xf>
    <xf numFmtId="0" fontId="162" fillId="44" borderId="0" applyAlignment="1" pivotButton="0" quotePrefix="0" xfId="180">
      <alignment vertical="top" wrapText="1"/>
    </xf>
    <xf numFmtId="0" fontId="162" fillId="44" borderId="0" pivotButton="0" quotePrefix="0" xfId="180"/>
    <xf numFmtId="0" fontId="162" fillId="44" borderId="0" applyAlignment="1" pivotButton="0" quotePrefix="0" xfId="180">
      <alignment horizontal="center"/>
    </xf>
    <xf numFmtId="0" fontId="162" fillId="44" borderId="0" applyAlignment="1" pivotButton="0" quotePrefix="0" xfId="180">
      <alignment wrapText="1"/>
    </xf>
    <xf numFmtId="173" fontId="165" fillId="0" borderId="0" pivotButton="0" quotePrefix="0" xfId="180"/>
    <xf numFmtId="0" fontId="162" fillId="45" borderId="0" applyAlignment="1" pivotButton="0" quotePrefix="0" xfId="180">
      <alignment vertical="top" wrapText="1"/>
    </xf>
    <xf numFmtId="0" fontId="162" fillId="45" borderId="0" applyAlignment="1" pivotButton="0" quotePrefix="0" xfId="180">
      <alignment horizontal="left" vertical="top" wrapText="1"/>
    </xf>
    <xf numFmtId="0" fontId="165" fillId="0" borderId="0" applyAlignment="1" pivotButton="0" quotePrefix="0" xfId="180">
      <alignment vertical="top" wrapText="1"/>
    </xf>
    <xf numFmtId="0" fontId="197" fillId="0" borderId="57" applyAlignment="1" pivotButton="0" quotePrefix="0" xfId="180">
      <alignment vertical="top" wrapText="1"/>
    </xf>
    <xf numFmtId="0" fontId="197" fillId="0" borderId="57" pivotButton="0" quotePrefix="0" xfId="180"/>
    <xf numFmtId="0" fontId="211" fillId="36" borderId="57" pivotButton="0" quotePrefix="0" xfId="180"/>
    <xf numFmtId="0" fontId="197" fillId="0" borderId="57" applyAlignment="1" pivotButton="0" quotePrefix="0" xfId="180">
      <alignment wrapText="1"/>
    </xf>
    <xf numFmtId="0" fontId="197" fillId="0" borderId="0" applyAlignment="1" pivotButton="0" quotePrefix="0" xfId="180">
      <alignment wrapText="1"/>
    </xf>
    <xf numFmtId="0" fontId="197" fillId="0" borderId="0" pivotButton="0" quotePrefix="0" xfId="180"/>
    <xf numFmtId="0" fontId="197" fillId="0" borderId="0" applyAlignment="1" pivotButton="0" quotePrefix="0" xfId="180">
      <alignment vertical="top" wrapText="1"/>
    </xf>
    <xf numFmtId="49" fontId="211" fillId="36" borderId="0" pivotButton="0" quotePrefix="0" xfId="180"/>
    <xf numFmtId="0" fontId="197" fillId="0" borderId="0" applyAlignment="1" pivotButton="0" quotePrefix="0" xfId="180">
      <alignment horizontal="center"/>
    </xf>
    <xf numFmtId="0" fontId="197" fillId="0" borderId="57" applyAlignment="1" pivotButton="0" quotePrefix="0" xfId="180">
      <alignment horizontal="center"/>
    </xf>
    <xf numFmtId="0" fontId="211" fillId="36" borderId="0" pivotButton="0" quotePrefix="0" xfId="180"/>
    <xf numFmtId="180" fontId="211" fillId="36" borderId="57" pivotButton="0" quotePrefix="0" xfId="181"/>
    <xf numFmtId="0" fontId="165" fillId="44" borderId="0" applyAlignment="1" pivotButton="0" quotePrefix="0" xfId="180">
      <alignment vertical="top" wrapText="1"/>
    </xf>
    <xf numFmtId="0" fontId="162" fillId="0" borderId="57" applyAlignment="1" pivotButton="0" quotePrefix="0" xfId="180">
      <alignment vertical="top" wrapText="1"/>
    </xf>
    <xf numFmtId="0" fontId="162" fillId="0" borderId="57" pivotButton="0" quotePrefix="0" xfId="180"/>
    <xf numFmtId="0" fontId="213" fillId="0" borderId="57" applyAlignment="1" pivotButton="0" quotePrefix="0" xfId="180">
      <alignment wrapText="1"/>
    </xf>
    <xf numFmtId="0" fontId="213" fillId="0" borderId="0" applyAlignment="1" pivotButton="0" quotePrefix="0" xfId="180">
      <alignment wrapText="1"/>
    </xf>
    <xf numFmtId="0" fontId="162" fillId="0" borderId="57" applyAlignment="1" pivotButton="0" quotePrefix="0" xfId="180">
      <alignment horizontal="center"/>
    </xf>
    <xf numFmtId="49" fontId="211" fillId="36" borderId="57" pivotButton="0" quotePrefix="0" xfId="180"/>
    <xf numFmtId="0" fontId="195" fillId="0" borderId="76" pivotButton="0" quotePrefix="0" xfId="180"/>
    <xf numFmtId="16" fontId="211" fillId="36" borderId="57" pivotButton="0" quotePrefix="0" xfId="180"/>
    <xf numFmtId="0" fontId="162" fillId="0" borderId="57" applyAlignment="1" pivotButton="0" quotePrefix="0" xfId="180">
      <alignment wrapText="1"/>
    </xf>
    <xf numFmtId="0" fontId="162" fillId="49" borderId="0" pivotButton="0" quotePrefix="0" xfId="180"/>
    <xf numFmtId="0" fontId="195" fillId="0" borderId="76" applyAlignment="1" pivotButton="0" quotePrefix="0" xfId="180">
      <alignment wrapText="1"/>
    </xf>
    <xf numFmtId="0" fontId="195" fillId="0" borderId="0" applyAlignment="1" pivotButton="0" quotePrefix="0" xfId="180">
      <alignment wrapText="1"/>
    </xf>
    <xf numFmtId="192" fontId="211" fillId="36" borderId="0" pivotButton="0" quotePrefix="0" xfId="181"/>
    <xf numFmtId="0" fontId="195" fillId="0" borderId="57" applyAlignment="1" pivotButton="0" quotePrefix="0" xfId="180">
      <alignment wrapText="1"/>
    </xf>
    <xf numFmtId="0" fontId="162" fillId="0" borderId="76" applyAlignment="1" pivotButton="0" quotePrefix="0" xfId="180">
      <alignment vertical="top" wrapText="1"/>
    </xf>
    <xf numFmtId="0" fontId="162" fillId="0" borderId="76" pivotButton="0" quotePrefix="0" xfId="180"/>
    <xf numFmtId="0" fontId="197" fillId="0" borderId="76" pivotButton="0" quotePrefix="0" xfId="180"/>
    <xf numFmtId="0" fontId="162" fillId="0" borderId="76" applyAlignment="1" pivotButton="0" quotePrefix="0" xfId="180">
      <alignment horizontal="center"/>
    </xf>
    <xf numFmtId="0" fontId="162" fillId="0" borderId="76" applyAlignment="1" pivotButton="0" quotePrefix="0" xfId="180">
      <alignment wrapText="1"/>
    </xf>
    <xf numFmtId="0" fontId="162" fillId="0" borderId="57" applyAlignment="1" pivotButton="0" quotePrefix="0" xfId="180">
      <alignment vertical="top"/>
    </xf>
    <xf numFmtId="0" fontId="195" fillId="0" borderId="57" applyAlignment="1" pivotButton="0" quotePrefix="0" xfId="180">
      <alignment vertical="top"/>
    </xf>
    <xf numFmtId="0" fontId="195" fillId="0" borderId="0" applyAlignment="1" pivotButton="0" quotePrefix="0" xfId="180">
      <alignment vertical="top" wrapText="1"/>
    </xf>
    <xf numFmtId="0" fontId="195" fillId="0" borderId="0" applyAlignment="1" pivotButton="0" quotePrefix="0" xfId="180">
      <alignment vertical="top"/>
    </xf>
    <xf numFmtId="0" fontId="195" fillId="0" borderId="57" applyAlignment="1" pivotButton="0" quotePrefix="0" xfId="180">
      <alignment vertical="center" wrapText="1"/>
    </xf>
    <xf numFmtId="0" fontId="195" fillId="0" borderId="76" applyAlignment="1" pivotButton="0" quotePrefix="0" xfId="180">
      <alignment vertical="center" wrapText="1"/>
    </xf>
    <xf numFmtId="0" fontId="162" fillId="47" borderId="77" applyAlignment="1" pivotButton="0" quotePrefix="0" xfId="180">
      <alignment vertical="top" wrapText="1"/>
    </xf>
    <xf numFmtId="0" fontId="162" fillId="47" borderId="77" pivotButton="0" quotePrefix="0" xfId="180"/>
    <xf numFmtId="0" fontId="162" fillId="0" borderId="77" applyAlignment="1" pivotButton="0" quotePrefix="0" xfId="180">
      <alignment horizontal="center" vertical="center"/>
    </xf>
    <xf numFmtId="0" fontId="162" fillId="0" borderId="77" pivotButton="0" quotePrefix="0" xfId="180"/>
    <xf numFmtId="0" fontId="195" fillId="0" borderId="77" applyAlignment="1" pivotButton="0" quotePrefix="0" xfId="180">
      <alignment vertical="center" wrapText="1"/>
    </xf>
    <xf numFmtId="0" fontId="162" fillId="0" borderId="57" applyAlignment="1" pivotButton="0" quotePrefix="0" xfId="180">
      <alignment horizontal="center" vertical="center"/>
    </xf>
    <xf numFmtId="9" fontId="217" fillId="36" borderId="0" applyAlignment="1" pivotButton="0" quotePrefix="0" xfId="182">
      <alignment horizontal="center"/>
    </xf>
    <xf numFmtId="0" fontId="162" fillId="0" borderId="0" applyAlignment="1" pivotButton="0" quotePrefix="0" xfId="180">
      <alignment horizontal="center" vertical="center"/>
    </xf>
    <xf numFmtId="0" fontId="195" fillId="0" borderId="0" applyAlignment="1" pivotButton="0" quotePrefix="0" xfId="180">
      <alignment vertical="center" wrapText="1"/>
    </xf>
    <xf numFmtId="0" fontId="195" fillId="44" borderId="0" applyAlignment="1" pivotButton="0" quotePrefix="0" xfId="180">
      <alignment wrapText="1"/>
    </xf>
    <xf numFmtId="0" fontId="204" fillId="43" borderId="0" applyAlignment="1" pivotButton="0" quotePrefix="0" xfId="180">
      <alignment wrapText="1"/>
    </xf>
    <xf numFmtId="0" fontId="195" fillId="45" borderId="0" applyAlignment="1" pivotButton="0" quotePrefix="0" xfId="180">
      <alignment horizontal="left" vertical="top" wrapText="1"/>
    </xf>
    <xf numFmtId="0" fontId="162" fillId="0" borderId="0" applyAlignment="1" pivotButton="0" quotePrefix="1" xfId="180">
      <alignment vertical="top" wrapText="1"/>
    </xf>
    <xf numFmtId="0" fontId="162" fillId="0" borderId="0" applyAlignment="1" pivotButton="0" quotePrefix="0" xfId="180">
      <alignment horizontal="left" vertical="top"/>
    </xf>
    <xf numFmtId="0" fontId="162" fillId="0" borderId="0" applyAlignment="1" pivotButton="0" quotePrefix="0" xfId="180">
      <alignment horizontal="left" vertical="top" wrapText="1"/>
    </xf>
    <xf numFmtId="0" fontId="162" fillId="0" borderId="0" applyAlignment="1" pivotButton="0" quotePrefix="0" xfId="180">
      <alignment horizontal="center" vertical="top" wrapText="1"/>
    </xf>
    <xf numFmtId="0" fontId="195" fillId="0" borderId="0" applyAlignment="1" pivotButton="0" quotePrefix="0" xfId="180">
      <alignment horizontal="left" vertical="top" wrapText="1"/>
    </xf>
    <xf numFmtId="0" fontId="165" fillId="0" borderId="0" applyAlignment="1" pivotButton="0" quotePrefix="0" xfId="180">
      <alignment vertical="top"/>
    </xf>
    <xf numFmtId="0" fontId="162" fillId="0" borderId="0" applyAlignment="1" pivotButton="0" quotePrefix="1" xfId="180">
      <alignment horizontal="left" vertical="top" wrapText="1"/>
    </xf>
    <xf numFmtId="0" fontId="162" fillId="36" borderId="0" pivotButton="0" quotePrefix="0" xfId="180"/>
    <xf numFmtId="9" fontId="211" fillId="36" borderId="0" pivotButton="0" quotePrefix="0" xfId="180"/>
    <xf numFmtId="9" fontId="211" fillId="36" borderId="57" pivotButton="0" quotePrefix="0" xfId="180"/>
    <xf numFmtId="0" fontId="211" fillId="55" borderId="0" pivotButton="0" quotePrefix="0" xfId="180"/>
    <xf numFmtId="0" fontId="165" fillId="44" borderId="0" pivotButton="0" quotePrefix="0" xfId="180"/>
    <xf numFmtId="0" fontId="165" fillId="44" borderId="0" applyAlignment="1" pivotButton="0" quotePrefix="0" xfId="180">
      <alignment horizontal="center"/>
    </xf>
    <xf numFmtId="0" fontId="165" fillId="0" borderId="0" applyAlignment="1" pivotButton="0" quotePrefix="0" xfId="180">
      <alignment horizontal="center"/>
    </xf>
    <xf numFmtId="0" fontId="215" fillId="36" borderId="0" pivotButton="0" quotePrefix="0" xfId="180"/>
    <xf numFmtId="0" fontId="216" fillId="0" borderId="0" pivotButton="0" quotePrefix="0" xfId="180"/>
    <xf numFmtId="0" fontId="214" fillId="0" borderId="0" applyAlignment="1" pivotButton="0" quotePrefix="0" xfId="180">
      <alignment vertical="top"/>
    </xf>
    <xf numFmtId="0" fontId="211" fillId="36" borderId="0" applyAlignment="1" pivotButton="0" quotePrefix="0" xfId="180">
      <alignment horizontal="center"/>
    </xf>
    <xf numFmtId="0" fontId="211" fillId="36" borderId="57" applyAlignment="1" pivotButton="0" quotePrefix="0" xfId="180">
      <alignment horizontal="center"/>
    </xf>
    <xf numFmtId="0" fontId="162" fillId="0" borderId="54" applyAlignment="1" pivotButton="0" quotePrefix="0" xfId="180">
      <alignment vertical="top" wrapText="1"/>
    </xf>
    <xf numFmtId="0" fontId="162" fillId="0" borderId="54" pivotButton="0" quotePrefix="0" xfId="180"/>
    <xf numFmtId="0" fontId="162" fillId="0" borderId="54" applyAlignment="1" pivotButton="0" quotePrefix="0" xfId="180">
      <alignment horizontal="center"/>
    </xf>
    <xf numFmtId="0" fontId="162" fillId="0" borderId="54" applyAlignment="1" pivotButton="0" quotePrefix="0" xfId="180">
      <alignment wrapText="1"/>
    </xf>
    <xf numFmtId="0" fontId="162" fillId="0" borderId="98" applyAlignment="1" pivotButton="0" quotePrefix="0" xfId="180">
      <alignment vertical="top"/>
    </xf>
    <xf numFmtId="0" fontId="162" fillId="0" borderId="98" applyAlignment="1" pivotButton="0" quotePrefix="0" xfId="180">
      <alignment vertical="top" wrapText="1"/>
    </xf>
    <xf numFmtId="0" fontId="162" fillId="0" borderId="98" pivotButton="0" quotePrefix="0" xfId="180"/>
    <xf numFmtId="0" fontId="211" fillId="36" borderId="98" pivotButton="0" quotePrefix="0" xfId="180"/>
    <xf numFmtId="0" fontId="211" fillId="36" borderId="98" applyAlignment="1" pivotButton="0" quotePrefix="0" xfId="180">
      <alignment horizontal="center"/>
    </xf>
    <xf numFmtId="0" fontId="165" fillId="0" borderId="0" applyAlignment="1" pivotButton="0" quotePrefix="0" xfId="180">
      <alignment wrapText="1"/>
    </xf>
    <xf numFmtId="0" fontId="164" fillId="0" borderId="0" pivotButton="0" quotePrefix="0" xfId="180"/>
    <xf numFmtId="0" fontId="162" fillId="44" borderId="0" applyAlignment="1" pivotButton="0" quotePrefix="0" xfId="180">
      <alignment vertical="top"/>
    </xf>
    <xf numFmtId="0" fontId="242" fillId="35" borderId="0" applyAlignment="1" pivotButton="0" quotePrefix="0" xfId="180">
      <alignment vertical="top"/>
    </xf>
    <xf numFmtId="0" fontId="194" fillId="0" borderId="0" applyAlignment="1" pivotButton="0" quotePrefix="0" xfId="180">
      <alignment vertical="top"/>
    </xf>
    <xf numFmtId="0" fontId="211" fillId="0" borderId="0" pivotButton="0" quotePrefix="0" xfId="180"/>
    <xf numFmtId="0" fontId="211" fillId="0" borderId="0" applyAlignment="1" pivotButton="0" quotePrefix="0" xfId="180">
      <alignment horizontal="center"/>
    </xf>
    <xf numFmtId="0" fontId="165" fillId="43" borderId="0" applyAlignment="1" pivotButton="0" quotePrefix="0" xfId="180">
      <alignment vertical="top"/>
    </xf>
    <xf numFmtId="0" fontId="163" fillId="0" borderId="0" pivotButton="0" quotePrefix="0" xfId="180"/>
    <xf numFmtId="0" fontId="163" fillId="0" borderId="0" applyAlignment="1" pivotButton="0" quotePrefix="0" xfId="180">
      <alignment horizontal="center"/>
    </xf>
    <xf numFmtId="0" fontId="163" fillId="0" borderId="0" applyAlignment="1" pivotButton="0" quotePrefix="0" xfId="180">
      <alignment wrapText="1"/>
    </xf>
    <xf numFmtId="0" fontId="214" fillId="0" borderId="0" applyAlignment="1" pivotButton="0" quotePrefix="0" xfId="180">
      <alignment horizontal="center"/>
    </xf>
    <xf numFmtId="0" fontId="162" fillId="0" borderId="0" applyAlignment="1" pivotButton="0" quotePrefix="0" xfId="180">
      <alignment horizontal="right" vertical="top" wrapText="1"/>
    </xf>
    <xf numFmtId="0" fontId="162" fillId="46" borderId="0" applyAlignment="1" pivotButton="0" quotePrefix="0" xfId="180">
      <alignment horizontal="center"/>
    </xf>
    <xf numFmtId="0" fontId="162" fillId="45" borderId="0" applyAlignment="1" pivotButton="0" quotePrefix="0" xfId="180">
      <alignment horizontal="center"/>
    </xf>
    <xf numFmtId="0" fontId="214" fillId="0" borderId="0" applyAlignment="1" pivotButton="0" quotePrefix="0" xfId="180">
      <alignment horizontal="right" vertical="top" wrapText="1"/>
    </xf>
    <xf numFmtId="0" fontId="211" fillId="36" borderId="0" applyAlignment="1" pivotButton="0" quotePrefix="0" xfId="180">
      <alignment horizontal="right"/>
    </xf>
    <xf numFmtId="0" fontId="165" fillId="43" borderId="0" applyAlignment="1" pivotButton="0" quotePrefix="0" xfId="180">
      <alignment vertical="top" wrapText="1"/>
    </xf>
    <xf numFmtId="0" fontId="162" fillId="36" borderId="0" applyAlignment="1" pivotButton="0" quotePrefix="0" xfId="180">
      <alignment horizontal="center"/>
    </xf>
    <xf numFmtId="0" fontId="162" fillId="36" borderId="0" applyAlignment="1" pivotButton="0" quotePrefix="0" xfId="180">
      <alignment wrapText="1"/>
    </xf>
    <xf numFmtId="0" fontId="162" fillId="45" borderId="0" pivotButton="0" quotePrefix="0" xfId="180"/>
    <xf numFmtId="0" fontId="162" fillId="45" borderId="0" applyAlignment="1" pivotButton="0" quotePrefix="0" xfId="180">
      <alignment wrapText="1"/>
    </xf>
    <xf numFmtId="0" fontId="214" fillId="0" borderId="0" applyAlignment="1" pivotButton="0" quotePrefix="0" xfId="180">
      <alignment wrapText="1"/>
    </xf>
    <xf numFmtId="0" fontId="164" fillId="0" borderId="0" applyAlignment="1" pivotButton="0" quotePrefix="0" xfId="180">
      <alignment vertical="top"/>
    </xf>
    <xf numFmtId="0" fontId="197" fillId="19" borderId="0" applyAlignment="1" applyProtection="1" pivotButton="0" quotePrefix="0" xfId="49">
      <alignment wrapText="1"/>
      <protection locked="0" hidden="0"/>
    </xf>
    <xf numFmtId="0" fontId="217" fillId="36" borderId="0" applyAlignment="1" pivotButton="0" quotePrefix="0" xfId="180">
      <alignment horizontal="left"/>
    </xf>
    <xf numFmtId="0" fontId="197" fillId="19" borderId="0" applyProtection="1" pivotButton="0" quotePrefix="0" xfId="49">
      <protection locked="0" hidden="0"/>
    </xf>
    <xf numFmtId="0" fontId="96" fillId="26" borderId="0" applyAlignment="1" applyProtection="1" pivotButton="0" quotePrefix="0" xfId="49">
      <alignment horizontal="left"/>
      <protection locked="0" hidden="0"/>
    </xf>
    <xf numFmtId="0" fontId="95" fillId="19" borderId="0" pivotButton="0" quotePrefix="0" xfId="49"/>
    <xf numFmtId="0" fontId="87" fillId="0" borderId="0" pivotButton="0" quotePrefix="0" xfId="96"/>
    <xf numFmtId="0" fontId="96" fillId="26" borderId="0" pivotButton="0" quotePrefix="0" xfId="96"/>
    <xf numFmtId="0" fontId="98" fillId="35" borderId="0" pivotButton="0" quotePrefix="0" xfId="96"/>
    <xf numFmtId="0" fontId="98" fillId="0" borderId="0" pivotButton="0" quotePrefix="0" xfId="96"/>
    <xf numFmtId="0" fontId="222" fillId="0" borderId="0" pivotButton="0" quotePrefix="0" xfId="96"/>
    <xf numFmtId="0" fontId="217" fillId="36" borderId="0" applyAlignment="1" pivotButton="0" quotePrefix="0" xfId="180">
      <alignment horizontal="center"/>
    </xf>
    <xf numFmtId="0" fontId="95" fillId="0" borderId="0" applyAlignment="1" pivotButton="0" quotePrefix="0" xfId="0">
      <alignment horizontal="center"/>
    </xf>
    <xf numFmtId="0" fontId="96" fillId="26" borderId="0" applyAlignment="1" pivotButton="0" quotePrefix="0" xfId="0">
      <alignment horizontal="center"/>
    </xf>
    <xf numFmtId="0" fontId="165" fillId="0" borderId="76" pivotButton="0" quotePrefix="0" xfId="180"/>
    <xf numFmtId="0" fontId="165" fillId="0" borderId="76" applyAlignment="1" pivotButton="0" quotePrefix="0" xfId="180">
      <alignment vertical="top" wrapText="1"/>
    </xf>
    <xf numFmtId="0" fontId="243" fillId="36" borderId="76" pivotButton="0" quotePrefix="0" xfId="180"/>
    <xf numFmtId="9" fontId="243" fillId="36" borderId="76" pivotButton="0" quotePrefix="0" xfId="180"/>
    <xf numFmtId="9" fontId="243" fillId="36" borderId="76" pivotButton="0" quotePrefix="0" xfId="98"/>
    <xf numFmtId="0" fontId="244" fillId="0" borderId="0" applyAlignment="1" pivotButton="0" quotePrefix="0" xfId="0">
      <alignment horizontal="center"/>
    </xf>
    <xf numFmtId="170" fontId="210" fillId="47" borderId="0" applyProtection="1" pivotButton="0" quotePrefix="1" xfId="49">
      <protection locked="0" hidden="0"/>
    </xf>
    <xf numFmtId="170" fontId="96" fillId="26" borderId="0" applyAlignment="1" applyProtection="1" pivotButton="0" quotePrefix="1" xfId="49">
      <alignment horizontal="right"/>
      <protection locked="0" hidden="0"/>
    </xf>
    <xf numFmtId="0" fontId="114" fillId="37" borderId="46" pivotButton="0" quotePrefix="0" xfId="0"/>
    <xf numFmtId="0" fontId="114" fillId="37" borderId="46" applyAlignment="1" pivotButton="0" quotePrefix="0" xfId="0">
      <alignment horizontal="center"/>
    </xf>
    <xf numFmtId="0" fontId="245" fillId="0" borderId="46" applyAlignment="1" pivotButton="0" quotePrefix="0" xfId="180">
      <alignment horizontal="left"/>
    </xf>
    <xf numFmtId="0" fontId="106" fillId="0" borderId="46" pivotButton="0" quotePrefix="0" xfId="0"/>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0" fontId="245" fillId="0" borderId="46" applyAlignment="1" pivotButton="0" quotePrefix="0" xfId="180">
      <alignment horizontal="left" wrapText="1"/>
    </xf>
    <xf numFmtId="0" fontId="106" fillId="57" borderId="46" pivotButton="0" quotePrefix="0" xfId="0"/>
    <xf numFmtId="0" fontId="114" fillId="0" borderId="46" pivotButton="0" quotePrefix="0" xfId="0"/>
    <xf numFmtId="9" fontId="114" fillId="0" borderId="46" pivotButton="0" quotePrefix="0" xfId="182"/>
    <xf numFmtId="0" fontId="131" fillId="24" borderId="57" applyAlignment="1" pivotButton="0" quotePrefix="0" xfId="114">
      <alignment horizontal="left" vertical="center"/>
    </xf>
    <xf numFmtId="0" fontId="83" fillId="37" borderId="109" applyAlignment="1" pivotButton="0" quotePrefix="0" xfId="112">
      <alignment horizontal="left" vertical="center"/>
    </xf>
    <xf numFmtId="0" fontId="83" fillId="37" borderId="110" applyAlignment="1" pivotButton="0" quotePrefix="0" xfId="112">
      <alignment horizontal="right" vertical="center" wrapText="1"/>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27" applyAlignment="1" pivotButton="0" quotePrefix="0" xfId="97">
      <alignment horizontal="right"/>
    </xf>
    <xf numFmtId="170" fontId="134" fillId="19" borderId="113" applyAlignment="1" pivotButton="0" quotePrefix="0" xfId="97">
      <alignment horizontal="right"/>
    </xf>
    <xf numFmtId="10" fontId="133" fillId="19" borderId="27" applyAlignment="1" pivotButton="0" quotePrefix="0" xfId="97">
      <alignment horizontal="right"/>
    </xf>
    <xf numFmtId="167" fontId="133" fillId="19" borderId="27" applyAlignment="1" pivotButton="0" quotePrefix="0" xfId="119">
      <alignment horizontal="right"/>
    </xf>
    <xf numFmtId="170" fontId="87" fillId="19" borderId="27" applyAlignment="1" pivotButton="0" quotePrefix="0" xfId="98">
      <alignment horizontal="right"/>
    </xf>
    <xf numFmtId="10" fontId="133" fillId="0" borderId="0" applyAlignment="1" pivotButton="0" quotePrefix="0" xfId="97">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115"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0" fontId="98" fillId="26" borderId="0" pivotButton="0" quotePrefix="0" xfId="0"/>
    <xf numFmtId="0" fontId="87" fillId="0" borderId="0" applyAlignment="1" pivotButton="0" quotePrefix="0" xfId="0">
      <alignment vertical="center"/>
    </xf>
    <xf numFmtId="0" fontId="86" fillId="0" borderId="0" applyAlignment="1" pivotButton="0" quotePrefix="0" xfId="0">
      <alignment vertical="center"/>
    </xf>
    <xf numFmtId="49" fontId="87" fillId="0" borderId="0" pivotButton="0" quotePrefix="0" xfId="0"/>
    <xf numFmtId="49" fontId="87" fillId="0" borderId="96" pivotButton="0" quotePrefix="0" xfId="0"/>
    <xf numFmtId="49" fontId="87" fillId="37" borderId="0" pivotButton="0" quotePrefix="0" xfId="0"/>
    <xf numFmtId="49" fontId="98" fillId="26" borderId="0" pivotButton="0" quotePrefix="0" xfId="0"/>
    <xf numFmtId="49" fontId="87" fillId="0" borderId="0" applyAlignment="1" pivotButton="0" quotePrefix="0" xfId="0">
      <alignment vertical="center"/>
    </xf>
    <xf numFmtId="9" fontId="87" fillId="0" borderId="0" applyAlignment="1" pivotButton="0" quotePrefix="0" xfId="98">
      <alignment vertical="center"/>
    </xf>
    <xf numFmtId="0" fontId="143" fillId="0" borderId="0" pivotButton="0" quotePrefix="0" xfId="0"/>
    <xf numFmtId="41" fontId="98" fillId="0" borderId="0" pivotButton="0" quotePrefix="0" xfId="105"/>
    <xf numFmtId="172" fontId="172" fillId="0" borderId="0" applyAlignment="1" pivotButton="0" quotePrefix="0" xfId="105">
      <alignment horizontal="left"/>
    </xf>
    <xf numFmtId="0" fontId="87" fillId="0" borderId="0" applyAlignment="1" pivotButton="0" quotePrefix="0" xfId="0">
      <alignment horizontal="left"/>
    </xf>
    <xf numFmtId="0" fontId="98" fillId="0" borderId="0" applyAlignment="1" pivotButton="0" quotePrefix="0" xfId="0">
      <alignment horizontal="left"/>
    </xf>
    <xf numFmtId="0" fontId="172" fillId="0" borderId="0" applyAlignment="1" pivotButton="0" quotePrefix="0" xfId="0">
      <alignment horizontal="right"/>
    </xf>
    <xf numFmtId="172" fontId="172" fillId="26" borderId="0" applyAlignment="1" pivotButton="0" quotePrefix="0" xfId="105">
      <alignment horizontal="left"/>
    </xf>
    <xf numFmtId="0" fontId="124" fillId="40" borderId="0" applyAlignment="1" pivotButton="0" quotePrefix="0" xfId="0">
      <alignment vertical="center"/>
    </xf>
    <xf numFmtId="49" fontId="124" fillId="40" borderId="0" applyAlignment="1" pivotButton="0" quotePrefix="0" xfId="0">
      <alignment vertical="center"/>
    </xf>
    <xf numFmtId="0" fontId="94" fillId="26" borderId="0" pivotButton="0" quotePrefix="0" xfId="0"/>
    <xf numFmtId="0" fontId="83" fillId="40" borderId="0" applyAlignment="1" pivotButton="0" quotePrefix="0" xfId="0">
      <alignment vertical="center"/>
    </xf>
    <xf numFmtId="49" fontId="103" fillId="37" borderId="0" applyAlignment="1" pivotButton="0" quotePrefix="0" xfId="0">
      <alignment horizontal="center"/>
    </xf>
    <xf numFmtId="0" fontId="162" fillId="36" borderId="98" pivotButton="0" quotePrefix="0" xfId="180"/>
    <xf numFmtId="0" fontId="162" fillId="36" borderId="57" pivotButton="0" quotePrefix="0" xfId="180"/>
    <xf numFmtId="0" fontId="246" fillId="36" borderId="0" pivotButton="0" quotePrefix="0" xfId="180"/>
    <xf numFmtId="0" fontId="98" fillId="0" borderId="0" applyProtection="1" pivotButton="0" quotePrefix="1" xfId="49">
      <protection locked="0" hidden="0"/>
    </xf>
    <xf numFmtId="170" fontId="123" fillId="22" borderId="0" applyAlignment="1" pivotButton="0" quotePrefix="0" xfId="120">
      <alignment horizontal="right"/>
    </xf>
    <xf numFmtId="9" fontId="87" fillId="26" borderId="0" pivotButton="0" quotePrefix="0" xfId="0"/>
    <xf numFmtId="172" fontId="80" fillId="22" borderId="27" applyAlignment="1" pivotButton="0" quotePrefix="0" xfId="119">
      <alignment horizontal="right"/>
    </xf>
    <xf numFmtId="0" fontId="87" fillId="35" borderId="0" pivotButton="0" quotePrefix="0" xfId="49"/>
    <xf numFmtId="0" fontId="88" fillId="24" borderId="0" applyAlignment="1" pivotButton="0" quotePrefix="0" xfId="125">
      <alignment horizontal="left" vertical="center"/>
    </xf>
    <xf numFmtId="172" fontId="87" fillId="0" borderId="0" applyAlignment="1" pivotButton="0" quotePrefix="0" xfId="119">
      <alignment horizontal="right"/>
    </xf>
    <xf numFmtId="167" fontId="80" fillId="35" borderId="0" pivotButton="0" quotePrefix="0" xfId="127"/>
    <xf numFmtId="167" fontId="87" fillId="35" borderId="57" pivotButton="0" quotePrefix="0" xfId="127"/>
    <xf numFmtId="0" fontId="123" fillId="0" borderId="0" pivotButton="0" quotePrefix="0" xfId="126"/>
    <xf numFmtId="0" fontId="80" fillId="0" borderId="50" pivotButton="0" quotePrefix="0" xfId="126"/>
    <xf numFmtId="0" fontId="80" fillId="0" borderId="47" pivotButton="0" quotePrefix="0" xfId="126"/>
    <xf numFmtId="0" fontId="80" fillId="0" borderId="51" pivotButton="0" quotePrefix="0" xfId="126"/>
    <xf numFmtId="0" fontId="83" fillId="37" borderId="53" pivotButton="0" quotePrefix="0" xfId="49"/>
    <xf numFmtId="0" fontId="83" fillId="37" borderId="54" pivotButton="0" quotePrefix="0" xfId="49"/>
    <xf numFmtId="0" fontId="83" fillId="37" borderId="52" pivotButton="0" quotePrefix="0" xfId="126"/>
    <xf numFmtId="0" fontId="98" fillId="0" borderId="57" pivotButton="0" quotePrefix="0" xfId="49"/>
    <xf numFmtId="0" fontId="98" fillId="0" borderId="49" pivotButton="0" quotePrefix="0" xfId="49"/>
    <xf numFmtId="169" fontId="98" fillId="0" borderId="57" pivotButton="0" quotePrefix="0" xfId="105"/>
    <xf numFmtId="169" fontId="98" fillId="0" borderId="47" pivotButton="0" quotePrefix="0" xfId="105"/>
    <xf numFmtId="169" fontId="98" fillId="0" borderId="54" pivotButton="0" quotePrefix="0" xfId="105"/>
    <xf numFmtId="169" fontId="98" fillId="0" borderId="52" pivotButton="0" quotePrefix="0" xfId="105"/>
    <xf numFmtId="0" fontId="82" fillId="22" borderId="53" applyAlignment="1" pivotButton="0" quotePrefix="0" xfId="126">
      <alignment horizontal="left"/>
    </xf>
    <xf numFmtId="0" fontId="82" fillId="22" borderId="54" applyAlignment="1" pivotButton="0" quotePrefix="0" xfId="126">
      <alignment horizontal="right"/>
    </xf>
    <xf numFmtId="0" fontId="82" fillId="22" borderId="52" applyAlignment="1" pivotButton="0" quotePrefix="0" xfId="126">
      <alignment horizontal="right"/>
    </xf>
    <xf numFmtId="0" fontId="80" fillId="0" borderId="55" pivotButton="0" quotePrefix="0" xfId="49"/>
    <xf numFmtId="0" fontId="80" fillId="0" borderId="0" pivotButton="0" quotePrefix="0" xfId="49"/>
    <xf numFmtId="9" fontId="80" fillId="47" borderId="0" pivotButton="0" quotePrefix="0" xfId="49"/>
    <xf numFmtId="0" fontId="80" fillId="0" borderId="49" pivotButton="0" quotePrefix="0" xfId="49"/>
    <xf numFmtId="0" fontId="80" fillId="0" borderId="57" pivotButton="0" quotePrefix="0" xfId="49"/>
    <xf numFmtId="9" fontId="80" fillId="47" borderId="57" pivotButton="0" quotePrefix="0" xfId="49"/>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0" fontId="80" fillId="0" borderId="55" pivotButton="0" quotePrefix="0" xfId="49"/>
    <xf numFmtId="9" fontId="80" fillId="0" borderId="0" pivotButton="0" quotePrefix="0" xfId="98"/>
    <xf numFmtId="0" fontId="80" fillId="0" borderId="49" pivotButton="0" quotePrefix="0" xfId="49"/>
    <xf numFmtId="9" fontId="80" fillId="0" borderId="57" pivotButton="0" quotePrefix="0" xfId="98"/>
    <xf numFmtId="0" fontId="103" fillId="40" borderId="51" pivotButton="0" quotePrefix="0" xfId="49"/>
    <xf numFmtId="0" fontId="83" fillId="40" borderId="76" pivotButton="0" quotePrefix="0" xfId="49"/>
    <xf numFmtId="0" fontId="83" fillId="40" borderId="50" pivotButton="0" quotePrefix="0" xfId="126"/>
    <xf numFmtId="0" fontId="98" fillId="0" borderId="49" pivotButton="0" quotePrefix="0" xfId="0"/>
    <xf numFmtId="0" fontId="103" fillId="40" borderId="53" pivotButton="0" quotePrefix="0" xfId="0"/>
    <xf numFmtId="0" fontId="111" fillId="40" borderId="54" pivotButton="0" quotePrefix="0" xfId="0"/>
    <xf numFmtId="0" fontId="111" fillId="40" borderId="52" pivotButton="0" quotePrefix="0" xfId="0"/>
    <xf numFmtId="0" fontId="103" fillId="40" borderId="55" pivotButton="0" quotePrefix="0" xfId="0"/>
    <xf numFmtId="0" fontId="124" fillId="40" borderId="0" pivotButton="0" quotePrefix="0" xfId="126"/>
    <xf numFmtId="0" fontId="124" fillId="40" borderId="27" pivotButton="0" quotePrefix="0" xfId="126"/>
    <xf numFmtId="169" fontId="99" fillId="0" borderId="0" applyAlignment="1" pivotButton="0" quotePrefix="0" xfId="105">
      <alignment horizontal="right"/>
    </xf>
    <xf numFmtId="169" fontId="99" fillId="0" borderId="27" applyAlignment="1" pivotButton="0" quotePrefix="0" xfId="105">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165" fontId="80" fillId="47" borderId="0" applyAlignment="1" pivotButton="0" quotePrefix="0" xfId="53">
      <alignment horizontal="right"/>
    </xf>
    <xf numFmtId="0" fontId="124" fillId="48" borderId="0" applyAlignment="1" pivotButton="0" quotePrefix="0" xfId="0">
      <alignment horizontal="center"/>
    </xf>
    <xf numFmtId="0" fontId="83" fillId="37" borderId="86" applyAlignment="1" pivotButton="0" quotePrefix="0" xfId="0">
      <alignment horizontal="center"/>
    </xf>
    <xf numFmtId="164" fontId="97" fillId="0" borderId="0" applyAlignment="1" pivotButton="0" quotePrefix="0" xfId="112">
      <alignment horizontal="center" vertical="center"/>
    </xf>
    <xf numFmtId="164" fontId="82" fillId="0" borderId="76" applyAlignment="1" pivotButton="0" quotePrefix="0" xfId="112">
      <alignment horizontal="center" vertical="center"/>
    </xf>
    <xf numFmtId="164" fontId="80" fillId="0" borderId="0" applyAlignment="1" pivotButton="0" quotePrefix="0" xfId="112">
      <alignment horizontal="center" vertical="center"/>
    </xf>
    <xf numFmtId="164" fontId="82" fillId="0" borderId="30" applyAlignment="1" pivotButton="0" quotePrefix="0" xfId="112">
      <alignment horizontal="center" vertical="center"/>
    </xf>
    <xf numFmtId="0" fontId="141" fillId="0" borderId="76" applyAlignment="1" pivotButton="0" quotePrefix="0" xfId="0">
      <alignment horizontal="center"/>
    </xf>
    <xf numFmtId="164" fontId="247" fillId="0" borderId="76" applyAlignment="1" pivotButton="0" quotePrefix="0" xfId="112">
      <alignment horizontal="center" vertical="center"/>
    </xf>
    <xf numFmtId="0" fontId="93" fillId="0" borderId="93" applyAlignment="1" pivotButton="0" quotePrefix="0" xfId="0">
      <alignment horizontal="center"/>
    </xf>
    <xf numFmtId="164" fontId="247" fillId="0" borderId="93" applyAlignment="1" pivotButton="0" quotePrefix="0" xfId="112">
      <alignment horizontal="center" vertical="center"/>
    </xf>
    <xf numFmtId="164" fontId="80" fillId="0" borderId="30" applyAlignment="1" pivotButton="0" quotePrefix="0" xfId="112">
      <alignment horizontal="center" vertical="center"/>
    </xf>
    <xf numFmtId="0" fontId="124" fillId="40" borderId="54" applyAlignment="1" pivotButton="0" quotePrefix="0" xfId="0">
      <alignment horizontal="center"/>
    </xf>
    <xf numFmtId="0" fontId="98" fillId="22" borderId="0" applyAlignment="1" pivotButton="0" quotePrefix="0" xfId="0">
      <alignment horizontal="center"/>
    </xf>
    <xf numFmtId="9" fontId="80" fillId="47" borderId="0" applyAlignment="1" pivotButton="0" quotePrefix="0" xfId="98">
      <alignment horizontal="center" vertical="center"/>
    </xf>
    <xf numFmtId="0" fontId="116" fillId="0" borderId="0" pivotButton="0" quotePrefix="0" xfId="0"/>
    <xf numFmtId="0" fontId="144" fillId="0" borderId="0" pivotButton="0" quotePrefix="0" xfId="0"/>
    <xf numFmtId="0" fontId="85" fillId="26" borderId="0" applyProtection="1" pivotButton="0" quotePrefix="0" xfId="49">
      <protection locked="0" hidden="0"/>
    </xf>
    <xf numFmtId="9" fontId="85" fillId="26" borderId="0" applyAlignment="1" applyProtection="1" pivotButton="0" quotePrefix="0" xfId="182">
      <alignment horizontal="center"/>
      <protection locked="0" hidden="0"/>
    </xf>
    <xf numFmtId="0" fontId="80" fillId="0" borderId="0" pivotButton="0" quotePrefix="0" xfId="180"/>
    <xf numFmtId="0" fontId="80" fillId="0" borderId="0" applyAlignment="1" pivotButton="0" quotePrefix="0" xfId="180">
      <alignment vertical="top"/>
    </xf>
    <xf numFmtId="0" fontId="193" fillId="0" borderId="0" applyAlignment="1" pivotButton="0" quotePrefix="0" xfId="180">
      <alignment horizontal="center" vertical="top"/>
    </xf>
    <xf numFmtId="0" fontId="241" fillId="0" borderId="0" pivotButton="0" quotePrefix="0" xfId="0"/>
    <xf numFmtId="0" fontId="162" fillId="45" borderId="0" applyAlignment="1" pivotButton="0" quotePrefix="0" xfId="180">
      <alignment vertical="top"/>
    </xf>
    <xf numFmtId="0" fontId="197" fillId="0" borderId="57" applyAlignment="1" pivotButton="0" quotePrefix="0" xfId="180">
      <alignment vertical="top"/>
    </xf>
    <xf numFmtId="0" fontId="197" fillId="0" borderId="0" applyAlignment="1" pivotButton="0" quotePrefix="0" xfId="180">
      <alignment vertical="top"/>
    </xf>
    <xf numFmtId="0" fontId="162" fillId="0" borderId="76" applyAlignment="1" pivotButton="0" quotePrefix="0" xfId="180">
      <alignment vertical="top"/>
    </xf>
    <xf numFmtId="0" fontId="162" fillId="47" borderId="77" applyAlignment="1" pivotButton="0" quotePrefix="0" xfId="180">
      <alignment vertical="top"/>
    </xf>
    <xf numFmtId="0" fontId="162" fillId="0" borderId="54" applyAlignment="1" pivotButton="0" quotePrefix="0" xfId="180">
      <alignment vertical="top"/>
    </xf>
    <xf numFmtId="0" fontId="163" fillId="0" borderId="0" applyAlignment="1" pivotButton="0" quotePrefix="0" xfId="180">
      <alignment vertical="top"/>
    </xf>
    <xf numFmtId="0" fontId="165" fillId="0" borderId="76" applyAlignment="1" pivotButton="0" quotePrefix="0" xfId="180">
      <alignment vertical="top"/>
    </xf>
    <xf numFmtId="0" fontId="162" fillId="36" borderId="0" applyAlignment="1" pivotButton="0" quotePrefix="0" xfId="180">
      <alignment vertical="top"/>
    </xf>
    <xf numFmtId="0" fontId="248" fillId="40" borderId="53" pivotButton="0" quotePrefix="0" xfId="49"/>
    <xf numFmtId="0" fontId="248" fillId="40" borderId="54" pivotButton="0" quotePrefix="0" xfId="49"/>
    <xf numFmtId="0" fontId="248" fillId="40" borderId="52" pivotButton="0" quotePrefix="0" xfId="49"/>
    <xf numFmtId="170" fontId="87" fillId="0" borderId="27" pivotButton="0" quotePrefix="0" xfId="49"/>
    <xf numFmtId="0" fontId="240" fillId="35" borderId="116" pivotButton="0" quotePrefix="0" xfId="49"/>
    <xf numFmtId="0" fontId="240" fillId="35" borderId="117" pivotButton="0" quotePrefix="0" xfId="49"/>
    <xf numFmtId="170" fontId="240" fillId="35" borderId="118" pivotButton="0" quotePrefix="0" xfId="49"/>
    <xf numFmtId="0" fontId="240" fillId="37" borderId="53" pivotButton="0" quotePrefix="0" xfId="49"/>
    <xf numFmtId="0" fontId="240" fillId="37" borderId="54" pivotButton="0" quotePrefix="0" xfId="49"/>
    <xf numFmtId="0" fontId="240" fillId="37" borderId="52" pivotButton="0" quotePrefix="0" xfId="49"/>
    <xf numFmtId="170" fontId="240" fillId="35" borderId="119" pivotButton="0" quotePrefix="0" xfId="49"/>
    <xf numFmtId="180" fontId="117" fillId="0" borderId="0" applyAlignment="1" pivotButton="0" quotePrefix="0" xfId="49">
      <alignment horizontal="center"/>
    </xf>
    <xf numFmtId="0" fontId="117" fillId="0" borderId="0" applyAlignment="1" pivotButton="0" quotePrefix="0" xfId="49">
      <alignment horizontal="center"/>
    </xf>
    <xf numFmtId="0" fontId="83" fillId="40" borderId="54" applyAlignment="1" pivotButton="0" quotePrefix="0" xfId="49">
      <alignment horizontal="center" vertical="center"/>
    </xf>
    <xf numFmtId="9" fontId="87" fillId="0" borderId="0" applyAlignment="1" pivotButton="0" quotePrefix="0" xfId="49">
      <alignment horizontal="center"/>
    </xf>
    <xf numFmtId="9" fontId="117" fillId="0" borderId="0" applyAlignment="1" pivotButton="0" quotePrefix="0" xfId="49">
      <alignment horizontal="center"/>
    </xf>
    <xf numFmtId="10" fontId="87" fillId="0" borderId="27" applyAlignment="1" pivotButton="0" quotePrefix="0" xfId="98">
      <alignment horizontal="center"/>
    </xf>
    <xf numFmtId="9" fontId="240" fillId="35" borderId="117" applyAlignment="1" pivotButton="0" quotePrefix="0" xfId="49">
      <alignment horizontal="center"/>
    </xf>
    <xf numFmtId="10" fontId="240" fillId="35" borderId="118" applyAlignment="1" pivotButton="0" quotePrefix="0" xfId="98">
      <alignment horizontal="center"/>
    </xf>
    <xf numFmtId="10" fontId="87" fillId="0" borderId="0" applyAlignment="1" pivotButton="0" quotePrefix="0" xfId="49">
      <alignment horizontal="center"/>
    </xf>
    <xf numFmtId="0" fontId="83" fillId="37" borderId="0" applyAlignment="1" pivotButton="0" quotePrefix="0" xfId="118">
      <alignment horizontal="center"/>
    </xf>
    <xf numFmtId="0" fontId="80" fillId="0" borderId="0" applyAlignment="1" pivotButton="0" quotePrefix="0" xfId="117">
      <alignment horizontal="left" vertical="top" wrapText="1"/>
    </xf>
    <xf numFmtId="0" fontId="162" fillId="45" borderId="0" applyAlignment="1" pivotButton="0" quotePrefix="0" xfId="180">
      <alignment horizontal="left" vertical="top" wrapText="1"/>
    </xf>
    <xf numFmtId="0" fontId="162" fillId="45" borderId="0" applyAlignment="1" pivotButton="0" quotePrefix="0" xfId="180">
      <alignment horizontal="center"/>
    </xf>
    <xf numFmtId="0" fontId="106" fillId="0" borderId="0" applyAlignment="1" pivotButton="0" quotePrefix="0" xfId="0">
      <alignment horizontal="left"/>
    </xf>
    <xf numFmtId="0" fontId="60" fillId="0" borderId="0" applyAlignment="1" pivotButton="0" quotePrefix="0" xfId="49">
      <alignment horizontal="center"/>
    </xf>
    <xf numFmtId="0" fontId="113" fillId="53" borderId="76" applyAlignment="1" pivotButton="0" quotePrefix="0" xfId="0">
      <alignment horizontal="center"/>
    </xf>
    <xf numFmtId="0" fontId="113" fillId="52" borderId="76" applyAlignment="1" pivotButton="0" quotePrefix="0" xfId="0">
      <alignment horizontal="center"/>
    </xf>
    <xf numFmtId="0" fontId="113" fillId="37" borderId="76" applyAlignment="1" pivotButton="0" quotePrefix="0" xfId="0">
      <alignment horizontal="center"/>
    </xf>
    <xf numFmtId="0" fontId="113" fillId="37" borderId="50" applyAlignment="1" pivotButton="0" quotePrefix="0" xfId="0">
      <alignment horizontal="center"/>
    </xf>
    <xf numFmtId="0" fontId="165" fillId="0" borderId="57" applyAlignment="1" pivotButton="0" quotePrefix="0" xfId="177">
      <alignment horizontal="center" vertical="top"/>
    </xf>
    <xf numFmtId="164" fontId="82" fillId="23" borderId="0" applyAlignment="1" pivotButton="0" quotePrefix="0" xfId="49">
      <alignment horizontal="center" vertical="center"/>
    </xf>
    <xf numFmtId="0" fontId="82" fillId="23" borderId="0" applyAlignment="1" pivotButton="0" quotePrefix="0" xfId="49">
      <alignment horizontal="center" vertical="center" textRotation="90"/>
    </xf>
    <xf numFmtId="0" fontId="98" fillId="0" borderId="0" applyAlignment="1" pivotButton="0" quotePrefix="0" xfId="49">
      <alignment horizontal="center"/>
    </xf>
    <xf numFmtId="166" fontId="98" fillId="23" borderId="0" applyAlignment="1" pivotButton="0" quotePrefix="0" xfId="49">
      <alignment horizontal="center"/>
    </xf>
    <xf numFmtId="166" fontId="83" fillId="37" borderId="0" applyAlignment="1" pivotButton="0" quotePrefix="0" xfId="49">
      <alignment horizontal="center"/>
    </xf>
    <xf numFmtId="0" fontId="98" fillId="23" borderId="0" applyAlignment="1" pivotButton="0" quotePrefix="0" xfId="49">
      <alignment horizontal="center"/>
    </xf>
    <xf numFmtId="0" fontId="80" fillId="0" borderId="19" applyAlignment="1" pivotButton="0" quotePrefix="0" xfId="49">
      <alignment horizontal="center" vertical="center" wrapText="1"/>
    </xf>
    <xf numFmtId="0" fontId="80" fillId="0" borderId="25" applyAlignment="1" pivotButton="0" quotePrefix="0" xfId="49">
      <alignment horizontal="center" vertical="center" wrapText="1"/>
    </xf>
    <xf numFmtId="0" fontId="80" fillId="0" borderId="20" applyAlignment="1" pivotButton="0" quotePrefix="0" xfId="49">
      <alignment horizontal="center" vertical="center" wrapText="1"/>
    </xf>
    <xf numFmtId="0" fontId="80" fillId="0" borderId="21" applyAlignment="1" pivotButton="0" quotePrefix="0" xfId="49">
      <alignment horizontal="center" vertical="center" wrapText="1"/>
    </xf>
    <xf numFmtId="0" fontId="80" fillId="0" borderId="0" applyAlignment="1" pivotButton="0" quotePrefix="0" xfId="49">
      <alignment horizontal="center" vertical="center" wrapText="1"/>
    </xf>
    <xf numFmtId="0" fontId="80" fillId="0" borderId="22" applyAlignment="1" pivotButton="0" quotePrefix="0" xfId="49">
      <alignment horizontal="center" vertical="center" wrapText="1"/>
    </xf>
    <xf numFmtId="0" fontId="80" fillId="0" borderId="23" applyAlignment="1" pivotButton="0" quotePrefix="0" xfId="49">
      <alignment horizontal="center" vertical="center" wrapText="1"/>
    </xf>
    <xf numFmtId="0" fontId="80" fillId="0" borderId="26" applyAlignment="1" pivotButton="0" quotePrefix="0" xfId="49">
      <alignment horizontal="center" vertical="center" wrapText="1"/>
    </xf>
    <xf numFmtId="0" fontId="80" fillId="0" borderId="24" applyAlignment="1" pivotButton="0" quotePrefix="0" xfId="49">
      <alignment horizontal="center" vertical="center" wrapText="1"/>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85" fontId="98" fillId="23" borderId="0" applyAlignment="1" pivotButton="0" quotePrefix="0" xfId="49">
      <alignment horizontal="center"/>
    </xf>
    <xf numFmtId="0" fontId="98" fillId="0" borderId="0" applyAlignment="1" pivotButton="0" quotePrefix="0" xfId="49">
      <alignment horizontal="center" vertical="center"/>
    </xf>
    <xf numFmtId="0" fontId="82" fillId="23" borderId="0" applyAlignment="1" pivotButton="0" quotePrefix="0" xfId="49">
      <alignment horizontal="center"/>
    </xf>
    <xf numFmtId="0" fontId="86" fillId="0" borderId="0" applyAlignment="1" pivotButton="0" quotePrefix="0" xfId="0">
      <alignment horizontal="center"/>
    </xf>
    <xf numFmtId="49" fontId="192" fillId="37" borderId="0" applyAlignment="1" pivotButton="0" quotePrefix="1" xfId="46">
      <alignment horizontal="center"/>
    </xf>
    <xf numFmtId="0" fontId="109" fillId="40" borderId="54" applyAlignment="1" pivotButton="0" quotePrefix="0" xfId="0">
      <alignment horizontal="center"/>
    </xf>
    <xf numFmtId="0" fontId="109" fillId="40" borderId="52" applyAlignment="1" pivotButton="0" quotePrefix="0" xfId="0">
      <alignment horizontal="center"/>
    </xf>
    <xf numFmtId="0" fontId="109" fillId="40" borderId="53" applyAlignment="1" pivotButton="0" quotePrefix="0" xfId="0">
      <alignment horizontal="center"/>
    </xf>
    <xf numFmtId="166" fontId="83" fillId="40" borderId="0" applyAlignment="1" pivotButton="0" quotePrefix="0" xfId="49">
      <alignment horizontal="center"/>
    </xf>
    <xf numFmtId="0" fontId="109" fillId="40" borderId="53" applyAlignment="1" pivotButton="0" quotePrefix="0" xfId="0">
      <alignment horizontal="center" vertical="center" wrapText="1"/>
    </xf>
    <xf numFmtId="0" fontId="109" fillId="40" borderId="54" applyAlignment="1" pivotButton="0" quotePrefix="0" xfId="0">
      <alignment horizontal="center" vertical="center" wrapText="1"/>
    </xf>
    <xf numFmtId="0" fontId="109" fillId="40" borderId="52" applyAlignment="1" pivotButton="0" quotePrefix="0" xfId="0">
      <alignment horizontal="center" vertical="center" wrapText="1"/>
    </xf>
    <xf numFmtId="0" fontId="109" fillId="40" borderId="54" applyAlignment="1" pivotButton="0" quotePrefix="0" xfId="0">
      <alignment horizontal="center" wrapText="1"/>
    </xf>
    <xf numFmtId="0" fontId="109" fillId="40" borderId="52" applyAlignment="1" pivotButton="0" quotePrefix="0" xfId="0">
      <alignment horizontal="center" wrapText="1"/>
    </xf>
    <xf numFmtId="0" fontId="109" fillId="40" borderId="53" applyAlignment="1" pivotButton="0" quotePrefix="0" xfId="0">
      <alignment horizontal="center" wrapText="1"/>
    </xf>
    <xf numFmtId="167" fontId="84" fillId="20" borderId="56" applyAlignment="1" applyProtection="1" pivotButton="0" quotePrefix="0" xfId="119">
      <alignment horizontal="center" vertical="center"/>
      <protection locked="0" hidden="0"/>
    </xf>
    <xf numFmtId="168" fontId="80" fillId="23" borderId="0" pivotButton="0" quotePrefix="0" xfId="100"/>
    <xf numFmtId="192" fontId="91" fillId="0" borderId="0" applyAlignment="1" pivotButton="0" quotePrefix="0" xfId="181">
      <alignment wrapText="1"/>
    </xf>
    <xf numFmtId="173" fontId="165" fillId="44" borderId="0" pivotButton="0" quotePrefix="0" xfId="180"/>
    <xf numFmtId="173" fontId="165" fillId="0" borderId="0" pivotButton="0" quotePrefix="0" xfId="180"/>
    <xf numFmtId="192" fontId="211" fillId="36" borderId="0" pivotButton="0" quotePrefix="0" xfId="181"/>
    <xf numFmtId="41" fontId="211" fillId="36" borderId="57" applyAlignment="1" pivotButton="0" quotePrefix="0" xfId="105">
      <alignment horizontal="left"/>
    </xf>
    <xf numFmtId="180" fontId="211" fillId="36" borderId="57" pivotButton="0" quotePrefix="0" xfId="181"/>
    <xf numFmtId="166" fontId="83" fillId="40" borderId="30" pivotButton="0" quotePrefix="0" xfId="0"/>
    <xf numFmtId="166" fontId="83" fillId="40" borderId="0" pivotButton="0" quotePrefix="0" xfId="0"/>
    <xf numFmtId="166" fontId="83" fillId="40" borderId="30" applyAlignment="1" pivotButton="0" quotePrefix="0" xfId="0">
      <alignment horizontal="right"/>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169" fontId="87" fillId="19" borderId="0" pivotButton="0" quotePrefix="0" xfId="105"/>
    <xf numFmtId="169" fontId="87" fillId="19" borderId="0" applyProtection="1" pivotButton="0" quotePrefix="0" xfId="105">
      <protection locked="0" hidden="0"/>
    </xf>
    <xf numFmtId="41" fontId="96" fillId="26" borderId="0" applyAlignment="1" applyProtection="1" pivotButton="0" quotePrefix="0" xfId="105">
      <alignment horizontal="right"/>
      <protection locked="0" hidden="0"/>
    </xf>
    <xf numFmtId="180" fontId="96" fillId="26" borderId="0" applyProtection="1" pivotButton="0" quotePrefix="0" xfId="49">
      <protection locked="0" hidden="0"/>
    </xf>
    <xf numFmtId="173" fontId="96" fillId="26" borderId="0" applyProtection="1" pivotButton="0" quotePrefix="0" xfId="49">
      <protection locked="0" hidden="0"/>
    </xf>
    <xf numFmtId="41" fontId="96" fillId="26" borderId="0" pivotButton="0" quotePrefix="0" xfId="105"/>
    <xf numFmtId="166" fontId="83" fillId="40" borderId="0" applyAlignment="1" pivotButton="0" quotePrefix="0" xfId="0">
      <alignment horizontal="right"/>
    </xf>
    <xf numFmtId="41" fontId="87" fillId="0" borderId="0" applyAlignment="1" pivotButton="0" quotePrefix="0" xfId="105">
      <alignment horizontal="center"/>
    </xf>
    <xf numFmtId="41" fontId="87" fillId="22" borderId="0" applyAlignment="1" pivotButton="0" quotePrefix="0" xfId="105">
      <alignment horizontal="center"/>
    </xf>
    <xf numFmtId="41" fontId="96" fillId="0" borderId="0" pivotButton="0" quotePrefix="0" xfId="105"/>
    <xf numFmtId="170" fontId="87" fillId="26" borderId="0" applyProtection="1" pivotButton="0" quotePrefix="1" xfId="49">
      <protection locked="0" hidden="0"/>
    </xf>
    <xf numFmtId="170" fontId="87" fillId="26" borderId="0" applyAlignment="1" applyProtection="1" pivotButton="0" quotePrefix="0" xfId="49">
      <alignment horizontal="right"/>
      <protection locked="0" hidden="0"/>
    </xf>
    <xf numFmtId="170" fontId="87" fillId="26" borderId="0" applyProtection="1" pivotButton="0" quotePrefix="0" xfId="49">
      <protection locked="0" hidden="0"/>
    </xf>
    <xf numFmtId="170" fontId="210" fillId="47" borderId="0" applyProtection="1" pivotButton="0" quotePrefix="1" xfId="49">
      <protection locked="0" hidden="0"/>
    </xf>
    <xf numFmtId="171" fontId="87" fillId="26" borderId="0" applyProtection="1" pivotButton="0" quotePrefix="1" xfId="105">
      <protection locked="0" hidden="0"/>
    </xf>
    <xf numFmtId="170" fontId="96" fillId="26" borderId="0" applyAlignment="1" applyProtection="1" pivotButton="0" quotePrefix="1" xfId="49">
      <alignment horizontal="right"/>
      <protection locked="0" hidden="0"/>
    </xf>
    <xf numFmtId="41" fontId="87" fillId="0" borderId="54" pivotButton="0" quotePrefix="0" xfId="105"/>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41" fontId="87" fillId="0" borderId="0" applyAlignment="1" pivotButton="0" quotePrefix="0" xfId="105">
      <alignment horizontal="right"/>
    </xf>
    <xf numFmtId="41" fontId="87" fillId="0" borderId="0" applyAlignment="1" pivotButton="0" quotePrefix="0" xfId="0">
      <alignment horizontal="right"/>
    </xf>
    <xf numFmtId="172" fontId="80" fillId="19" borderId="0" pivotButton="0" quotePrefix="0" xfId="119"/>
    <xf numFmtId="172" fontId="80" fillId="0" borderId="0" applyAlignment="1" pivotButton="0" quotePrefix="0" xfId="0">
      <alignment horizontal="right"/>
    </xf>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41" fontId="87" fillId="0" borderId="0" pivotButton="0" quotePrefix="0" xfId="105"/>
    <xf numFmtId="169" fontId="87" fillId="0" borderId="0" pivotButton="0" quotePrefix="0" xfId="105"/>
    <xf numFmtId="41" fontId="114" fillId="0" borderId="51" applyAlignment="1" pivotButton="0" quotePrefix="0" xfId="105">
      <alignment horizontal="left"/>
    </xf>
    <xf numFmtId="169" fontId="114" fillId="0" borderId="76" pivotButton="0" quotePrefix="0" xfId="0"/>
    <xf numFmtId="41" fontId="106" fillId="0" borderId="0" pivotButton="0" quotePrefix="0" xfId="105"/>
    <xf numFmtId="41" fontId="106" fillId="0" borderId="27" pivotButton="0" quotePrefix="0" xfId="105"/>
    <xf numFmtId="41" fontId="106" fillId="47" borderId="57" pivotButton="0" quotePrefix="0" xfId="105"/>
    <xf numFmtId="41" fontId="106" fillId="47" borderId="47" pivotButton="0" quotePrefix="0" xfId="105"/>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41" fontId="106" fillId="22" borderId="0" pivotButton="0" quotePrefix="0" xfId="105"/>
    <xf numFmtId="41" fontId="114" fillId="0" borderId="76" pivotButton="0" quotePrefix="0" xfId="105"/>
    <xf numFmtId="41" fontId="114" fillId="0" borderId="50" pivotButton="0" quotePrefix="0" xfId="105"/>
    <xf numFmtId="173" fontId="106" fillId="22" borderId="0" pivotButton="0" quotePrefix="0" xfId="0"/>
    <xf numFmtId="173" fontId="106" fillId="0" borderId="0" pivotButton="0" quotePrefix="0" xfId="0"/>
    <xf numFmtId="173" fontId="106" fillId="0" borderId="27"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41" fontId="106" fillId="35" borderId="0" applyAlignment="1" pivotButton="0" quotePrefix="0" xfId="105">
      <alignment horizontal="left"/>
    </xf>
    <xf numFmtId="191" fontId="188" fillId="0" borderId="0" applyAlignment="1" applyProtection="1" pivotButton="0" quotePrefix="0" xfId="55">
      <alignment horizontal="left"/>
      <protection locked="0" hidden="0"/>
    </xf>
    <xf numFmtId="166" fontId="66" fillId="23" borderId="30" applyAlignment="1" pivotButton="0" quotePrefix="0" xfId="96">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32"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32" borderId="0" applyAlignment="1" pivotButton="0" quotePrefix="0" xfId="112">
      <alignment horizontal="right" vertical="center"/>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164" fontId="69" fillId="21" borderId="0" applyAlignment="1" pivotButton="0" quotePrefix="0" xfId="112">
      <alignment horizontal="righ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164" fontId="69" fillId="21" borderId="0" applyAlignment="1" pivotButton="0" quotePrefix="0" xfId="50">
      <alignment horizontal="right" vertical="center"/>
    </xf>
    <xf numFmtId="165" fontId="69" fillId="0" borderId="0" applyAlignment="1" pivotButton="0" quotePrefix="0" xfId="53">
      <alignment horizontal="right"/>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73" fillId="21" borderId="30" applyAlignment="1" pivotButton="0" quotePrefix="0" xfId="112">
      <alignment horizontal="left" vertical="center"/>
    </xf>
    <xf numFmtId="0" fontId="0" fillId="0" borderId="76" pivotButton="0" quotePrefix="0" xfId="0"/>
    <xf numFmtId="0" fontId="0" fillId="0" borderId="50" pivotButton="0" quotePrefix="0" xfId="0"/>
    <xf numFmtId="41" fontId="98" fillId="0" borderId="0" pivotButton="0" quotePrefix="0" xfId="105"/>
    <xf numFmtId="172" fontId="172" fillId="26" borderId="0" applyAlignment="1" pivotButton="0" quotePrefix="0" xfId="105">
      <alignment horizontal="left"/>
    </xf>
    <xf numFmtId="172" fontId="172" fillId="0" borderId="0" applyAlignment="1" pivotButton="0" quotePrefix="0" xfId="105">
      <alignment horizontal="left"/>
    </xf>
    <xf numFmtId="169" fontId="162" fillId="0" borderId="0" applyAlignment="1" pivotButton="0" quotePrefix="0" xfId="105">
      <alignment vertical="top"/>
    </xf>
    <xf numFmtId="0" fontId="0" fillId="0" borderId="57" pivotButton="0" quotePrefix="0" xfId="0"/>
    <xf numFmtId="170" fontId="87" fillId="35" borderId="83" applyAlignment="1" pivotButton="0" quotePrefix="0" xfId="98">
      <alignment horizontal="center"/>
    </xf>
    <xf numFmtId="170" fontId="87" fillId="22" borderId="83" applyAlignment="1" pivotButton="0" quotePrefix="0" xfId="98">
      <alignment horizontal="center"/>
    </xf>
    <xf numFmtId="41" fontId="87" fillId="36" borderId="83" pivotButton="0" quotePrefix="0" xfId="105"/>
    <xf numFmtId="41" fontId="87" fillId="0" borderId="27" pivotButton="0" quotePrefix="0" xfId="105"/>
    <xf numFmtId="41" fontId="87" fillId="23" borderId="0" pivotButton="0" quotePrefix="0" xfId="49"/>
    <xf numFmtId="41" fontId="87" fillId="23" borderId="27" pivotButton="0" quotePrefix="0" xfId="49"/>
    <xf numFmtId="41" fontId="87" fillId="23" borderId="57" pivotButton="0" quotePrefix="0" xfId="49"/>
    <xf numFmtId="41" fontId="87" fillId="23" borderId="47" pivotButton="0" quotePrefix="0" xfId="49"/>
    <xf numFmtId="41" fontId="98" fillId="0" borderId="0" pivotButton="0" quotePrefix="0" xfId="49"/>
    <xf numFmtId="41" fontId="98" fillId="0" borderId="27" pivotButton="0" quotePrefix="0" xfId="49"/>
    <xf numFmtId="41" fontId="98" fillId="0" borderId="54" pivotButton="0" quotePrefix="0" xfId="49"/>
    <xf numFmtId="41" fontId="98" fillId="0" borderId="52" pivotButton="0" quotePrefix="0" xfId="49"/>
    <xf numFmtId="41" fontId="87" fillId="47" borderId="0" pivotButton="0" quotePrefix="0" xfId="105"/>
    <xf numFmtId="41" fontId="98" fillId="0" borderId="54" pivotButton="0" quotePrefix="0" xfId="105"/>
    <xf numFmtId="41" fontId="98" fillId="0" borderId="52" pivotButton="0" quotePrefix="0" xfId="105"/>
    <xf numFmtId="170" fontId="117" fillId="0" borderId="0" pivotButton="0" quotePrefix="0" xfId="98"/>
    <xf numFmtId="170" fontId="87" fillId="0" borderId="0" pivotButton="0" quotePrefix="0" xfId="98"/>
    <xf numFmtId="170" fontId="87" fillId="0" borderId="27" pivotButton="0" quotePrefix="0" xfId="98"/>
    <xf numFmtId="170" fontId="87" fillId="0" borderId="57" pivotButton="0" quotePrefix="0" xfId="98"/>
    <xf numFmtId="170" fontId="87" fillId="0" borderId="47" pivotButton="0" quotePrefix="0" xfId="98"/>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41" fontId="117" fillId="0" borderId="0" pivotButton="0" quotePrefix="0" xfId="49"/>
    <xf numFmtId="41" fontId="118" fillId="0" borderId="0" pivotButton="0" quotePrefix="0" xfId="105"/>
    <xf numFmtId="41" fontId="98" fillId="31" borderId="0" pivotButton="0" quotePrefix="0" xfId="105"/>
    <xf numFmtId="41" fontId="117" fillId="0" borderId="54" pivotButton="0" quotePrefix="0" xfId="105"/>
    <xf numFmtId="41" fontId="87" fillId="31" borderId="54" pivotButton="0" quotePrefix="0" xfId="105"/>
    <xf numFmtId="41" fontId="118" fillId="0" borderId="0" pivotButton="0" quotePrefix="0" xfId="49"/>
    <xf numFmtId="170" fontId="87" fillId="35" borderId="0" applyAlignment="1" pivotButton="0" quotePrefix="0" xfId="98">
      <alignment horizontal="center"/>
    </xf>
    <xf numFmtId="41" fontId="82" fillId="0" borderId="81" pivotButton="0" quotePrefix="0" xfId="105"/>
    <xf numFmtId="41" fontId="80" fillId="0" borderId="0" pivotButton="0" quotePrefix="0" xfId="105"/>
    <xf numFmtId="41" fontId="98" fillId="34" borderId="76" pivotButton="0" quotePrefix="0" xfId="105"/>
    <xf numFmtId="41" fontId="98" fillId="0" borderId="77" pivotButton="0" quotePrefix="0" xfId="105"/>
    <xf numFmtId="174" fontId="83" fillId="37" borderId="57" pivotButton="0" quotePrefix="0" xfId="126"/>
    <xf numFmtId="167" fontId="82" fillId="0" borderId="54" pivotButton="0" quotePrefix="0" xfId="127"/>
    <xf numFmtId="167" fontId="82" fillId="35" borderId="54" pivotButton="0" quotePrefix="0" xfId="127"/>
    <xf numFmtId="167" fontId="82" fillId="0" borderId="52" pivotButton="0" quotePrefix="0" xfId="127"/>
    <xf numFmtId="172" fontId="80" fillId="0" borderId="0" pivotButton="0" quotePrefix="0" xfId="127"/>
    <xf numFmtId="167" fontId="80" fillId="0" borderId="0" pivotButton="0" quotePrefix="0" xfId="127"/>
    <xf numFmtId="167" fontId="80" fillId="35" borderId="0" pivotButton="0" quotePrefix="0" xfId="127"/>
    <xf numFmtId="167" fontId="80" fillId="0" borderId="27" pivotButton="0" quotePrefix="0" xfId="127"/>
    <xf numFmtId="167" fontId="80" fillId="0" borderId="57" pivotButton="0" quotePrefix="0" xfId="127"/>
    <xf numFmtId="167" fontId="87" fillId="0" borderId="57" pivotButton="0" quotePrefix="0" xfId="127"/>
    <xf numFmtId="167" fontId="87" fillId="35" borderId="57" pivotButton="0" quotePrefix="0" xfId="127"/>
    <xf numFmtId="167" fontId="87" fillId="0" borderId="47" pivotButton="0" quotePrefix="0" xfId="127"/>
    <xf numFmtId="167" fontId="82" fillId="0" borderId="57" pivotButton="0" quotePrefix="0" xfId="127"/>
    <xf numFmtId="167" fontId="82" fillId="0" borderId="47" pivotButton="0" quotePrefix="0" xfId="127"/>
    <xf numFmtId="172" fontId="80" fillId="0" borderId="27"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172" fontId="80" fillId="35" borderId="52" pivotButton="0" quotePrefix="0" xfId="127"/>
    <xf numFmtId="167" fontId="82" fillId="35" borderId="57" pivotButton="0" quotePrefix="0" xfId="127"/>
    <xf numFmtId="172" fontId="80" fillId="35" borderId="47" pivotButton="0" quotePrefix="0" xfId="127"/>
    <xf numFmtId="167" fontId="82" fillId="0" borderId="76" pivotButton="0" quotePrefix="0" xfId="127"/>
    <xf numFmtId="167" fontId="82" fillId="0" borderId="50" pivotButton="0" quotePrefix="0" xfId="127"/>
    <xf numFmtId="170" fontId="80" fillId="0" borderId="0" pivotButton="0" quotePrefix="0" xfId="126"/>
    <xf numFmtId="170" fontId="80" fillId="0" borderId="27" pivotButton="0" quotePrefix="0" xfId="126"/>
    <xf numFmtId="43" fontId="80" fillId="0" borderId="27" pivotButton="0" quotePrefix="0" xfId="127"/>
    <xf numFmtId="171" fontId="87" fillId="34" borderId="50" pivotButton="0" quotePrefix="0" xfId="105"/>
    <xf numFmtId="167" fontId="80" fillId="0" borderId="76" pivotButton="0" quotePrefix="0" xfId="127"/>
    <xf numFmtId="167" fontId="80" fillId="0" borderId="50" pivotButton="0" quotePrefix="0" xfId="127"/>
    <xf numFmtId="171" fontId="87" fillId="34" borderId="47" pivotButton="0" quotePrefix="0" xfId="105"/>
    <xf numFmtId="167" fontId="82" fillId="35" borderId="52" pivotButton="0" quotePrefix="0" xfId="127"/>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169" fontId="98" fillId="0" borderId="54" pivotButton="0" quotePrefix="0" xfId="105"/>
    <xf numFmtId="169" fontId="98" fillId="0" borderId="52" pivotButton="0" quotePrefix="0" xfId="105"/>
    <xf numFmtId="169" fontId="98" fillId="0" borderId="57" pivotButton="0" quotePrefix="0" xfId="105"/>
    <xf numFmtId="169" fontId="98" fillId="0" borderId="47" pivotButton="0" quotePrefix="0" xfId="105"/>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170" fontId="82" fillId="0" borderId="17" applyAlignment="1" pivotButton="0" quotePrefix="0" xfId="49">
      <alignment horizontal="center" vertical="center"/>
    </xf>
    <xf numFmtId="164" fontId="82" fillId="23" borderId="0" applyAlignment="1" pivotButton="0" quotePrefix="0" xfId="49">
      <alignment horizontal="center" vertical="center"/>
    </xf>
    <xf numFmtId="164" fontId="82" fillId="0" borderId="0" applyAlignment="1" pivotButton="0" quotePrefix="0" xfId="49">
      <alignment horizontal="center" vertical="center"/>
    </xf>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164" fontId="97" fillId="0" borderId="88" applyAlignment="1" pivotButton="0" quotePrefix="0" xfId="112">
      <alignment horizontal="left" vertical="center"/>
    </xf>
    <xf numFmtId="164" fontId="97" fillId="0" borderId="0" applyAlignment="1" pivotButton="0" quotePrefix="0" xfId="112">
      <alignment horizontal="center"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82" fillId="0" borderId="51" applyAlignment="1" pivotButton="0" quotePrefix="0" xfId="112">
      <alignment horizontal="left" vertical="center"/>
    </xf>
    <xf numFmtId="164" fontId="82" fillId="0" borderId="76" applyAlignment="1" pivotButton="0" quotePrefix="0" xfId="112">
      <alignment horizontal="center"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164" fontId="80" fillId="0" borderId="55" applyAlignment="1" pivotButton="0" quotePrefix="0" xfId="112">
      <alignment horizontal="left" vertical="center"/>
    </xf>
    <xf numFmtId="164" fontId="80" fillId="0" borderId="0" applyAlignment="1" pivotButton="0" quotePrefix="0" xfId="112">
      <alignment horizontal="center"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center"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41" fontId="87" fillId="0" borderId="54" applyAlignment="1" pivotButton="0" quotePrefix="0" xfId="105">
      <alignment horizontal="right"/>
    </xf>
    <xf numFmtId="41" fontId="87" fillId="0" borderId="52" applyAlignment="1" pivotButton="0" quotePrefix="0" xfId="105">
      <alignment horizontal="right"/>
    </xf>
    <xf numFmtId="41" fontId="87" fillId="47" borderId="0" applyAlignment="1" pivotButton="0" quotePrefix="0" xfId="105">
      <alignment horizontal="right"/>
    </xf>
    <xf numFmtId="41" fontId="87" fillId="47" borderId="27" applyAlignment="1" pivotButton="0" quotePrefix="0" xfId="105">
      <alignment horizontal="right"/>
    </xf>
    <xf numFmtId="41" fontId="87" fillId="0" borderId="27" applyAlignment="1" pivotButton="0" quotePrefix="0" xfId="105">
      <alignment horizontal="right"/>
    </xf>
    <xf numFmtId="170" fontId="87" fillId="0" borderId="0" applyAlignment="1" pivotButton="0" quotePrefix="0" xfId="98">
      <alignment horizontal="right"/>
    </xf>
    <xf numFmtId="170" fontId="87" fillId="0" borderId="27" applyAlignment="1" pivotButton="0" quotePrefix="0" xfId="98">
      <alignment horizontal="right"/>
    </xf>
    <xf numFmtId="41" fontId="98" fillId="0" borderId="76" applyAlignment="1" pivotButton="0" quotePrefix="0" xfId="105">
      <alignment horizontal="right"/>
    </xf>
    <xf numFmtId="41" fontId="98" fillId="0" borderId="50" applyAlignment="1" pivotButton="0" quotePrefix="0" xfId="105">
      <alignment horizontal="right"/>
    </xf>
    <xf numFmtId="164" fontId="102" fillId="0" borderId="51" applyAlignment="1" pivotButton="0" quotePrefix="0" xfId="112">
      <alignment horizontal="left" vertical="center"/>
    </xf>
    <xf numFmtId="164" fontId="247" fillId="0" borderId="76" applyAlignment="1" pivotButton="0" quotePrefix="0" xfId="112">
      <alignment horizontal="center"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169" fontId="99" fillId="0" borderId="0" applyAlignment="1" pivotButton="0" quotePrefix="0" xfId="105">
      <alignment horizontal="right"/>
    </xf>
    <xf numFmtId="169" fontId="99" fillId="0" borderId="27" applyAlignment="1" pivotButton="0" quotePrefix="0" xfId="105">
      <alignment horizontal="right"/>
    </xf>
    <xf numFmtId="41" fontId="87" fillId="0" borderId="93" applyAlignment="1" pivotButton="0" quotePrefix="0" xfId="105">
      <alignment horizontal="right"/>
    </xf>
    <xf numFmtId="41" fontId="87" fillId="0" borderId="94" applyAlignment="1" pivotButton="0" quotePrefix="0" xfId="105">
      <alignment horizontal="right"/>
    </xf>
    <xf numFmtId="164" fontId="102" fillId="0" borderId="92" applyAlignment="1" pivotButton="0" quotePrefix="0" xfId="112">
      <alignment horizontal="left" vertical="center"/>
    </xf>
    <xf numFmtId="164" fontId="247" fillId="0" borderId="93" applyAlignment="1" pivotButton="0" quotePrefix="0" xfId="112">
      <alignment horizontal="center"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105">
      <alignment horizontal="right"/>
    </xf>
    <xf numFmtId="165" fontId="118" fillId="35" borderId="0" applyAlignment="1" pivotButton="0" quotePrefix="0" xfId="53">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64" fontId="80" fillId="0" borderId="90" applyAlignment="1" pivotButton="0" quotePrefix="0" xfId="112">
      <alignment horizontal="left" vertical="center"/>
    </xf>
    <xf numFmtId="164" fontId="80" fillId="0" borderId="30" applyAlignment="1" pivotButton="0" quotePrefix="0" xfId="112">
      <alignment horizontal="center" vertical="center"/>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41" fontId="87" fillId="0" borderId="89" applyAlignment="1" pivotButton="0" quotePrefix="0" xfId="0">
      <alignment horizontal="right"/>
    </xf>
    <xf numFmtId="165" fontId="101" fillId="0" borderId="0" applyAlignment="1" pivotButton="0" quotePrefix="0" xfId="53">
      <alignment horizontal="right"/>
    </xf>
    <xf numFmtId="165" fontId="80" fillId="47" borderId="0" applyAlignment="1" pivotButton="0" quotePrefix="0" xfId="53">
      <alignment horizontal="right"/>
    </xf>
    <xf numFmtId="165" fontId="80" fillId="0" borderId="89" applyAlignment="1" pivotButton="0" quotePrefix="0" xfId="53">
      <alignment horizontal="right"/>
    </xf>
    <xf numFmtId="171" fontId="87" fillId="22" borderId="0" applyAlignment="1" pivotButton="0" quotePrefix="0" xfId="105">
      <alignment horizontal="right"/>
    </xf>
    <xf numFmtId="169" fontId="87" fillId="22" borderId="0" applyAlignment="1" pivotButton="0" quotePrefix="0" xfId="105">
      <alignment horizontal="right"/>
    </xf>
    <xf numFmtId="41" fontId="117" fillId="31" borderId="0" applyAlignment="1" pivotButton="0" quotePrefix="0" xfId="105">
      <alignment horizontal="right"/>
    </xf>
    <xf numFmtId="41" fontId="157" fillId="35"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172" fontId="80" fillId="47" borderId="0" applyAlignment="1" pivotButton="0" quotePrefix="0" xfId="119">
      <alignment horizontal="right"/>
    </xf>
    <xf numFmtId="41" fontId="80" fillId="35" borderId="0" applyAlignment="1" pivotButton="0" quotePrefix="0" xfId="105">
      <alignment horizontal="right"/>
    </xf>
    <xf numFmtId="172" fontId="80" fillId="19" borderId="0" applyAlignment="1" pivotButton="0" quotePrefix="0" xfId="119">
      <alignment horizontal="right"/>
    </xf>
    <xf numFmtId="172" fontId="80" fillId="19" borderId="27" applyAlignment="1" pivotButton="0" quotePrefix="0" xfId="119">
      <alignment horizontal="right"/>
    </xf>
    <xf numFmtId="172" fontId="82" fillId="19" borderId="60" applyAlignment="1" pivotButton="0" quotePrefix="0" xfId="119">
      <alignment horizontal="right"/>
    </xf>
    <xf numFmtId="172" fontId="82" fillId="19" borderId="72" applyAlignment="1" pivotButton="0" quotePrefix="0" xfId="119">
      <alignment horizontal="righ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170" fontId="123" fillId="22" borderId="0" applyAlignment="1" pivotButton="0" quotePrefix="0" xfId="120">
      <alignment horizontal="right"/>
    </xf>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170" fontId="80" fillId="19" borderId="27" pivotButton="0" quotePrefix="0" xfId="120"/>
    <xf numFmtId="172" fontId="80" fillId="19" borderId="57" pivotButton="0" quotePrefix="0" xfId="0"/>
    <xf numFmtId="170" fontId="80" fillId="19" borderId="57" pivotButton="0" quotePrefix="0" xfId="120"/>
    <xf numFmtId="170" fontId="80" fillId="19" borderId="47" pivotButton="0" quotePrefix="0" xfId="120"/>
    <xf numFmtId="172" fontId="228" fillId="32" borderId="76" pivotButton="0" quotePrefix="0" xfId="0"/>
    <xf numFmtId="170" fontId="228" fillId="32" borderId="76" pivotButton="0" quotePrefix="0" xfId="120"/>
    <xf numFmtId="170" fontId="228" fillId="32" borderId="50" pivotButton="0" quotePrefix="0" xfId="120"/>
    <xf numFmtId="170" fontId="80" fillId="19" borderId="0" pivotButton="0" quotePrefix="0" xfId="98"/>
    <xf numFmtId="170" fontId="80" fillId="32" borderId="76" pivotButton="0" quotePrefix="0" xfId="98"/>
    <xf numFmtId="172" fontId="80" fillId="32" borderId="76" pivotButton="0" quotePrefix="0" xfId="0"/>
    <xf numFmtId="41" fontId="80" fillId="32" borderId="76" pivotButton="0" quotePrefix="0" xfId="105"/>
    <xf numFmtId="41" fontId="80" fillId="32" borderId="50" pivotButton="0" quotePrefix="0" xfId="105"/>
    <xf numFmtId="41" fontId="87" fillId="35" borderId="0" applyAlignment="1" pivotButton="0" quotePrefix="0" xfId="105">
      <alignment horizontal="center"/>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172" fontId="82" fillId="19" borderId="0" applyAlignment="1" pivotButton="0" quotePrefix="0" xfId="119">
      <alignment horizontal="right"/>
    </xf>
    <xf numFmtId="172" fontId="82" fillId="19" borderId="27" applyAlignment="1" pivotButton="0" quotePrefix="0" xfId="119">
      <alignment horizontal="right"/>
    </xf>
    <xf numFmtId="172" fontId="82" fillId="18" borderId="76" applyAlignment="1" pivotButton="0" quotePrefix="0" xfId="119">
      <alignment horizontal="right"/>
    </xf>
    <xf numFmtId="172" fontId="82" fillId="18" borderId="50" applyAlignment="1" pivotButton="0" quotePrefix="0" xfId="119">
      <alignment horizontal="right"/>
    </xf>
    <xf numFmtId="170" fontId="117" fillId="31" borderId="0" pivotButton="0" quotePrefix="0" xfId="98"/>
    <xf numFmtId="170" fontId="117" fillId="19" borderId="0" pivotButton="0" quotePrefix="0" xfId="98"/>
    <xf numFmtId="170" fontId="117" fillId="19" borderId="27" pivotButton="0" quotePrefix="0" xfId="98"/>
    <xf numFmtId="170" fontId="80" fillId="22" borderId="0" pivotButton="0" quotePrefix="0" xfId="98"/>
    <xf numFmtId="170" fontId="80" fillId="22" borderId="57" pivotButton="0" quotePrefix="0" xfId="98"/>
    <xf numFmtId="170" fontId="80" fillId="19" borderId="57" pivotButton="0" quotePrefix="0" xfId="98"/>
    <xf numFmtId="170" fontId="117" fillId="19" borderId="57" pivotButton="0" quotePrefix="0" xfId="98"/>
    <xf numFmtId="170" fontId="117" fillId="19" borderId="47" pivotButton="0" quotePrefix="0" xfId="98"/>
    <xf numFmtId="172" fontId="117" fillId="31" borderId="0" applyAlignment="1" pivotButton="0" quotePrefix="0" xfId="119">
      <alignment horizontal="right"/>
    </xf>
    <xf numFmtId="172" fontId="80" fillId="35" borderId="0" applyAlignment="1" pivotButton="0" quotePrefix="0" xfId="119">
      <alignment horizontal="right"/>
    </xf>
    <xf numFmtId="172" fontId="117" fillId="0" borderId="0" applyAlignment="1" pivotButton="0" quotePrefix="0" xfId="119">
      <alignment horizontal="right"/>
    </xf>
    <xf numFmtId="172" fontId="117" fillId="0" borderId="27" applyAlignment="1" pivotButton="0" quotePrefix="0" xfId="119">
      <alignment horizontal="right"/>
    </xf>
    <xf numFmtId="172" fontId="82" fillId="19" borderId="69" applyAlignment="1" pivotButton="0" quotePrefix="0" xfId="119">
      <alignment horizontal="right"/>
    </xf>
    <xf numFmtId="172" fontId="82" fillId="19" borderId="70" applyAlignment="1" pivotButton="0" quotePrefix="0" xfId="119">
      <alignment horizontal="right"/>
    </xf>
    <xf numFmtId="170" fontId="117" fillId="0" borderId="0" pivotButton="0" quotePrefix="0" xfId="120"/>
    <xf numFmtId="170" fontId="117" fillId="0" borderId="66" pivotButton="0" quotePrefix="0" xfId="120"/>
    <xf numFmtId="170" fontId="82" fillId="19" borderId="74" pivotButton="0" quotePrefix="0" xfId="120"/>
    <xf numFmtId="170" fontId="82" fillId="19" borderId="63" pivotButton="0" quotePrefix="0" xfId="120"/>
    <xf numFmtId="170" fontId="82" fillId="19" borderId="64" pivotButton="0" quotePrefix="0" xfId="120"/>
    <xf numFmtId="172" fontId="80" fillId="0" borderId="0" applyAlignment="1" pivotButton="0" quotePrefix="0" xfId="119">
      <alignment horizontal="right"/>
    </xf>
    <xf numFmtId="172" fontId="80" fillId="0" borderId="27" applyAlignment="1" pivotButton="0" quotePrefix="0" xfId="119">
      <alignment horizontal="right"/>
    </xf>
    <xf numFmtId="172" fontId="80" fillId="0" borderId="66" applyAlignment="1" pivotButton="0" quotePrefix="0" xfId="119">
      <alignment horizontal="right"/>
    </xf>
    <xf numFmtId="170" fontId="87" fillId="35" borderId="48" applyAlignment="1" pivotButton="0" quotePrefix="0" xfId="98">
      <alignment horizontal="center"/>
    </xf>
    <xf numFmtId="170" fontId="87" fillId="22" borderId="48" applyAlignment="1" pivotButton="0" quotePrefix="0" xfId="98">
      <alignment horizontal="center"/>
    </xf>
    <xf numFmtId="41" fontId="87" fillId="36" borderId="48" applyAlignment="1" pivotButton="0" quotePrefix="0" xfId="105">
      <alignment horizontal="right"/>
    </xf>
    <xf numFmtId="172" fontId="80" fillId="22" borderId="27" applyAlignment="1" pivotButton="0" quotePrefix="0" xfId="119">
      <alignment horizontal="right"/>
    </xf>
    <xf numFmtId="170" fontId="80" fillId="32" borderId="0"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2" fontId="118" fillId="31" borderId="63"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172" fontId="80" fillId="31" borderId="0" applyAlignment="1" pivotButton="0" quotePrefix="0" xfId="119">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172" fontId="80" fillId="19" borderId="0" applyAlignment="1" pivotButton="0" quotePrefix="0" xfId="119">
      <alignment horizontal="left"/>
    </xf>
    <xf numFmtId="41" fontId="80" fillId="19" borderId="0" applyAlignment="1" pivotButton="0" quotePrefix="0" xfId="105">
      <alignment horizontal="left"/>
    </xf>
    <xf numFmtId="172" fontId="82" fillId="19" borderId="76" applyAlignment="1" pivotButton="0" quotePrefix="0" xfId="119">
      <alignment horizontal="right"/>
    </xf>
    <xf numFmtId="172" fontId="82" fillId="19" borderId="50" applyAlignment="1" pivotButton="0" quotePrefix="0" xfId="119">
      <alignment horizontal="right"/>
    </xf>
    <xf numFmtId="172" fontId="82" fillId="0" borderId="0" applyAlignment="1" pivotButton="0" quotePrefix="0" xfId="119">
      <alignment horizontal="right"/>
    </xf>
    <xf numFmtId="172" fontId="82" fillId="35" borderId="0" applyAlignment="1" pivotButton="0" quotePrefix="0" xfId="119">
      <alignment horizontal="right"/>
    </xf>
    <xf numFmtId="172" fontId="82" fillId="47" borderId="57" applyAlignment="1" pivotButton="0" quotePrefix="0" xfId="119">
      <alignment horizontal="right"/>
    </xf>
    <xf numFmtId="172" fontId="82" fillId="47" borderId="47" applyAlignment="1" pivotButton="0" quotePrefix="0" xfId="119">
      <alignment horizontal="right"/>
    </xf>
    <xf numFmtId="172" fontId="87" fillId="0" borderId="0" applyAlignment="1" pivotButton="0" quotePrefix="0" xfId="119">
      <alignment horizontal="right"/>
    </xf>
    <xf numFmtId="41" fontId="87" fillId="0" borderId="54" pivotButton="0" quotePrefix="0" xfId="0"/>
    <xf numFmtId="41" fontId="87" fillId="0" borderId="0" pivotButton="0" quotePrefix="0" xfId="0"/>
    <xf numFmtId="41" fontId="87" fillId="0" borderId="57" pivotButton="0" quotePrefix="0" xfId="0"/>
    <xf numFmtId="41" fontId="87" fillId="0" borderId="57" pivotButton="0" quotePrefix="0" xfId="105"/>
    <xf numFmtId="41" fontId="87" fillId="0" borderId="47" pivotButton="0" quotePrefix="0" xfId="105"/>
    <xf numFmtId="41" fontId="98" fillId="0" borderId="76" pivotButton="0" quotePrefix="0" xfId="0"/>
    <xf numFmtId="180" fontId="82" fillId="22" borderId="0" pivotButton="0" quotePrefix="0" xfId="145"/>
    <xf numFmtId="172" fontId="117" fillId="0" borderId="0" pivotButton="0" quotePrefix="0" xfId="144"/>
    <xf numFmtId="172" fontId="80" fillId="0" borderId="0" pivotButton="0" quotePrefix="0" xfId="144"/>
    <xf numFmtId="41" fontId="117" fillId="0" borderId="0" pivotButton="0" quotePrefix="0" xfId="0"/>
    <xf numFmtId="172" fontId="82" fillId="0" borderId="76" pivotButton="0" quotePrefix="0" xfId="144"/>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41" fontId="87" fillId="0" borderId="76" pivotButton="0" quotePrefix="0" xfId="105"/>
    <xf numFmtId="41" fontId="131" fillId="0" borderId="76" applyAlignment="1" pivotButton="0" quotePrefix="0" xfId="105">
      <alignment horizontal="center"/>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0" applyAlignment="1" pivotButton="0" quotePrefix="0" xfId="97">
      <alignment horizontal="righ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67" applyAlignment="1" pivotButton="0" quotePrefix="0" xfId="98">
      <alignment horizontal="righ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63" applyAlignment="1" pivotButton="0" quotePrefix="0" xfId="98">
      <alignment horizontal="righ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0" applyAlignment="1" pivotButton="0" quotePrefix="0" xfId="97">
      <alignment horizontal="right"/>
    </xf>
    <xf numFmtId="170" fontId="133" fillId="19" borderId="27" applyAlignment="1" pivotButton="0" quotePrefix="0" xfId="97">
      <alignment horizontal="right"/>
    </xf>
    <xf numFmtId="170" fontId="134" fillId="19" borderId="67" applyAlignment="1" pivotButton="0" quotePrefix="0" xfId="97">
      <alignment horizontal="right"/>
    </xf>
    <xf numFmtId="170" fontId="134" fillId="19" borderId="113" applyAlignment="1" pivotButton="0" quotePrefix="0" xfId="97">
      <alignment horizontal="right"/>
    </xf>
    <xf numFmtId="167" fontId="87" fillId="19" borderId="0" applyAlignment="1" pivotButton="0" quotePrefix="0" xfId="127">
      <alignment horizontal="left"/>
    </xf>
    <xf numFmtId="167" fontId="133" fillId="19" borderId="27" applyAlignment="1" pivotButton="0" quotePrefix="0" xfId="119">
      <alignment horizontal="right"/>
    </xf>
    <xf numFmtId="170" fontId="87" fillId="19" borderId="27" applyAlignment="1" pivotButton="0" quotePrefix="0" xfId="98">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63" applyAlignment="1" pivotButton="0" quotePrefix="0" xfId="97">
      <alignment horizontal="right"/>
    </xf>
    <xf numFmtId="170" fontId="133" fillId="31" borderId="115" applyAlignment="1" pivotButton="0" quotePrefix="0" xfId="98">
      <alignment horizontal="right"/>
    </xf>
    <xf numFmtId="170" fontId="134" fillId="19" borderId="63"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170" fontId="140" fillId="21" borderId="31" applyAlignment="1" pivotButton="0" quotePrefix="0" xfId="98">
      <alignment horizontal="right"/>
    </xf>
    <xf numFmtId="176" fontId="140" fillId="21" borderId="31" applyAlignment="1" pivotButton="0" quotePrefix="0" xfId="105">
      <alignment horizontal="right"/>
    </xf>
    <xf numFmtId="170" fontId="140" fillId="21" borderId="0" applyAlignment="1" pivotButton="0" quotePrefix="0" xfId="98">
      <alignment horizontal="right"/>
    </xf>
    <xf numFmtId="176" fontId="140" fillId="21" borderId="0" applyAlignment="1" pivotButton="0" quotePrefix="0" xfId="105">
      <alignment horizontal="righ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176" fontId="98"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70" fontId="11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170" fontId="87" fillId="0" borderId="27" pivotButton="0" quotePrefix="0" xfId="49"/>
    <xf numFmtId="170" fontId="240" fillId="35" borderId="119" pivotButton="0" quotePrefix="0" xfId="49"/>
    <xf numFmtId="170" fontId="240" fillId="35" borderId="118" pivotButton="0" quotePrefix="0" xfId="49"/>
    <xf numFmtId="180" fontId="117" fillId="0" borderId="0" applyAlignment="1" pivotButton="0" quotePrefix="0" xfId="49">
      <alignment horizontal="center"/>
    </xf>
    <xf numFmtId="178" fontId="87" fillId="0" borderId="0" pivotButton="0" quotePrefix="1" xfId="92"/>
    <xf numFmtId="178" fontId="144" fillId="0" borderId="0" pivotButton="0" quotePrefix="1" xfId="92"/>
    <xf numFmtId="166" fontId="83" fillId="37" borderId="0" applyAlignment="1" pivotButton="0" quotePrefix="0" xfId="49">
      <alignment horizontal="center"/>
    </xf>
    <xf numFmtId="166" fontId="98" fillId="23" borderId="0" applyAlignment="1" pivotButton="0" quotePrefix="0" xfId="49">
      <alignment horizontal="center"/>
    </xf>
    <xf numFmtId="166" fontId="98" fillId="23" borderId="0" applyAlignment="1" pivotButton="0" quotePrefix="0" xfId="49">
      <alignment horizontal="centerContinuous"/>
    </xf>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41" fontId="87" fillId="0" borderId="0" applyAlignment="1" pivotButton="0" quotePrefix="0" xfId="46">
      <alignment horizontal="center"/>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170" fontId="87" fillId="0" borderId="42" pivotButton="0" quotePrefix="0" xfId="98"/>
    <xf numFmtId="165" fontId="87" fillId="0" borderId="42" applyAlignment="1" pivotButton="0" quotePrefix="0" xfId="49">
      <alignment horizontal="center"/>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80" fillId="0" borderId="120" applyAlignment="1" pivotButton="0" quotePrefix="0" xfId="49">
      <alignment horizontal="center" vertical="center" wrapText="1"/>
    </xf>
    <xf numFmtId="0" fontId="0" fillId="0" borderId="25" pivotButton="0" quotePrefix="0" xfId="0"/>
    <xf numFmtId="0" fontId="0" fillId="0" borderId="20" pivotButton="0" quotePrefix="0" xfId="0"/>
    <xf numFmtId="0" fontId="0" fillId="0" borderId="21" pivotButton="0" quotePrefix="0" xfId="0"/>
    <xf numFmtId="0" fontId="0" fillId="0" borderId="22" pivotButton="0" quotePrefix="0" xfId="0"/>
    <xf numFmtId="0" fontId="0" fillId="0" borderId="23" pivotButton="0" quotePrefix="0" xfId="0"/>
    <xf numFmtId="0" fontId="0" fillId="0" borderId="26" pivotButton="0" quotePrefix="0" xfId="0"/>
    <xf numFmtId="0" fontId="0" fillId="0" borderId="24" pivotButton="0" quotePrefix="0" xfId="0"/>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64" fontId="87" fillId="0" borderId="0" applyAlignment="1" pivotButton="0" quotePrefix="0" xfId="0">
      <alignment horizontal="right"/>
    </xf>
    <xf numFmtId="165" fontId="87" fillId="0" borderId="0" applyAlignment="1" pivotButton="0" quotePrefix="0" xfId="0">
      <alignment horizontal="right"/>
    </xf>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177" fontId="153" fillId="0" borderId="0" applyAlignment="1" pivotButton="0" quotePrefix="0" xfId="54">
      <alignment horizontal="right"/>
    </xf>
    <xf numFmtId="178" fontId="93" fillId="0" borderId="0" pivotButton="0" quotePrefix="1" xfId="92"/>
    <xf numFmtId="177" fontId="142" fillId="0" borderId="0" applyAlignment="1" pivotButton="0" quotePrefix="0" xfId="54">
      <alignment horizontal="right"/>
    </xf>
    <xf numFmtId="179" fontId="142" fillId="0" borderId="0" applyAlignment="1" pivotButton="0" quotePrefix="0" xfId="52">
      <alignment horizontal="right"/>
    </xf>
    <xf numFmtId="185" fontId="83" fillId="37" borderId="27" applyAlignment="1" pivotButton="0" quotePrefix="0" xfId="49">
      <alignment horizontal="center"/>
    </xf>
    <xf numFmtId="185" fontId="83" fillId="37" borderId="0" applyAlignment="1" pivotButton="0" quotePrefix="0" xfId="49">
      <alignment horizontal="center"/>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170" fontId="150" fillId="0" borderId="18"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170" fontId="92" fillId="0" borderId="4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170" fontId="172" fillId="0" borderId="18" applyAlignment="1" pivotButton="0" quotePrefix="0" xfId="49">
      <alignment horizontal="right"/>
    </xf>
    <xf numFmtId="170" fontId="172" fillId="0" borderId="18" applyAlignment="1" pivotButton="0" quotePrefix="0" xfId="97">
      <alignment horizontal="right"/>
    </xf>
    <xf numFmtId="166" fontId="87" fillId="0" borderId="0" applyAlignment="1" pivotButton="0" quotePrefix="0" xfId="49">
      <alignment horizontal="left"/>
    </xf>
    <xf numFmtId="41" fontId="175" fillId="0"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170" fontId="130" fillId="0" borderId="0" pivotButton="0" quotePrefix="0" xfId="49"/>
    <xf numFmtId="185" fontId="98" fillId="23" borderId="0" applyAlignment="1" pivotButton="0" quotePrefix="0" xfId="49">
      <alignment horizontal="center"/>
    </xf>
    <xf numFmtId="182" fontId="98" fillId="23" borderId="0" applyAlignment="1" pivotButton="0" quotePrefix="0" xfId="58">
      <alignment horizontal="left"/>
    </xf>
    <xf numFmtId="182" fontId="98" fillId="23" borderId="0" applyAlignment="1" pivotButton="0" quotePrefix="0" xfId="58">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23" borderId="0" applyAlignment="1" pivotButton="0" quotePrefix="0" xfId="105">
      <alignment horizontal="right"/>
    </xf>
    <xf numFmtId="41" fontId="86" fillId="0" borderId="0" applyAlignment="1" pivotButton="0" quotePrefix="1" xfId="48">
      <alignment horizontal="left"/>
    </xf>
    <xf numFmtId="185" fontId="98"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170" fontId="87" fillId="0" borderId="31" pivotButton="0" quotePrefix="0" xfId="98"/>
    <xf numFmtId="42" fontId="87" fillId="0" borderId="0" applyAlignment="1" pivotButton="0" quotePrefix="0" xfId="49">
      <alignment horizontal="righ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170" fontId="98" fillId="23" borderId="31" applyAlignment="1" pivotButton="0" quotePrefix="0" xfId="98">
      <alignment horizontal="right"/>
    </xf>
    <xf numFmtId="170" fontId="98" fillId="23" borderId="0" applyAlignment="1" pivotButton="0" quotePrefix="0" xfId="98">
      <alignment horizontal="right"/>
    </xf>
    <xf numFmtId="170" fontId="87" fillId="0" borderId="30" pivotButton="0" quotePrefix="0" xfId="98"/>
    <xf numFmtId="170" fontId="98" fillId="23" borderId="30" applyAlignment="1" pivotButton="0" quotePrefix="0" xfId="98">
      <alignment horizontal="right"/>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178" fontId="93" fillId="0" borderId="0" pivotButton="0" quotePrefix="0" xfId="92"/>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169" fontId="92" fillId="0" borderId="30" applyAlignment="1" pivotButton="0" quotePrefix="0" xfId="105">
      <alignment horizontal="right"/>
    </xf>
    <xf numFmtId="41" fontId="87" fillId="31" borderId="0" pivotButton="0" quotePrefix="0" xfId="49"/>
    <xf numFmtId="41" fontId="98" fillId="31" borderId="0" pivotButton="0" quotePrefix="0" xfId="49"/>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190" fontId="106" fillId="0" borderId="0" applyAlignment="1" pivotButton="0" quotePrefix="0" xfId="52">
      <alignment horizontal="right"/>
    </xf>
    <xf numFmtId="189" fontId="114" fillId="0" borderId="0" applyAlignment="1" pivotButton="0" quotePrefix="0" xfId="52">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187" fontId="114" fillId="0" borderId="34" applyAlignment="1" pivotButton="0" quotePrefix="0" xfId="52">
      <alignment horizontal="right"/>
    </xf>
    <xf numFmtId="188" fontId="189" fillId="0" borderId="34" applyAlignment="1" pivotButton="0" quotePrefix="0" xfId="54">
      <alignment horizontal="right"/>
    </xf>
    <xf numFmtId="177" fontId="189" fillId="0" borderId="34" applyAlignment="1" pivotButton="0" quotePrefix="0" xfId="54">
      <alignment horizontal="right"/>
    </xf>
    <xf numFmtId="42" fontId="114" fillId="0" borderId="34" applyAlignment="1" pivotButton="0" quotePrefix="0" xfId="52">
      <alignment horizontal="right"/>
    </xf>
    <xf numFmtId="189" fontId="188" fillId="0" borderId="0" applyAlignment="1" pivotButton="0" quotePrefix="0" xfId="52">
      <alignment horizontal="right"/>
    </xf>
    <xf numFmtId="42" fontId="188" fillId="0" borderId="0" applyAlignment="1" pivotButton="0" quotePrefix="0" xfId="52">
      <alignment horizontal="right"/>
    </xf>
    <xf numFmtId="41" fontId="188" fillId="0" borderId="0" applyAlignment="1" pivotButton="0" quotePrefix="0" xfId="52">
      <alignment horizontal="right"/>
    </xf>
    <xf numFmtId="188" fontId="106" fillId="0" borderId="0" pivotButton="0" quotePrefix="0" xfId="49"/>
    <xf numFmtId="42" fontId="114" fillId="0" borderId="44" applyAlignment="1" pivotButton="0" quotePrefix="0" xfId="52">
      <alignment horizontal="right"/>
    </xf>
    <xf numFmtId="178" fontId="191" fillId="0" borderId="0" applyAlignment="1" pivotButton="0" quotePrefix="1" xfId="92">
      <alignment vertical="center"/>
    </xf>
    <xf numFmtId="41" fontId="83" fillId="37" borderId="0" applyAlignment="1" pivotButton="0" quotePrefix="0" xfId="49">
      <alignment wrapText="1"/>
    </xf>
    <xf numFmtId="41" fontId="83" fillId="37" borderId="0" applyAlignment="1" pivotButton="0" quotePrefix="0" xfId="49">
      <alignment horizontal="right" wrapText="1"/>
    </xf>
    <xf numFmtId="166" fontId="114" fillId="23" borderId="0" pivotButton="0" quotePrefix="0" xfId="0"/>
    <xf numFmtId="166" fontId="188" fillId="23" borderId="0" pivotButton="0" quotePrefix="0" xfId="0"/>
    <xf numFmtId="0" fontId="0" fillId="0" borderId="54" pivotButton="0" quotePrefix="0" xfId="0"/>
    <xf numFmtId="0" fontId="0" fillId="0" borderId="52" pivotButton="0" quotePrefix="0" xfId="0"/>
    <xf numFmtId="0" fontId="109" fillId="40" borderId="82" applyAlignment="1" pivotButton="0" quotePrefix="0" xfId="0">
      <alignment horizontal="center" vertical="center" wrapText="1"/>
    </xf>
    <xf numFmtId="41" fontId="105" fillId="0" borderId="0" applyAlignment="1" pivotButton="0" quotePrefix="0" xfId="105">
      <alignment horizontal="left"/>
    </xf>
    <xf numFmtId="41" fontId="105" fillId="0" borderId="57" applyAlignment="1" pivotButton="0" quotePrefix="0" xfId="105">
      <alignment horizontal="left"/>
    </xf>
    <xf numFmtId="0" fontId="109" fillId="40" borderId="82" applyAlignment="1" pivotButton="0" quotePrefix="0" xfId="0">
      <alignment horizontal="center"/>
    </xf>
    <xf numFmtId="166" fontId="83" fillId="40" borderId="0" applyAlignment="1" pivotButton="0" quotePrefix="0" xfId="49">
      <alignment horizontal="center"/>
    </xf>
    <xf numFmtId="41" fontId="105" fillId="31" borderId="0" applyAlignment="1" pivotButton="0" quotePrefix="0" xfId="105">
      <alignment horizontal="left"/>
    </xf>
    <xf numFmtId="41" fontId="105" fillId="31" borderId="57" applyAlignment="1" pivotButton="0" quotePrefix="0" xfId="105">
      <alignment horizontal="left"/>
    </xf>
  </cellXfs>
  <cellStyles count="151">
    <cellStyle name="Normal" xfId="0" builtinId="0"/>
    <cellStyle name="20% - Accent1" xfId="1" builtinId="30" hidden="1"/>
    <cellStyle name="20% - Accent2" xfId="2" builtinId="34" hidden="1"/>
    <cellStyle name="20% - Accent3" xfId="3" builtinId="38" hidden="1"/>
    <cellStyle name="20% - Accent4" xfId="4" builtinId="42" hidden="1"/>
    <cellStyle name="20% - Accent5" xfId="5" builtinId="46" hidden="1"/>
    <cellStyle name="20% - Accent6" xfId="6" builtinId="50" hidden="1"/>
    <cellStyle name="40% - Accent1" xfId="7" builtinId="31" hidden="1"/>
    <cellStyle name="40% - Accent2" xfId="8" builtinId="35" hidden="1"/>
    <cellStyle name="40% - Accent3" xfId="9" builtinId="39" hidden="1"/>
    <cellStyle name="40% - Accent4" xfId="10" builtinId="43" hidden="1"/>
    <cellStyle name="40% - Accent5" xfId="11" builtinId="47" hidden="1"/>
    <cellStyle name="40% - Accent6" xfId="12" builtinId="51" hidden="1"/>
    <cellStyle name="60% - Accent1" xfId="13" builtinId="32" hidden="1"/>
    <cellStyle name="60% - Accent2" xfId="14" builtinId="36" hidden="1"/>
    <cellStyle name="60% - Accent3" xfId="15" builtinId="40" hidden="1"/>
    <cellStyle name="60% - Accent4" xfId="16" builtinId="44" hidden="1"/>
    <cellStyle name="60% - Accent5" xfId="17" builtinId="48" hidden="1"/>
    <cellStyle name="60% - Accent6" xfId="18" builtinId="52" hidden="1"/>
    <cellStyle name="Accent1" xfId="19" builtinId="29" hidden="1"/>
    <cellStyle name="Accent2" xfId="20" builtinId="33" hidden="1"/>
    <cellStyle name="Accent3" xfId="21" builtinId="37" hidden="1"/>
    <cellStyle name="Accent4" xfId="22" builtinId="41" hidden="1"/>
    <cellStyle name="Accent5" xfId="23" builtinId="45" hidden="1"/>
    <cellStyle name="Accent6" xfId="24" builtinId="49" hidden="1"/>
    <cellStyle name="Bad" xfId="25" builtinId="27" hidden="1"/>
    <cellStyle name="Calculation" xfId="26" builtinId="22" hidden="1"/>
    <cellStyle name="Check Cell" xfId="27" builtinId="23" hidden="1"/>
    <cellStyle name="Comma" xfId="28" builtinId="3" hidden="1"/>
    <cellStyle name="Currency" xfId="29" builtinId="4" hidden="1"/>
    <cellStyle name="Currency [0]" xfId="30" builtinId="7" hidden="1"/>
    <cellStyle name="Explanatory Text" xfId="31" builtinId="53" hidden="1"/>
    <cellStyle name="Good" xfId="32" builtinId="26" hidden="1"/>
    <cellStyle name="Heading 1" xfId="33" builtinId="16" hidden="1"/>
    <cellStyle name="Heading 2" xfId="34" builtinId="17" hidden="1"/>
    <cellStyle name="Heading 3" xfId="35" builtinId="18" hidden="1"/>
    <cellStyle name="Heading 4" xfId="36" builtinId="19" hidden="1"/>
    <cellStyle name="Input" xfId="37" builtinId="20" hidden="1"/>
    <cellStyle name="Linked Cell" xfId="38" builtinId="24" hidden="1"/>
    <cellStyle name="Neutral" xfId="39" builtinId="28" hidden="1"/>
    <cellStyle name="Note" xfId="40" builtinId="10" hidden="1"/>
    <cellStyle name="Output" xfId="41" builtinId="21" hidden="1"/>
    <cellStyle name="Percent" xfId="42" builtinId="5" hidden="1"/>
    <cellStyle name="Title" xfId="43" builtinId="15" hidden="1"/>
    <cellStyle name="Total" xfId="44" builtinId="25" hidden="1"/>
    <cellStyle name="Warning Text" xfId="45" builtinId="11" hidden="1"/>
    <cellStyle name="VSG Column Header" xfId="46"/>
    <cellStyle name="VSG Input" xfId="47"/>
    <cellStyle name="VSG Number" xfId="48"/>
    <cellStyle name="VSG Normal" xfId="49"/>
    <cellStyle name="VSG Schedule Header L2" xfId="50"/>
    <cellStyle name="VSG Schedule Header L1" xfId="51"/>
    <cellStyle name="VSG $" xfId="52"/>
    <cellStyle name="VSG Multiple" xfId="53"/>
    <cellStyle name="VSG Percentage" xfId="54"/>
    <cellStyle name="VSG Date Long" xfId="55"/>
    <cellStyle name="VSG Footnote" xfId="56"/>
    <cellStyle name="VSG Footnote Header" xfId="57"/>
    <cellStyle name="VSG Date Short" xfId="58"/>
    <cellStyle name="VSG Decimal" xfId="59"/>
    <cellStyle name="Comma [0]" xfId="60" builtinId="6" hidden="1"/>
    <cellStyle name="VSG Years" xfId="61"/>
    <cellStyle name="Hyperlink" xfId="62" builtinId="8" hidden="1"/>
    <cellStyle name="Followed Hyperlink" xfId="63" builtinId="9" hidden="1"/>
    <cellStyle name="VSG Hyperlink" xfId="64"/>
    <cellStyle name="VSG Currency" xfId="65"/>
    <cellStyle name="VSG Footnote Number" xfId="66"/>
    <cellStyle name="Normal 2" xfId="67"/>
    <cellStyle name="Percent 2" xfId="68"/>
    <cellStyle name="Percent 2 2" xfId="69"/>
    <cellStyle name="Normal 3 2 2" xfId="70"/>
    <cellStyle name="Percent 16" xfId="71"/>
    <cellStyle name="Normal 2 2 19" xfId="72"/>
    <cellStyle name="Normal 3 2" xfId="73"/>
    <cellStyle name="Normal 105 3" xfId="74"/>
    <cellStyle name="Percent 15" xfId="75"/>
    <cellStyle name="TextNormal" xfId="76"/>
    <cellStyle name="Percent 3" xfId="77"/>
    <cellStyle name="Normal 3 2 3" xfId="78"/>
    <cellStyle name="Currency 2" xfId="79"/>
    <cellStyle name="Percent 15 2" xfId="80"/>
    <cellStyle name="Normal 2 2" xfId="81"/>
    <cellStyle name="Normal 3" xfId="82"/>
    <cellStyle name="Normal 104 2" xfId="83"/>
    <cellStyle name="Normal 4" xfId="84"/>
    <cellStyle name="Percent 4" xfId="85"/>
    <cellStyle name="Normal 5" xfId="86"/>
    <cellStyle name="Normal 28" xfId="87"/>
    <cellStyle name="Comma 2" xfId="88"/>
    <cellStyle name="Percent 5" xfId="89"/>
    <cellStyle name="Normal 6" xfId="90"/>
    <cellStyle name="Normal 104 2 2" xfId="91"/>
    <cellStyle name="Comma 3" xfId="92"/>
    <cellStyle name="Percent 6" xfId="93"/>
    <cellStyle name="Normal 104 2 3" xfId="94"/>
    <cellStyle name="Normal 7" xfId="95"/>
    <cellStyle name="Comma 4" xfId="96"/>
    <cellStyle name="Percent 7" xfId="97"/>
    <cellStyle name="Normal 8" xfId="98"/>
    <cellStyle name="Comma 7" xfId="99"/>
    <cellStyle name="Percent 8" xfId="100"/>
    <cellStyle name="Normal 3 3" xfId="101"/>
    <cellStyle name="Normal 3 4" xfId="102"/>
    <cellStyle name="DateShort" xfId="103"/>
    <cellStyle name="Date" xfId="104"/>
    <cellStyle name="Comma 2 3" xfId="105"/>
    <cellStyle name="Comma 5" xfId="106"/>
    <cellStyle name="Comma 3 5" xfId="107"/>
    <cellStyle name="Normal 5 2" xfId="108"/>
    <cellStyle name="Comma 3 2" xfId="109"/>
    <cellStyle name="Normal 2 2 14" xfId="110"/>
    <cellStyle name="Comma 2 2 2" xfId="111"/>
    <cellStyle name="Percent 2 2 2" xfId="112"/>
    <cellStyle name="Normal 104 2 4" xfId="113"/>
    <cellStyle name="Comma 3 2 2" xfId="114"/>
    <cellStyle name="Percent 21" xfId="115"/>
    <cellStyle name="Comma 11" xfId="116"/>
    <cellStyle name="Comma 15" xfId="117"/>
    <cellStyle name="Comma 4 3" xfId="118"/>
    <cellStyle name="Comma 2 2" xfId="119"/>
    <cellStyle name="Comma 5 2" xfId="120"/>
    <cellStyle name="Comma 3 3" xfId="121"/>
    <cellStyle name="Comma 2 2 2 2" xfId="122"/>
    <cellStyle name="Comma 3 2 2 2" xfId="123"/>
    <cellStyle name="Comma 11 2" xfId="124"/>
    <cellStyle name="Comma 15 2" xfId="125"/>
    <cellStyle name="Comma 6" xfId="126"/>
    <cellStyle name="Normal 44" xfId="127"/>
    <cellStyle name="Comma 2 2 2 2 2" xfId="128"/>
    <cellStyle name="Comma 3 4" xfId="129"/>
    <cellStyle name="Comma 3 2 2 3" xfId="130"/>
    <cellStyle name="Comma 11 3" xfId="131"/>
    <cellStyle name="Comma 15 3" xfId="132"/>
    <cellStyle name="Comma 4 2" xfId="133"/>
    <cellStyle name="Comma 2 2 3" xfId="134"/>
    <cellStyle name="Comma 5 2 2" xfId="135"/>
    <cellStyle name="Comma 3 3 2" xfId="136"/>
    <cellStyle name="Comma 2 2 2 2 3" xfId="137"/>
    <cellStyle name="Comma 3 2 2 2 2" xfId="138"/>
    <cellStyle name="Comma 11 2 2" xfId="139"/>
    <cellStyle name="Comma 15 2 2" xfId="140"/>
    <cellStyle name="Comma 6 2" xfId="141"/>
    <cellStyle name="Comma 2 2 2 2 2 2" xfId="142"/>
    <cellStyle name="Normal 104 2 5" xfId="143"/>
    <cellStyle name="Percent 9" xfId="144"/>
    <cellStyle name="Normal 9" xfId="145"/>
    <cellStyle name="Normal 10" xfId="146"/>
    <cellStyle name="Comma 8" xfId="147"/>
    <cellStyle name="Normal 10 2" xfId="148"/>
    <cellStyle name="Comma 8 2" xfId="149"/>
    <cellStyle name="Percent 10" xfId="150"/>
  </cellStyles>
  <dxfs count="43">
    <dxf>
      <font>
        <color rgb="FFFF0000"/>
      </font>
    </dxf>
    <dxf>
      <font>
        <b val="1"/>
        <color rgb="FFC00000"/>
      </font>
      <fill>
        <patternFill>
          <bgColor theme="5" tint="0.3999450666829432"/>
        </patternFill>
      </fill>
    </dxf>
    <dxf>
      <font>
        <color rgb="FFFF0000"/>
      </font>
    </dxf>
    <dxf>
      <font>
        <color rgb="FFFF0000"/>
      </font>
    </dxf>
    <dxf>
      <font>
        <b val="1"/>
        <color rgb="FFC00000"/>
      </font>
      <fill>
        <patternFill>
          <bgColor theme="9" tint="0.3999450666829432"/>
        </patternFill>
      </fill>
    </dxf>
    <dxf>
      <font>
        <b val="1"/>
        <color rgb="FFC00000"/>
      </font>
      <fill>
        <patternFill>
          <bgColor theme="9" tint="0.399945066682943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1"/>
        <color rgb="FFC00000"/>
      </font>
    </dxf>
    <dxf>
      <font>
        <b val="1"/>
        <color rgb="FFC00000"/>
      </font>
    </dxf>
    <dxf>
      <font>
        <b val="1"/>
        <color rgb="FFC00000"/>
      </font>
    </dxf>
    <dxf>
      <font>
        <b val="1"/>
        <color rgb="FF00684F"/>
      </font>
    </dxf>
    <dxf>
      <font>
        <b val="1"/>
        <color rgb="FFC00000"/>
      </font>
      <fill>
        <patternFill>
          <bgColor theme="5" tint="0.399945066682943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externalLink" Target="/xl/externalLinks/externalLink1.xml" Id="rId45" /><Relationship Type="http://schemas.openxmlformats.org/officeDocument/2006/relationships/externalLink" Target="/xl/externalLinks/externalLink2.xml" Id="rId46" /><Relationship Type="http://schemas.openxmlformats.org/officeDocument/2006/relationships/externalLink" Target="/xl/externalLinks/externalLink3.xml" Id="rId47" /><Relationship Type="http://schemas.openxmlformats.org/officeDocument/2006/relationships/externalLink" Target="/xl/externalLinks/externalLink4.xml" Id="rId48" /><Relationship Type="http://schemas.openxmlformats.org/officeDocument/2006/relationships/externalLink" Target="/xl/externalLinks/externalLink5.xml" Id="rId49" /><Relationship Type="http://schemas.openxmlformats.org/officeDocument/2006/relationships/externalLink" Target="/xl/externalLinks/externalLink6.xml" Id="rId50" /><Relationship Type="http://schemas.openxmlformats.org/officeDocument/2006/relationships/styles" Target="styles.xml" Id="rId51" /><Relationship Type="http://schemas.openxmlformats.org/officeDocument/2006/relationships/theme" Target="theme/theme1.xml" Id="rId52" /><Relationship Type="http://schemas.microsoft.com/office/2006/relationships/vbaProject" Target="vbaProject.bin" Id="rId53" /></Relationships>
</file>

<file path=xl/charts/chart1.xml><?xml version="1.0" encoding="utf-8"?>
<chartSpace xmlns:a="http://schemas.openxmlformats.org/drawingml/2006/main" xmlns="http://schemas.openxmlformats.org/drawingml/2006/chart">
  <chart>
    <plotArea>
      <layout>
        <manualLayout>
          <layoutTarget val="inner"/>
          <xMode val="edge"/>
          <yMode val="edge"/>
          <wMode val="factor"/>
          <hMode val="factor"/>
          <x val="0.03357753357753358"/>
          <y val="0.09075907590759076"/>
          <w val="0.9328449328449329"/>
          <h val="0.6157376367558015"/>
        </manualLayout>
      </layout>
      <barChart>
        <barDir val="col"/>
        <grouping val="stacked"/>
        <varyColors val="0"/>
        <ser>
          <idx val="0"/>
          <order val="0"/>
          <tx>
            <strRef>
              <f>ReportData!$O$31</f>
              <strCache>
                <ptCount val="1"/>
                <pt idx="0">
                  <v xml:space="preserve"> Existing Business Revenues </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ReportData!$Q$31:$Z$31</f>
              <numCache>
                <formatCode>0%</formatCode>
                <ptCount val="10"/>
                <pt idx="0">
                  <v>0</v>
                </pt>
                <pt idx="1">
                  <v>0</v>
                </pt>
                <pt idx="2">
                  <v>0</v>
                </pt>
                <pt idx="3">
                  <v>0.5476190476190477</v>
                </pt>
                <pt idx="4">
                  <v>0.5476190476190477</v>
                </pt>
                <pt idx="5">
                  <v>0.5476190476190477</v>
                </pt>
                <pt idx="6">
                  <v>0.4073743890220789</v>
                </pt>
                <pt idx="7">
                  <v>0.2423418320645021</v>
                </pt>
                <pt idx="8">
                  <v>0.181091904742931</v>
                </pt>
                <pt idx="9">
                  <v>0.1332291203469761</v>
                </pt>
              </numCache>
            </numRef>
          </val>
        </ser>
        <ser>
          <idx val="1"/>
          <order val="1"/>
          <tx>
            <strRef>
              <f>ReportData!$O$32</f>
              <strCache>
                <ptCount val="1"/>
                <pt idx="0">
                  <v xml:space="preserve"> Pipeline Business Revenues </v>
                </pt>
              </strCache>
            </strRef>
          </tx>
          <spPr>
            <a:solidFill>
              <a:srgbClr val="92D050"/>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ReportData!$Q$32:$Z$32</f>
              <numCache>
                <formatCode>0%</formatCode>
                <ptCount val="10"/>
                <pt idx="0">
                  <v>0</v>
                </pt>
                <pt idx="1">
                  <v>0</v>
                </pt>
                <pt idx="2">
                  <v>0</v>
                </pt>
                <pt idx="3">
                  <v>0.3571428571428572</v>
                </pt>
                <pt idx="4">
                  <v>0.3571428571428572</v>
                </pt>
                <pt idx="5">
                  <v>0.3571428571428572</v>
                </pt>
                <pt idx="6">
                  <v>0.3571428571428572</v>
                </pt>
                <pt idx="7">
                  <v>0.3571428571428572</v>
                </pt>
                <pt idx="8">
                  <v>0.3571428571428572</v>
                </pt>
                <pt idx="9">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ReportData!$Q$33:$Z$33</f>
              <numCache>
                <formatCode>0%</formatCode>
                <ptCount val="10"/>
                <pt idx="0">
                  <v>0</v>
                </pt>
                <pt idx="1">
                  <v>0</v>
                </pt>
                <pt idx="2">
                  <v>0</v>
                </pt>
                <pt idx="3">
                  <v>0.09523809523809523</v>
                </pt>
                <pt idx="4">
                  <v>0.09523809523809523</v>
                </pt>
                <pt idx="5">
                  <v>0.09523809523809523</v>
                </pt>
                <pt idx="6">
                  <v>0.09523809523809523</v>
                </pt>
                <pt idx="7">
                  <v>0.09523809523809523</v>
                </pt>
                <pt idx="8">
                  <v>0.09523809523809523</v>
                </pt>
                <pt idx="9">
                  <v>0.09523809523809523</v>
                </pt>
              </numCache>
            </numRef>
          </val>
        </ser>
        <ser>
          <idx val="3"/>
          <order val="3"/>
          <tx>
            <strRef>
              <f>ReportData!#REF!</f>
              <strCache>
                <ptCount val="1"/>
                <pt idx="0">
                  <v>#REF!</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1"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ReportData!#REF!</f>
              <numCache>
                <formatCode>General</formatCode>
                <ptCount val="1"/>
                <pt idx="0">
                  <v>1</v>
                </pt>
              </numCache>
            </numRef>
          </val>
        </ser>
        <dLbls>
          <dLblPos val="ctr"/>
          <showLegendKey val="0"/>
          <showVal val="1"/>
          <showCatName val="0"/>
          <showSerName val="0"/>
          <showPercent val="0"/>
          <showBubbleSize val="0"/>
        </dLbls>
        <gapWidth val="50"/>
        <overlap val="100"/>
        <axId val="1102505360"/>
        <axId val="1423775296"/>
      </barChart>
      <catAx>
        <axId val="110250536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423775296"/>
        <crosses val="autoZero"/>
        <auto val="1"/>
        <lblAlgn val="ctr"/>
        <lblOffset val="100"/>
        <noMultiLvlLbl val="0"/>
      </catAx>
      <valAx>
        <axId val="1423775296"/>
        <scaling>
          <orientation val="minMax"/>
          <max val="650"/>
          <min val="0"/>
        </scaling>
        <delete val="1"/>
        <axPos val="l"/>
        <numFmt formatCode="0%" sourceLinked="1"/>
        <majorTickMark val="none"/>
        <minorTickMark val="none"/>
        <tickLblPos val="nextTo"/>
        <crossAx val="1102505360"/>
        <crosses val="autoZero"/>
        <crossBetween val="between"/>
      </valAx>
    </plotArea>
    <legend>
      <legendPos val="b"/>
      <legendEntry>
        <idx val="3"/>
        <delete val="1"/>
      </legendEntry>
      <layout>
        <manualLayout>
          <xMode val="edge"/>
          <yMode val="edge"/>
          <wMode val="factor"/>
          <hMode val="factor"/>
          <x val="0.001794327895190816"/>
          <y val="0.8200969309529378"/>
          <w val="0.998205753127013"/>
          <h val="0.1799030690470622"/>
        </manualLayout>
      </layout>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chart>
    <plotArea>
      <layout>
        <manualLayout>
          <layoutTarget val="inner"/>
          <xMode val="edge"/>
          <yMode val="edge"/>
          <wMode val="factor"/>
          <hMode val="factor"/>
          <x val="0.07635659362227816"/>
          <y val="0.07366277491175671"/>
          <w val="0.946236559139785"/>
          <h val="0.6169776191769132"/>
        </manualLayout>
      </layout>
      <lineChart>
        <grouping val="standard"/>
        <varyColors val="0"/>
        <ser>
          <idx val="0"/>
          <order val="0"/>
          <tx>
            <strRef>
              <f>ReportData!$O$66</f>
              <strCache>
                <ptCount val="1"/>
                <pt idx="0">
                  <v>Gross Margin</v>
                </pt>
              </strCache>
            </strRef>
          </tx>
          <spPr>
            <a:ln w="28575" cap="rnd">
              <a:solidFill>
                <a:srgbClr val="00CCE2"/>
              </a:solidFill>
              <a:prstDash val="solid"/>
              <a:round/>
            </a:ln>
          </spPr>
          <marker>
            <symbol val="circle"/>
            <size val="5"/>
            <spPr>
              <a:solidFill>
                <a:srgbClr val="00CCE2"/>
              </a:solidFill>
              <a:ln w="9525">
                <a:solidFill>
                  <a:srgbClr val="00CCE2"/>
                </a:solidFill>
                <a:prstDash val="solid"/>
              </a:ln>
            </spPr>
          </marker>
          <dLbls>
            <spPr>
              <a:solidFill>
                <a:srgbClr val="00CCE2"/>
              </a:solidFill>
              <a:ln>
                <a:noFill/>
                <a:prstDash val="solid"/>
              </a:ln>
            </spPr>
            <txPr>
              <a:bodyPr rot="0" spcFirstLastPara="1" vertOverflow="ellipsis" vert="horz" wrap="square" anchor="ctr" anchorCtr="1"/>
              <a:lstStyle/>
              <a:p>
                <a:pPr>
                  <a:defRPr sz="800" b="0" i="0" strike="noStrike" kern="1200" baseline="0">
                    <a:solidFill>
                      <a:sysClr val="windowText" lastClr="000000"/>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ReportData!$Q$66:$Z$66</f>
              <numCache>
                <formatCode>0%</formatCode>
                <ptCount val="10"/>
                <pt idx="0">
                  <v>0</v>
                </pt>
                <pt idx="1">
                  <v>0</v>
                </pt>
                <pt idx="2">
                  <v>0</v>
                </pt>
                <pt idx="3">
                  <v>0.7</v>
                </pt>
                <pt idx="4">
                  <v>0.7</v>
                </pt>
                <pt idx="5">
                  <v>0.7</v>
                </pt>
                <pt idx="6">
                  <v>0.7</v>
                </pt>
                <pt idx="7">
                  <v>0.7</v>
                </pt>
                <pt idx="8">
                  <v>0.7</v>
                </pt>
                <pt idx="9">
                  <v>0.7</v>
                </pt>
              </numCache>
            </numRef>
          </val>
          <smooth val="0"/>
        </ser>
        <ser>
          <idx val="1"/>
          <order val="1"/>
          <tx>
            <strRef>
              <f>ReportData!$O$67</f>
              <strCache>
                <ptCount val="1"/>
                <pt idx="0">
                  <v>EBITDA Margin</v>
                </pt>
              </strCache>
            </strRef>
          </tx>
          <spPr>
            <a:ln w="28575" cap="rnd">
              <a:solidFill>
                <a:schemeClr val="accent2"/>
              </a:solidFill>
              <a:prstDash val="solid"/>
              <a:round/>
            </a:ln>
          </spPr>
          <marker>
            <symbol val="circle"/>
            <size val="5"/>
            <spPr>
              <a:solidFill>
                <a:schemeClr val="accent2"/>
              </a:solidFill>
              <a:ln w="9525">
                <a:solidFill>
                  <a:schemeClr val="accent2"/>
                </a:solidFill>
                <a:prstDash val="solid"/>
              </a:ln>
            </spPr>
          </marker>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ReportData!$Q$67:$Z$67</f>
              <numCache>
                <formatCode>0%</formatCode>
                <ptCount val="10"/>
                <pt idx="0">
                  <v>0</v>
                </pt>
                <pt idx="1">
                  <v>0</v>
                </pt>
                <pt idx="2">
                  <v>0</v>
                </pt>
                <pt idx="3">
                  <v>0.4321428571428572</v>
                </pt>
                <pt idx="4">
                  <v>0.4321428571428572</v>
                </pt>
                <pt idx="5">
                  <v>0.4321428571428572</v>
                </pt>
                <pt idx="6">
                  <v>0.4321428571428572</v>
                </pt>
                <pt idx="7">
                  <v>0.4321428571428572</v>
                </pt>
                <pt idx="8">
                  <v>0.4321428571428572</v>
                </pt>
                <pt idx="9">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ReportData!$Q$68:$Z$68</f>
              <numCache>
                <formatCode>0%</formatCode>
                <ptCount val="10"/>
                <pt idx="0">
                  <v>0</v>
                </pt>
                <pt idx="1">
                  <v>0</v>
                </pt>
                <pt idx="2">
                  <v>0</v>
                </pt>
                <pt idx="3">
                  <v>0.2053133531746032</v>
                </pt>
                <pt idx="4">
                  <v>0.202215257936508</v>
                </pt>
                <pt idx="5">
                  <v>0.1978262896825397</v>
                </pt>
                <pt idx="6">
                  <v>0.1934373214285714</v>
                </pt>
                <pt idx="7">
                  <v>0.1890483531746032</v>
                </pt>
                <pt idx="8">
                  <v>0.1846593849206349</v>
                </pt>
                <pt idx="9">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833874944"/>
        <crosses val="autoZero"/>
        <auto val="1"/>
        <lblAlgn val="ctr"/>
        <lblOffset val="100"/>
        <noMultiLvlLbl val="0"/>
      </catAx>
      <valAx>
        <axId val="1833874944"/>
        <scaling>
          <orientation val="minMax"/>
          <max val="1"/>
          <min val="-1"/>
        </scaling>
        <delete val="1"/>
        <axPos val="l"/>
        <numFmt formatCode="0%" sourceLinked="1"/>
        <majorTickMark val="out"/>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8293159892417905"/>
          <y val="0.1166210283995965"/>
          <w val="0.9003645717334642"/>
          <h val="0.578826488065413"/>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strRef>
          <f>ReportData!$U$10</f>
          <strCache>
            <ptCount val="1"/>
            <pt idx="0">
              <v>Direct Costs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ReportData!$O$55</f>
              <strCache>
                <ptCount val="1"/>
                <pt idx="0">
                  <v>Direct Costs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(ReportData!$Q$55:$R$55,ReportData!$U$55:$Z$55)</f>
              <numCache>
                <formatCode>_(* #,##0_);_(* \(#,##0\);_(* "-"_);_(@_)</formatCode>
                <ptCount val="8"/>
                <pt idx="0">
                  <v>0</v>
                </pt>
                <pt idx="1">
                  <v>0</v>
                </pt>
                <pt idx="2">
                  <v>50400.00000000001</v>
                </pt>
                <pt idx="3">
                  <v>50400.00000000001</v>
                </pt>
                <pt idx="4">
                  <v>50400.00000000001</v>
                </pt>
                <pt idx="5">
                  <v>50400.00000000001</v>
                </pt>
                <pt idx="6">
                  <v>50400.00000000001</v>
                </pt>
                <pt idx="7">
                  <v>50400.00000000001</v>
                </pt>
              </numCache>
            </numRef>
          </val>
        </ser>
        <ser>
          <idx val="1"/>
          <order val="1"/>
          <tx>
            <strRef>
              <f>ReportData!$O$56</f>
              <strCache>
                <ptCount val="1"/>
                <pt idx="0">
                  <v>Staff cost</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(ReportData!$Q$56:$R$56,ReportData!$U$56:$Z$56)</f>
              <numCache>
                <formatCode>_(* #,##0_);_(* \(#,##0\);_(* "-"_);_(@_)</formatCode>
                <ptCount val="8"/>
                <pt idx="0">
                  <v>0</v>
                </pt>
                <pt idx="1">
                  <v>0</v>
                </pt>
                <pt idx="2">
                  <v>5000</v>
                </pt>
                <pt idx="3">
                  <v>5000</v>
                </pt>
                <pt idx="4">
                  <v>5000</v>
                </pt>
                <pt idx="5">
                  <v>5000</v>
                </pt>
                <pt idx="6">
                  <v>5000</v>
                </pt>
                <pt idx="7">
                  <v>5000</v>
                </pt>
              </numCache>
            </numRef>
          </val>
        </ser>
        <ser>
          <idx val="2"/>
          <order val="2"/>
          <tx>
            <strRef>
              <f>ReportData!$O$57</f>
              <strCache>
                <ptCount val="1"/>
                <pt idx="0">
                  <v>Sales Commission</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(ReportData!$Q$57:$R$57,ReportData!$U$57:$Z$57)</f>
              <numCache>
                <formatCode>_(* #,##0_);_(* \(#,##0\);_(* "-"_);_(@_)</formatCode>
                <ptCount val="8"/>
                <pt idx="0">
                  <v>0</v>
                </pt>
                <pt idx="1">
                  <v>0</v>
                </pt>
                <pt idx="2">
                  <v>5000</v>
                </pt>
                <pt idx="3">
                  <v>5000</v>
                </pt>
                <pt idx="4">
                  <v>5000</v>
                </pt>
                <pt idx="5">
                  <v>5000</v>
                </pt>
                <pt idx="6">
                  <v>5000</v>
                </pt>
                <pt idx="7">
                  <v>5000</v>
                </pt>
              </numCache>
            </numRef>
          </val>
        </ser>
        <dLbls>
          <dLblPos val="ctr"/>
          <showLegendKey val="0"/>
          <showVal val="1"/>
          <showCatName val="0"/>
          <showSerName val="0"/>
          <showPercent val="0"/>
          <showBubbleSize val="0"/>
        </dLbls>
        <gapWidth val="15"/>
        <overlap val="100"/>
        <axId val="754669984"/>
        <axId val="24497872"/>
      </barChart>
      <catAx>
        <axId val="754669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4497872"/>
        <crosses val="autoZero"/>
        <auto val="1"/>
        <lblAlgn val="ctr"/>
        <lblOffset val="100"/>
        <noMultiLvlLbl val="0"/>
      </catAx>
      <valAx>
        <axId val="24497872"/>
        <scaling>
          <orientation val="minMax"/>
        </scaling>
        <delete val="1"/>
        <axPos val="l"/>
        <numFmt formatCode="_(* #,##0_);_(* \(#,##0\);_(* &quot;-&quot;_);_(@_)" sourceLinked="1"/>
        <majorTickMark val="out"/>
        <minorTickMark val="none"/>
        <tickLblPos val="nextTo"/>
        <crossAx val="754669984"/>
        <crosses val="autoZero"/>
        <crossBetween val="between"/>
      </valAx>
    </plotArea>
    <legend>
      <legendPos val="b"/>
      <layout>
        <manualLayout>
          <xMode val="edge"/>
          <yMode val="edge"/>
          <wMode val="factor"/>
          <hMode val="factor"/>
          <x val="0"/>
          <y val="0.8338099046315256"/>
          <w val="0.9842493697178668"/>
          <h val="0.1398209319249939"/>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05022760772495462"/>
          <y val="0.06212376102674524"/>
          <w val="0.9920089255089986"/>
          <h val="0.5793638829262826"/>
        </manualLayout>
      </layout>
      <barChart>
        <barDir val="col"/>
        <grouping val="clustered"/>
        <varyColors val="0"/>
        <ser>
          <idx val="0"/>
          <order val="0"/>
          <tx>
            <strRef>
              <f>ReportData!$O$73</f>
              <strCache>
                <ptCount val="1"/>
                <pt idx="0">
                  <v>Trade Receivables Days</v>
                </pt>
              </strCache>
            </strRef>
          </tx>
          <spPr>
            <a:solidFill>
              <a:schemeClr val="accent1"/>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(ReportData!$Q$73:$R$73,ReportData!$U$73:$Z$73)</f>
              <numCache>
                <formatCode>_(* #,##0_);_(* \(#,##0\);_(* "-"_);_(@_)</formatCode>
                <ptCount val="8"/>
                <pt idx="0">
                  <v>0</v>
                </pt>
                <pt idx="1">
                  <v>0</v>
                </pt>
                <pt idx="2">
                  <v>0</v>
                </pt>
                <pt idx="3">
                  <v>0</v>
                </pt>
                <pt idx="4">
                  <v>0</v>
                </pt>
                <pt idx="5">
                  <v>0</v>
                </pt>
                <pt idx="6">
                  <v>0</v>
                </pt>
                <pt idx="7">
                  <v>0</v>
                </pt>
              </numCache>
            </numRef>
          </val>
        </ser>
        <ser>
          <idx val="1"/>
          <order val="1"/>
          <tx>
            <strRef>
              <f>ReportData!$O$74</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(ReportData!$Q$74:$R$74,ReportData!$U$74:$Z$74)</f>
              <numCache>
                <formatCode>_(* #,##0_);_(* \(#,##0\);_(* "-"_);_(@_)</formatCode>
                <ptCount val="8"/>
                <pt idx="0">
                  <v>0</v>
                </pt>
                <pt idx="1">
                  <v>0</v>
                </pt>
                <pt idx="2">
                  <v>40</v>
                </pt>
                <pt idx="3">
                  <v>40</v>
                </pt>
                <pt idx="4">
                  <v>40</v>
                </pt>
                <pt idx="5">
                  <v>40</v>
                </pt>
                <pt idx="6">
                  <v>40</v>
                </pt>
                <pt idx="7">
                  <v>40</v>
                </pt>
              </numCache>
            </numRef>
          </val>
        </ser>
        <ser>
          <idx val="2"/>
          <order val="2"/>
          <tx>
            <strRef>
              <f>ReportData!$O$75</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(ReportData!$Q$75:$R$75,ReportData!$U$75:$Z$75)</f>
              <numCache>
                <formatCode>_(* #,##0_);_(* \(#,##0\);_(* "-"_);_(@_)</formatCode>
                <ptCount val="8"/>
                <pt idx="0">
                  <v>0</v>
                </pt>
                <pt idx="1">
                  <v>0</v>
                </pt>
                <pt idx="2">
                  <v>40</v>
                </pt>
                <pt idx="3">
                  <v>40</v>
                </pt>
                <pt idx="4">
                  <v>40</v>
                </pt>
                <pt idx="5">
                  <v>40</v>
                </pt>
                <pt idx="6">
                  <v>40</v>
                </pt>
                <pt idx="7">
                  <v>40</v>
                </pt>
              </numCache>
            </numRef>
          </val>
        </ser>
        <ser>
          <idx val="3"/>
          <order val="3"/>
          <tx>
            <strRef>
              <f>ReportData!$O$76</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(ReportData!$Q$76:$R$76,ReportData!$U$76:$Z$76)</f>
              <numCache>
                <formatCode>_(* #,##0_);_(* \(#,##0\);_(* "-"_);_(@_)</formatCode>
                <ptCount val="8"/>
                <pt idx="0">
                  <v>0</v>
                </pt>
                <pt idx="1">
                  <v>0</v>
                </pt>
                <pt idx="2">
                  <v>27</v>
                </pt>
                <pt idx="3">
                  <v>27</v>
                </pt>
                <pt idx="4">
                  <v>27</v>
                </pt>
                <pt idx="5">
                  <v>27</v>
                </pt>
                <pt idx="6">
                  <v>27</v>
                </pt>
                <pt idx="7">
                  <v>27</v>
                </pt>
              </numCache>
            </numRef>
          </val>
        </ser>
        <ser>
          <idx val="4"/>
          <order val="4"/>
          <tx>
            <strRef>
              <f>ReportData!$O$77</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(ReportData!$Q$77:$R$77,ReportData!$U$77:$Z$77)</f>
              <numCache>
                <formatCode>_(* #,##0_);_(* \(#,##0\);_(* "-"_);_(@_)</formatCode>
                <ptCount val="8"/>
                <pt idx="0">
                  <v>0</v>
                </pt>
                <pt idx="1">
                  <v>0</v>
                </pt>
                <pt idx="2">
                  <v>30</v>
                </pt>
                <pt idx="3">
                  <v>30</v>
                </pt>
                <pt idx="4">
                  <v>30</v>
                </pt>
                <pt idx="5">
                  <v>30</v>
                </pt>
                <pt idx="6">
                  <v>30</v>
                </pt>
                <pt idx="7">
                  <v>30</v>
                </pt>
              </numCache>
            </numRef>
          </val>
        </ser>
        <ser>
          <idx val="5"/>
          <order val="5"/>
          <tx>
            <strRef>
              <f>ReportData!$O$79</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(ReportData!$Q$79:$R$79,ReportData!$U$79:$Z$79)</f>
              <numCache>
                <formatCode>_(* #,##0_);_(* \(#,##0\);_(* "-"_);_(@_)</formatCode>
                <ptCount val="8"/>
                <pt idx="0">
                  <v>0</v>
                </pt>
                <pt idx="1">
                  <v>0</v>
                </pt>
                <pt idx="2">
                  <v>0</v>
                </pt>
                <pt idx="3">
                  <v>0</v>
                </pt>
                <pt idx="4">
                  <v>0</v>
                </pt>
                <pt idx="5">
                  <v>0</v>
                </pt>
                <pt idx="6">
                  <v>0</v>
                </pt>
                <pt idx="7">
                  <v>0</v>
                </pt>
              </numCache>
            </numRef>
          </val>
        </ser>
        <ser>
          <idx val="6"/>
          <order val="6"/>
          <tx>
            <strRef>
              <f>ReportData!$O$80</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(ReportData!$Q$80:$R$80,ReportData!$U$80:$Z$80)</f>
              <numCache>
                <formatCode>_(* #,##0_);_(* \(#,##0\);_(* "-"_);_(@_)</formatCode>
                <ptCount val="8"/>
                <pt idx="0">
                  <v>0</v>
                </pt>
                <pt idx="1">
                  <v>0</v>
                </pt>
                <pt idx="2">
                  <v>20</v>
                </pt>
                <pt idx="3">
                  <v>20</v>
                </pt>
                <pt idx="4">
                  <v>20</v>
                </pt>
                <pt idx="5">
                  <v>20</v>
                </pt>
                <pt idx="6">
                  <v>20</v>
                </pt>
                <pt idx="7">
                  <v>20</v>
                </pt>
              </numCache>
            </numRef>
          </val>
        </ser>
        <ser>
          <idx val="7"/>
          <order val="7"/>
          <tx>
            <strRef>
              <f>ReportData!$O$81</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(ReportData!$Q$81:$R$81,ReportData!$U$81:$Z$81)</f>
              <numCache>
                <formatCode>_(* #,##0_);_(* \(#,##0\);_(* "-"_);_(@_)</formatCode>
                <ptCount val="8"/>
                <pt idx="0">
                  <v>0</v>
                </pt>
                <pt idx="1">
                  <v>0</v>
                </pt>
                <pt idx="2">
                  <v>40</v>
                </pt>
                <pt idx="3">
                  <v>40</v>
                </pt>
                <pt idx="4">
                  <v>40</v>
                </pt>
                <pt idx="5">
                  <v>40</v>
                </pt>
                <pt idx="6">
                  <v>40</v>
                </pt>
                <pt idx="7">
                  <v>40</v>
                </pt>
              </numCache>
            </numRef>
          </val>
        </ser>
        <ser>
          <idx val="8"/>
          <order val="8"/>
          <tx>
            <strRef>
              <f>ReportData!$O$82</f>
              <strCache>
                <ptCount val="1"/>
                <pt idx="0">
                  <v xml:space="preserve">Accrued Expenses Days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(ReportData!$Q$82:$R$82,ReportData!$U$82:$Z$82)</f>
              <numCache>
                <formatCode>_(* #,##0_);_(* \(#,##0\);_(* "-"_);_(@_)</formatCode>
                <ptCount val="8"/>
                <pt idx="0">
                  <v>0</v>
                </pt>
                <pt idx="1">
                  <v>0</v>
                </pt>
                <pt idx="2">
                  <v>27</v>
                </pt>
                <pt idx="3">
                  <v>27</v>
                </pt>
                <pt idx="4">
                  <v>27</v>
                </pt>
                <pt idx="5">
                  <v>27</v>
                </pt>
                <pt idx="6">
                  <v>27</v>
                </pt>
                <pt idx="7">
                  <v>27</v>
                </pt>
              </numCache>
            </numRef>
          </val>
        </ser>
        <ser>
          <idx val="9"/>
          <order val="9"/>
          <tx>
            <strRef>
              <f>ReportData!$O$83</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(ReportData!$Q$83:$R$83,ReportData!$U$83:$Z$83)</f>
              <numCache>
                <formatCode>_(* #,##0_);_(* \(#,##0\);_(* "-"_);_(@_)</formatCode>
                <ptCount val="8"/>
                <pt idx="0">
                  <v>0</v>
                </pt>
                <pt idx="1">
                  <v>0</v>
                </pt>
                <pt idx="2">
                  <v>30</v>
                </pt>
                <pt idx="3">
                  <v>30</v>
                </pt>
                <pt idx="4">
                  <v>30</v>
                </pt>
                <pt idx="5">
                  <v>30</v>
                </pt>
                <pt idx="6">
                  <v>30</v>
                </pt>
                <pt idx="7">
                  <v>30</v>
                </pt>
              </numCache>
            </numRef>
          </val>
        </ser>
        <ser>
          <idx val="10"/>
          <order val="10"/>
          <tx>
            <strRef>
              <f>ReportData!$O$84</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(ReportData!$Q$84:$R$84,ReportData!$U$84:$Z$84)</f>
              <numCache>
                <formatCode>_(* #,##0_);_(* \(#,##0\);_(* "-"_);_(@_)</formatCode>
                <ptCount val="8"/>
                <pt idx="0">
                  <v>0</v>
                </pt>
                <pt idx="1">
                  <v>0</v>
                </pt>
                <pt idx="2">
                  <v>10</v>
                </pt>
                <pt idx="3">
                  <v>0</v>
                </pt>
                <pt idx="4">
                  <v>0</v>
                </pt>
                <pt idx="5">
                  <v>0</v>
                </pt>
                <pt idx="6">
                  <v>0</v>
                </pt>
                <pt idx="7">
                  <v>0</v>
                </pt>
              </numCache>
            </numRef>
          </val>
        </ser>
        <dLbls>
          <dLblPos val="outEnd"/>
          <showLegendKey val="0"/>
          <showVal val="1"/>
          <showCatName val="0"/>
          <showSerName val="0"/>
          <showPercent val="0"/>
          <showBubbleSize val="0"/>
        </dLbls>
        <gapWidth val="0"/>
        <axId val="1493104720"/>
        <axId val="141848303"/>
      </bar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1"/>
        <axPos val="l"/>
        <numFmt formatCode="_(* #,##0_);_(* \(#,##0\);_(* &quot;-&quot;_);_(@_)" sourceLinked="1"/>
        <majorTickMark val="none"/>
        <minorTickMark val="none"/>
        <tickLblPos val="nextTo"/>
        <crossAx val="1493104720"/>
        <crosses val="autoZero"/>
        <crossBetween val="between"/>
      </valAx>
    </plotArea>
    <legend>
      <legendPos val="b"/>
      <layout>
        <manualLayout>
          <xMode val="edge"/>
          <yMode val="edge"/>
          <wMode val="factor"/>
          <hMode val="factor"/>
          <x val="0.008092857947668059"/>
          <y val="0.7737454402182202"/>
          <w val="0.9919071380582577"/>
          <h val="0.226254559781779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8.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9.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7007089549273163"/>
          <y val="0.05273148148148148"/>
          <w val="0.856117658279423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ReportData!$P$13</f>
              <strCache>
                <ptCount val="1"/>
                <pt idx="0">
                  <v>Low</v>
                </pt>
              </strCache>
            </strRef>
          </tx>
          <spPr>
            <a:solidFill>
              <a:schemeClr val="accent1"/>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ReportData!$P$14:$P$16</f>
              <numCache>
                <formatCode>_(* #,##0.0_);_(* \(#,##0.0\);_(* "-"_);_(@_)</formatCode>
                <ptCount val="3"/>
              </numCache>
            </numRef>
          </val>
        </ser>
        <ser>
          <idx val="1"/>
          <order val="1"/>
          <tx>
            <strRef>
              <f>ReportData!$Q$13</f>
              <strCache>
                <ptCount val="1"/>
                <pt idx="0">
                  <v>Difference</v>
                </pt>
              </strCache>
            </strRef>
          </tx>
          <spPr>
            <a:solidFill>
              <a:schemeClr val="accent2"/>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ReportData!$Q$14:$Q$16</f>
              <numCache>
                <formatCode>_(* #,##0.0_);_(* \(#,##0.0\);_(* "-"_);_(@_)</formatCode>
                <ptCount val="3"/>
                <pt idx="0">
                  <v>0</v>
                </pt>
                <pt idx="1">
                  <v>0</v>
                </pt>
                <pt idx="2">
                  <v>0</v>
                </pt>
              </numCache>
            </numRef>
          </val>
        </ser>
        <ser>
          <idx val="2"/>
          <order val="2"/>
          <tx>
            <strRef>
              <f>ReportData!$R$13</f>
              <strCache>
                <ptCount val="1"/>
                <pt idx="0">
                  <v>High</v>
                </pt>
              </strCache>
            </strRef>
          </tx>
          <spPr>
            <a:solidFill>
              <a:schemeClr val="accent3"/>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ReportData!$R$14:$R$16</f>
              <numCache>
                <formatCode>_(* #,##0.0_);_(* \(#,##0.0\);_(* "-"_);_(@_)</formatCode>
                <ptCount val="3"/>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chemeClr val="accent2"/>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accent3"/>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ReportData!$P$23</f>
              <strCache>
                <ptCount val="1"/>
                <pt idx="0">
                  <v>Low</v>
                </pt>
              </strCache>
            </strRef>
          </tx>
          <spPr>
            <a:solidFill>
              <a:schemeClr val="accent1"/>
            </a:solidFill>
            <a:ln>
              <a:noFill/>
              <a:prstDash val="solid"/>
            </a:ln>
          </spPr>
          <invertIfNegative val="0"/>
          <cat>
            <strRef>
              <f>ReportData!$O$24:$O$25</f>
              <strCache>
                <ptCount val="2"/>
                <pt idx="0">
                  <v xml:space="preserve"> DCF Approach </v>
                </pt>
                <pt idx="1">
                  <v xml:space="preserve"> Valify Case </v>
                </pt>
              </strCache>
            </strRef>
          </cat>
          <val>
            <numRef>
              <f>ReportData!$P$24:$P$25</f>
              <numCache>
                <formatCode>_(* #,##0.0_);_(* \(#,##0.0\);_(* "-"_);_(@_)</formatCode>
                <ptCount val="2"/>
              </numCache>
            </numRef>
          </val>
        </ser>
        <ser>
          <idx val="1"/>
          <order val="1"/>
          <tx>
            <strRef>
              <f>ReportData!$Q$23</f>
              <strCache>
                <ptCount val="1"/>
                <pt idx="0">
                  <v>Difference</v>
                </pt>
              </strCache>
            </strRef>
          </tx>
          <spPr>
            <a:solidFill>
              <a:schemeClr val="accent2"/>
            </a:solidFill>
            <a:ln>
              <a:noFill/>
              <a:prstDash val="solid"/>
            </a:ln>
          </spPr>
          <invertIfNegative val="0"/>
          <cat>
            <strRef>
              <f>ReportData!$O$24:$O$25</f>
              <strCache>
                <ptCount val="2"/>
                <pt idx="0">
                  <v xml:space="preserve"> DCF Approach </v>
                </pt>
                <pt idx="1">
                  <v xml:space="preserve"> Valify Case </v>
                </pt>
              </strCache>
            </strRef>
          </cat>
          <val>
            <numRef>
              <f>ReportData!$Q$24:$Q$25</f>
              <numCache>
                <formatCode>_(* #,##0.0_);_(* \(#,##0.0\);_(* "-"_);_(@_)</formatCode>
                <ptCount val="2"/>
                <pt idx="0">
                  <v>0</v>
                </pt>
                <pt idx="1">
                  <v>0</v>
                </pt>
              </numCache>
            </numRef>
          </val>
        </ser>
        <ser>
          <idx val="2"/>
          <order val="2"/>
          <tx>
            <strRef>
              <f>ReportData!$R$23</f>
              <strCache>
                <ptCount val="1"/>
                <pt idx="0">
                  <v>High</v>
                </pt>
              </strCache>
            </strRef>
          </tx>
          <spPr>
            <a:solidFill>
              <a:schemeClr val="accent3"/>
            </a:solidFill>
            <a:ln>
              <a:noFill/>
              <a:prstDash val="solid"/>
            </a:ln>
          </spPr>
          <invertIfNegative val="0"/>
          <cat>
            <strRef>
              <f>ReportData!$O$24:$O$25</f>
              <strCache>
                <ptCount val="2"/>
                <pt idx="0">
                  <v xml:space="preserve"> DCF Approach </v>
                </pt>
                <pt idx="1">
                  <v xml:space="preserve"> Valify Case </v>
                </pt>
              </strCache>
            </strRef>
          </cat>
          <val>
            <numRef>
              <f>ReportData!$R$24:$R$25</f>
              <numCache>
                <formatCode>_(* #,##0.0_);_(* \(#,##0.0\);_(* "-"_);_(@_)</formatCode>
                <ptCount val="2"/>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4.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5.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8473388888518224"/>
          <w val="0.9049590284523709"/>
          <h val="0.5121748101979086"/>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639710759885"/>
          <y val="0.7123008495830935"/>
          <w val="0.9926583602892401"/>
          <h val="0.241480665570443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6.xml><?xml version="1.0" encoding="utf-8"?>
<chartSpace xmlns:a="http://schemas.openxmlformats.org/drawingml/2006/main" xmlns="http://schemas.openxmlformats.org/drawingml/2006/chart">
  <chart>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rgbClr val="D7EEF1"/>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bg1">
                <a:lumMod val="75000"/>
              </a:schemeClr>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1"/>
        <axPos val="b"/>
        <numFmt formatCode="_(* #,##0.0_);_(* \(#,##0.0\);_(* &quot;-&quot;_);_(@_)" sourceLinked="1"/>
        <majorTickMark val="none"/>
        <minorTickMark val="none"/>
        <tickLblPos val="nextTo"/>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7.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8.xml><?xml version="1.0" encoding="utf-8"?>
<chartSpace xmlns:a="http://schemas.openxmlformats.org/drawingml/2006/main" xmlns="http://schemas.openxmlformats.org/drawingml/2006/chart">
  <chart>
    <plotArea>
      <layout>
        <manualLayout>
          <layoutTarget val="inner"/>
          <xMode val="edge"/>
          <yMode val="edge"/>
          <wMode val="factor"/>
          <hMode val="factor"/>
          <x val="0.08293159892417905"/>
          <y val="0.0161580737632359"/>
          <w val="0.9003645717334642"/>
          <h val="0.6792892632340256"/>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9.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3664666970437916"/>
          <y val="0"/>
          <w val="0.9267066605912416"/>
          <h val="0.6206904140870565"/>
        </manualLayout>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layout>
        <manualLayout>
          <xMode val="edge"/>
          <yMode val="edge"/>
          <wMode val="factor"/>
          <hMode val="factor"/>
          <x val="0"/>
          <y val="0.7813513100741022"/>
          <w val="1"/>
          <h val="0.1678290057682342"/>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1.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3644726171225823"/>
          <w val="0.9049590284523709"/>
          <h val="0.6763493349565743"/>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555501072324"/>
          <y val="0.828188655385344"/>
          <w val="0.9926583602892401"/>
          <h val="0.1690506435235686"/>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2.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200" b="1"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5381892723122611"/>
          <y val="0.05273148148148148"/>
          <w val="0.908450813974306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5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3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3.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rich>
      </tx>
      <layout>
        <manualLayout>
          <xMode val="edge"/>
          <yMode val="edge"/>
          <wMode val="factor"/>
          <hMode val="factor"/>
          <x val="0.333678894694238"/>
          <y val="0"/>
        </manualLayout>
      </layout>
      <overlay val="0"/>
      <spPr>
        <a:noFill/>
        <a:ln>
          <a:noFill/>
          <a:prstDash val="solid"/>
        </a:ln>
      </spPr>
      <txPr>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t/>
          </a:r>
          <a:endParaRPr lang="en-US"/>
        </a:p>
      </txPr>
    </title>
    <plotArea>
      <layout>
        <manualLayout>
          <layoutTarget val="inner"/>
          <xMode val="edge"/>
          <yMode val="edge"/>
          <wMode val="factor"/>
          <hMode val="factor"/>
          <x val="0.3093365957759953"/>
          <y val="0.2872453443319585"/>
          <w val="0.6672989182426963"/>
          <h val="0.667403181745139"/>
        </manualLayout>
      </layout>
      <barChart>
        <barDir val="bar"/>
        <grouping val="stacked"/>
        <varyColors val="0"/>
        <ser>
          <idx val="0"/>
          <order val="0"/>
          <spPr>
            <a:solidFill>
              <a:schemeClr val="accent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1"/>
          <order val="1"/>
          <spPr>
            <a:solidFill>
              <a:schemeClr val="accent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2"/>
          <order val="2"/>
          <spPr>
            <a:solidFill>
              <a:schemeClr val="accent3"/>
            </a:solidFill>
            <a:ln>
              <a:noFill/>
              <a:prstDash val="solid"/>
            </a:ln>
          </spPr>
          <invertIfNegative val="0"/>
          <dLbls>
            <delete val="1"/>
          </dLbls>
          <val>
            <numRef>
              <f>ValSum!#REF!</f>
              <numCache>
                <formatCode>General</formatCode>
                <ptCount val="1"/>
                <pt idx="0">
                  <v>1</v>
                </pt>
              </numCache>
            </numRef>
          </val>
        </ser>
        <ser>
          <idx val="3"/>
          <order val="3"/>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dLbls>
          <dLblPos val="ctr"/>
          <showLegendKey val="0"/>
          <showVal val="1"/>
          <showCatName val="0"/>
          <showSerName val="0"/>
          <showPercent val="0"/>
          <showBubbleSize val="0"/>
        </dLbls>
        <gapWidth val="150"/>
        <overlap val="100"/>
        <axId val="1274579231"/>
        <axId val="340570336"/>
      </barChart>
      <catAx>
        <axId val="1274579231"/>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340570336"/>
        <crosses val="autoZero"/>
        <auto val="1"/>
        <lblAlgn val="ctr"/>
        <lblOffset val="100"/>
        <noMultiLvlLbl val="0"/>
      </catAx>
      <valAx>
        <axId val="340570336"/>
        <scaling>
          <orientation val="minMax"/>
        </scaling>
        <delete val="1"/>
        <axPos val="b"/>
        <numFmt formatCode="General" sourceLinked="1"/>
        <majorTickMark val="none"/>
        <minorTickMark val="none"/>
        <tickLblPos val="nextTo"/>
        <crossAx val="1274579231"/>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EBITDA Margin</a:t>
            </a:r>
            <a:r>
              <a:rPr lang="en-US" baseline="0"/>
              <a:t xml:space="preserve"> vs EV/Revenue (FYE)</a:t>
            </a:r>
            <a:endParaRPr lang="en-US"/>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Multiples!$R$9:$R$15</f>
              <numCache>
                <formatCode>0.0%</formatCode>
                <ptCount val="7"/>
                <pt idx="0">
                  <v>0</v>
                </pt>
                <pt idx="1">
                  <v>0</v>
                </pt>
                <pt idx="2">
                  <v>0</v>
                </pt>
                <pt idx="3">
                  <v>0</v>
                </pt>
                <pt idx="4">
                  <v>0</v>
                </pt>
                <pt idx="5">
                  <v>0</v>
                </pt>
                <pt idx="6">
                  <v>0</v>
                </pt>
              </numCache>
            </numRef>
          </xVal>
          <yVal>
            <numRef>
              <f>Multiples!$X$9:$X$15</f>
              <numCache>
                <formatCode>_(* #,##0.0\x_);_(* \(#,##0.0\x\);_(* "-"??_);_(@_)</formatCode>
                <ptCount val="7"/>
                <pt idx="0">
                  <v>3</v>
                </pt>
                <pt idx="1">
                  <v>4</v>
                </pt>
                <pt idx="2">
                  <v>5</v>
                </pt>
                <pt idx="3">
                  <v>6</v>
                </pt>
                <pt idx="4">
                  <v>3</v>
                </pt>
                <pt idx="5">
                  <v>2</v>
                </pt>
                <pt idx="6">
                  <v>4</v>
                </pt>
              </numCache>
            </numRef>
          </yVal>
          <smooth val="0"/>
        </ser>
        <dLbls>
          <showLegendKey val="0"/>
          <showVal val="0"/>
          <showCatName val="0"/>
          <showSerName val="0"/>
          <showPercent val="0"/>
          <showBubbleSize val="0"/>
        </dLbls>
        <axId val="1976403055"/>
        <axId val="1728662207"/>
      </scatterChart>
      <valAx>
        <axId val="1976403055"/>
        <scaling>
          <orientation val="minMax"/>
        </scaling>
        <delete val="0"/>
        <axPos val="b"/>
        <majorGridlines>
          <spPr>
            <a:ln w="9525" cap="flat" cmpd="sng" algn="ctr">
              <a:solidFill>
                <a:schemeClr val="tx1">
                  <a:lumMod val="15000"/>
                  <a:lumOff val="85000"/>
                </a:schemeClr>
              </a:solidFill>
              <a:prstDash val="solid"/>
              <a:round/>
            </a:ln>
          </spPr>
        </majorGridlines>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28662207"/>
        <crosses val="autoZero"/>
        <crossBetween val="midCat"/>
      </valAx>
      <valAx>
        <axId val="1728662207"/>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7640305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Size (Revenue)</a:t>
            </a:r>
            <a:r>
              <a:rPr lang="en-US" baseline="0"/>
              <a:t xml:space="preserve"> vs EV/EBITDA (FYE)</a:t>
            </a:r>
            <a:endParaRPr lang="en-US"/>
          </a:p>
        </rich>
      </tx>
      <layout>
        <manualLayout>
          <xMode val="edge"/>
          <yMode val="edge"/>
          <wMode val="factor"/>
          <hMode val="factor"/>
          <x val="0.3947360017497813"/>
          <y val="0.02777777777777778"/>
        </manualLayout>
      </layout>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Multiples!$I$9:$I$15</f>
              <numCache>
                <formatCode>_(* #,##0_);_(* \(#,##0\);_(* "-"_);_(@_)</formatCode>
                <ptCount val="7"/>
                <pt idx="0">
                  <v>0</v>
                </pt>
                <pt idx="1">
                  <v>0</v>
                </pt>
                <pt idx="2">
                  <v>0</v>
                </pt>
                <pt idx="3">
                  <v>0</v>
                </pt>
                <pt idx="4">
                  <v>0</v>
                </pt>
                <pt idx="5">
                  <v>0</v>
                </pt>
                <pt idx="6">
                  <v>0</v>
                </pt>
              </numCache>
            </numRef>
          </xVal>
          <yVal>
            <numRef>
              <f>Multiples!$AA$9:$AA$15</f>
              <numCache>
                <formatCode>_(* #,##0.0\x_);_(* \(#,##0.0\x\);_(* "-"??_);_(@_)</formatCode>
                <ptCount val="7"/>
                <pt idx="0">
                  <v>6</v>
                </pt>
                <pt idx="1">
                  <v>5</v>
                </pt>
                <pt idx="2">
                  <v>6</v>
                </pt>
                <pt idx="3">
                  <v>7</v>
                </pt>
                <pt idx="4">
                  <v>9</v>
                </pt>
                <pt idx="5">
                  <v>6</v>
                </pt>
                <pt idx="6">
                  <v>4</v>
                </pt>
              </numCache>
            </numRef>
          </yVal>
          <smooth val="0"/>
        </ser>
        <dLbls>
          <showLegendKey val="0"/>
          <showVal val="0"/>
          <showCatName val="0"/>
          <showSerName val="0"/>
          <showPercent val="0"/>
          <showBubbleSize val="0"/>
        </dLbls>
        <axId val="1933461215"/>
        <axId val="1749846063"/>
      </scatterChart>
      <valAx>
        <axId val="1933461215"/>
        <scaling>
          <orientation val="minMax"/>
        </scaling>
        <delete val="0"/>
        <axPos val="b"/>
        <majorGridlines>
          <spPr>
            <a:ln w="9525" cap="flat" cmpd="sng" algn="ctr">
              <a:solidFill>
                <a:schemeClr val="tx1">
                  <a:lumMod val="15000"/>
                  <a:lumOff val="85000"/>
                </a:schemeClr>
              </a:solidFill>
              <a:prstDash val="solid"/>
              <a:round/>
            </a:ln>
          </spPr>
        </majorGridlines>
        <numFmt formatCode="_(* #,##0_);_(* \(#,##0\);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49846063"/>
        <crosses val="autoZero"/>
        <crossBetween val="midCat"/>
      </valAx>
      <valAx>
        <axId val="1749846063"/>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3346121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8.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rich>
      </tx>
      <overlay val="0"/>
      <spPr>
        <a:noFill/>
        <a:ln>
          <a:noFill/>
          <a:prstDash val="solid"/>
        </a:ln>
      </spPr>
      <txPr>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61514532415231"/>
          <y val="0.0805243590573156"/>
          <w val="0.6460852019068278"/>
          <h val="0.8205327075590866"/>
        </manualLayout>
      </layout>
      <barChart>
        <barDir val="bar"/>
        <grouping val="clustered"/>
        <varyColors val="0"/>
        <ser>
          <idx val="0"/>
          <order val="0"/>
          <tx>
            <strRef>
              <f>Growth!$AD$8</f>
              <strCache>
                <ptCount val="1"/>
                <pt idx="0">
                  <v>2 Year CAGR</v>
                </pt>
              </strCache>
            </strRef>
          </tx>
          <spPr>
            <a:solidFill>
              <a:schemeClr val="accent1"/>
            </a:solidFill>
            <a:ln>
              <a:noFill/>
              <a:prstDash val="solid"/>
            </a:ln>
          </spPr>
          <invertIfNegative val="0"/>
          <cat>
            <strRef>
              <f>Growth!GPCREVLABEL</f>
              <strCache>
                <ptCount val="30"/>
                <pt idx="0">
                  <v>Comp 1</v>
                </pt>
                <pt idx="1">
                  <v>Comp 2</v>
                </pt>
                <pt idx="2">
                  <v>Comp 3</v>
                </pt>
                <pt idx="3">
                  <v>Comp 4</v>
                </pt>
                <pt idx="4">
                  <v>Comp 5</v>
                </pt>
                <pt idx="5">
                  <v>Comp 6</v>
                </pt>
                <pt idx="6">
                  <v>Comp 7</v>
                </pt>
                <pt idx="7">
                  <v>Comp 8</v>
                </pt>
                <pt idx="8">
                  <v>Comp 9</v>
                </pt>
                <pt idx="9">
                  <v>Comp 10</v>
                </pt>
                <pt idx="10">
                  <v>Comp 11</v>
                </pt>
                <pt idx="11">
                  <v>Comp 12</v>
                </pt>
                <pt idx="12">
                  <v>Comp 13</v>
                </pt>
                <pt idx="13">
                  <v>Comp 14</v>
                </pt>
                <pt idx="14">
                  <v>Comp 15</v>
                </pt>
                <pt idx="15">
                  <v>Comp 16</v>
                </pt>
                <pt idx="16">
                  <v>Comp 17</v>
                </pt>
                <pt idx="17">
                  <v>Comp 18</v>
                </pt>
                <pt idx="18">
                  <v>Comp 19</v>
                </pt>
                <pt idx="19">
                  <v>Comp 20</v>
                </pt>
                <pt idx="20">
                  <v>Comp 21</v>
                </pt>
                <pt idx="21">
                  <v>Comp 22</v>
                </pt>
                <pt idx="22">
                  <v>Comp 23</v>
                </pt>
                <pt idx="23">
                  <v>Comp 24</v>
                </pt>
                <pt idx="24">
                  <v>Comp 25</v>
                </pt>
                <pt idx="25">
                  <v>Comp 26</v>
                </pt>
                <pt idx="26">
                  <v>Comp 27</v>
                </pt>
                <pt idx="27">
                  <v>Comp 28</v>
                </pt>
                <pt idx="28">
                  <v>Comp 29</v>
                </pt>
                <pt idx="29">
                  <v>Comp 30</v>
                </pt>
              </strCache>
            </strRef>
          </cat>
          <val>
            <numRef>
              <f>Growth!GPCREV</f>
              <numCache>
                <formatCode>0.0%</formatCode>
                <ptCount val="30"/>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numCache>
            </numRef>
          </val>
        </ser>
        <dLbls>
          <showLegendKey val="0"/>
          <showVal val="0"/>
          <showCatName val="0"/>
          <showSerName val="0"/>
          <showPercent val="0"/>
          <showBubbleSize val="0"/>
        </dLbls>
        <gapWidth val="182"/>
        <axId val="919334064"/>
        <axId val="919327832"/>
      </barChart>
      <scatterChart>
        <scatterStyle val="lineMarker"/>
        <varyColors val="0"/>
        <ser>
          <idx val="1"/>
          <order val="0"/>
          <tx>
            <strRef>
              <f>Growth!$AE$8</f>
              <strCache>
                <ptCount val="1"/>
                <pt idx="0">
                  <v>Median</v>
                </pt>
              </strCache>
            </strRef>
          </tx>
          <spPr>
            <a:ln w="12700" cap="rnd">
              <a:solidFill>
                <a:schemeClr val="accent1">
                  <a:lumMod val="20000"/>
                  <a:lumOff val="80000"/>
                </a:schemeClr>
              </a:solidFill>
              <a:prstDash val="lgDash"/>
              <a:round/>
            </a:ln>
          </spPr>
          <marker>
            <symbol val="none"/>
            <spPr>
              <a:ln>
                <a:prstDash val="solid"/>
              </a:ln>
            </spPr>
          </marker>
          <xVal>
            <numRef>
              <f>Growth!$AE$10:$AE$11</f>
              <numCache>
                <formatCode>0.0%</formatCode>
                <ptCount val="2"/>
                <pt idx="0">
                  <v>0</v>
                </pt>
                <pt idx="1">
                  <v>0</v>
                </pt>
              </numCache>
            </numRef>
          </xVal>
          <yVal>
            <numRef>
              <f>Growth!$AF$10:$AF$11</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0"/>
        <axPos val="l"/>
        <numFmt formatCode="General" sourceLinked="1"/>
        <majorTickMark val="out"/>
        <minorTickMark val="none"/>
        <tickLblPos val="nextTo"/>
        <spPr>
          <a:noFill/>
          <a:ln>
            <a:solidFill>
              <a:schemeClr val="bg1">
                <a:lumMod val="50000"/>
              </a:schemeClr>
            </a:solid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29.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rPr lang="en-US" b="1"/>
              <a:t>WC as a % of revenue (FYE)</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a:schemeClr val="accent1"/>
            </a:solidFill>
            <a:ln>
              <a:noFill/>
              <a:prstDash val="solid"/>
            </a:ln>
          </spPr>
          <invertIfNegative val="0"/>
          <cat>
            <strRef>
              <f>'Capex, Dep, WC'!$D$111:$D$117</f>
              <strCache>
                <ptCount val="7"/>
                <pt idx="0">
                  <v xml:space="preserve"> Comp 1 </v>
                </pt>
                <pt idx="1">
                  <v xml:space="preserve"> Comp 2 </v>
                </pt>
                <pt idx="2">
                  <v xml:space="preserve"> Comp 3 </v>
                </pt>
                <pt idx="3">
                  <v xml:space="preserve"> Comp 4 </v>
                </pt>
                <pt idx="4">
                  <v xml:space="preserve"> Comp 5 </v>
                </pt>
                <pt idx="5">
                  <v xml:space="preserve"> Comp 6 </v>
                </pt>
                <pt idx="6">
                  <v xml:space="preserve"> Comp 7 </v>
                </pt>
              </strCache>
            </strRef>
          </cat>
          <val>
            <numRef>
              <f>'Capex, Dep, WC'!$I$111:$I$117</f>
              <numCache>
                <formatCode>0.0%</formatCode>
                <ptCount val="7"/>
                <pt idx="0">
                  <v>0</v>
                </pt>
                <pt idx="1">
                  <v>0</v>
                </pt>
                <pt idx="2">
                  <v>0</v>
                </pt>
                <pt idx="3">
                  <v>0</v>
                </pt>
                <pt idx="4">
                  <v>0</v>
                </pt>
                <pt idx="5">
                  <v>0</v>
                </pt>
                <pt idx="6">
                  <v>0</v>
                </pt>
              </numCache>
            </numRef>
          </val>
        </ser>
        <dLbls>
          <showLegendKey val="0"/>
          <showVal val="0"/>
          <showCatName val="0"/>
          <showSerName val="0"/>
          <showPercent val="0"/>
          <showBubbleSize val="0"/>
        </dLbls>
        <gapWidth val="219"/>
        <overlap val="-27"/>
        <axId val="1731872719"/>
        <axId val="1702548431"/>
      </barChart>
      <catAx>
        <axId val="1731872719"/>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02548431"/>
        <crosses val="autoZero"/>
        <auto val="1"/>
        <lblAlgn val="ctr"/>
        <lblOffset val="100"/>
        <noMultiLvlLbl val="0"/>
      </catAx>
      <valAx>
        <axId val="1702548431"/>
        <scaling>
          <orientation val="minMax"/>
        </scaling>
        <delete val="0"/>
        <axPos val="l"/>
        <majorGridlines>
          <spPr>
            <a:ln w="9525" cap="flat" cmpd="sng" algn="ctr">
              <a:solidFill>
                <a:schemeClr val="tx1">
                  <a:lumMod val="15000"/>
                  <a:lumOff val="85000"/>
                </a:schemeClr>
              </a:solidFill>
              <a:prstDash val="solid"/>
              <a:round/>
            </a:ln>
          </spPr>
        </majorGridlines>
        <numFmt formatCode="0.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31872719"/>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omments/comment1.xml><?xml version="1.0" encoding="utf-8"?>
<comments xmlns="http://schemas.openxmlformats.org/spreadsheetml/2006/main">
  <authors>
    <author>Samuel J Beesley</author>
  </authors>
  <commentList>
    <comment ref="E29" authorId="0" shapeId="0">
      <text>
        <t>Admin:
Determines valuation date and data downloaded as of date</t>
      </text>
    </comment>
    <comment ref="E30" authorId="0" shapeId="0">
      <text>
        <t>Admin:
Determines stub period</t>
      </text>
    </comment>
  </commentList>
</comments>
</file>

<file path=xl/comments/comment2.xml><?xml version="1.0" encoding="utf-8"?>
<comments xmlns="http://schemas.openxmlformats.org/spreadsheetml/2006/main">
  <authors>
    <author>Samuel J Beesley</author>
  </authors>
  <commentList>
    <comment ref="P4" authorId="0" shapeId="0">
      <text>
        <t>Admin:
Option to adjust the capital structure used to determine Asset Beta from the spot rate to the 5 year or 2 year average (thereby matching the data points used in the beta derivation). Please see D|E tab for calculation.</t>
      </text>
    </comment>
    <comment ref="R4" authorId="0" shapeId="0">
      <text>
        <t>Admin:
Option to Blume adjust the beta, i.e. implement a mean reversion towards the overall market beta of 1.
Or
Option to Vasicek adjust the beta, i.e. implement a reversion to an expected beta. The expected beta is based on the average raw beta of the GPCs selected.</t>
      </text>
    </comment>
    <comment ref="O28" authorId="0" shapeId="0">
      <text>
        <t>Admin:
If this cell is less than 60 on a 5-year Beta (or less than 104 on a 2 year Beta) you MUST go to the BetaData tab and adjust the formula for that particular GPC to ensure it does not include empty cells. If this is not performed your Beta willl be wrong!</t>
      </text>
    </comment>
    <comment ref="P28" authorId="0" shapeId="0">
      <text>
        <t>Admin:
Approximate average daily trading volume over last year</t>
      </text>
    </comment>
    <comment ref="T28" authorId="0" shapeId="0">
      <text>
        <t>Admin:
Indicates if GPC has adopted IFRS 16. May have implications for debt to capital structure in some industries.</t>
      </text>
    </comment>
    <comment ref="J67" authorId="0" shapeId="0">
      <text>
        <t xml:space="preserve">Admin:
These are array formulas, if you edit these cells make sure to press contol-shift-enter (not just enter)
</t>
      </text>
    </comment>
    <comment ref="G76" authorId="0" shapeId="0">
      <text>
        <t>Admin:
This is a default selection based on the UK Statutory tax rate. Please consider the applicable rate to the target business.</t>
      </text>
    </comment>
  </commentList>
</comments>
</file>

<file path=xl/comments/comment3.xml><?xml version="1.0" encoding="utf-8"?>
<comments xmlns="http://schemas.openxmlformats.org/spreadsheetml/2006/main">
  <authors>
    <author>Samuel J Beesley</author>
  </authors>
  <commentList>
    <comment ref="E8" authorId="0" shapeId="0">
      <text>
        <t>Admin:
If highlighted in orange, consider the need to offset multiples to ensure like-for-like comparison</t>
      </text>
    </comment>
    <comment ref="AR8" authorId="0" shapeId="0">
      <text>
        <t>Admin:
Offsetting does not impact P/BV</t>
      </text>
    </comment>
    <comment ref="F27" authorId="0" shapeId="0">
      <text>
        <t xml:space="preserve">Admin:
These are array formulas, if you edit these cells make sure to press contol-shift-enter (not just enter)
</t>
      </text>
    </comment>
  </commentList>
</comments>
</file>

<file path=xl/comments/comment4.xml><?xml version="1.0" encoding="utf-8"?>
<comments xmlns="http://schemas.openxmlformats.org/spreadsheetml/2006/main">
  <authors>
    <author>Samuel J Beesley</author>
  </authors>
  <commentList>
    <comment ref="C46" authorId="0" shapeId="0">
      <text>
        <t xml:space="preserve">Admin:
These are array formulas, if you edit these cells make sure to press contol-shift-enter (not just enter)
</t>
      </text>
    </comment>
  </commentList>
</comments>
</file>

<file path=xl/comments/comment5.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0" authorId="0" shapeId="0">
      <text>
        <t xml:space="preserve">Admin:
These are array formulas, if you edit these cells make sure to press contol-shift-enter (not just enter)
</t>
      </text>
    </comment>
  </commentList>
</comments>
</file>

<file path=xl/comments/comment6.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8" authorId="0" shapeId="0">
      <text>
        <t xml:space="preserve">Admin:
These are array formulas, if you edit these cells make sure to press contol-shift-enter (not just enter)
</t>
      </text>
    </comment>
  </commentList>
</comments>
</file>

<file path=xl/comments/comment7.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9" authorId="0" shapeId="0">
      <text>
        <t xml:space="preserve">Admin:
These are array formulas, if you edit these cells make sure to press contol-shift-enter (not just enter)
</t>
      </text>
    </comment>
    <comment ref="E149" authorId="0" shapeId="0">
      <text>
        <t xml:space="preserve">Admin:
These are array formulas, if you edit these cells make sure to press contol-shift-enter (not just enter)
</t>
      </text>
    </comment>
  </commentList>
</comments>
</file>

<file path=xl/comments/comment8.xml><?xml version="1.0" encoding="utf-8"?>
<comments xmlns="http://schemas.openxmlformats.org/spreadsheetml/2006/main">
  <authors>
    <author>Samuel J Beesley</author>
  </authors>
  <commentList>
    <comment ref="F50" authorId="0" shapeId="0">
      <text>
        <t xml:space="preserve">Admin:
These are array formulas, if you edit these cells make sure to press contol-shift-enter (not just enter)
</t>
      </text>
    </comment>
  </commentList>
</comments>
</file>

<file path=xl/comments/comment9.xml><?xml version="1.0" encoding="utf-8"?>
<comments xmlns="http://schemas.openxmlformats.org/spreadsheetml/2006/main">
  <authors>
    <author>Samuel J Beesley</author>
  </authors>
  <commentList>
    <comment ref="E31" authorId="0" shapeId="0">
      <text>
        <t>Admin:
Ensure this is consistent with the valuation date</t>
      </text>
    </comment>
  </commentList>
</comments>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s>
</file>

<file path=xl/drawings/_rels/drawing2.xml.rels><Relationships xmlns="http://schemas.openxmlformats.org/package/2006/relationships"><Relationship Type="http://schemas.openxmlformats.org/officeDocument/2006/relationships/chart" Target="/xl/charts/chart3.xml" Id="rId1" /><Relationship Type="http://schemas.openxmlformats.org/officeDocument/2006/relationships/chart" Target="/xl/charts/chart4.xml" Id="rId2" /><Relationship Type="http://schemas.openxmlformats.org/officeDocument/2006/relationships/chart" Target="/xl/charts/chart5.xml" Id="rId3" /><Relationship Type="http://schemas.openxmlformats.org/officeDocument/2006/relationships/chart" Target="/xl/charts/chart6.xml" Id="rId4" /><Relationship Type="http://schemas.openxmlformats.org/officeDocument/2006/relationships/chart" Target="/xl/charts/chart7.xml" Id="rId5" /><Relationship Type="http://schemas.openxmlformats.org/officeDocument/2006/relationships/chart" Target="/xl/charts/chart8.xml" Id="rId6" /><Relationship Type="http://schemas.openxmlformats.org/officeDocument/2006/relationships/chart" Target="/xl/charts/chart9.xml" Id="rId7" /><Relationship Type="http://schemas.openxmlformats.org/officeDocument/2006/relationships/chart" Target="/xl/charts/chart10.xml" Id="rId8" /><Relationship Type="http://schemas.openxmlformats.org/officeDocument/2006/relationships/chart" Target="/xl/charts/chart11.xml" Id="rId9" /><Relationship Type="http://schemas.openxmlformats.org/officeDocument/2006/relationships/chart" Target="/xl/charts/chart12.xml" Id="rId10" /><Relationship Type="http://schemas.openxmlformats.org/officeDocument/2006/relationships/chart" Target="/xl/charts/chart13.xml" Id="rId11" /><Relationship Type="http://schemas.openxmlformats.org/officeDocument/2006/relationships/chart" Target="/xl/charts/chart14.xml" Id="rId12" /><Relationship Type="http://schemas.openxmlformats.org/officeDocument/2006/relationships/chart" Target="/xl/charts/chart15.xml" Id="rId13" /></Relationships>
</file>

<file path=xl/drawings/_rels/drawing3.xml.rels><Relationships xmlns="http://schemas.openxmlformats.org/package/2006/relationships"><Relationship Type="http://schemas.openxmlformats.org/officeDocument/2006/relationships/chart" Target="/xl/charts/chart16.xml" Id="rId1" /><Relationship Type="http://schemas.openxmlformats.org/officeDocument/2006/relationships/chart" Target="/xl/charts/chart17.xml" Id="rId2" /><Relationship Type="http://schemas.openxmlformats.org/officeDocument/2006/relationships/chart" Target="/xl/charts/chart18.xml" Id="rId3" /><Relationship Type="http://schemas.openxmlformats.org/officeDocument/2006/relationships/chart" Target="/xl/charts/chart19.xml" Id="rId4" /><Relationship Type="http://schemas.openxmlformats.org/officeDocument/2006/relationships/chart" Target="/xl/charts/chart20.xml" Id="rId5" /><Relationship Type="http://schemas.openxmlformats.org/officeDocument/2006/relationships/chart" Target="/xl/charts/chart21.xml" Id="rId6" /><Relationship Type="http://schemas.openxmlformats.org/officeDocument/2006/relationships/chart" Target="/xl/charts/chart22.xml" Id="rId7" /><Relationship Type="http://schemas.openxmlformats.org/officeDocument/2006/relationships/chart" Target="/xl/charts/chart23.xml" Id="rId8" /><Relationship Type="http://schemas.openxmlformats.org/officeDocument/2006/relationships/chart" Target="/xl/charts/chart24.xml" Id="rId9" /><Relationship Type="http://schemas.openxmlformats.org/officeDocument/2006/relationships/image" Target="/xl/media/image1.png" Id="rId10" /><Relationship Type="http://schemas.openxmlformats.org/officeDocument/2006/relationships/image" Target="/xl/media/image2.png" Id="rId11" /><Relationship Type="http://schemas.openxmlformats.org/officeDocument/2006/relationships/image" Target="/xl/media/image3.png" Id="rId12" /><Relationship Type="http://schemas.openxmlformats.org/officeDocument/2006/relationships/image" Target="/xl/media/image4.png" Id="rId13" /><Relationship Type="http://schemas.openxmlformats.org/officeDocument/2006/relationships/image" Target="/xl/media/image5.png" Id="rId14" /><Relationship Type="http://schemas.openxmlformats.org/officeDocument/2006/relationships/image" Target="/xl/media/image6.png" Id="rId15" /><Relationship Type="http://schemas.openxmlformats.org/officeDocument/2006/relationships/image" Target="/xl/media/image7.png" Id="rId16" /><Relationship Type="http://schemas.openxmlformats.org/officeDocument/2006/relationships/image" Target="/xl/media/image8.png" Id="rId17" /><Relationship Type="http://schemas.openxmlformats.org/officeDocument/2006/relationships/image" Target="/xl/media/image9.png" Id="rId18" /><Relationship Type="http://schemas.openxmlformats.org/officeDocument/2006/relationships/image" Target="/xl/media/image10.png" Id="rId19" /><Relationship Type="http://schemas.openxmlformats.org/officeDocument/2006/relationships/image" Target="/xl/media/image11.png" Id="rId20" /><Relationship Type="http://schemas.openxmlformats.org/officeDocument/2006/relationships/image" Target="/xl/media/image12.png" Id="rId21" /><Relationship Type="http://schemas.openxmlformats.org/officeDocument/2006/relationships/image" Target="/xl/media/image13.png" Id="rId22" /><Relationship Type="http://schemas.openxmlformats.org/officeDocument/2006/relationships/image" Target="/xl/media/image14.png" Id="rId23" /><Relationship Type="http://schemas.openxmlformats.org/officeDocument/2006/relationships/image" Target="/xl/media/image15.png" Id="rId24" /><Relationship Type="http://schemas.openxmlformats.org/officeDocument/2006/relationships/image" Target="/xl/media/image16.png" Id="rId25" /><Relationship Type="http://schemas.openxmlformats.org/officeDocument/2006/relationships/image" Target="/xl/media/image17.png" Id="rId26" /><Relationship Type="http://schemas.openxmlformats.org/officeDocument/2006/relationships/image" Target="/xl/media/image18.png" Id="rId27" /><Relationship Type="http://schemas.openxmlformats.org/officeDocument/2006/relationships/image" Target="/xl/media/image19.png" Id="rId28" /><Relationship Type="http://schemas.openxmlformats.org/officeDocument/2006/relationships/image" Target="/xl/media/image20.png" Id="rId29" /></Relationships>
</file>

<file path=xl/drawings/_rels/drawing4.xml.rels><Relationships xmlns="http://schemas.openxmlformats.org/package/2006/relationships"><Relationship Type="http://schemas.openxmlformats.org/officeDocument/2006/relationships/chart" Target="/xl/charts/chart25.xml" Id="rId1" /></Relationships>
</file>

<file path=xl/drawings/_rels/drawing5.xml.rels><Relationships xmlns="http://schemas.openxmlformats.org/package/2006/relationships"><Relationship Type="http://schemas.openxmlformats.org/officeDocument/2006/relationships/chart" Target="/xl/charts/chart26.xml" Id="rId1" /><Relationship Type="http://schemas.openxmlformats.org/officeDocument/2006/relationships/chart" Target="/xl/charts/chart27.xml" Id="rId2" /></Relationships>
</file>

<file path=xl/drawings/_rels/drawing6.xml.rels><Relationships xmlns="http://schemas.openxmlformats.org/package/2006/relationships"><Relationship Type="http://schemas.openxmlformats.org/officeDocument/2006/relationships/chart" Target="/xl/charts/chart28.xml" Id="rId1" /></Relationships>
</file>

<file path=xl/drawings/_rels/drawing7.xml.rels><Relationships xmlns="http://schemas.openxmlformats.org/package/2006/relationships"><Relationship Type="http://schemas.openxmlformats.org/officeDocument/2006/relationships/chart" Target="/xl/charts/chart29.xml" Id="rId1" /><Relationship Type="http://schemas.openxmlformats.org/officeDocument/2006/relationships/chart" Target="/xl/charts/chart30.xml" Id="rId2" /></Relationships>
</file>

<file path=xl/drawings/_rels/drawing8.xml.rels><Relationships xmlns="http://schemas.openxmlformats.org/package/2006/relationships"><Relationship Type="http://schemas.openxmlformats.org/officeDocument/2006/relationships/chart" Target="/xl/charts/chart31.xml" Id="rId1" /></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175260</colOff>
      <row>5</row>
      <rowOff>76200</rowOff>
    </from>
    <to>
      <col>9</col>
      <colOff>236220</colOff>
      <row>17</row>
      <rowOff>53340</rowOff>
    </to>
    <graphicFrame>
      <nvGraphicFramePr>
        <cNvPr id="1" name="Chart 1"/>
        <cNvGraphicFramePr/>
      </nvGraphicFramePr>
      <xfrm/>
      <a:graphic>
        <a:graphicData uri="http://schemas.openxmlformats.org/drawingml/2006/chart">
          <c:chart r:id="rId1"/>
        </a:graphicData>
      </a:graphic>
    </graphicFrame>
    <clientData/>
  </twoCellAnchor>
  <twoCellAnchor>
    <from>
      <col>9</col>
      <colOff>373380</colOff>
      <row>5</row>
      <rowOff>60961</rowOff>
    </from>
    <to>
      <col>16</col>
      <colOff>716280</colOff>
      <row>17</row>
      <rowOff>45721</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7620</colOff>
      <row>28</row>
      <rowOff>64770</rowOff>
    </from>
    <to>
      <col>6</col>
      <colOff>182880</colOff>
      <row>42</row>
      <rowOff>140970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266700</colOff>
      <row>28</row>
      <rowOff>64770</rowOff>
    </from>
    <to>
      <col>13</col>
      <colOff>542636</colOff>
      <row>42</row>
      <rowOff>140970</rowOff>
    </to>
    <graphicFrame>
      <nvGraphicFramePr>
        <cNvPr id="2" name="Chart 2"/>
        <cNvGraphicFramePr/>
      </nvGraphicFramePr>
      <xfrm/>
      <a:graphic>
        <a:graphicData uri="http://schemas.openxmlformats.org/drawingml/2006/chart">
          <c:chart r:id="rId2"/>
        </a:graphicData>
      </a:graphic>
    </graphicFrame>
    <clientData/>
  </twoCellAnchor>
  <twoCellAnchor>
    <from>
      <col>6</col>
      <colOff>255385</colOff>
      <row>51</row>
      <rowOff>34635</rowOff>
    </from>
    <to>
      <col>12</col>
      <colOff>438265</colOff>
      <row>60</row>
      <rowOff>23090</rowOff>
    </to>
    <graphicFrame>
      <nvGraphicFramePr>
        <cNvPr id="3" name="Chart 3"/>
        <cNvGraphicFramePr/>
      </nvGraphicFramePr>
      <xfrm/>
      <a:graphic>
        <a:graphicData uri="http://schemas.openxmlformats.org/drawingml/2006/chart">
          <c:chart r:id="rId3"/>
        </a:graphicData>
      </a:graphic>
    </graphicFrame>
    <clientData/>
  </twoCellAnchor>
  <twoCellAnchor>
    <from>
      <col>0</col>
      <colOff>123604</colOff>
      <row>51</row>
      <rowOff>34295</rowOff>
    </from>
    <to>
      <col>6</col>
      <colOff>179635</colOff>
      <row>60</row>
      <rowOff>23020</rowOff>
    </to>
    <graphicFrame>
      <nvGraphicFramePr>
        <cNvPr id="4" name="Chart 4"/>
        <cNvGraphicFramePr/>
      </nvGraphicFramePr>
      <xfrm/>
      <a:graphic>
        <a:graphicData uri="http://schemas.openxmlformats.org/drawingml/2006/chart">
          <c:chart r:id="rId4"/>
        </a:graphicData>
      </a:graphic>
    </graphicFrame>
    <clientData/>
  </twoCellAnchor>
  <twoCellAnchor>
    <from>
      <col>1</col>
      <colOff>5602</colOff>
      <row>70</row>
      <rowOff>62754</rowOff>
    </from>
    <to>
      <col>13</col>
      <colOff>611909</colOff>
      <row>81</row>
      <rowOff>100854</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16808</colOff>
      <row>96</row>
      <rowOff>44824</rowOff>
    </from>
    <to>
      <col>7</col>
      <colOff>537882</colOff>
      <row>106</row>
      <rowOff>105336</rowOff>
    </to>
    <graphicFrame>
      <nvGraphicFramePr>
        <cNvPr id="6" name="Chart 6"/>
        <cNvGraphicFramePr/>
      </nvGraphicFramePr>
      <xfrm/>
      <a:graphic>
        <a:graphicData uri="http://schemas.openxmlformats.org/drawingml/2006/chart">
          <c:chart r:id="rId6"/>
        </a:graphicData>
      </a:graphic>
    </graphicFrame>
    <clientData/>
  </twoCellAnchor>
  <twoCellAnchor>
    <from>
      <col>1</col>
      <colOff>22411</colOff>
      <row>83</row>
      <rowOff>0</rowOff>
    </from>
    <to>
      <col>12</col>
      <colOff>565898</colOff>
      <row>95</row>
      <rowOff>121023</rowOff>
    </to>
    <graphicFrame>
      <nvGraphicFramePr>
        <cNvPr id="7" name="Chart 7"/>
        <cNvGraphicFramePr/>
      </nvGraphicFramePr>
      <xfrm/>
      <a:graphic>
        <a:graphicData uri="http://schemas.openxmlformats.org/drawingml/2006/chart">
          <c:chart r:id="rId7"/>
        </a:graphicData>
      </a:graphic>
    </graphicFrame>
    <clientData/>
  </twoCellAnchor>
  <twoCellAnchor>
    <from>
      <col>1</col>
      <colOff>112058</colOff>
      <row>7</row>
      <rowOff>22411</rowOff>
    </from>
    <to>
      <col>6</col>
      <colOff>560294</colOff>
      <row>16</row>
      <rowOff>56029</rowOff>
    </to>
    <graphicFrame>
      <nvGraphicFramePr>
        <cNvPr id="8" name="Chart 8"/>
        <cNvGraphicFramePr/>
      </nvGraphicFramePr>
      <xfrm/>
      <a:graphic>
        <a:graphicData uri="http://schemas.openxmlformats.org/drawingml/2006/chart">
          <c:chart r:id="rId8"/>
        </a:graphicData>
      </a:graphic>
    </graphicFrame>
    <clientData/>
  </twoCellAnchor>
  <twoCellAnchor>
    <from>
      <col>7</col>
      <colOff>168088</colOff>
      <row>7</row>
      <rowOff>22412</rowOff>
    </from>
    <to>
      <col>12</col>
      <colOff>616324</colOff>
      <row>16</row>
      <rowOff>56030</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0</colOff>
      <row>17</row>
      <rowOff>0</rowOff>
    </from>
    <to>
      <col>6</col>
      <colOff>448236</colOff>
      <row>26</row>
      <rowOff>33618</rowOff>
    </to>
    <graphicFrame>
      <nvGraphicFramePr>
        <cNvPr id="10" name="Chart 10"/>
        <cNvGraphicFramePr/>
      </nvGraphicFramePr>
      <xfrm/>
      <a:graphic>
        <a:graphicData uri="http://schemas.openxmlformats.org/drawingml/2006/chart">
          <c:chart r:id="rId10"/>
        </a:graphicData>
      </a:graphic>
    </graphicFrame>
    <clientData/>
  </twoCellAnchor>
  <twoCellAnchor>
    <from>
      <col>7</col>
      <colOff>56030</colOff>
      <row>17</row>
      <rowOff>1</rowOff>
    </from>
    <to>
      <col>12</col>
      <colOff>504266</colOff>
      <row>26</row>
      <rowOff>33619</rowOff>
    </to>
    <graphicFrame>
      <nvGraphicFramePr>
        <cNvPr id="11" name="Chart 11"/>
        <cNvGraphicFramePr/>
      </nvGraphicFramePr>
      <xfrm/>
      <a:graphic>
        <a:graphicData uri="http://schemas.openxmlformats.org/drawingml/2006/chart">
          <c:chart r:id="rId11"/>
        </a:graphicData>
      </a:graphic>
    </graphicFrame>
    <clientData/>
  </twoCellAnchor>
  <twoCellAnchor>
    <from>
      <col>1</col>
      <colOff>34636</colOff>
      <row>43</row>
      <rowOff>8082</rowOff>
    </from>
    <to>
      <col>12</col>
      <colOff>473363</colOff>
      <row>50</row>
      <rowOff>173182</rowOff>
    </to>
    <graphicFrame>
      <nvGraphicFramePr>
        <cNvPr id="12" name="Chart 12"/>
        <cNvGraphicFramePr/>
      </nvGraphicFramePr>
      <xfrm/>
      <a:graphic>
        <a:graphicData uri="http://schemas.openxmlformats.org/drawingml/2006/chart">
          <c:chart r:id="rId12"/>
        </a:graphicData>
      </a:graphic>
    </graphicFrame>
    <clientData/>
  </twoCellAnchor>
  <twoCellAnchor>
    <from>
      <col>0</col>
      <colOff>132773</colOff>
      <row>60</row>
      <rowOff>60036</rowOff>
    </from>
    <to>
      <col>12</col>
      <colOff>381000</colOff>
      <row>68</row>
      <rowOff>138546</rowOff>
    </to>
    <graphicFrame>
      <nvGraphicFramePr>
        <cNvPr id="13" name="Chart 13"/>
        <cNvGraphicFramePr/>
      </nvGraphicFramePr>
      <xfrm/>
      <a:graphic>
        <a:graphicData uri="http://schemas.openxmlformats.org/drawingml/2006/chart">
          <c:chart r:id="rId13"/>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4</col>
      <colOff>38583</colOff>
      <row>148</row>
      <rowOff>5</rowOff>
    </from>
    <to>
      <col>4</col>
      <colOff>5430456</colOff>
      <row>158</row>
      <rowOff>112103</rowOff>
    </to>
    <graphicFrame>
      <nvGraphicFramePr>
        <cNvPr id="1" name="Chart 1"/>
        <cNvGraphicFramePr/>
      </nvGraphicFramePr>
      <xfrm/>
      <a:graphic>
        <a:graphicData uri="http://schemas.openxmlformats.org/drawingml/2006/chart">
          <c:chart r:id="rId1"/>
        </a:graphicData>
      </a:graphic>
    </graphicFrame>
    <clientData/>
  </twoCellAnchor>
  <twoCellAnchor>
    <from>
      <col>4</col>
      <colOff>24580</colOff>
      <row>290</row>
      <rowOff>86033</rowOff>
    </from>
    <to>
      <col>4</col>
      <colOff>5444614</colOff>
      <row>308</row>
      <rowOff>135193</rowOff>
    </to>
    <graphicFrame>
      <nvGraphicFramePr>
        <cNvPr id="2" name="Chart 2"/>
        <cNvGraphicFramePr/>
      </nvGraphicFramePr>
      <xfrm/>
      <a:graphic>
        <a:graphicData uri="http://schemas.openxmlformats.org/drawingml/2006/chart">
          <c:chart r:id="rId2"/>
        </a:graphicData>
      </a:graphic>
    </graphicFrame>
    <clientData/>
  </twoCellAnchor>
  <twoCellAnchor>
    <from>
      <col>1</col>
      <colOff>159775</colOff>
      <row>299</row>
      <rowOff>102993</rowOff>
    </from>
    <to>
      <col>3</col>
      <colOff>12290</colOff>
      <row>309</row>
      <rowOff>12291</rowOff>
    </to>
    <graphicFrame>
      <nvGraphicFramePr>
        <cNvPr id="3" name="Chart 3"/>
        <cNvGraphicFramePr/>
      </nvGraphicFramePr>
      <xfrm/>
      <a:graphic>
        <a:graphicData uri="http://schemas.openxmlformats.org/drawingml/2006/chart">
          <c:chart r:id="rId3"/>
        </a:graphicData>
      </a:graphic>
    </graphicFrame>
    <clientData/>
  </twoCellAnchor>
  <twoCellAnchor>
    <from>
      <col>1</col>
      <colOff>159774</colOff>
      <row>290</row>
      <rowOff>122903</rowOff>
    </from>
    <to>
      <col>3</col>
      <colOff>12290</colOff>
      <row>299</row>
      <rowOff>73742</rowOff>
    </to>
    <graphicFrame>
      <nvGraphicFramePr>
        <cNvPr id="4" name="Chart 4"/>
        <cNvGraphicFramePr/>
      </nvGraphicFramePr>
      <xfrm/>
      <a:graphic>
        <a:graphicData uri="http://schemas.openxmlformats.org/drawingml/2006/chart">
          <c:chart r:id="rId4"/>
        </a:graphicData>
      </a:graphic>
    </graphicFrame>
    <clientData/>
  </twoCellAnchor>
  <twoCellAnchor>
    <from>
      <col>4</col>
      <colOff>24581</colOff>
      <row>337</row>
      <rowOff>36871</rowOff>
    </from>
    <to>
      <col>4</col>
      <colOff>5432322</colOff>
      <row>352</row>
      <rowOff>49160</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208935</colOff>
      <row>337</row>
      <rowOff>73741</rowOff>
    </from>
    <to>
      <col>3</col>
      <colOff>12290</colOff>
      <row>352</row>
      <rowOff>122902</rowOff>
    </to>
    <graphicFrame>
      <nvGraphicFramePr>
        <cNvPr id="6" name="Chart 6"/>
        <cNvGraphicFramePr/>
      </nvGraphicFramePr>
      <xfrm/>
      <a:graphic>
        <a:graphicData uri="http://schemas.openxmlformats.org/drawingml/2006/chart">
          <c:chart r:id="rId6"/>
        </a:graphicData>
      </a:graphic>
    </graphicFrame>
    <clientData/>
  </twoCellAnchor>
  <twoCellAnchor>
    <from>
      <col>2</col>
      <colOff>12290</colOff>
      <row>384</row>
      <rowOff>73742</rowOff>
    </from>
    <to>
      <col>3</col>
      <colOff>0</colOff>
      <row>403</row>
      <rowOff>0</rowOff>
    </to>
    <graphicFrame>
      <nvGraphicFramePr>
        <cNvPr id="7" name="Chart 7"/>
        <cNvGraphicFramePr/>
      </nvGraphicFramePr>
      <xfrm/>
      <a:graphic>
        <a:graphicData uri="http://schemas.openxmlformats.org/drawingml/2006/chart">
          <c:chart r:id="rId7"/>
        </a:graphicData>
      </a:graphic>
    </graphicFrame>
    <clientData/>
  </twoCellAnchor>
  <twoCellAnchor>
    <from>
      <col>4</col>
      <colOff>-1</colOff>
      <row>384</row>
      <rowOff>73741</rowOff>
    </from>
    <to>
      <col>4</col>
      <colOff>5469192</colOff>
      <row>402</row>
      <rowOff>147483</rowOff>
    </to>
    <graphicFrame>
      <nvGraphicFramePr>
        <cNvPr id="8" name="Chart 8"/>
        <cNvGraphicFramePr/>
      </nvGraphicFramePr>
      <xfrm/>
      <a:graphic>
        <a:graphicData uri="http://schemas.openxmlformats.org/drawingml/2006/chart">
          <c:chart r:id="rId8"/>
        </a:graphicData>
      </a:graphic>
    </graphicFrame>
    <clientData/>
  </twoCellAnchor>
  <twoCellAnchor>
    <from>
      <col>2</col>
      <colOff>36871</colOff>
      <row>477</row>
      <rowOff>178584</rowOff>
    </from>
    <to>
      <col>3</col>
      <colOff>147483</colOff>
      <row>488</row>
      <rowOff>35772</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10888</colOff>
      <row>1</row>
      <rowOff>163284</rowOff>
    </from>
    <to>
      <col>4</col>
      <colOff>3062112</colOff>
      <row>45</row>
      <rowOff>163285</rowOff>
    </to>
    <grpSp>
      <nvGrpSpPr>
        <cNvPr id="35" name="Group 34"/>
        <cNvGrpSpPr/>
      </nvGrpSpPr>
      <grpSpPr>
        <a:xfrm rot="0">
          <a:off x="481258" y="363191"/>
          <a:ext cx="8942613" cy="9242779"/>
          <a:chOff x="-45718" y="-5516"/>
          <a:chExt cx="8854437" cy="6863516"/>
        </a:xfrm>
      </grpSpPr>
      <pic>
        <nvPicPr>
          <cNvPr id="37" name="Picture 36" descr="Circle PNG transparent image download, size: 1890x1890px"/>
          <cNvPicPr>
            <a:picLocks noChangeAspect="1" noChangeArrowheads="1"/>
          </cNvPicPr>
        </nvPicPr>
        <blipFill rotWithShape="1">
          <a:blip r:embed="rId16"/>
          <a:srcRect l="32002" t="24292" r="8123" b="16260"/>
          <a:stretch>
            <a:fillRect/>
          </a:stretch>
        </blipFill>
        <spPr bwMode="auto">
          <a:xfrm>
            <a:off x="-45718" y="-5516"/>
            <a:ext cx="8183877" cy="6863516"/>
          </a:xfrm>
          <a:prstGeom prst="rect">
            <avLst/>
          </a:prstGeom>
          <a:noFill/>
          <a:ln>
            <a:prstDash val="solid"/>
          </a:ln>
        </spPr>
      </pic>
    </grpSp>
    <clientData/>
  </twoCellAnchor>
  <twoCellAnchor>
    <from>
      <col>2</col>
      <colOff>4441372</colOff>
      <row>100</row>
      <rowOff>21770</rowOff>
    </from>
    <to>
      <col>6</col>
      <colOff>2</colOff>
      <row>140</row>
      <rowOff>2128</rowOff>
    </to>
    <grpSp>
      <nvGrpSpPr>
        <cNvPr id="38" name="Group 37"/>
        <cNvGrpSpPr/>
      </nvGrpSpPr>
      <grpSpPr>
        <a:xfrm rot="0">
          <a:off x="5041094" y="20388807"/>
          <a:ext cx="7023908" cy="7035914"/>
          <a:chOff x="4898570" y="999356"/>
          <a:chExt cx="7293430" cy="5858644"/>
        </a:xfrm>
      </grpSpPr>
      <pic>
        <nvPicPr>
          <cNvPr id="40" name="Picture 39" descr="Circle PNG transparent image download, size: 1890x1890px"/>
          <cNvPicPr>
            <a:picLocks noChangeAspect="1" noChangeArrowheads="1"/>
          </cNvPicPr>
        </nvPicPr>
        <blipFill rotWithShape="1">
          <a:blip r:embed="rId17"/>
          <a:srcRect l="9003" t="8844" r="52766" b="50192"/>
          <a:stretch>
            <a:fillRect/>
          </a:stretch>
        </blipFill>
        <spPr bwMode="auto">
          <a:xfrm>
            <a:off x="5355771" y="999356"/>
            <a:ext cx="6836229" cy="5858644"/>
          </a:xfrm>
          <a:prstGeom prst="rect">
            <avLst/>
          </a:prstGeom>
          <a:noFill/>
          <a:ln>
            <a:prstDash val="solid"/>
          </a:ln>
        </spPr>
      </pic>
    </grpSp>
    <clientData/>
  </twoCellAnchor>
  <twoCellAnchor editAs="oneCell">
    <from>
      <col>2</col>
      <colOff>3145971</colOff>
      <row>63</row>
      <rowOff>98075</rowOff>
    </from>
    <to>
      <col>5</col>
      <colOff>0</colOff>
      <row>92</row>
      <rowOff>159243</rowOff>
    </to>
    <pic>
      <nvPicPr>
        <cNvPr id="34" name="Picture 33"/>
        <cNvPicPr>
          <a:picLocks noChangeAspect="1"/>
        </cNvPicPr>
      </nvPicPr>
      <blipFill rotWithShape="1">
        <a:blip r:embed="rId18"/>
        <a:srcRect t="-1" r="36470" b="50179"/>
        <a:stretch>
          <a:fillRect/>
        </a:stretch>
      </blipFill>
      <spPr>
        <a:xfrm>
          <a:off x="3766457" y="3222275"/>
          <a:ext cx="8360229" cy="5112139"/>
        </a:xfrm>
        <a:prstGeom prst="rect">
          <avLst/>
        </a:prstGeom>
        <a:ln>
          <a:prstDash val="solid"/>
        </a:ln>
      </spPr>
    </pic>
    <clientData/>
  </twoCellAnchor>
  <twoCellAnchor editAs="oneCell">
    <from>
      <col>4</col>
      <colOff>4912881</colOff>
      <row>49</row>
      <rowOff>48228</rowOff>
    </from>
    <to>
      <col>4</col>
      <colOff>5566796</colOff>
      <row>51</row>
      <rowOff>76422</rowOff>
    </to>
    <pic>
      <nvPicPr>
        <cNvPr id="2" name="Graphic 1"/>
        <cNvPicPr>
          <a:picLocks noChangeAspect="1"/>
        </cNvPicPr>
      </nvPicPr>
      <blipFill>
        <a:blip cstate="print" r:embed="rId19"/>
        <a:stretch>
          <a:fillRect/>
        </a:stretch>
      </blipFill>
      <spPr>
        <a:xfrm>
          <a:off x="11329267" y="377273"/>
          <a:ext cx="663618" cy="764217"/>
        </a:xfrm>
        <a:prstGeom prst="rect">
          <avLst/>
        </a:prstGeom>
        <a:ln>
          <a:prstDash val="solid"/>
        </a:ln>
      </spPr>
    </pic>
    <clientData/>
  </twoCellAnchor>
  <twoCellAnchor editAs="oneCell">
    <from>
      <col>4</col>
      <colOff>4915843</colOff>
      <row>96</row>
      <rowOff>9646</rowOff>
    </from>
    <to>
      <col>4</col>
      <colOff>5569758</colOff>
      <row>98</row>
      <rowOff>17034</rowOff>
    </to>
    <pic>
      <nvPicPr>
        <cNvPr id="4" name="Graphic 3"/>
        <cNvPicPr>
          <a:picLocks noChangeAspect="1"/>
        </cNvPicPr>
      </nvPicPr>
      <blipFill>
        <a:blip cstate="print" r:embed="rId20"/>
        <a:stretch>
          <a:fillRect/>
        </a:stretch>
      </blipFill>
      <spPr>
        <a:xfrm>
          <a:off x="11332229" y="6573237"/>
          <a:ext cx="663618" cy="763450"/>
        </a:xfrm>
        <a:prstGeom prst="rect">
          <avLst/>
        </a:prstGeom>
        <a:ln>
          <a:prstDash val="solid"/>
        </a:ln>
      </spPr>
    </pic>
    <clientData/>
  </twoCellAnchor>
  <twoCellAnchor editAs="oneCell">
    <from>
      <col>4</col>
      <colOff>4912381</colOff>
      <row>142</row>
      <rowOff>153389</rowOff>
    </from>
    <to>
      <col>4</col>
      <colOff>5566296</colOff>
      <row>145</row>
      <rowOff>2155</rowOff>
    </to>
    <pic>
      <nvPicPr>
        <cNvPr id="7" name="Graphic 6"/>
        <cNvPicPr>
          <a:picLocks noChangeAspect="1"/>
        </cNvPicPr>
      </nvPicPr>
      <blipFill>
        <a:blip cstate="print" r:embed="rId21"/>
        <a:stretch>
          <a:fillRect/>
        </a:stretch>
      </blipFill>
      <spPr>
        <a:xfrm>
          <a:off x="11328767" y="11488139"/>
          <a:ext cx="663618" cy="763450"/>
        </a:xfrm>
        <a:prstGeom prst="rect">
          <avLst/>
        </a:prstGeom>
        <a:ln>
          <a:prstDash val="solid"/>
        </a:ln>
      </spPr>
    </pic>
    <clientData/>
  </twoCellAnchor>
  <twoCellAnchor editAs="oneCell">
    <from>
      <col>4</col>
      <colOff>4908919</colOff>
      <row>190</row>
      <rowOff>20045</rowOff>
    </from>
    <to>
      <col>4</col>
      <colOff>5569184</colOff>
      <row>192</row>
      <rowOff>36584</rowOff>
    </to>
    <pic>
      <nvPicPr>
        <cNvPr id="8" name="Graphic 7"/>
        <cNvPicPr>
          <a:picLocks noChangeAspect="1"/>
        </cNvPicPr>
      </nvPicPr>
      <blipFill>
        <a:blip cstate="print" r:embed="rId22"/>
        <a:stretch>
          <a:fillRect/>
        </a:stretch>
      </blipFill>
      <spPr>
        <a:xfrm>
          <a:off x="11325305" y="19225909"/>
          <a:ext cx="663618" cy="763450"/>
        </a:xfrm>
        <a:prstGeom prst="rect">
          <avLst/>
        </a:prstGeom>
        <a:ln>
          <a:prstDash val="solid"/>
        </a:ln>
      </spPr>
    </pic>
    <clientData/>
  </twoCellAnchor>
  <twoCellAnchor editAs="oneCell">
    <from>
      <col>4</col>
      <colOff>4909756</colOff>
      <row>238</row>
      <rowOff>16127</rowOff>
    </from>
    <to>
      <col>4</col>
      <colOff>5570021</colOff>
      <row>240</row>
      <rowOff>32668</rowOff>
    </to>
    <pic>
      <nvPicPr>
        <cNvPr id="9" name="Graphic 8"/>
        <cNvPicPr>
          <a:picLocks noChangeAspect="1"/>
        </cNvPicPr>
      </nvPicPr>
      <blipFill>
        <a:blip cstate="print" r:embed="rId23"/>
        <a:stretch>
          <a:fillRect/>
        </a:stretch>
      </blipFill>
      <spPr>
        <a:xfrm>
          <a:off x="11337595" y="27079417"/>
          <a:ext cx="660265" cy="777137"/>
        </a:xfrm>
        <a:prstGeom prst="rect">
          <avLst/>
        </a:prstGeom>
        <a:ln>
          <a:prstDash val="solid"/>
        </a:ln>
      </spPr>
    </pic>
    <clientData/>
  </twoCellAnchor>
  <twoCellAnchor editAs="oneCell">
    <from>
      <col>4</col>
      <colOff>862463</colOff>
      <row>126</row>
      <rowOff>221</rowOff>
    </from>
    <to>
      <col>4</col>
      <colOff>1994459</colOff>
      <row>132</row>
      <rowOff>89350</rowOff>
    </to>
    <pic>
      <nvPicPr>
        <cNvPr id="41" name="Picture 40" descr="A person in a red dress&#10;&#10;Description automatically generated"/>
        <cNvPicPr>
          <a:picLocks noChangeAspect="1"/>
        </cNvPicPr>
      </nvPicPr>
      <blipFill rotWithShape="1">
        <a:blip cstate="screen" r:embed="rId24"/>
        <a:srcRect l="35870" t="37217" r="28472" b="35987"/>
        <a:stretch>
          <a:fillRect/>
        </a:stretch>
      </blipFill>
      <spPr>
        <a:xfrm>
          <a:off x="7263263" y="13727107"/>
          <a:ext cx="1131996" cy="1134158"/>
        </a:xfrm>
        <a:prstGeom prst="ellipse">
          <avLst/>
        </a:prstGeom>
        <a:ln>
          <a:solidFill>
            <a:srgbClr val="51D3E1"/>
          </a:solidFill>
          <a:prstDash val="solid"/>
        </a:ln>
      </spPr>
    </pic>
    <clientData/>
  </twoCellAnchor>
  <twoCellAnchor editAs="oneCell">
    <from>
      <col>4</col>
      <colOff>850667</colOff>
      <row>116</row>
      <rowOff>54428</rowOff>
    </from>
    <to>
      <col>4</col>
      <colOff>2006256</colOff>
      <row>123</row>
      <rowOff>71220</rowOff>
    </to>
    <pic>
      <nvPicPr>
        <cNvPr id="42" name="Picture 41" descr="A person with her arms crossed&#10;&#10;Description automatically generated with medium confidence"/>
        <cNvPicPr>
          <a:picLocks noChangeAspect="1"/>
        </cNvPicPr>
      </nvPicPr>
      <blipFill rotWithShape="1">
        <a:blip cstate="screen" r:embed="rId25"/>
        <a:srcRect l="11727" r="12546"/>
        <a:stretch>
          <a:fillRect/>
        </a:stretch>
      </blipFill>
      <spPr>
        <a:xfrm>
          <a:off x="7251467" y="12148457"/>
          <a:ext cx="1155589" cy="1235992"/>
        </a:xfrm>
        <a:prstGeom prst="ellipse">
          <avLst/>
        </a:prstGeom>
        <a:ln>
          <a:solidFill>
            <a:srgbClr val="00CCE2"/>
          </a:solidFill>
          <a:prstDash val="solid"/>
        </a:ln>
      </spPr>
    </pic>
    <clientData/>
  </twoCellAnchor>
  <twoCellAnchor editAs="oneCell">
    <from>
      <col>2</col>
      <colOff>18815</colOff>
      <row>195</row>
      <rowOff>112885</rowOff>
    </from>
    <to>
      <col>2</col>
      <colOff>442149</colOff>
      <row>198</row>
      <rowOff>1285</rowOff>
    </to>
    <pic>
      <nvPicPr>
        <cNvPr id="67" name="Graphic 66" descr="Badge Question Mark with solid fill"/>
        <cNvPicPr>
          <a:picLocks noChangeAspect="1"/>
        </cNvPicPr>
      </nvPicPr>
      <blipFill>
        <a:blip r:embed="rId26"/>
        <a:stretch>
          <a:fillRect/>
        </a:stretch>
      </blipFill>
      <spPr>
        <a:xfrm>
          <a:off x="639704" y="36425478"/>
          <a:ext cx="423334" cy="423334"/>
        </a:xfrm>
        <a:prstGeom prst="rect">
          <avLst/>
        </a:prstGeom>
        <a:ln>
          <a:prstDash val="solid"/>
        </a:ln>
      </spPr>
    </pic>
    <clientData/>
  </twoCellAnchor>
  <twoCellAnchor editAs="oneCell">
    <from>
      <col>1</col>
      <colOff>84666</colOff>
      <row>202</row>
      <rowOff>28223</rowOff>
    </from>
    <to>
      <col>2</col>
      <colOff>367925</colOff>
      <row>204</row>
      <rowOff>95112</rowOff>
    </to>
    <pic>
      <nvPicPr>
        <cNvPr id="72" name="Graphic 71" descr="Handshake with solid fill"/>
        <cNvPicPr>
          <a:picLocks noChangeAspect="1"/>
        </cNvPicPr>
      </nvPicPr>
      <blipFill>
        <a:blip r:embed="rId27"/>
        <a:stretch>
          <a:fillRect/>
        </a:stretch>
      </blipFill>
      <spPr>
        <a:xfrm>
          <a:off x="564444" y="37592001"/>
          <a:ext cx="424370" cy="424370"/>
        </a:xfrm>
        <a:prstGeom prst="rect">
          <avLst/>
        </a:prstGeom>
        <a:ln>
          <a:prstDash val="solid"/>
        </a:ln>
      </spPr>
    </pic>
    <clientData/>
  </twoCellAnchor>
  <twoCellAnchor editAs="oneCell">
    <from>
      <col>1</col>
      <colOff>103481</colOff>
      <row>205</row>
      <rowOff>131183</rowOff>
    </from>
    <to>
      <col>2</col>
      <colOff>349110</colOff>
      <row>207</row>
      <rowOff>160442</rowOff>
    </to>
    <pic>
      <nvPicPr>
        <cNvPr id="74" name="Graphic 73" descr="Crops with solid fill"/>
        <cNvPicPr>
          <a:picLocks noChangeAspect="1"/>
        </cNvPicPr>
      </nvPicPr>
      <blipFill>
        <a:blip r:embed="rId28"/>
        <a:stretch>
          <a:fillRect/>
        </a:stretch>
      </blipFill>
      <spPr>
        <a:xfrm>
          <a:off x="583259" y="38231183"/>
          <a:ext cx="386740" cy="386740"/>
        </a:xfrm>
        <a:prstGeom prst="rect">
          <avLst/>
        </a:prstGeom>
        <a:ln>
          <a:prstDash val="solid"/>
        </a:ln>
      </spPr>
    </pic>
    <clientData/>
  </twoCellAnchor>
  <twoCellAnchor editAs="oneCell">
    <from>
      <col>2</col>
      <colOff>9408</colOff>
      <row>200</row>
      <rowOff>27185</rowOff>
    </from>
    <to>
      <col>2</col>
      <colOff>330296</colOff>
      <row>201</row>
      <rowOff>169332</rowOff>
    </to>
    <pic>
      <nvPicPr>
        <cNvPr id="76" name="Graphic 75" descr="Briefcase with solid fill"/>
        <cNvPicPr>
          <a:picLocks noChangeAspect="1"/>
        </cNvPicPr>
      </nvPicPr>
      <blipFill>
        <a:blip r:embed="rId29"/>
        <a:stretch>
          <a:fillRect/>
        </a:stretch>
      </blipFill>
      <spPr>
        <a:xfrm>
          <a:off x="630297" y="37233481"/>
          <a:ext cx="320888" cy="320888"/>
        </a:xfrm>
        <a:prstGeom prst="rect">
          <avLst/>
        </a:prstGeom>
        <a:ln>
          <a:prstDash val="solid"/>
        </a:ln>
      </spPr>
    </pic>
    <clientData/>
  </twoCellAnchor>
  <oneCellAnchor>
    <from>
      <col>4</col>
      <colOff>4909756</colOff>
      <row>285</row>
      <rowOff>16127</rowOff>
    </from>
    <ext cx="660265" cy="777137"/>
    <pic>
      <nvPicPr>
        <cNvPr id="11" name="Graphic 10"/>
        <cNvPicPr>
          <a:picLocks noChangeAspect="1"/>
        </cNvPicPr>
      </nvPicPr>
      <blipFill>
        <a:blip cstate="print" r:embed="rId10"/>
        <a:stretch>
          <a:fillRect/>
        </a:stretch>
      </blipFill>
      <spPr>
        <a:xfrm>
          <a:off x="11337595" y="27079417"/>
          <a:ext cx="660265" cy="777137"/>
        </a:xfrm>
        <a:prstGeom prst="rect">
          <avLst/>
        </a:prstGeom>
        <a:ln>
          <a:prstDash val="solid"/>
        </a:ln>
      </spPr>
    </pic>
    <clientData/>
  </oneCellAnchor>
  <oneCellAnchor>
    <from>
      <col>4</col>
      <colOff>4909756</colOff>
      <row>332</row>
      <rowOff>16127</rowOff>
    </from>
    <ext cx="660265" cy="777137"/>
    <pic>
      <nvPicPr>
        <cNvPr id="16" name="Graphic 15"/>
        <cNvPicPr>
          <a:picLocks noChangeAspect="1"/>
        </cNvPicPr>
      </nvPicPr>
      <blipFill>
        <a:blip cstate="print" r:embed="rId11"/>
        <a:stretch>
          <a:fillRect/>
        </a:stretch>
      </blipFill>
      <spPr>
        <a:xfrm>
          <a:off x="11337595" y="33703901"/>
          <a:ext cx="660265" cy="777137"/>
        </a:xfrm>
        <a:prstGeom prst="rect">
          <avLst/>
        </a:prstGeom>
        <a:ln>
          <a:prstDash val="solid"/>
        </a:ln>
      </spPr>
    </pic>
    <clientData/>
  </oneCellAnchor>
  <oneCellAnchor>
    <from>
      <col>4</col>
      <colOff>4909756</colOff>
      <row>379</row>
      <rowOff>16127</rowOff>
    </from>
    <ext cx="660265" cy="777137"/>
    <pic>
      <nvPicPr>
        <cNvPr id="22" name="Graphic 21"/>
        <cNvPicPr>
          <a:picLocks noChangeAspect="1"/>
        </cNvPicPr>
      </nvPicPr>
      <blipFill>
        <a:blip cstate="print" r:embed="rId12"/>
        <a:stretch>
          <a:fillRect/>
        </a:stretch>
      </blipFill>
      <spPr>
        <a:xfrm>
          <a:off x="11337595" y="40697095"/>
          <a:ext cx="660265" cy="777137"/>
        </a:xfrm>
        <a:prstGeom prst="rect">
          <avLst/>
        </a:prstGeom>
        <a:ln>
          <a:prstDash val="solid"/>
        </a:ln>
      </spPr>
    </pic>
    <clientData/>
  </oneCellAnchor>
  <oneCellAnchor>
    <from>
      <col>4</col>
      <colOff>4909756</colOff>
      <row>426</row>
      <rowOff>16127</rowOff>
    </from>
    <ext cx="660265" cy="777137"/>
    <pic>
      <nvPicPr>
        <cNvPr id="27" name="Graphic 26"/>
        <cNvPicPr>
          <a:picLocks noChangeAspect="1"/>
        </cNvPicPr>
      </nvPicPr>
      <blipFill>
        <a:blip cstate="print" r:embed="rId13"/>
        <a:stretch>
          <a:fillRect/>
        </a:stretch>
      </blipFill>
      <spPr>
        <a:xfrm>
          <a:off x="11337595" y="47690288"/>
          <a:ext cx="660265" cy="777137"/>
        </a:xfrm>
        <a:prstGeom prst="rect">
          <avLst/>
        </a:prstGeom>
        <a:ln>
          <a:prstDash val="solid"/>
        </a:ln>
      </spPr>
    </pic>
    <clientData/>
  </oneCellAnchor>
  <oneCellAnchor>
    <from>
      <col>4</col>
      <colOff>4909756</colOff>
      <row>473</row>
      <rowOff>16127</rowOff>
    </from>
    <ext cx="660265" cy="777137"/>
    <pic>
      <nvPicPr>
        <cNvPr id="30" name="Graphic 29"/>
        <cNvPicPr>
          <a:picLocks noChangeAspect="1"/>
        </cNvPicPr>
      </nvPicPr>
      <blipFill>
        <a:blip cstate="print" r:embed="rId14"/>
        <a:stretch>
          <a:fillRect/>
        </a:stretch>
      </blipFill>
      <spPr>
        <a:xfrm>
          <a:off x="11337595" y="54683482"/>
          <a:ext cx="660265" cy="777137"/>
        </a:xfrm>
        <a:prstGeom prst="rect">
          <avLst/>
        </a:prstGeom>
        <a:ln>
          <a:prstDash val="solid"/>
        </a:ln>
      </spPr>
    </pic>
    <clientData/>
  </oneCellAnchor>
  <oneCellAnchor>
    <from>
      <col>4</col>
      <colOff>2800783</colOff>
      <row>1</row>
      <rowOff>163535</rowOff>
    </from>
    <ext cx="2636092" cy="3067910"/>
    <pic>
      <nvPicPr>
        <cNvPr id="19" name="Graphic 18"/>
        <cNvPicPr>
          <a:picLocks noChangeAspect="1"/>
        </cNvPicPr>
      </nvPicPr>
      <blipFill>
        <a:blip cstate="print" r:embed="rId15"/>
        <a:stretch>
          <a:fillRect/>
        </a:stretch>
      </blipFill>
      <spPr>
        <a:xfrm>
          <a:off x="9207227" y="332868"/>
          <a:ext cx="2636092" cy="3067910"/>
        </a:xfrm>
        <a:prstGeom prst="rect">
          <avLst/>
        </a:prstGeom>
        <a:ln>
          <a:prstDash val="solid"/>
        </a:ln>
      </spPr>
    </pic>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213360</colOff>
      <row>5</row>
      <rowOff>106680</rowOff>
    </from>
    <to>
      <col>5</col>
      <colOff>723900</colOff>
      <row>14</row>
      <rowOff>60960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117732</colOff>
      <row>38</row>
      <rowOff>113689</rowOff>
    </from>
    <to>
      <col>5</col>
      <colOff>0</colOff>
      <row>58</row>
      <rowOff>149677</rowOff>
    </to>
    <graphicFrame>
      <nvGraphicFramePr>
        <cNvPr id="1" name="Chart 1"/>
        <cNvGraphicFramePr/>
      </nvGraphicFramePr>
      <xfrm/>
      <a:graphic>
        <a:graphicData uri="http://schemas.openxmlformats.org/drawingml/2006/chart">
          <c:chart r:id="rId1"/>
        </a:graphicData>
      </a:graphic>
    </graphicFrame>
    <clientData/>
  </twoCellAnchor>
  <twoCellAnchor>
    <from>
      <col>5</col>
      <colOff>0</colOff>
      <row>38</row>
      <rowOff>92540</rowOff>
    </from>
    <to>
      <col>24</col>
      <colOff>56641</colOff>
      <row>56</row>
      <rowOff>92908</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26</col>
      <colOff>304870</colOff>
      <row>5</row>
      <rowOff>17379</rowOff>
    </from>
    <to>
      <col>34</col>
      <colOff>575909</colOff>
      <row>43</row>
      <rowOff>44133</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17</col>
      <colOff>430370</colOff>
      <row>90</row>
      <rowOff>102655</rowOff>
    </from>
    <to>
      <col>27</col>
      <colOff>107560</colOff>
      <row>105</row>
      <rowOff>78215</rowOff>
    </to>
    <graphicFrame>
      <nvGraphicFramePr>
        <cNvPr id="1" name="Chart 1"/>
        <cNvGraphicFramePr/>
      </nvGraphicFramePr>
      <xfrm/>
      <a:graphic>
        <a:graphicData uri="http://schemas.openxmlformats.org/drawingml/2006/chart">
          <c:chart r:id="rId1"/>
        </a:graphicData>
      </a:graphic>
    </graphicFrame>
    <clientData/>
  </twoCellAnchor>
  <twoCellAnchor>
    <from>
      <col>17</col>
      <colOff>430370</colOff>
      <row>40</row>
      <rowOff>102655</rowOff>
    </from>
    <to>
      <col>27</col>
      <colOff>107560</colOff>
      <row>55</row>
      <rowOff>0</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16</col>
      <colOff>576792</colOff>
      <row>109</row>
      <rowOff>115357</rowOff>
    </from>
    <to>
      <col>25</col>
      <colOff>598714</colOff>
      <row>140</row>
      <rowOff>0</rowOff>
    </to>
    <graphicFrame>
      <nvGraphicFramePr>
        <cNvPr id="1" name="Chart 1"/>
        <cNvGraphicFramePr/>
      </nvGraphicFramePr>
      <xfrm/>
      <a:graphic>
        <a:graphicData uri="http://schemas.openxmlformats.org/drawingml/2006/chart">
          <c:chart r:id="rId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Users/samina.burhani/Desktop/Work/Valify/Valify%20Storyboard%2001022024.xlsx" TargetMode="External" Id="rId1" /></Relationships>
</file>

<file path=xl/externalLinks/_rels/externalLink2.xml.rels><Relationships xmlns="http://schemas.openxmlformats.org/package/2006/relationships"><Relationship Type="http://schemas.openxmlformats.org/officeDocument/2006/relationships/externalLinkPath" Target="/Users/samina.burhani/Desktop/Work/Valify/Valify%20Form%20Update.xlsx" TargetMode="External" Id="rId1" /></Relationships>
</file>

<file path=xl/externalLinks/_rels/externalLink3.xml.rels><Relationships xmlns="http://schemas.openxmlformats.org/package/2006/relationships"><Relationship Type="http://schemas.openxmlformats.org/officeDocument/2006/relationships/externalLinkPath" Target="https://d.docs.live.net/Finance/MAN_ACCS/2007-2008/Monthly/Sep%2008/Group%20Management%20Pack%20Sep%2008.xls" TargetMode="External" Id="rId1" /></Relationships>
</file>

<file path=xl/externalLinks/_rels/externalLink4.xml.rels><Relationships xmlns="http://schemas.openxmlformats.org/package/2006/relationships"><Relationship Type="http://schemas.openxmlformats.org/officeDocument/2006/relationships/externalLinkPath" Target="https://d.docs.live.net/Finance/Head%20Office%20MAN_ACCS/2009-2010/F%20April%202010/Budget%20Template%20REVIEW%20v2%20YTD.xlsx" TargetMode="External" Id="rId1" /></Relationships>
</file>

<file path=xl/externalLinks/_rels/externalLink5.xml.rels><Relationships xmlns="http://schemas.openxmlformats.org/package/2006/relationships"><Relationship Type="http://schemas.openxmlformats.org/officeDocument/2006/relationships/externalLinkPath" Target="/D:/NTSERVER/OFFICE/HOME/OFFICE/DAMAS/Damas99/Diamond%20Division/HOME/OFFICE/DAMAS/Damas99/Shop%20Division/AAJT99.xls" TargetMode="External" Id="rId1" /></Relationships>
</file>

<file path=xl/externalLinks/_rels/externalLink6.xml.rels><Relationships xmlns="http://schemas.openxmlformats.org/package/2006/relationships"><Relationship Type="http://schemas.openxmlformats.org/officeDocument/2006/relationships/externalLinkPath" Target="/Users/Lenovo/Downloads/FM%20template%2006%20-%20view%20version.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vmlDrawing1.vml" Id="anysvml" /></Relationships>
</file>

<file path=xl/worksheets/_rels/sheet8.xml.rels><Relationships xmlns="http://schemas.openxmlformats.org/package/2006/relationships"><Relationship Type="http://schemas.openxmlformats.org/officeDocument/2006/relationships/drawing" Target="/xl/drawings/drawing1.xml" Id="rId1" /></Relationships>
</file>

<file path=xl/worksheets/_rels/sheet9.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 Type="http://schemas.openxmlformats.org/officeDocument/2006/relationships/vmlDrawing" Target="/xl/drawings/vmlDrawing2.vml" Id="anysvml" /></Relationships>
</file>

<file path=xl/worksheets/_rels/sheet21.xml.rels><Relationships xmlns="http://schemas.openxmlformats.org/package/2006/relationships"><Relationship Type="http://schemas.openxmlformats.org/officeDocument/2006/relationships/drawing" Target="/xl/drawings/drawing4.xml" Id="rId1" /></Relationships>
</file>

<file path=xl/worksheets/_rels/sheet25.xml.rels><Relationships xmlns="http://schemas.openxmlformats.org/package/2006/relationships"><Relationship Type="http://schemas.openxmlformats.org/officeDocument/2006/relationships/hyperlink" Target="http://home.treasury.gov/resource-center/data-chart-center/interest-rates/TextView?type=daily_treasury_yield_curve&amp;field_tdr_date_value=2024" TargetMode="External" Id="rId1" /><Relationship Type="http://schemas.openxmlformats.org/officeDocument/2006/relationships/hyperlink" Target="http://www.imf.org/en/Countries/USA" TargetMode="External" Id="rId2" /><Relationship Type="http://schemas.openxmlformats.org/officeDocument/2006/relationships/hyperlink" Target="http://www.imf.org/en/Countries/ARE" TargetMode="External" Id="rId3" /><Relationship Type="http://schemas.openxmlformats.org/officeDocument/2006/relationships/comments" Target="/xl/comments/comment2.xml" Id="comments" /><Relationship Type="http://schemas.openxmlformats.org/officeDocument/2006/relationships/vmlDrawing" Target="/xl/drawings/vmlDrawing3.vml" Id="anysvml" /></Relationships>
</file>

<file path=xl/worksheets/_rels/sheet28.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3.xml" Id="comments" /><Relationship Type="http://schemas.openxmlformats.org/officeDocument/2006/relationships/vmlDrawing" Target="/xl/drawings/vmlDrawing4.vml" Id="anysvml" /></Relationships>
</file>

<file path=xl/worksheets/_rels/sheet29.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vmlDrawing5.vml" Id="anysvml" /></Relationships>
</file>

<file path=xl/worksheets/_rels/sheet30.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vmlDrawing6.vml" Id="anysvml" /></Relationships>
</file>

<file path=xl/worksheets/_rels/sheet31.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vmlDrawing7.vml" Id="anysvml" /></Relationships>
</file>

<file path=xl/worksheets/_rels/sheet32.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vmlDrawing8.vml" Id="anysvml" /></Relationships>
</file>

<file path=xl/worksheets/_rels/sheet35.xml.rels><Relationships xmlns="http://schemas.openxmlformats.org/package/2006/relationships"><Relationship Type="http://schemas.openxmlformats.org/officeDocument/2006/relationships/comments" Target="/xl/comments/comment8.xml" Id="comments" /><Relationship Type="http://schemas.openxmlformats.org/officeDocument/2006/relationships/vmlDrawing" Target="/xl/drawings/vmlDrawing9.vml" Id="anysvml" /></Relationships>
</file>

<file path=xl/worksheets/_rels/sheet41.xml.rels><Relationships xmlns="http://schemas.openxmlformats.org/package/2006/relationships"><Relationship Type="http://schemas.openxmlformats.org/officeDocument/2006/relationships/comments" Target="/xl/comments/comment9.xml" Id="comments" /><Relationship Type="http://schemas.openxmlformats.org/officeDocument/2006/relationships/vmlDrawing" Target="/xl/drawings/vmlDrawing10.vml" Id="anysvml" /></Relationships>
</file>

<file path=xl/worksheets/_rels/sheet43.xml.rels><Relationships xmlns="http://schemas.openxmlformats.org/package/2006/relationships"><Relationship Type="http://schemas.openxmlformats.org/officeDocument/2006/relationships/hyperlink" Target="https://tradingeconomics.com/afghanistan/corporate-tax-rate" TargetMode="External" Id="rId1" /><Relationship Type="http://schemas.openxmlformats.org/officeDocument/2006/relationships/hyperlink" Target="https://tradingeconomics.com/albania/corporate-tax-rate" TargetMode="External" Id="rId2" /><Relationship Type="http://schemas.openxmlformats.org/officeDocument/2006/relationships/hyperlink" Target="https://tradingeconomics.com/algeria/corporate-tax-rate" TargetMode="External" Id="rId3" /><Relationship Type="http://schemas.openxmlformats.org/officeDocument/2006/relationships/hyperlink" Target="https://tradingeconomics.com/angola/corporate-tax-rate" TargetMode="External" Id="rId4" /><Relationship Type="http://schemas.openxmlformats.org/officeDocument/2006/relationships/hyperlink" Target="https://tradingeconomics.com/argentina/corporate-tax-rate" TargetMode="External" Id="rId5" /><Relationship Type="http://schemas.openxmlformats.org/officeDocument/2006/relationships/hyperlink" Target="https://tradingeconomics.com/armenia/corporate-tax-rate" TargetMode="External" Id="rId6" /><Relationship Type="http://schemas.openxmlformats.org/officeDocument/2006/relationships/hyperlink" Target="https://tradingeconomics.com/aruba/corporate-tax-rate" TargetMode="External" Id="rId7" /><Relationship Type="http://schemas.openxmlformats.org/officeDocument/2006/relationships/hyperlink" Target="https://tradingeconomics.com/australia/corporate-tax-rate" TargetMode="External" Id="rId8" /><Relationship Type="http://schemas.openxmlformats.org/officeDocument/2006/relationships/hyperlink" Target="https://tradingeconomics.com/austria/corporate-tax-rate" TargetMode="External" Id="rId9" /><Relationship Type="http://schemas.openxmlformats.org/officeDocument/2006/relationships/hyperlink" Target="https://tradingeconomics.com/azerbaijan/corporate-tax-rate" TargetMode="External" Id="rId10" /><Relationship Type="http://schemas.openxmlformats.org/officeDocument/2006/relationships/hyperlink" Target="https://tradingeconomics.com/bahamas/corporate-tax-rate" TargetMode="External" Id="rId11" /><Relationship Type="http://schemas.openxmlformats.org/officeDocument/2006/relationships/hyperlink" Target="https://tradingeconomics.com/bahrain/corporate-tax-rate" TargetMode="External" Id="rId12" /><Relationship Type="http://schemas.openxmlformats.org/officeDocument/2006/relationships/hyperlink" Target="https://tradingeconomics.com/bangladesh/corporate-tax-rate" TargetMode="External" Id="rId13" /><Relationship Type="http://schemas.openxmlformats.org/officeDocument/2006/relationships/hyperlink" Target="https://tradingeconomics.com/barbados/corporate-tax-rate" TargetMode="External" Id="rId14" /><Relationship Type="http://schemas.openxmlformats.org/officeDocument/2006/relationships/hyperlink" Target="https://tradingeconomics.com/belarus/corporate-tax-rate" TargetMode="External" Id="rId15" /><Relationship Type="http://schemas.openxmlformats.org/officeDocument/2006/relationships/hyperlink" Target="https://tradingeconomics.com/belgium/corporate-tax-rate" TargetMode="External" Id="rId16" /><Relationship Type="http://schemas.openxmlformats.org/officeDocument/2006/relationships/hyperlink" Target="https://tradingeconomics.com/benin/corporate-tax-rate" TargetMode="External" Id="rId17" /><Relationship Type="http://schemas.openxmlformats.org/officeDocument/2006/relationships/hyperlink" Target="https://tradingeconomics.com/bermuda/corporate-tax-rate" TargetMode="External" Id="rId18" /><Relationship Type="http://schemas.openxmlformats.org/officeDocument/2006/relationships/hyperlink" Target="https://tradingeconomics.com/bolivia/corporate-tax-rate" TargetMode="External" Id="rId19" /><Relationship Type="http://schemas.openxmlformats.org/officeDocument/2006/relationships/hyperlink" Target="https://tradingeconomics.com/bosnia-and-herzegovina/corporate-tax-rate" TargetMode="External" Id="rId20" /><Relationship Type="http://schemas.openxmlformats.org/officeDocument/2006/relationships/hyperlink" Target="https://tradingeconomics.com/botswana/corporate-tax-rate" TargetMode="External" Id="rId21" /><Relationship Type="http://schemas.openxmlformats.org/officeDocument/2006/relationships/hyperlink" Target="https://tradingeconomics.com/brazil/corporate-tax-rate" TargetMode="External" Id="rId22" /><Relationship Type="http://schemas.openxmlformats.org/officeDocument/2006/relationships/hyperlink" Target="https://tradingeconomics.com/brunei/corporate-tax-rate" TargetMode="External" Id="rId23" /><Relationship Type="http://schemas.openxmlformats.org/officeDocument/2006/relationships/hyperlink" Target="https://tradingeconomics.com/bulgaria/corporate-tax-rate" TargetMode="External" Id="rId24" /><Relationship Type="http://schemas.openxmlformats.org/officeDocument/2006/relationships/hyperlink" Target="https://tradingeconomics.com/burkina-faso/corporate-tax-rate" TargetMode="External" Id="rId25" /><Relationship Type="http://schemas.openxmlformats.org/officeDocument/2006/relationships/hyperlink" Target="https://tradingeconomics.com/cambodia/corporate-tax-rate" TargetMode="External" Id="rId26" /><Relationship Type="http://schemas.openxmlformats.org/officeDocument/2006/relationships/hyperlink" Target="https://tradingeconomics.com/cameroon/corporate-tax-rate" TargetMode="External" Id="rId27" /><Relationship Type="http://schemas.openxmlformats.org/officeDocument/2006/relationships/hyperlink" Target="https://tradingeconomics.com/canada/corporate-tax-rate" TargetMode="External" Id="rId28" /><Relationship Type="http://schemas.openxmlformats.org/officeDocument/2006/relationships/hyperlink" Target="https://tradingeconomics.com/cayman-islands/corporate-tax-rate" TargetMode="External" Id="rId29" /><Relationship Type="http://schemas.openxmlformats.org/officeDocument/2006/relationships/hyperlink" Target="https://tradingeconomics.com/chad/corporate-tax-rate" TargetMode="External" Id="rId30" /><Relationship Type="http://schemas.openxmlformats.org/officeDocument/2006/relationships/hyperlink" Target="https://tradingeconomics.com/chile/corporate-tax-rate" TargetMode="External" Id="rId31" /><Relationship Type="http://schemas.openxmlformats.org/officeDocument/2006/relationships/hyperlink" Target="https://tradingeconomics.com/china/corporate-tax-rate" TargetMode="External" Id="rId32" /><Relationship Type="http://schemas.openxmlformats.org/officeDocument/2006/relationships/hyperlink" Target="https://tradingeconomics.com/colombia/corporate-tax-rate" TargetMode="External" Id="rId33" /><Relationship Type="http://schemas.openxmlformats.org/officeDocument/2006/relationships/hyperlink" Target="https://tradingeconomics.com/congo/corporate-tax-rate" TargetMode="External" Id="rId34" /><Relationship Type="http://schemas.openxmlformats.org/officeDocument/2006/relationships/hyperlink" Target="https://tradingeconomics.com/costa-rica/corporate-tax-rate" TargetMode="External" Id="rId35" /><Relationship Type="http://schemas.openxmlformats.org/officeDocument/2006/relationships/hyperlink" Target="https://tradingeconomics.com/croatia/corporate-tax-rate" TargetMode="External" Id="rId36" /><Relationship Type="http://schemas.openxmlformats.org/officeDocument/2006/relationships/hyperlink" Target="https://tradingeconomics.com/cyprus/corporate-tax-rate" TargetMode="External" Id="rId37" /><Relationship Type="http://schemas.openxmlformats.org/officeDocument/2006/relationships/hyperlink" Target="https://tradingeconomics.com/czech-republic/corporate-tax-rate" TargetMode="External" Id="rId38" /><Relationship Type="http://schemas.openxmlformats.org/officeDocument/2006/relationships/hyperlink" Target="https://tradingeconomics.com/denmark/corporate-tax-rate" TargetMode="External" Id="rId39" /><Relationship Type="http://schemas.openxmlformats.org/officeDocument/2006/relationships/hyperlink" Target="https://tradingeconomics.com/dominican-republic/corporate-tax-rate" TargetMode="External" Id="rId40" /><Relationship Type="http://schemas.openxmlformats.org/officeDocument/2006/relationships/hyperlink" Target="https://tradingeconomics.com/ecuador/corporate-tax-rate" TargetMode="External" Id="rId41" /><Relationship Type="http://schemas.openxmlformats.org/officeDocument/2006/relationships/hyperlink" Target="https://tradingeconomics.com/egypt/corporate-tax-rate" TargetMode="External" Id="rId42" /><Relationship Type="http://schemas.openxmlformats.org/officeDocument/2006/relationships/hyperlink" Target="https://tradingeconomics.com/el-salvador/corporate-tax-rate" TargetMode="External" Id="rId43" /><Relationship Type="http://schemas.openxmlformats.org/officeDocument/2006/relationships/hyperlink" Target="https://tradingeconomics.com/equatorial-guinea/corporate-tax-rate" TargetMode="External" Id="rId44" /><Relationship Type="http://schemas.openxmlformats.org/officeDocument/2006/relationships/hyperlink" Target="https://tradingeconomics.com/estonia/corporate-tax-rate" TargetMode="External" Id="rId45" /><Relationship Type="http://schemas.openxmlformats.org/officeDocument/2006/relationships/hyperlink" Target="https://tradingeconomics.com/ethiopia/corporate-tax-rate" TargetMode="External" Id="rId46" /><Relationship Type="http://schemas.openxmlformats.org/officeDocument/2006/relationships/hyperlink" Target="https://tradingeconomics.com/euro-area/corporate-tax-rate" TargetMode="External" Id="rId47" /><Relationship Type="http://schemas.openxmlformats.org/officeDocument/2006/relationships/hyperlink" Target="https://tradingeconomics.com/european-union/corporate-tax-rate" TargetMode="External" Id="rId48" /><Relationship Type="http://schemas.openxmlformats.org/officeDocument/2006/relationships/hyperlink" Target="https://tradingeconomics.com/fiji/corporate-tax-rate" TargetMode="External" Id="rId49" /><Relationship Type="http://schemas.openxmlformats.org/officeDocument/2006/relationships/hyperlink" Target="https://tradingeconomics.com/finland/corporate-tax-rate" TargetMode="External" Id="rId50" /><Relationship Type="http://schemas.openxmlformats.org/officeDocument/2006/relationships/hyperlink" Target="https://tradingeconomics.com/france/corporate-tax-rate" TargetMode="External" Id="rId51" /><Relationship Type="http://schemas.openxmlformats.org/officeDocument/2006/relationships/hyperlink" Target="https://tradingeconomics.com/gabon/corporate-tax-rate" TargetMode="External" Id="rId52" /><Relationship Type="http://schemas.openxmlformats.org/officeDocument/2006/relationships/hyperlink" Target="https://tradingeconomics.com/gambia/corporate-tax-rate" TargetMode="External" Id="rId53" /><Relationship Type="http://schemas.openxmlformats.org/officeDocument/2006/relationships/hyperlink" Target="https://tradingeconomics.com/georgia/corporate-tax-rate" TargetMode="External" Id="rId54" /><Relationship Type="http://schemas.openxmlformats.org/officeDocument/2006/relationships/hyperlink" Target="https://tradingeconomics.com/germany/corporate-tax-rate" TargetMode="External" Id="rId55" /><Relationship Type="http://schemas.openxmlformats.org/officeDocument/2006/relationships/hyperlink" Target="https://tradingeconomics.com/ghana/corporate-tax-rate" TargetMode="External" Id="rId56" /><Relationship Type="http://schemas.openxmlformats.org/officeDocument/2006/relationships/hyperlink" Target="https://tradingeconomics.com/greece/corporate-tax-rate" TargetMode="External" Id="rId57" /><Relationship Type="http://schemas.openxmlformats.org/officeDocument/2006/relationships/hyperlink" Target="https://tradingeconomics.com/guam/corporate-tax-rate" TargetMode="External" Id="rId58" /><Relationship Type="http://schemas.openxmlformats.org/officeDocument/2006/relationships/hyperlink" Target="https://tradingeconomics.com/guatemala/corporate-tax-rate" TargetMode="External" Id="rId59" /><Relationship Type="http://schemas.openxmlformats.org/officeDocument/2006/relationships/hyperlink" Target="https://tradingeconomics.com/guinea/corporate-tax-rate" TargetMode="External" Id="rId60" /><Relationship Type="http://schemas.openxmlformats.org/officeDocument/2006/relationships/hyperlink" Target="https://tradingeconomics.com/honduras/corporate-tax-rate" TargetMode="External" Id="rId61" /><Relationship Type="http://schemas.openxmlformats.org/officeDocument/2006/relationships/hyperlink" Target="https://tradingeconomics.com/hong-kong/corporate-tax-rate" TargetMode="External" Id="rId62" /><Relationship Type="http://schemas.openxmlformats.org/officeDocument/2006/relationships/hyperlink" Target="https://tradingeconomics.com/hungary/corporate-tax-rate" TargetMode="External" Id="rId63" /><Relationship Type="http://schemas.openxmlformats.org/officeDocument/2006/relationships/hyperlink" Target="https://tradingeconomics.com/iceland/corporate-tax-rate" TargetMode="External" Id="rId64" /><Relationship Type="http://schemas.openxmlformats.org/officeDocument/2006/relationships/hyperlink" Target="https://tradingeconomics.com/india/corporate-tax-rate" TargetMode="External" Id="rId65" /><Relationship Type="http://schemas.openxmlformats.org/officeDocument/2006/relationships/hyperlink" Target="https://tradingeconomics.com/indonesia/corporate-tax-rate" TargetMode="External" Id="rId66" /><Relationship Type="http://schemas.openxmlformats.org/officeDocument/2006/relationships/hyperlink" Target="https://tradingeconomics.com/iraq/corporate-tax-rate" TargetMode="External" Id="rId67" /><Relationship Type="http://schemas.openxmlformats.org/officeDocument/2006/relationships/hyperlink" Target="https://tradingeconomics.com/ireland/corporate-tax-rate" TargetMode="External" Id="rId68" /><Relationship Type="http://schemas.openxmlformats.org/officeDocument/2006/relationships/hyperlink" Target="https://tradingeconomics.com/isle-of-man/corporate-tax-rate" TargetMode="External" Id="rId69" /><Relationship Type="http://schemas.openxmlformats.org/officeDocument/2006/relationships/hyperlink" Target="https://tradingeconomics.com/israel/corporate-tax-rate" TargetMode="External" Id="rId70" /><Relationship Type="http://schemas.openxmlformats.org/officeDocument/2006/relationships/hyperlink" Target="https://tradingeconomics.com/italy/corporate-tax-rate" TargetMode="External" Id="rId71" /><Relationship Type="http://schemas.openxmlformats.org/officeDocument/2006/relationships/hyperlink" Target="https://tradingeconomics.com/ivory-coast/corporate-tax-rate" TargetMode="External" Id="rId72" /><Relationship Type="http://schemas.openxmlformats.org/officeDocument/2006/relationships/hyperlink" Target="https://tradingeconomics.com/jamaica/corporate-tax-rate" TargetMode="External" Id="rId73" /><Relationship Type="http://schemas.openxmlformats.org/officeDocument/2006/relationships/hyperlink" Target="https://tradingeconomics.com/japan/corporate-tax-rate" TargetMode="External" Id="rId74" /><Relationship Type="http://schemas.openxmlformats.org/officeDocument/2006/relationships/hyperlink" Target="https://tradingeconomics.com/jordan/corporate-tax-rate" TargetMode="External" Id="rId75" /><Relationship Type="http://schemas.openxmlformats.org/officeDocument/2006/relationships/hyperlink" Target="https://tradingeconomics.com/kazakhstan/corporate-tax-rate" TargetMode="External" Id="rId76" /><Relationship Type="http://schemas.openxmlformats.org/officeDocument/2006/relationships/hyperlink" Target="https://tradingeconomics.com/kenya/corporate-tax-rate" TargetMode="External" Id="rId77" /><Relationship Type="http://schemas.openxmlformats.org/officeDocument/2006/relationships/hyperlink" Target="https://tradingeconomics.com/kosovo/corporate-tax-rate" TargetMode="External" Id="rId78" /><Relationship Type="http://schemas.openxmlformats.org/officeDocument/2006/relationships/hyperlink" Target="https://tradingeconomics.com/kuwait/corporate-tax-rate" TargetMode="External" Id="rId79" /><Relationship Type="http://schemas.openxmlformats.org/officeDocument/2006/relationships/hyperlink" Target="https://tradingeconomics.com/laos/corporate-tax-rate" TargetMode="External" Id="rId80" /><Relationship Type="http://schemas.openxmlformats.org/officeDocument/2006/relationships/hyperlink" Target="https://tradingeconomics.com/latvia/corporate-tax-rate" TargetMode="External" Id="rId81" /><Relationship Type="http://schemas.openxmlformats.org/officeDocument/2006/relationships/hyperlink" Target="https://tradingeconomics.com/lebanon/corporate-tax-rate" TargetMode="External" Id="rId82" /><Relationship Type="http://schemas.openxmlformats.org/officeDocument/2006/relationships/hyperlink" Target="https://tradingeconomics.com/lesotho/corporate-tax-rate" TargetMode="External" Id="rId83" /><Relationship Type="http://schemas.openxmlformats.org/officeDocument/2006/relationships/hyperlink" Target="https://tradingeconomics.com/libya/corporate-tax-rate" TargetMode="External" Id="rId84" /><Relationship Type="http://schemas.openxmlformats.org/officeDocument/2006/relationships/hyperlink" Target="https://tradingeconomics.com/liechtenstein/corporate-tax-rate" TargetMode="External" Id="rId85" /><Relationship Type="http://schemas.openxmlformats.org/officeDocument/2006/relationships/hyperlink" Target="https://tradingeconomics.com/lithuania/corporate-tax-rate" TargetMode="External" Id="rId86" /><Relationship Type="http://schemas.openxmlformats.org/officeDocument/2006/relationships/hyperlink" Target="https://tradingeconomics.com/luxembourg/corporate-tax-rate" TargetMode="External" Id="rId87" /><Relationship Type="http://schemas.openxmlformats.org/officeDocument/2006/relationships/hyperlink" Target="https://tradingeconomics.com/macau/corporate-tax-rate" TargetMode="External" Id="rId88" /><Relationship Type="http://schemas.openxmlformats.org/officeDocument/2006/relationships/hyperlink" Target="https://tradingeconomics.com/macedonia/corporate-tax-rate" TargetMode="External" Id="rId89" /><Relationship Type="http://schemas.openxmlformats.org/officeDocument/2006/relationships/hyperlink" Target="https://tradingeconomics.com/madagascar/corporate-tax-rate" TargetMode="External" Id="rId90" /><Relationship Type="http://schemas.openxmlformats.org/officeDocument/2006/relationships/hyperlink" Target="https://tradingeconomics.com/malawi/corporate-tax-rate" TargetMode="External" Id="rId91" /><Relationship Type="http://schemas.openxmlformats.org/officeDocument/2006/relationships/hyperlink" Target="https://tradingeconomics.com/malaysia/corporate-tax-rate" TargetMode="External" Id="rId92" /><Relationship Type="http://schemas.openxmlformats.org/officeDocument/2006/relationships/hyperlink" Target="https://tradingeconomics.com/maldives/corporate-tax-rate" TargetMode="External" Id="rId93" /><Relationship Type="http://schemas.openxmlformats.org/officeDocument/2006/relationships/hyperlink" Target="https://tradingeconomics.com/malta/corporate-tax-rate" TargetMode="External" Id="rId94" /><Relationship Type="http://schemas.openxmlformats.org/officeDocument/2006/relationships/hyperlink" Target="https://tradingeconomics.com/mauritania/corporate-tax-rate" TargetMode="External" Id="rId95" /><Relationship Type="http://schemas.openxmlformats.org/officeDocument/2006/relationships/hyperlink" Target="https://tradingeconomics.com/mauritius/corporate-tax-rate" TargetMode="External" Id="rId96" /><Relationship Type="http://schemas.openxmlformats.org/officeDocument/2006/relationships/hyperlink" Target="https://tradingeconomics.com/mexico/corporate-tax-rate" TargetMode="External" Id="rId97" /><Relationship Type="http://schemas.openxmlformats.org/officeDocument/2006/relationships/hyperlink" Target="https://tradingeconomics.com/micronesia/corporate-tax-rate" TargetMode="External" Id="rId98" /><Relationship Type="http://schemas.openxmlformats.org/officeDocument/2006/relationships/hyperlink" Target="https://tradingeconomics.com/moldova/corporate-tax-rate" TargetMode="External" Id="rId99" /><Relationship Type="http://schemas.openxmlformats.org/officeDocument/2006/relationships/hyperlink" Target="https://tradingeconomics.com/mongolia/corporate-tax-rate" TargetMode="External" Id="rId100" /><Relationship Type="http://schemas.openxmlformats.org/officeDocument/2006/relationships/hyperlink" Target="https://tradingeconomics.com/montenegro/corporate-tax-rate" TargetMode="External" Id="rId101" /><Relationship Type="http://schemas.openxmlformats.org/officeDocument/2006/relationships/hyperlink" Target="https://tradingeconomics.com/morocco/corporate-tax-rate" TargetMode="External" Id="rId102" /><Relationship Type="http://schemas.openxmlformats.org/officeDocument/2006/relationships/hyperlink" Target="https://tradingeconomics.com/mozambique/corporate-tax-rate" TargetMode="External" Id="rId103" /><Relationship Type="http://schemas.openxmlformats.org/officeDocument/2006/relationships/hyperlink" Target="https://tradingeconomics.com/myanmar/corporate-tax-rate" TargetMode="External" Id="rId104" /><Relationship Type="http://schemas.openxmlformats.org/officeDocument/2006/relationships/hyperlink" Target="https://tradingeconomics.com/namibia/corporate-tax-rate" TargetMode="External" Id="rId105" /><Relationship Type="http://schemas.openxmlformats.org/officeDocument/2006/relationships/hyperlink" Target="https://tradingeconomics.com/netherlands/corporate-tax-rate" TargetMode="External" Id="rId106" /><Relationship Type="http://schemas.openxmlformats.org/officeDocument/2006/relationships/hyperlink" Target="https://tradingeconomics.com/new-zealand/corporate-tax-rate" TargetMode="External" Id="rId107" /><Relationship Type="http://schemas.openxmlformats.org/officeDocument/2006/relationships/hyperlink" Target="https://tradingeconomics.com/nicaragua/corporate-tax-rate" TargetMode="External" Id="rId108" /><Relationship Type="http://schemas.openxmlformats.org/officeDocument/2006/relationships/hyperlink" Target="https://tradingeconomics.com/nigeria/corporate-tax-rate" TargetMode="External" Id="rId109" /><Relationship Type="http://schemas.openxmlformats.org/officeDocument/2006/relationships/hyperlink" Target="https://tradingeconomics.com/norway/corporate-tax-rate" TargetMode="External" Id="rId110" /><Relationship Type="http://schemas.openxmlformats.org/officeDocument/2006/relationships/hyperlink" Target="https://tradingeconomics.com/oman/corporate-tax-rate" TargetMode="External" Id="rId111" /><Relationship Type="http://schemas.openxmlformats.org/officeDocument/2006/relationships/hyperlink" Target="https://tradingeconomics.com/pakistan/corporate-tax-rate" TargetMode="External" Id="rId112" /><Relationship Type="http://schemas.openxmlformats.org/officeDocument/2006/relationships/hyperlink" Target="https://tradingeconomics.com/panama/corporate-tax-rate" TargetMode="External" Id="rId113" /><Relationship Type="http://schemas.openxmlformats.org/officeDocument/2006/relationships/hyperlink" Target="https://tradingeconomics.com/papua-new-guinea/corporate-tax-rate" TargetMode="External" Id="rId114" /><Relationship Type="http://schemas.openxmlformats.org/officeDocument/2006/relationships/hyperlink" Target="https://tradingeconomics.com/paraguay/corporate-tax-rate" TargetMode="External" Id="rId115" /><Relationship Type="http://schemas.openxmlformats.org/officeDocument/2006/relationships/hyperlink" Target="https://tradingeconomics.com/peru/corporate-tax-rate" TargetMode="External" Id="rId116" /><Relationship Type="http://schemas.openxmlformats.org/officeDocument/2006/relationships/hyperlink" Target="https://tradingeconomics.com/philippines/corporate-tax-rate" TargetMode="External" Id="rId117" /><Relationship Type="http://schemas.openxmlformats.org/officeDocument/2006/relationships/hyperlink" Target="https://tradingeconomics.com/poland/corporate-tax-rate" TargetMode="External" Id="rId118" /><Relationship Type="http://schemas.openxmlformats.org/officeDocument/2006/relationships/hyperlink" Target="https://tradingeconomics.com/portugal/corporate-tax-rate" TargetMode="External" Id="rId119" /><Relationship Type="http://schemas.openxmlformats.org/officeDocument/2006/relationships/hyperlink" Target="https://tradingeconomics.com/puerto-rico/corporate-tax-rate" TargetMode="External" Id="rId120" /><Relationship Type="http://schemas.openxmlformats.org/officeDocument/2006/relationships/hyperlink" Target="https://tradingeconomics.com/qatar/corporate-tax-rate" TargetMode="External" Id="rId121" /><Relationship Type="http://schemas.openxmlformats.org/officeDocument/2006/relationships/hyperlink" Target="https://tradingeconomics.com/republic-of-the-congo/corporate-tax-rate" TargetMode="External" Id="rId122" /><Relationship Type="http://schemas.openxmlformats.org/officeDocument/2006/relationships/hyperlink" Target="https://tradingeconomics.com/romania/corporate-tax-rate" TargetMode="External" Id="rId123" /><Relationship Type="http://schemas.openxmlformats.org/officeDocument/2006/relationships/hyperlink" Target="https://tradingeconomics.com/russia/corporate-tax-rate" TargetMode="External" Id="rId124" /><Relationship Type="http://schemas.openxmlformats.org/officeDocument/2006/relationships/hyperlink" Target="https://tradingeconomics.com/rwanda/corporate-tax-rate" TargetMode="External" Id="rId125" /><Relationship Type="http://schemas.openxmlformats.org/officeDocument/2006/relationships/hyperlink" Target="https://tradingeconomics.com/samoa/corporate-tax-rate" TargetMode="External" Id="rId126" /><Relationship Type="http://schemas.openxmlformats.org/officeDocument/2006/relationships/hyperlink" Target="https://tradingeconomics.com/saudi-arabia/corporate-tax-rate" TargetMode="External" Id="rId127" /><Relationship Type="http://schemas.openxmlformats.org/officeDocument/2006/relationships/hyperlink" Target="https://tradingeconomics.com/senegal/corporate-tax-rate" TargetMode="External" Id="rId128" /><Relationship Type="http://schemas.openxmlformats.org/officeDocument/2006/relationships/hyperlink" Target="https://tradingeconomics.com/serbia/corporate-tax-rate" TargetMode="External" Id="rId129" /><Relationship Type="http://schemas.openxmlformats.org/officeDocument/2006/relationships/hyperlink" Target="https://tradingeconomics.com/seychelles/corporate-tax-rate" TargetMode="External" Id="rId130" /><Relationship Type="http://schemas.openxmlformats.org/officeDocument/2006/relationships/hyperlink" Target="https://tradingeconomics.com/sierra-leone/corporate-tax-rate" TargetMode="External" Id="rId131" /><Relationship Type="http://schemas.openxmlformats.org/officeDocument/2006/relationships/hyperlink" Target="https://tradingeconomics.com/singapore/corporate-tax-rate" TargetMode="External" Id="rId132" /><Relationship Type="http://schemas.openxmlformats.org/officeDocument/2006/relationships/hyperlink" Target="https://tradingeconomics.com/slovakia/corporate-tax-rate" TargetMode="External" Id="rId133" /><Relationship Type="http://schemas.openxmlformats.org/officeDocument/2006/relationships/hyperlink" Target="https://tradingeconomics.com/slovenia/corporate-tax-rate" TargetMode="External" Id="rId134" /><Relationship Type="http://schemas.openxmlformats.org/officeDocument/2006/relationships/hyperlink" Target="https://tradingeconomics.com/solomon-islands/corporate-tax-rate" TargetMode="External" Id="rId135" /><Relationship Type="http://schemas.openxmlformats.org/officeDocument/2006/relationships/hyperlink" Target="https://tradingeconomics.com/south-africa/corporate-tax-rate" TargetMode="External" Id="rId136" /><Relationship Type="http://schemas.openxmlformats.org/officeDocument/2006/relationships/hyperlink" Target="https://tradingeconomics.com/south-korea/corporate-tax-rate" TargetMode="External" Id="rId137" /><Relationship Type="http://schemas.openxmlformats.org/officeDocument/2006/relationships/hyperlink" Target="https://tradingeconomics.com/spain/corporate-tax-rate" TargetMode="External" Id="rId138" /><Relationship Type="http://schemas.openxmlformats.org/officeDocument/2006/relationships/hyperlink" Target="https://tradingeconomics.com/sri-lanka/corporate-tax-rate" TargetMode="External" Id="rId139" /><Relationship Type="http://schemas.openxmlformats.org/officeDocument/2006/relationships/hyperlink" Target="https://tradingeconomics.com/sudan/corporate-tax-rate" TargetMode="External" Id="rId140" /><Relationship Type="http://schemas.openxmlformats.org/officeDocument/2006/relationships/hyperlink" Target="https://tradingeconomics.com/suriname/corporate-tax-rate" TargetMode="External" Id="rId141" /><Relationship Type="http://schemas.openxmlformats.org/officeDocument/2006/relationships/hyperlink" Target="https://tradingeconomics.com/swaziland/corporate-tax-rate" TargetMode="External" Id="rId142" /><Relationship Type="http://schemas.openxmlformats.org/officeDocument/2006/relationships/hyperlink" Target="https://tradingeconomics.com/sweden/corporate-tax-rate" TargetMode="External" Id="rId143" /><Relationship Type="http://schemas.openxmlformats.org/officeDocument/2006/relationships/hyperlink" Target="https://tradingeconomics.com/switzerland/corporate-tax-rate" TargetMode="External" Id="rId144" /><Relationship Type="http://schemas.openxmlformats.org/officeDocument/2006/relationships/hyperlink" Target="https://tradingeconomics.com/syria/corporate-tax-rate" TargetMode="External" Id="rId145" /><Relationship Type="http://schemas.openxmlformats.org/officeDocument/2006/relationships/hyperlink" Target="https://tradingeconomics.com/taiwan/corporate-tax-rate" TargetMode="External" Id="rId146" /><Relationship Type="http://schemas.openxmlformats.org/officeDocument/2006/relationships/hyperlink" Target="https://tradingeconomics.com/tanzania/corporate-tax-rate" TargetMode="External" Id="rId147" /><Relationship Type="http://schemas.openxmlformats.org/officeDocument/2006/relationships/hyperlink" Target="https://tradingeconomics.com/thailand/corporate-tax-rate" TargetMode="External" Id="rId148" /><Relationship Type="http://schemas.openxmlformats.org/officeDocument/2006/relationships/hyperlink" Target="https://tradingeconomics.com/tonga/corporate-tax-rate" TargetMode="External" Id="rId149" /><Relationship Type="http://schemas.openxmlformats.org/officeDocument/2006/relationships/hyperlink" Target="https://tradingeconomics.com/trinidad-and-tobago/corporate-tax-rate" TargetMode="External" Id="rId150" /><Relationship Type="http://schemas.openxmlformats.org/officeDocument/2006/relationships/hyperlink" Target="https://tradingeconomics.com/tunisia/corporate-tax-rate" TargetMode="External" Id="rId151" /><Relationship Type="http://schemas.openxmlformats.org/officeDocument/2006/relationships/hyperlink" Target="https://tradingeconomics.com/turkey/corporate-tax-rate" TargetMode="External" Id="rId152" /><Relationship Type="http://schemas.openxmlformats.org/officeDocument/2006/relationships/hyperlink" Target="https://tradingeconomics.com/uganda/corporate-tax-rate" TargetMode="External" Id="rId153" /><Relationship Type="http://schemas.openxmlformats.org/officeDocument/2006/relationships/hyperlink" Target="https://tradingeconomics.com/ukraine/corporate-tax-rate" TargetMode="External" Id="rId154" /><Relationship Type="http://schemas.openxmlformats.org/officeDocument/2006/relationships/hyperlink" Target="https://tradingeconomics.com/united-arab-emirates/corporate-tax-rate" TargetMode="External" Id="rId155" /><Relationship Type="http://schemas.openxmlformats.org/officeDocument/2006/relationships/hyperlink" Target="https://tradingeconomics.com/united-kingdom/corporate-tax-rate" TargetMode="External" Id="rId156" /><Relationship Type="http://schemas.openxmlformats.org/officeDocument/2006/relationships/hyperlink" Target="https://tradingeconomics.com/united-states/corporate-tax-rate" TargetMode="External" Id="rId157" /><Relationship Type="http://schemas.openxmlformats.org/officeDocument/2006/relationships/hyperlink" Target="https://tradingeconomics.com/uruguay/corporate-tax-rate" TargetMode="External" Id="rId158" /><Relationship Type="http://schemas.openxmlformats.org/officeDocument/2006/relationships/hyperlink" Target="https://tradingeconomics.com/uzbekistan/corporate-tax-rate" TargetMode="External" Id="rId159" /><Relationship Type="http://schemas.openxmlformats.org/officeDocument/2006/relationships/hyperlink" Target="https://tradingeconomics.com/vanuatu/corporate-tax-rate" TargetMode="External" Id="rId160" /><Relationship Type="http://schemas.openxmlformats.org/officeDocument/2006/relationships/hyperlink" Target="https://tradingeconomics.com/venezuela/corporate-tax-rate" TargetMode="External" Id="rId161" /><Relationship Type="http://schemas.openxmlformats.org/officeDocument/2006/relationships/hyperlink" Target="https://tradingeconomics.com/vietnam/corporate-tax-rate" TargetMode="External" Id="rId162" /><Relationship Type="http://schemas.openxmlformats.org/officeDocument/2006/relationships/hyperlink" Target="https://tradingeconomics.com/zambia/corporate-tax-rate" TargetMode="External" Id="rId163" /><Relationship Type="http://schemas.openxmlformats.org/officeDocument/2006/relationships/hyperlink" Target="https://tradingeconomics.com/zimbabwe/corporate-tax-rate" TargetMode="External" Id="rId164" /></Relationships>
</file>

<file path=xl/worksheets/sheet1.xml><?xml version="1.0" encoding="utf-8"?>
<worksheet xmlns="http://schemas.openxmlformats.org/spreadsheetml/2006/main">
  <sheetPr codeName="Sheet55">
    <outlinePr summaryBelow="1" summaryRight="1"/>
    <pageSetUpPr/>
  </sheetPr>
  <dimension ref="A1:E105"/>
  <sheetViews>
    <sheetView workbookViewId="0">
      <selection activeCell="F2" sqref="F2"/>
    </sheetView>
  </sheetViews>
  <sheetFormatPr baseColWidth="8" defaultColWidth="8.84375" defaultRowHeight="12.5"/>
  <cols>
    <col width="43.4609375" customWidth="1" style="1" min="1" max="1"/>
    <col width="6.84375" customWidth="1" style="1" min="2" max="2"/>
    <col width="17.15234375" customWidth="1" style="1" min="3" max="3"/>
    <col width="6.4609375" customWidth="1" style="1" min="4" max="4"/>
    <col width="8.84375" customWidth="1" style="1" min="5" max="16384"/>
  </cols>
  <sheetData>
    <row r="1">
      <c r="A1" s="1" t="inlineStr">
        <is>
          <t>NavigationList</t>
        </is>
      </c>
      <c r="B1" s="3" t="n">
        <v>0</v>
      </c>
      <c r="C1" s="1">
        <f>IF($B1=0,"Internal Schedule","Schedule "&amp;TEXT(SUM($B1:$B$1),"0"))</f>
        <v/>
      </c>
      <c r="D1" s="3">
        <f>ROW()</f>
        <v/>
      </c>
    </row>
    <row r="2">
      <c r="A2" s="1" t="inlineStr">
        <is>
          <t>New</t>
        </is>
      </c>
      <c r="B2" s="3" t="n">
        <v>0</v>
      </c>
      <c r="C2" s="1">
        <f>IF($B2=0,"Internal Schedule","Schedule "&amp;TEXT(SUM($B$1:$B2),"0"))</f>
        <v/>
      </c>
      <c r="D2" s="3">
        <f>ROW()</f>
        <v/>
      </c>
      <c r="E2" s="1">
        <f>OFFSET(INDIRECT("A" &amp;(VLOOKUP(E1,A1:D105,4,FALSE))),-1,0)</f>
        <v/>
      </c>
    </row>
    <row r="3">
      <c r="A3" s="1" t="inlineStr">
        <is>
          <t>GT_Custom</t>
        </is>
      </c>
      <c r="B3" s="3" t="n">
        <v>0</v>
      </c>
      <c r="C3" s="1">
        <f>IF($B3=0,"Internal Schedule","Schedule "&amp;TEXT(SUM($B$1:$B3),"0"))</f>
        <v/>
      </c>
      <c r="D3" s="3">
        <f>ROW()</f>
        <v/>
      </c>
      <c r="E3" s="1">
        <f>OFFSET(INDIRECT("A" &amp;(VLOOKUP(E1,A1:D105,4,FALSE))),1,0)</f>
        <v/>
      </c>
    </row>
    <row r="4">
      <c r="A4" s="1" t="inlineStr">
        <is>
          <t>MasterCIQ (Val Currency)</t>
        </is>
      </c>
      <c r="B4" s="3" t="n">
        <v>0</v>
      </c>
      <c r="C4" s="1">
        <f>IF($B4=0,"Internal Schedule","Schedule "&amp;TEXT(SUM($B$1:$B4),"0"))</f>
        <v/>
      </c>
      <c r="D4" s="3">
        <f>ROW()</f>
        <v/>
      </c>
    </row>
    <row r="5">
      <c r="A5" s="1" t="inlineStr">
        <is>
          <t>MasterCIQ (Analysis Currency)</t>
        </is>
      </c>
      <c r="B5" s="3" t="n">
        <v>0</v>
      </c>
      <c r="C5" s="1">
        <f>IF($B5=0,"Internal Schedule","Schedule "&amp;TEXT(SUM($B$1:$B5),"0"))</f>
        <v/>
      </c>
      <c r="D5" s="3">
        <f>ROW()</f>
        <v/>
      </c>
    </row>
    <row r="6">
      <c r="A6" s="1" t="inlineStr">
        <is>
          <t>TickerEntry</t>
        </is>
      </c>
      <c r="B6" s="3" t="n">
        <v>0</v>
      </c>
      <c r="C6" s="1">
        <f>IF($B6=0,"Internal Schedule","Schedule "&amp;TEXT(SUM($B$1:$B6),"0"))</f>
        <v/>
      </c>
      <c r="D6" s="3">
        <f>ROW()</f>
        <v/>
      </c>
    </row>
    <row r="7">
      <c r="A7" s="1" t="inlineStr">
        <is>
          <t>Inputs</t>
        </is>
      </c>
      <c r="B7" s="3" t="n">
        <v>0</v>
      </c>
      <c r="C7" s="1">
        <f>IF($B7=0,"Internal Schedule","Schedule "&amp;TEXT(SUM($B$1:$B7),"0"))</f>
        <v/>
      </c>
      <c r="D7" s="3">
        <f>ROW()</f>
        <v/>
      </c>
    </row>
    <row r="8">
      <c r="A8" s="1" t="inlineStr">
        <is>
          <t>VSGStyles</t>
        </is>
      </c>
      <c r="B8" s="3" t="n">
        <v>0</v>
      </c>
      <c r="C8" s="1">
        <f>IF($B8=0,"Internal Schedule","Schedule "&amp;TEXT(SUM($B$1:$B8),"0"))</f>
        <v/>
      </c>
      <c r="D8" s="3">
        <f>ROW()</f>
        <v/>
      </c>
    </row>
    <row r="9">
      <c r="A9" s="1" t="inlineStr">
        <is>
          <t>Glossary</t>
        </is>
      </c>
      <c r="B9" s="3" t="n">
        <v>0</v>
      </c>
      <c r="C9" s="1">
        <f>IF($B9=0,"Internal Schedule","Schedule "&amp;TEXT(SUM($B$1:$B9),"0"))</f>
        <v/>
      </c>
      <c r="D9" s="3">
        <f>ROW()</f>
        <v/>
      </c>
    </row>
    <row r="10">
      <c r="A10" s="1" t="inlineStr">
        <is>
          <t>Guidance</t>
        </is>
      </c>
      <c r="B10" s="3" t="n">
        <v>0</v>
      </c>
      <c r="C10" s="1">
        <f>IF($B10=0,"Internal Schedule","Schedule "&amp;TEXT(SUM($B$1:$B10),"0"))</f>
        <v/>
      </c>
      <c r="D10" s="3">
        <f>ROW()</f>
        <v/>
      </c>
    </row>
    <row r="11">
      <c r="A11" s="1" t="inlineStr">
        <is>
          <t>BEVDCF</t>
        </is>
      </c>
      <c r="B11" s="3" t="n">
        <v>0</v>
      </c>
      <c r="C11" s="1">
        <f>IF($B11=0,"Internal Schedule","Schedule "&amp;TEXT(SUM($B$1:$B11),"0"))</f>
        <v/>
      </c>
      <c r="D11" s="3">
        <f>ROW()</f>
        <v/>
      </c>
    </row>
    <row r="12">
      <c r="A12" s="1" t="inlineStr">
        <is>
          <t>DiscRate</t>
        </is>
      </c>
      <c r="B12" s="3" t="n">
        <v>0</v>
      </c>
      <c r="C12" s="1">
        <f>IF($B12=0,"Internal Schedule","Schedule "&amp;TEXT(SUM($B$1:$B12),"0"))</f>
        <v/>
      </c>
      <c r="D12" s="3">
        <f>ROW()</f>
        <v/>
      </c>
    </row>
    <row r="13">
      <c r="A13" s="1" t="inlineStr">
        <is>
          <t>GPC Trading Data</t>
        </is>
      </c>
      <c r="B13" s="3" t="n">
        <v>0</v>
      </c>
      <c r="C13" s="1">
        <f>IF($B13=0,"Internal Schedule","Schedule "&amp;TEXT(SUM($B$1:$B13),"0"))</f>
        <v/>
      </c>
      <c r="D13" s="3">
        <f>ROW()</f>
        <v/>
      </c>
    </row>
    <row r="14">
      <c r="A14" s="1" t="inlineStr">
        <is>
          <t>VC DiscRates</t>
        </is>
      </c>
      <c r="B14" s="3" t="n">
        <v>0</v>
      </c>
      <c r="C14" s="1">
        <f>IF($B14=0,"Internal Schedule","Schedule "&amp;TEXT(SUM($B$1:$B14),"0"))</f>
        <v/>
      </c>
      <c r="D14" s="3">
        <f>ROW()</f>
        <v/>
      </c>
    </row>
    <row r="15">
      <c r="A15" s="1" t="inlineStr">
        <is>
          <t>BOE 20YR Gilt</t>
        </is>
      </c>
      <c r="B15" s="3" t="n">
        <v>0</v>
      </c>
      <c r="C15" s="1">
        <f>IF($B15=0,"Internal Schedule","Schedule "&amp;TEXT(SUM($B$1:$B15),"0"))</f>
        <v/>
      </c>
      <c r="D15" s="3">
        <f>ROW()</f>
        <v/>
      </c>
    </row>
    <row r="16">
      <c r="A16" s="1" t="inlineStr">
        <is>
          <t>SBBI</t>
        </is>
      </c>
      <c r="B16" s="3" t="n">
        <v>0</v>
      </c>
      <c r="C16" s="1">
        <f>IF($B16=0,"Internal Schedule","Schedule "&amp;TEXT(SUM($B$1:$B16),"0"))</f>
        <v/>
      </c>
      <c r="D16" s="3">
        <f>ROW()</f>
        <v/>
      </c>
    </row>
    <row r="17">
      <c r="A17" s="1" t="inlineStr">
        <is>
          <t>GPC Debt Yields</t>
        </is>
      </c>
      <c r="B17" s="3" t="n">
        <v>0</v>
      </c>
      <c r="C17" s="1">
        <f>IF($B17=0,"Internal Schedule","Schedule "&amp;TEXT(SUM($B$1:$B17),"0"))</f>
        <v/>
      </c>
      <c r="D17" s="3">
        <f>ROW()</f>
        <v/>
      </c>
    </row>
    <row r="18">
      <c r="A18" s="1" t="inlineStr">
        <is>
          <t>Yields</t>
        </is>
      </c>
      <c r="B18" s="3" t="n">
        <v>0</v>
      </c>
      <c r="C18" s="1">
        <f>IF($B18=0,"Internal Schedule","Schedule "&amp;TEXT(SUM($B$1:$B18),"0"))</f>
        <v/>
      </c>
      <c r="D18" s="3">
        <f>ROW()</f>
        <v/>
      </c>
    </row>
    <row r="19">
      <c r="A19" s="1" t="inlineStr">
        <is>
          <t>NCDFWC</t>
        </is>
      </c>
      <c r="B19" s="3" t="n">
        <v>0</v>
      </c>
      <c r="C19" s="1">
        <f>IF($B19=0,"Internal Schedule","Schedule "&amp;TEXT(SUM($B$1:$B19),"0"))</f>
        <v/>
      </c>
      <c r="D19" s="3">
        <f>ROW()</f>
        <v/>
      </c>
    </row>
    <row r="20">
      <c r="A20" s="1" t="inlineStr">
        <is>
          <t>BS</t>
        </is>
      </c>
      <c r="B20" s="3" t="n">
        <v>0</v>
      </c>
      <c r="C20" s="1">
        <f>IF($B20=0,"Internal Schedule","Schedule "&amp;TEXT(SUM($B$1:$B20),"0"))</f>
        <v/>
      </c>
      <c r="D20" s="3">
        <f>ROW()</f>
        <v/>
      </c>
    </row>
    <row r="21">
      <c r="A21" s="1" t="inlineStr">
        <is>
          <t>IS</t>
        </is>
      </c>
      <c r="B21" s="3" t="n">
        <v>0</v>
      </c>
      <c r="C21" s="1">
        <f>IF($B21=0,"Internal Schedule","Schedule "&amp;TEXT(SUM($B$1:$B21),"0"))</f>
        <v/>
      </c>
      <c r="D21" s="3">
        <f>ROW()</f>
        <v/>
      </c>
    </row>
    <row r="22">
      <c r="A22" s="1" t="inlineStr">
        <is>
          <t>CF</t>
        </is>
      </c>
      <c r="B22" s="3" t="n">
        <v>0</v>
      </c>
      <c r="C22" s="1">
        <f>IF($B22=0,"Internal Schedule","Schedule "&amp;TEXT(SUM($B$1:$B22),"0"))</f>
        <v/>
      </c>
      <c r="D22" s="3">
        <f>ROW()</f>
        <v/>
      </c>
    </row>
    <row r="23">
      <c r="A23" s="1" t="inlineStr">
        <is>
          <t>CFCap</t>
        </is>
      </c>
      <c r="B23" s="3" t="n">
        <v>0</v>
      </c>
      <c r="C23" s="1">
        <f>IF($B23=0,"Internal Schedule","Schedule "&amp;TEXT(SUM($B$1:$B23),"0"))</f>
        <v/>
      </c>
      <c r="D23" s="3">
        <f>ROW()</f>
        <v/>
      </c>
    </row>
    <row r="24">
      <c r="A24" s="1" t="inlineStr">
        <is>
          <t>NOL</t>
        </is>
      </c>
      <c r="B24" s="3" t="n">
        <v>0</v>
      </c>
      <c r="C24" s="1">
        <f>IF($B24=0,"Internal Schedule","Schedule "&amp;TEXT(SUM($B$1:$B24),"0"))</f>
        <v/>
      </c>
      <c r="D24" s="3">
        <f>ROW()</f>
        <v/>
      </c>
    </row>
    <row r="25">
      <c r="A25" s="1" t="inlineStr">
        <is>
          <t>CapXDepTax</t>
        </is>
      </c>
      <c r="B25" s="3" t="n">
        <v>0</v>
      </c>
      <c r="C25" s="1">
        <f>IF($B25=0,"Internal Schedule","Schedule "&amp;TEXT(SUM($B$1:$B25),"0"))</f>
        <v/>
      </c>
      <c r="D25" s="3">
        <f>ROW()</f>
        <v/>
      </c>
    </row>
    <row r="26">
      <c r="A26" s="1" t="inlineStr">
        <is>
          <t>LongDesc</t>
        </is>
      </c>
      <c r="B26" s="3" t="n">
        <v>0</v>
      </c>
      <c r="C26" s="1">
        <f>IF($B26=0,"Internal Schedule","Schedule "&amp;TEXT(SUM($B$1:$B26),"0"))</f>
        <v/>
      </c>
      <c r="D26" s="3">
        <f>ROW()</f>
        <v/>
      </c>
    </row>
    <row r="27">
      <c r="A27" s="1" t="inlineStr">
        <is>
          <t>GPC Rev Growth</t>
        </is>
      </c>
      <c r="B27" s="3" t="n">
        <v>0</v>
      </c>
      <c r="C27" s="1">
        <f>IF($B27=0,"Internal Schedule","Schedule "&amp;TEXT(SUM($B$1:$B27),"0"))</f>
        <v/>
      </c>
      <c r="D27" s="3">
        <f>ROW()</f>
        <v/>
      </c>
    </row>
    <row r="28">
      <c r="A28" s="1" t="inlineStr">
        <is>
          <t>GPC EBITDA</t>
        </is>
      </c>
      <c r="B28" s="3" t="n">
        <v>0</v>
      </c>
      <c r="C28" s="1">
        <f>IF($B28=0,"Internal Schedule","Schedule "&amp;TEXT(SUM($B$1:$B28),"0"))</f>
        <v/>
      </c>
      <c r="D28" s="3">
        <f>ROW()</f>
        <v/>
      </c>
    </row>
    <row r="29">
      <c r="A29" s="1" t="inlineStr">
        <is>
          <t>GPC Mgn Analysis</t>
        </is>
      </c>
      <c r="B29" s="3" t="n">
        <v>0</v>
      </c>
      <c r="C29" s="1">
        <f>IF($B29=0,"Internal Schedule","Schedule "&amp;TEXT(SUM($B$1:$B29),"0"))</f>
        <v/>
      </c>
      <c r="D29" s="3">
        <f>ROW()</f>
        <v/>
      </c>
    </row>
    <row r="30">
      <c r="A30" s="1" t="inlineStr">
        <is>
          <t>GPC CapEx</t>
        </is>
      </c>
      <c r="B30" s="3" t="n">
        <v>0</v>
      </c>
      <c r="C30" s="1">
        <f>IF($B30=0,"Internal Schedule","Schedule "&amp;TEXT(SUM($B$1:$B30),"0"))</f>
        <v/>
      </c>
      <c r="D30" s="3">
        <f>ROW()</f>
        <v/>
      </c>
    </row>
    <row r="31">
      <c r="A31" s="1" t="inlineStr">
        <is>
          <t>GPC WC</t>
        </is>
      </c>
      <c r="B31" s="3" t="n">
        <v>0</v>
      </c>
      <c r="C31" s="1">
        <f>IF($B31=0,"Internal Schedule","Schedule "&amp;TEXT(SUM($B$1:$B31),"0"))</f>
        <v/>
      </c>
      <c r="D31" s="3">
        <f>ROW()</f>
        <v/>
      </c>
    </row>
    <row r="32">
      <c r="A32" s="1" t="inlineStr">
        <is>
          <t>GPC Turnover</t>
        </is>
      </c>
      <c r="B32" s="3" t="n">
        <v>0</v>
      </c>
      <c r="C32" s="1">
        <f>IF($B32=0,"Internal Schedule","Schedule "&amp;TEXT(SUM($B$1:$B32),"0"))</f>
        <v/>
      </c>
      <c r="D32" s="3">
        <f>ROW()</f>
        <v/>
      </c>
    </row>
    <row r="33">
      <c r="A33" s="1" t="inlineStr">
        <is>
          <t>Supp Sch&gt;&gt;</t>
        </is>
      </c>
      <c r="B33" s="3" t="n">
        <v>0</v>
      </c>
      <c r="C33" s="1">
        <f>IF($B33=0,"Internal Schedule","Schedule "&amp;TEXT(SUM($B$1:$B33),"0"))</f>
        <v/>
      </c>
      <c r="D33" s="3">
        <f>ROW()</f>
        <v/>
      </c>
    </row>
    <row r="34">
      <c r="A34" s="1" t="inlineStr">
        <is>
          <t>CompLtmBS</t>
        </is>
      </c>
      <c r="B34" s="3" t="n">
        <v>0</v>
      </c>
      <c r="C34" s="1">
        <f>IF($B34=0,"Internal Schedule","Schedule "&amp;TEXT(SUM($B$1:$B34),"0"))</f>
        <v/>
      </c>
      <c r="D34" s="3">
        <f>ROW()</f>
        <v/>
      </c>
    </row>
    <row r="35">
      <c r="A35" s="1" t="inlineStr">
        <is>
          <t>CompLtmIS</t>
        </is>
      </c>
      <c r="B35" s="3" t="n">
        <v>0</v>
      </c>
      <c r="C35" s="1">
        <f>IF($B35=0,"Internal Schedule","Schedule "&amp;TEXT(SUM($B$1:$B35),"0"))</f>
        <v/>
      </c>
      <c r="D35" s="3">
        <f>ROW()</f>
        <v/>
      </c>
    </row>
    <row r="36">
      <c r="A36" s="1" t="inlineStr">
        <is>
          <t>CompLtmCF</t>
        </is>
      </c>
      <c r="B36" s="3" t="n">
        <v>0</v>
      </c>
      <c r="C36" s="1">
        <f>IF($B36=0,"Internal Schedule","Schedule "&amp;TEXT(SUM($B$1:$B36),"0"))</f>
        <v/>
      </c>
      <c r="D36" s="3">
        <f>ROW()</f>
        <v/>
      </c>
    </row>
    <row r="37">
      <c r="A37" s="1" t="inlineStr">
        <is>
          <t>MarketData</t>
        </is>
      </c>
      <c r="B37" s="3" t="n">
        <v>0</v>
      </c>
      <c r="C37" s="1">
        <f>IF($B37=0,"Internal Schedule","Schedule "&amp;TEXT(SUM($B$1:$B37),"0"))</f>
        <v/>
      </c>
      <c r="D37" s="3">
        <f>ROW()</f>
        <v/>
      </c>
    </row>
    <row r="38">
      <c r="A38" s="1" t="inlineStr">
        <is>
          <t>BetaData</t>
        </is>
      </c>
      <c r="B38" s="3" t="n">
        <v>0</v>
      </c>
      <c r="C38" s="1">
        <f>IF($B38=0,"Internal Schedule","Schedule "&amp;TEXT(SUM($B$1:$B38),"0"))</f>
        <v/>
      </c>
      <c r="D38" s="3">
        <f>ROW()</f>
        <v/>
      </c>
    </row>
    <row r="39">
      <c r="A39" s="1" t="inlineStr">
        <is>
          <t>Indices</t>
        </is>
      </c>
      <c r="B39" s="3" t="n">
        <v>0</v>
      </c>
      <c r="C39" s="1">
        <f>IF($B39=0,"Internal Schedule","Schedule "&amp;TEXT(SUM($B$1:$B39),"0"))</f>
        <v/>
      </c>
      <c r="D39" s="3">
        <f>ROW()</f>
        <v/>
      </c>
    </row>
    <row r="40">
      <c r="A40" s="1" t="inlineStr">
        <is>
          <t>HistBS</t>
        </is>
      </c>
      <c r="B40" s="3" t="n">
        <v>0</v>
      </c>
      <c r="C40" s="1">
        <f>IF($B40=0,"Internal Schedule","Schedule "&amp;TEXT(SUM($B$1:$B40),"0"))</f>
        <v/>
      </c>
      <c r="D40" s="3">
        <f>ROW()</f>
        <v/>
      </c>
    </row>
    <row r="41">
      <c r="A41" s="1" t="inlineStr">
        <is>
          <t>HistIS</t>
        </is>
      </c>
      <c r="B41" s="3" t="n">
        <v>0</v>
      </c>
      <c r="C41" s="1">
        <f>IF($B41=0,"Internal Schedule","Schedule "&amp;TEXT(SUM($B$1:$B41),"0"))</f>
        <v/>
      </c>
      <c r="D41" s="3">
        <f>ROW()</f>
        <v/>
      </c>
    </row>
    <row r="42">
      <c r="A42" s="1" t="inlineStr">
        <is>
          <t>HistCF</t>
        </is>
      </c>
      <c r="B42" s="3" t="n">
        <v>0</v>
      </c>
      <c r="C42" s="1">
        <f>IF($B42=0,"Internal Schedule","Schedule "&amp;TEXT(SUM($B$1:$B42),"0"))</f>
        <v/>
      </c>
      <c r="D42" s="3">
        <f>ROW()</f>
        <v/>
      </c>
    </row>
    <row r="43">
      <c r="A43" s="1" t="inlineStr">
        <is>
          <t>BEVSum</t>
        </is>
      </c>
      <c r="B43" s="3" t="n">
        <v>0</v>
      </c>
      <c r="C43" s="1">
        <f>IF($B43=0,"Internal Schedule","Schedule "&amp;TEXT(SUM($B$1:$B43),"0"))</f>
        <v/>
      </c>
      <c r="D43" s="3">
        <f>ROW()</f>
        <v/>
      </c>
    </row>
    <row r="44">
      <c r="A44" s="1" t="inlineStr">
        <is>
          <t>Ratios</t>
        </is>
      </c>
      <c r="B44" s="3" t="n">
        <v>0</v>
      </c>
      <c r="C44" s="1">
        <f>IF($B44=0,"Internal Schedule","Schedule "&amp;TEXT(SUM($B$1:$B44),"0"))</f>
        <v/>
      </c>
      <c r="D44" s="3">
        <f>ROW()</f>
        <v/>
      </c>
    </row>
    <row r="45">
      <c r="A45" s="1" t="inlineStr">
        <is>
          <t>Dupont</t>
        </is>
      </c>
      <c r="B45" s="3" t="n">
        <v>0</v>
      </c>
      <c r="C45" s="1">
        <f>IF($B45=0,"Internal Schedule","Schedule "&amp;TEXT(SUM($B$1:$B45),"0"))</f>
        <v/>
      </c>
      <c r="D45" s="3">
        <f>ROW()</f>
        <v/>
      </c>
    </row>
    <row r="46">
      <c r="A46" s="1" t="inlineStr">
        <is>
          <t>CompCommon</t>
        </is>
      </c>
      <c r="B46" s="3" t="n">
        <v>0</v>
      </c>
      <c r="C46" s="1">
        <f>IF($B46=0,"Internal Schedule","Schedule "&amp;TEXT(SUM($B$1:$B46),"0"))</f>
        <v/>
      </c>
      <c r="D46" s="3">
        <f>ROW()</f>
        <v/>
      </c>
    </row>
    <row r="47">
      <c r="A47" s="1" t="inlineStr">
        <is>
          <t>CompRatios</t>
        </is>
      </c>
      <c r="B47" s="3" t="n">
        <v>0</v>
      </c>
      <c r="C47" s="1">
        <f>IF($B47=0,"Internal Schedule","Schedule "&amp;TEXT(SUM($B$1:$B47),"0"))</f>
        <v/>
      </c>
      <c r="D47" s="3">
        <f>ROW()</f>
        <v/>
      </c>
    </row>
    <row r="48">
      <c r="A48" s="1" t="inlineStr">
        <is>
          <t>Multiples</t>
        </is>
      </c>
      <c r="B48" s="3" t="n">
        <v>0</v>
      </c>
      <c r="C48" s="1">
        <f>IF($B48=0,"Internal Schedule","Schedule "&amp;TEXT(SUM($B$1:$B48),"0"))</f>
        <v/>
      </c>
      <c r="D48" s="3">
        <f>ROW()</f>
        <v/>
      </c>
    </row>
    <row r="49">
      <c r="A49" s="1" t="inlineStr">
        <is>
          <t>New (2)</t>
        </is>
      </c>
      <c r="B49" s="3" t="n">
        <v>0</v>
      </c>
      <c r="C49" s="1">
        <f>IF($B49=0,"Internal Schedule","Schedule "&amp;TEXT(SUM($B$1:$B49),"0"))</f>
        <v/>
      </c>
      <c r="D49" s="3">
        <f>ROW()</f>
        <v/>
      </c>
    </row>
    <row r="50">
      <c r="A50" s="1" t="inlineStr">
        <is>
          <t>PubCoValue</t>
        </is>
      </c>
      <c r="B50" s="3" t="n">
        <v>0</v>
      </c>
      <c r="C50" s="1">
        <f>IF($B50=0,"Internal Schedule","Schedule "&amp;TEXT(SUM($B$1:$B50),"0"))</f>
        <v/>
      </c>
      <c r="D50" s="3">
        <f>ROW()</f>
        <v/>
      </c>
    </row>
    <row r="51">
      <c r="A51" s="1" t="inlineStr">
        <is>
          <t>TransSum</t>
        </is>
      </c>
      <c r="B51" s="3" t="n">
        <v>0</v>
      </c>
      <c r="C51" s="1">
        <f>IF($B51=0,"Internal Schedule","Schedule "&amp;TEXT(SUM($B$1:$B51),"0"))</f>
        <v/>
      </c>
      <c r="D51" s="3">
        <f>ROW()</f>
        <v/>
      </c>
    </row>
    <row r="52">
      <c r="A52" s="1" t="inlineStr">
        <is>
          <t>TransValue</t>
        </is>
      </c>
      <c r="B52" s="3" t="n">
        <v>0</v>
      </c>
      <c r="C52" s="1">
        <f>IF($B52=0,"Internal Schedule","Schedule "&amp;TEXT(SUM($B$1:$B52),"0"))</f>
        <v/>
      </c>
      <c r="D52" s="3">
        <f>ROW()</f>
        <v/>
      </c>
    </row>
    <row r="53">
      <c r="A53" s="1" t="inlineStr">
        <is>
          <t>DLOM</t>
        </is>
      </c>
      <c r="B53" s="3" t="n">
        <v>0</v>
      </c>
      <c r="C53" s="1">
        <f>IF($B53=0,"Internal Schedule","Schedule "&amp;TEXT(SUM($B$1:$B53),"0"))</f>
        <v/>
      </c>
      <c r="D53" s="3">
        <f>ROW()</f>
        <v/>
      </c>
    </row>
    <row r="54">
      <c r="A54" s="1" t="inlineStr">
        <is>
          <t>DLOMSum</t>
        </is>
      </c>
      <c r="B54" s="3" t="n">
        <v>0</v>
      </c>
      <c r="C54" s="1">
        <f>IF($B54=0,"Internal Schedule","Schedule "&amp;TEXT(SUM($B$1:$B54),"0"))</f>
        <v/>
      </c>
      <c r="D54" s="3">
        <f>ROW()</f>
        <v/>
      </c>
    </row>
    <row r="55">
      <c r="A55" s="1" t="inlineStr">
        <is>
          <t>LongstaffLookback</t>
        </is>
      </c>
      <c r="B55" s="3" t="n">
        <v>0</v>
      </c>
      <c r="C55" s="1">
        <f>IF($B55=0,"Internal Schedule","Schedule "&amp;TEXT(SUM($B$1:$B55),"0"))</f>
        <v/>
      </c>
      <c r="D55" s="3">
        <f>ROW()</f>
        <v/>
      </c>
    </row>
    <row r="56">
      <c r="A56" s="1" t="inlineStr">
        <is>
          <t>Euro</t>
        </is>
      </c>
      <c r="B56" s="3" t="n">
        <v>0</v>
      </c>
      <c r="C56" s="1">
        <f>IF($B56=0,"Internal Schedule","Schedule "&amp;TEXT(SUM($B$1:$B56),"0"))</f>
        <v/>
      </c>
      <c r="D56" s="3">
        <f>ROW()</f>
        <v/>
      </c>
    </row>
    <row r="57">
      <c r="A57" s="1" t="inlineStr">
        <is>
          <t>GARPMAsian</t>
        </is>
      </c>
      <c r="B57" s="3" t="n">
        <v>0</v>
      </c>
      <c r="C57" s="1">
        <f>IF($B57=0,"Internal Schedule","Schedule "&amp;TEXT(SUM($B$1:$B57),"0"))</f>
        <v/>
      </c>
      <c r="D57" s="3">
        <f>ROW()</f>
        <v/>
      </c>
    </row>
    <row r="58">
      <c r="A58" s="1" t="inlineStr">
        <is>
          <t>FinnertyAASPMAsian</t>
        </is>
      </c>
      <c r="B58" s="3" t="n">
        <v>0</v>
      </c>
      <c r="C58" s="1">
        <f>IF($B58=0,"Internal Schedule","Schedule "&amp;TEXT(SUM($B$1:$B58),"0"))</f>
        <v/>
      </c>
      <c r="D58" s="3">
        <f>ROW()</f>
        <v/>
      </c>
    </row>
    <row r="59">
      <c r="A59" s="1" t="inlineStr">
        <is>
          <t>ASC805</t>
        </is>
      </c>
      <c r="B59" s="3" t="n">
        <v>0</v>
      </c>
      <c r="C59" s="1">
        <f>IF($B59=0,"Internal Schedule","Schedule "&amp;TEXT(SUM($B$1:$B59),"0"))</f>
        <v/>
      </c>
      <c r="D59" s="3">
        <f>ROW()</f>
        <v/>
      </c>
    </row>
    <row r="60">
      <c r="A60" s="1" t="inlineStr">
        <is>
          <t>Inventory</t>
        </is>
      </c>
      <c r="B60" s="3" t="n">
        <v>0</v>
      </c>
      <c r="C60" s="1">
        <f>IF($B60=0,"Internal Schedule","Schedule "&amp;TEXT(SUM($B$1:$B60),"0"))</f>
        <v/>
      </c>
      <c r="D60" s="3">
        <f>ROW()</f>
        <v/>
      </c>
    </row>
    <row r="61">
      <c r="A61" s="1" t="inlineStr">
        <is>
          <t>DeferredRevenue</t>
        </is>
      </c>
      <c r="B61" s="3" t="n">
        <v>0</v>
      </c>
      <c r="C61" s="1">
        <f>IF($B61=0,"Internal Schedule","Schedule "&amp;TEXT(SUM($B$1:$B61),"0"))</f>
        <v/>
      </c>
      <c r="D61" s="3">
        <f>ROW()</f>
        <v/>
      </c>
    </row>
    <row r="62">
      <c r="A62" s="1" t="inlineStr">
        <is>
          <t>Agreements</t>
        </is>
      </c>
      <c r="B62" s="3" t="n">
        <v>0</v>
      </c>
      <c r="C62" s="1">
        <f>IF($B62=0,"Internal Schedule","Schedule "&amp;TEXT(SUM($B$1:$B62),"0"))</f>
        <v/>
      </c>
      <c r="D62" s="3">
        <f>ROW()</f>
        <v/>
      </c>
    </row>
    <row r="63">
      <c r="A63" s="1" t="inlineStr">
        <is>
          <t>Workforce</t>
        </is>
      </c>
      <c r="B63" s="3" t="n">
        <v>0</v>
      </c>
      <c r="C63" s="1">
        <f>IF($B63=0,"Internal Schedule","Schedule "&amp;TEXT(SUM($B$1:$B63),"0"))</f>
        <v/>
      </c>
      <c r="D63" s="3">
        <f>ROW()</f>
        <v/>
      </c>
    </row>
    <row r="64">
      <c r="A64" s="1" t="inlineStr">
        <is>
          <t>WorkforceInputs</t>
        </is>
      </c>
      <c r="B64" s="3" t="n">
        <v>0</v>
      </c>
      <c r="C64" s="1">
        <f>IF($B64=0,"Internal Schedule","Schedule "&amp;TEXT(SUM($B$1:$B64),"0"))</f>
        <v/>
      </c>
      <c r="D64" s="3">
        <f>ROW()</f>
        <v/>
      </c>
    </row>
    <row r="65">
      <c r="A65" s="1" t="inlineStr">
        <is>
          <t>Leases</t>
        </is>
      </c>
      <c r="B65" s="3" t="n">
        <v>0</v>
      </c>
      <c r="C65" s="1">
        <f>IF($B65=0,"Internal Schedule","Schedule "&amp;TEXT(SUM($B$1:$B65),"0"))</f>
        <v/>
      </c>
      <c r="D65" s="3">
        <f>ROW()</f>
        <v/>
      </c>
    </row>
    <row r="66">
      <c r="A66" s="1" t="inlineStr">
        <is>
          <t>NonCompete</t>
        </is>
      </c>
      <c r="B66" s="3" t="n">
        <v>0</v>
      </c>
      <c r="C66" s="1">
        <f>IF($B66=0,"Internal Schedule","Schedule "&amp;TEXT(SUM($B$1:$B66),"0"))</f>
        <v/>
      </c>
      <c r="D66" s="3">
        <f>ROW()</f>
        <v/>
      </c>
    </row>
    <row r="67">
      <c r="A67" s="1" t="inlineStr">
        <is>
          <t>Royalties</t>
        </is>
      </c>
      <c r="B67" s="3" t="n">
        <v>0</v>
      </c>
      <c r="C67" s="1">
        <f>IF($B67=0,"Internal Schedule","Schedule "&amp;TEXT(SUM($B$1:$B67),"0"))</f>
        <v/>
      </c>
      <c r="D67" s="3">
        <f>ROW()</f>
        <v/>
      </c>
    </row>
    <row r="68">
      <c r="A68" s="1" t="inlineStr">
        <is>
          <t>Tradename Scorecard</t>
        </is>
      </c>
      <c r="B68" s="3" t="n">
        <v>0</v>
      </c>
      <c r="C68" s="1">
        <f>IF($B68=0,"Internal Schedule","Schedule "&amp;TEXT(SUM($B$1:$B68),"0"))</f>
        <v/>
      </c>
      <c r="D68" s="3">
        <f>ROW()</f>
        <v/>
      </c>
    </row>
    <row r="69">
      <c r="A69" s="1" t="inlineStr">
        <is>
          <t>TrademarkRelief</t>
        </is>
      </c>
      <c r="B69" s="3" t="n">
        <v>0</v>
      </c>
      <c r="C69" s="1">
        <f>IF($B69=0,"Internal Schedule","Schedule "&amp;TEXT(SUM($B$1:$B69),"0"))</f>
        <v/>
      </c>
      <c r="D69" s="3">
        <f>ROW()</f>
        <v/>
      </c>
    </row>
    <row r="70">
      <c r="A70" s="1" t="inlineStr">
        <is>
          <t>CustRevMap</t>
        </is>
      </c>
      <c r="B70" s="3" t="n">
        <v>0</v>
      </c>
      <c r="C70" s="1">
        <f>IF($B70=0,"Internal Schedule","Schedule "&amp;TEXT(SUM($B$1:$B70),"0"))</f>
        <v/>
      </c>
      <c r="D70" s="3">
        <f>ROW()</f>
        <v/>
      </c>
    </row>
    <row r="71">
      <c r="A71" s="1" t="inlineStr">
        <is>
          <t>Backlog1Excess</t>
        </is>
      </c>
      <c r="B71" s="3" t="n">
        <v>0</v>
      </c>
      <c r="C71" s="1">
        <f>IF($B71=0,"Internal Schedule","Schedule "&amp;TEXT(SUM($B$1:$B71),"0"))</f>
        <v/>
      </c>
      <c r="D71" s="3">
        <f>ROW()</f>
        <v/>
      </c>
    </row>
    <row r="72">
      <c r="A72" s="1" t="inlineStr">
        <is>
          <t>Cust1Excess</t>
        </is>
      </c>
      <c r="B72" s="3" t="n">
        <v>0</v>
      </c>
      <c r="C72" s="1">
        <f>IF($B72=0,"Internal Schedule","Schedule "&amp;TEXT(SUM($B$1:$B72),"0"))</f>
        <v/>
      </c>
      <c r="D72" s="3">
        <f>ROW()</f>
        <v/>
      </c>
    </row>
    <row r="73">
      <c r="A73" s="1" t="inlineStr">
        <is>
          <t>Backlog2Excess</t>
        </is>
      </c>
      <c r="B73" s="3" t="n">
        <v>0</v>
      </c>
      <c r="C73" s="1">
        <f>IF($B73=0,"Internal Schedule","Schedule "&amp;TEXT(SUM($B$1:$B73),"0"))</f>
        <v/>
      </c>
      <c r="D73" s="3">
        <f>ROW()</f>
        <v/>
      </c>
    </row>
    <row r="74">
      <c r="A74" s="1" t="inlineStr">
        <is>
          <t>Cust2Excess</t>
        </is>
      </c>
      <c r="B74" s="3" t="n">
        <v>0</v>
      </c>
      <c r="C74" s="1">
        <f>IF($B74=0,"Internal Schedule","Schedule "&amp;TEXT(SUM($B$1:$B74),"0"))</f>
        <v/>
      </c>
      <c r="D74" s="3">
        <f>ROW()</f>
        <v/>
      </c>
    </row>
    <row r="75">
      <c r="A75" s="1" t="inlineStr">
        <is>
          <t>Attrition</t>
        </is>
      </c>
      <c r="B75" s="3" t="n">
        <v>0</v>
      </c>
      <c r="C75" s="1">
        <f>IF($B75=0,"Internal Schedule","Schedule "&amp;TEXT(SUM($B$1:$B75),"0"))</f>
        <v/>
      </c>
      <c r="D75" s="3">
        <f>ROW()</f>
        <v/>
      </c>
    </row>
    <row r="76">
      <c r="A76" s="1" t="inlineStr">
        <is>
          <t>Tech Royalties</t>
        </is>
      </c>
      <c r="B76" s="3" t="n">
        <v>0</v>
      </c>
      <c r="C76" s="1">
        <f>IF($B76=0,"Internal Schedule","Schedule "&amp;TEXT(SUM($B$1:$B76),"0"))</f>
        <v/>
      </c>
      <c r="D76" s="3">
        <f>ROW()</f>
        <v/>
      </c>
    </row>
    <row r="77">
      <c r="A77" s="1" t="inlineStr">
        <is>
          <t>Tech Scorecard</t>
        </is>
      </c>
      <c r="B77" s="3" t="n">
        <v>0</v>
      </c>
      <c r="C77" s="1">
        <f>IF($B77=0,"Internal Schedule","Schedule "&amp;TEXT(SUM($B$1:$B77),"0"))</f>
        <v/>
      </c>
      <c r="D77" s="3">
        <f>ROW()</f>
        <v/>
      </c>
    </row>
    <row r="78">
      <c r="A78" s="1" t="inlineStr">
        <is>
          <t>Tech Relief from Royalty</t>
        </is>
      </c>
      <c r="B78" s="3" t="n">
        <v>0</v>
      </c>
      <c r="C78" s="1">
        <f>IF($B78=0,"Internal Schedule","Schedule "&amp;TEXT(SUM($B$1:$B78),"0"))</f>
        <v/>
      </c>
      <c r="D78" s="3">
        <f>ROW()</f>
        <v/>
      </c>
    </row>
    <row r="79">
      <c r="A79" s="1" t="inlineStr">
        <is>
          <t>TechRevMap</t>
        </is>
      </c>
      <c r="B79" s="3" t="n">
        <v>0</v>
      </c>
      <c r="C79" s="1">
        <f>IF($B79=0,"Internal Schedule","Schedule "&amp;TEXT(SUM($B$1:$B79),"0"))</f>
        <v/>
      </c>
      <c r="D79" s="3">
        <f>ROW()</f>
        <v/>
      </c>
    </row>
    <row r="80">
      <c r="A80" s="1" t="inlineStr">
        <is>
          <t>Tech1Excess</t>
        </is>
      </c>
      <c r="B80" s="3" t="n">
        <v>0</v>
      </c>
      <c r="C80" s="1">
        <f>IF($B80=0,"Internal Schedule","Schedule "&amp;TEXT(SUM($B$1:$B80),"0"))</f>
        <v/>
      </c>
      <c r="D80" s="3">
        <f>ROW()</f>
        <v/>
      </c>
    </row>
    <row r="81">
      <c r="A81" s="1" t="inlineStr">
        <is>
          <t>Tech2Excess</t>
        </is>
      </c>
      <c r="B81" s="3" t="n">
        <v>0</v>
      </c>
      <c r="C81" s="1">
        <f>IF($B81=0,"Internal Schedule","Schedule "&amp;TEXT(SUM($B$1:$B81),"0"))</f>
        <v/>
      </c>
      <c r="D81" s="3">
        <f>ROW()</f>
        <v/>
      </c>
    </row>
    <row r="82">
      <c r="A82" s="1" t="inlineStr">
        <is>
          <t>IPRDProjects</t>
        </is>
      </c>
      <c r="B82" s="3" t="n">
        <v>0</v>
      </c>
      <c r="C82" s="1">
        <f>IF($B82=0,"Internal Schedule","Schedule "&amp;TEXT(SUM($B$1:$B82),"0"))</f>
        <v/>
      </c>
      <c r="D82" s="3">
        <f>ROW()</f>
        <v/>
      </c>
    </row>
    <row r="83">
      <c r="A83" s="1" t="inlineStr">
        <is>
          <t>IPRD1Excess</t>
        </is>
      </c>
      <c r="B83" s="3" t="n">
        <v>0</v>
      </c>
      <c r="C83" s="1">
        <f>IF($B83=0,"Internal Schedule","Schedule "&amp;TEXT(SUM($B$1:$B83),"0"))</f>
        <v/>
      </c>
      <c r="D83" s="3">
        <f>ROW()</f>
        <v/>
      </c>
    </row>
    <row r="84">
      <c r="A84" s="1" t="inlineStr">
        <is>
          <t>IPRD2Excess</t>
        </is>
      </c>
      <c r="B84" s="3" t="n">
        <v>0</v>
      </c>
      <c r="C84" s="1">
        <f>IF($B84=0,"Internal Schedule","Schedule "&amp;TEXT(SUM($B$1:$B84),"0"))</f>
        <v/>
      </c>
      <c r="D84" s="3">
        <f>ROW()</f>
        <v/>
      </c>
    </row>
    <row r="85">
      <c r="A85" s="1" t="inlineStr">
        <is>
          <t>AssetReturns</t>
        </is>
      </c>
      <c r="B85" s="3" t="n">
        <v>0</v>
      </c>
      <c r="C85" s="1">
        <f>IF($B85=0,"Internal Schedule","Schedule "&amp;TEXT(SUM($B$1:$B85),"0"))</f>
        <v/>
      </c>
      <c r="D85" s="3">
        <f>ROW()</f>
        <v/>
      </c>
    </row>
    <row r="86">
      <c r="A86" s="1" t="inlineStr">
        <is>
          <t>ContributoryAssets</t>
        </is>
      </c>
      <c r="B86" s="3" t="n">
        <v>0</v>
      </c>
      <c r="C86" s="1">
        <f>IF($B86=0,"Internal Schedule","Schedule "&amp;TEXT(SUM($B$1:$B86),"0"))</f>
        <v/>
      </c>
      <c r="D86" s="3">
        <f>ROW()</f>
        <v/>
      </c>
    </row>
    <row r="87">
      <c r="A87" s="1" t="inlineStr">
        <is>
          <t>WARA</t>
        </is>
      </c>
      <c r="B87" s="3" t="n">
        <v>0</v>
      </c>
      <c r="C87" s="1">
        <f>IF($B87=0,"Internal Schedule","Schedule "&amp;TEXT(SUM($B$1:$B87),"0"))</f>
        <v/>
      </c>
      <c r="D87" s="3">
        <f>ROW()</f>
        <v/>
      </c>
    </row>
    <row r="88">
      <c r="A88" s="1" t="inlineStr">
        <is>
          <t>PFIvsIndustry</t>
        </is>
      </c>
      <c r="B88" s="3" t="n">
        <v>0</v>
      </c>
      <c r="C88" s="1">
        <f>IF($B88=0,"Internal Schedule","Schedule "&amp;TEXT(SUM($B$1:$B88),"0"))</f>
        <v/>
      </c>
      <c r="D88" s="3">
        <f>ROW()</f>
        <v/>
      </c>
    </row>
    <row r="89">
      <c r="A89" s="1" t="inlineStr">
        <is>
          <t>CapStructure</t>
        </is>
      </c>
      <c r="B89" s="3" t="n">
        <v>0</v>
      </c>
      <c r="C89" s="1">
        <f>IF($B89=0,"Internal Schedule","Schedule "&amp;TEXT(SUM($B$1:$B89),"0"))</f>
        <v/>
      </c>
      <c r="D89" s="3">
        <f>ROW()</f>
        <v/>
      </c>
    </row>
    <row r="90">
      <c r="A90" s="1" t="inlineStr">
        <is>
          <t>DiscRateSynth</t>
        </is>
      </c>
      <c r="B90" s="3" t="n">
        <v>0</v>
      </c>
      <c r="C90" s="1">
        <f>IF($B90=0,"Internal Schedule","Schedule "&amp;TEXT(SUM($B$1:$B90),"0"))</f>
        <v/>
      </c>
      <c r="D90" s="3">
        <f>ROW()</f>
        <v/>
      </c>
    </row>
    <row r="91">
      <c r="A91" s="1" t="inlineStr">
        <is>
          <t>DCFComparison</t>
        </is>
      </c>
      <c r="B91" s="3" t="n">
        <v>0</v>
      </c>
      <c r="C91" s="1">
        <f>IF($B91=0,"Internal Schedule","Schedule "&amp;TEXT(SUM($B$1:$B91),"0"))</f>
        <v/>
      </c>
      <c r="D91" s="3">
        <f>ROW()</f>
        <v/>
      </c>
    </row>
    <row r="92">
      <c r="A92" s="1" t="inlineStr">
        <is>
          <t>AssetGroupUCF</t>
        </is>
      </c>
      <c r="B92" s="3" t="n">
        <v>0</v>
      </c>
      <c r="C92" s="1">
        <f>IF($B92=0,"Internal Schedule","Schedule "&amp;TEXT(SUM($B$1:$B92),"0"))</f>
        <v/>
      </c>
      <c r="D92" s="3">
        <f>ROW()</f>
        <v/>
      </c>
    </row>
    <row r="93">
      <c r="B93" s="3" t="n"/>
      <c r="C93" s="1">
        <f>IF($B93=0,"Internal Schedule","Schedule "&amp;TEXT(SUM($B$1:$B93),"0"))</f>
        <v/>
      </c>
      <c r="D93" s="3">
        <f>ROW()</f>
        <v/>
      </c>
    </row>
    <row r="94">
      <c r="B94" s="3" t="n"/>
      <c r="C94" s="1">
        <f>IF($B94=0,"Internal Schedule","Schedule "&amp;TEXT(SUM($B$1:$B94),"0"))</f>
        <v/>
      </c>
      <c r="D94" s="3">
        <f>ROW()</f>
        <v/>
      </c>
    </row>
    <row r="95">
      <c r="B95" s="3" t="n"/>
      <c r="C95" s="1">
        <f>IF($B95=0,"Internal Schedule","Schedule "&amp;TEXT(SUM($B$1:$B95),"0"))</f>
        <v/>
      </c>
      <c r="D95" s="3">
        <f>ROW()</f>
        <v/>
      </c>
    </row>
    <row r="96">
      <c r="B96" s="3" t="n"/>
      <c r="C96" s="1">
        <f>IF($B96=0,"Internal Schedule","Schedule "&amp;TEXT(SUM($B$1:$B96),"0"))</f>
        <v/>
      </c>
      <c r="D96" s="3">
        <f>ROW()</f>
        <v/>
      </c>
    </row>
    <row r="97">
      <c r="B97" s="3" t="n"/>
      <c r="C97" s="1">
        <f>IF($B97=0,"Internal Schedule","Schedule "&amp;TEXT(SUM($B$1:$B97),"0"))</f>
        <v/>
      </c>
      <c r="D97" s="3">
        <f>ROW()</f>
        <v/>
      </c>
    </row>
    <row r="98">
      <c r="B98" s="3" t="n"/>
      <c r="C98" s="1">
        <f>IF($B98=0,"Internal Schedule","Schedule "&amp;TEXT(SUM($B$1:$B98),"0"))</f>
        <v/>
      </c>
      <c r="D98" s="3">
        <f>ROW()</f>
        <v/>
      </c>
    </row>
    <row r="99">
      <c r="B99" s="3" t="n"/>
      <c r="C99" s="1">
        <f>IF($B99=0,"Internal Schedule","Schedule "&amp;TEXT(SUM($B$1:$B99),"0"))</f>
        <v/>
      </c>
      <c r="D99" s="3">
        <f>ROW()</f>
        <v/>
      </c>
    </row>
    <row r="100">
      <c r="B100" s="3" t="n"/>
      <c r="C100" s="1">
        <f>IF($B100=0,"Internal Schedule","Schedule "&amp;TEXT(SUM($B$1:$B100),"0"))</f>
        <v/>
      </c>
      <c r="D100" s="3">
        <f>ROW()</f>
        <v/>
      </c>
    </row>
    <row r="101">
      <c r="B101" s="3" t="n"/>
      <c r="C101" s="1">
        <f>IF($B101=0,"Internal Schedule","Schedule "&amp;TEXT(SUM($B$1:$B101),"0"))</f>
        <v/>
      </c>
      <c r="D101" s="3">
        <f>ROW()</f>
        <v/>
      </c>
    </row>
    <row r="102">
      <c r="B102" s="3" t="n"/>
      <c r="C102" s="1">
        <f>IF($B102=0,"Internal Schedule","Schedule "&amp;TEXT(SUM($B$1:$B102),"0"))</f>
        <v/>
      </c>
      <c r="D102" s="3">
        <f>ROW()</f>
        <v/>
      </c>
    </row>
    <row r="103">
      <c r="B103" s="3" t="n"/>
      <c r="C103" s="1">
        <f>IF($B103=0,"Internal Schedule","Schedule "&amp;TEXT(SUM($B$1:$B103),"0"))</f>
        <v/>
      </c>
      <c r="D103" s="3">
        <f>ROW()</f>
        <v/>
      </c>
    </row>
    <row r="104">
      <c r="B104" s="3" t="n"/>
      <c r="C104" s="1">
        <f>IF($B104=0,"Internal Schedule","Schedule "&amp;TEXT(SUM($B$1:$B104),"0"))</f>
        <v/>
      </c>
      <c r="D104" s="3">
        <f>ROW()</f>
        <v/>
      </c>
    </row>
    <row r="105">
      <c r="B105" s="3" t="n"/>
      <c r="C105" s="1">
        <f>IF($B105=0,"Internal Schedule","Schedule "&amp;TEXT(SUM($B$1:$B105),"0"))</f>
        <v/>
      </c>
      <c r="D105" s="3">
        <f>ROW()</f>
        <v/>
      </c>
    </row>
  </sheetData>
  <pageMargins left="0.7" right="0.7" top="0.75" bottom="0.75" header="0.3" footer="0.3"/>
  <pageSetup orientation="portrait"/>
  <headerFooter>
    <oddHeader>&amp;R&amp;"Arial"&amp;1 &amp;K000000Confidential#</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2:N13"/>
  <sheetViews>
    <sheetView showGridLines="0" zoomScale="80" zoomScaleNormal="80" workbookViewId="0">
      <selection activeCell="D14" sqref="D14"/>
    </sheetView>
  </sheetViews>
  <sheetFormatPr baseColWidth="8" defaultColWidth="0" defaultRowHeight="0" customHeight="1" zeroHeight="1"/>
  <cols>
    <col width="2.61328125" customWidth="1" style="49" min="1" max="3"/>
    <col width="15.23046875" customWidth="1" style="49" min="4" max="11"/>
    <col width="7.15234375" customWidth="1" style="49" min="12" max="12"/>
    <col width="12.3828125" bestFit="1" customWidth="1" style="49" min="13" max="13"/>
    <col width="7.15234375" customWidth="1" style="49" min="14" max="16"/>
    <col hidden="1" width="7.15234375" customWidth="1" style="49" min="17" max="16384"/>
  </cols>
  <sheetData>
    <row r="1" ht="18.65" customHeight="1"/>
    <row r="2" ht="18.65" customHeight="1">
      <c r="B2" s="50">
        <f>F5</f>
        <v/>
      </c>
    </row>
    <row r="3" ht="18.65" customHeight="1" thickBot="1">
      <c r="A3" s="51" t="n"/>
      <c r="B3" s="51" t="n"/>
      <c r="C3" s="51" t="n"/>
      <c r="D3" s="51" t="n"/>
      <c r="E3" s="51" t="n"/>
      <c r="F3" s="51" t="n"/>
      <c r="G3" s="51" t="n"/>
      <c r="H3" s="51" t="n"/>
      <c r="I3" s="51" t="n"/>
      <c r="J3" s="51" t="n"/>
      <c r="K3" s="51" t="n"/>
    </row>
    <row r="4" ht="11.5" customHeight="1">
      <c r="M4" s="49" t="inlineStr">
        <is>
          <t>Legend</t>
        </is>
      </c>
    </row>
    <row r="5" ht="11.5" customHeight="1">
      <c r="D5" s="52" t="inlineStr">
        <is>
          <t>Client Name:</t>
        </is>
      </c>
      <c r="F5" s="49">
        <f>client.name.long</f>
        <v/>
      </c>
      <c r="K5" s="53" t="inlineStr">
        <is>
          <t>Model Code</t>
        </is>
      </c>
      <c r="M5" s="1290" t="inlineStr">
        <is>
          <t>Aerial Arts India</t>
        </is>
      </c>
      <c r="N5" s="49" t="inlineStr">
        <is>
          <t>Model Inputs</t>
        </is>
      </c>
    </row>
    <row r="6" ht="11.5" customHeight="1">
      <c r="D6" s="52" t="inlineStr">
        <is>
          <t>Subject Company Name:</t>
        </is>
      </c>
      <c r="F6" s="49">
        <f>target.name</f>
        <v/>
      </c>
      <c r="K6" s="1864" t="inlineStr">
        <is>
          <t>Input</t>
        </is>
      </c>
    </row>
    <row r="7" ht="11.5" customHeight="1">
      <c r="D7" s="52" t="inlineStr">
        <is>
          <t>Project Name:</t>
        </is>
      </c>
      <c r="F7" s="49">
        <f>project.title</f>
        <v/>
      </c>
      <c r="K7" s="55" t="inlineStr">
        <is>
          <t>Link</t>
        </is>
      </c>
    </row>
    <row r="8" ht="11.5" customHeight="1">
      <c r="D8" s="52" t="inlineStr">
        <is>
          <t>Prepared by:</t>
        </is>
      </c>
      <c r="F8" s="49" t="inlineStr">
        <is>
          <t>Valify UAE</t>
        </is>
      </c>
      <c r="K8" s="56" t="inlineStr">
        <is>
          <t>Formula</t>
        </is>
      </c>
    </row>
    <row r="9" ht="11.5" customHeight="1">
      <c r="D9" s="52" t="inlineStr">
        <is>
          <t>Model Purpose:</t>
        </is>
      </c>
      <c r="F9" s="57" t="inlineStr">
        <is>
          <t>Valuation Model</t>
        </is>
      </c>
      <c r="K9" s="58" t="inlineStr">
        <is>
          <t>Deviant</t>
        </is>
      </c>
    </row>
    <row r="10" ht="11.5" customHeight="1">
      <c r="D10" s="52" t="inlineStr">
        <is>
          <t xml:space="preserve">Last Updated: </t>
        </is>
      </c>
      <c r="F10" s="1865">
        <f>TODAY()</f>
        <v/>
      </c>
      <c r="K10" s="60" t="inlineStr">
        <is>
          <t>Blank cell</t>
        </is>
      </c>
    </row>
    <row r="11" ht="11.5" customHeight="1"/>
    <row r="12" ht="11.5" customHeight="1">
      <c r="D12" s="1820" t="inlineStr">
        <is>
          <t>Disclaimer</t>
        </is>
      </c>
    </row>
    <row r="13" ht="201" customHeight="1">
      <c r="D13" s="1821" t="inlineStr">
        <is>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is>
      </c>
      <c r="L13" s="61" t="n"/>
    </row>
    <row r="14" ht="11.5" customHeight="1"/>
    <row r="15" ht="10.5" customHeight="1"/>
  </sheetData>
  <mergeCells count="2">
    <mergeCell ref="D13:K13"/>
    <mergeCell ref="D12:K12"/>
  </mergeCells>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baseColWidth="8" defaultColWidth="0" defaultRowHeight="16.5"/>
  <cols>
    <col width="5.4609375" customWidth="1" style="1500" min="1" max="1"/>
    <col hidden="1" width="5.4609375" customWidth="1" style="1500" min="2" max="4"/>
    <col hidden="1" width="1.53515625" customWidth="1" min="5" max="5"/>
    <col width="2.23046875" customWidth="1" style="1499" min="6" max="6"/>
    <col width="4.07421875" customWidth="1" style="1500" min="7" max="7"/>
    <col width="22.07421875" customWidth="1" style="1499" min="8" max="8"/>
    <col width="76.921875" customWidth="1" style="1501" min="9" max="9"/>
    <col width="10.921875" customWidth="1" style="1500" min="10" max="12"/>
    <col width="9.23046875" customWidth="1" style="1500" min="13" max="13"/>
    <col width="14" customWidth="1" style="1500" min="14" max="14"/>
    <col width="39.69140625" customWidth="1" style="1503" min="15" max="15"/>
    <col width="28.84375" customWidth="1" style="1500" min="16" max="16"/>
    <col width="34.921875" customWidth="1" style="1506" min="17" max="18"/>
    <col width="34.921875" customWidth="1" style="1500" min="19" max="19"/>
    <col width="7.23046875" customWidth="1" style="1500" min="20" max="20"/>
    <col hidden="1" style="1500" min="21" max="23"/>
    <col hidden="1" width="7.23046875" customWidth="1" style="1500" min="24" max="16384"/>
  </cols>
  <sheetData>
    <row r="1" ht="17.5" customHeight="1">
      <c r="A1" s="1498" t="inlineStr">
        <is>
          <t>Valify Questionnaire Form</t>
        </is>
      </c>
      <c r="B1" s="1498" t="n"/>
      <c r="C1" s="1498" t="n"/>
      <c r="D1" s="1498" t="n"/>
      <c r="I1" s="1502" t="n"/>
      <c r="J1" s="1502" t="n"/>
      <c r="K1" s="1502" t="n"/>
      <c r="L1" s="1502" t="n"/>
      <c r="M1" s="1502" t="n"/>
      <c r="Q1" s="1866" t="n"/>
      <c r="R1" s="1866" t="n"/>
      <c r="S1" s="1866" t="n"/>
    </row>
    <row r="2">
      <c r="A2" s="1505" t="inlineStr">
        <is>
          <t>December, 2023</t>
        </is>
      </c>
      <c r="B2" s="1505" t="n"/>
      <c r="C2" s="1505" t="n"/>
      <c r="D2" s="1505" t="n"/>
      <c r="I2" s="1502" t="inlineStr">
        <is>
          <t>Add lease &amp; IFRS component for cash rent</t>
        </is>
      </c>
      <c r="J2" s="1502" t="n"/>
      <c r="K2" s="1502" t="n"/>
      <c r="L2" s="1502" t="n"/>
      <c r="M2" s="1502" t="n"/>
      <c r="S2" s="1506" t="n"/>
    </row>
    <row r="3">
      <c r="A3" s="1505" t="n"/>
      <c r="B3" s="1505" t="n"/>
      <c r="C3" s="1505" t="n"/>
      <c r="D3" s="1505" t="n"/>
      <c r="I3" s="1502" t="n"/>
      <c r="J3" s="1502" t="n"/>
      <c r="K3" s="1502" t="n"/>
      <c r="L3" s="1502" t="n"/>
      <c r="M3" s="1502" t="n"/>
      <c r="S3" s="1506" t="n"/>
    </row>
    <row r="4">
      <c r="A4" s="1505" t="n"/>
      <c r="B4" s="1505" t="n"/>
      <c r="C4" s="1505" t="n"/>
      <c r="D4" s="1505" t="n"/>
      <c r="I4" s="1502" t="n"/>
      <c r="J4" s="1502" t="n"/>
      <c r="K4" s="1502" t="n"/>
      <c r="L4" s="1502" t="n"/>
      <c r="M4" s="1502" t="n"/>
      <c r="S4" s="1506" t="n"/>
    </row>
    <row r="5">
      <c r="H5" s="1789" t="inlineStr">
        <is>
          <t>Topic</t>
        </is>
      </c>
      <c r="I5" s="1507" t="inlineStr">
        <is>
          <t>Question phrase</t>
        </is>
      </c>
      <c r="J5" s="1508" t="inlineStr">
        <is>
          <t>Notes for IT</t>
        </is>
      </c>
      <c r="K5" s="1508" t="n"/>
      <c r="L5" s="1508" t="n"/>
      <c r="M5" s="1508" t="inlineStr">
        <is>
          <t>Cell name</t>
        </is>
      </c>
      <c r="N5" s="1509" t="inlineStr">
        <is>
          <t>Value</t>
        </is>
      </c>
      <c r="O5" s="1509" t="inlineStr">
        <is>
          <t>Units</t>
        </is>
      </c>
      <c r="P5" s="1510" t="inlineStr">
        <is>
          <t>Message</t>
        </is>
      </c>
      <c r="Q5" s="1511" t="n"/>
      <c r="R5" s="1511" t="inlineStr">
        <is>
          <t>Notes from Lazure/Amiri/Shazpha/Burhan</t>
        </is>
      </c>
      <c r="S5" s="1511" t="inlineStr">
        <is>
          <t>Notes from Raaj</t>
        </is>
      </c>
    </row>
    <row r="6" ht="17.5" customFormat="1" customHeight="1" s="71">
      <c r="E6" s="1233" t="inlineStr">
        <is>
          <t>*</t>
        </is>
      </c>
      <c r="F6" s="1291" t="n">
        <v>0</v>
      </c>
      <c r="G6" s="1292" t="n"/>
      <c r="H6" s="1291" t="inlineStr">
        <is>
          <t>Valuation Approach Test</t>
        </is>
      </c>
      <c r="I6" s="1293" t="n"/>
      <c r="J6" s="1292" t="n"/>
      <c r="K6" s="1292" t="n"/>
      <c r="L6" s="1292" t="n"/>
      <c r="M6" s="1292" t="n"/>
      <c r="N6" s="1292" t="n"/>
      <c r="O6" s="1292" t="inlineStr">
        <is>
          <t>Decision Action</t>
        </is>
      </c>
      <c r="P6" s="1292" t="n"/>
      <c r="Q6" s="1294" t="n"/>
    </row>
    <row r="7" customFormat="1" s="1145">
      <c r="E7" s="1233" t="inlineStr">
        <is>
          <t>*</t>
        </is>
      </c>
      <c r="H7" s="1295" t="inlineStr">
        <is>
          <t>Going Concern</t>
        </is>
      </c>
      <c r="I7" s="1296" t="inlineStr">
        <is>
          <t>Is the business expected to continue in the foreseeable future?</t>
        </is>
      </c>
      <c r="J7" s="1145" t="inlineStr">
        <is>
          <t>If "No", follow  Column O</t>
        </is>
      </c>
      <c r="N7" s="1512" t="inlineStr">
        <is>
          <t>Yes</t>
        </is>
      </c>
      <c r="O7" s="1145" t="inlineStr">
        <is>
          <t>Message on Liquidation Method &amp; close further questions</t>
        </is>
      </c>
      <c r="P7" s="1145" t="inlineStr">
        <is>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is>
      </c>
      <c r="Q7" s="1162" t="n"/>
    </row>
    <row r="8" customFormat="1" s="1145">
      <c r="E8" s="1233" t="inlineStr">
        <is>
          <t>*</t>
        </is>
      </c>
      <c r="H8" s="1295" t="inlineStr">
        <is>
          <t>Forecasts</t>
        </is>
      </c>
      <c r="I8" s="1296" t="inlineStr">
        <is>
          <t>Can you provide financial forecasts of the business for 3-5 years?</t>
        </is>
      </c>
      <c r="J8" s="1145" t="inlineStr">
        <is>
          <t>If "Yes", follow  Column O</t>
        </is>
      </c>
      <c r="N8" s="1512" t="inlineStr">
        <is>
          <t>Yes</t>
        </is>
      </c>
      <c r="O8" s="1145" t="inlineStr">
        <is>
          <t>Close sections 2-6 in questionnaire</t>
        </is>
      </c>
      <c r="Q8" s="1162" t="n"/>
    </row>
    <row r="9" customFormat="1" s="1145">
      <c r="E9" s="1233" t="inlineStr">
        <is>
          <t>*</t>
        </is>
      </c>
      <c r="G9" s="1295" t="n"/>
      <c r="H9" s="1790" t="inlineStr">
        <is>
          <t>Development Phase</t>
        </is>
      </c>
      <c r="I9" s="1501" t="inlineStr">
        <is>
          <t>Which of the options best describe the current development stage of the business?</t>
        </is>
      </c>
      <c r="J9" s="1145" t="inlineStr">
        <is>
          <t>Follow  Column O</t>
        </is>
      </c>
      <c r="N9" s="1512" t="inlineStr">
        <is>
          <t>Growth</t>
        </is>
      </c>
      <c r="Q9" s="1162" t="n"/>
    </row>
    <row r="10">
      <c r="E10" s="1233" t="inlineStr">
        <is>
          <t>*</t>
        </is>
      </c>
      <c r="F10" s="1145" t="n"/>
      <c r="H10" s="1789" t="n"/>
      <c r="J10" s="1508" t="n"/>
      <c r="K10" s="1508" t="n"/>
      <c r="L10" s="1508" t="n"/>
      <c r="M10" s="1508" t="n"/>
      <c r="N10" s="1509" t="n"/>
      <c r="O10" s="1509" t="n"/>
      <c r="Q10" s="1511" t="n"/>
      <c r="R10" s="1511" t="n"/>
      <c r="S10" s="1511" t="n"/>
    </row>
    <row r="11">
      <c r="E11" s="1233" t="inlineStr">
        <is>
          <t>*</t>
        </is>
      </c>
      <c r="F11" s="1513" t="n">
        <v>1</v>
      </c>
      <c r="G11" s="1514" t="n"/>
      <c r="H11" s="1513" t="inlineStr">
        <is>
          <t xml:space="preserve">General </t>
        </is>
      </c>
      <c r="I11" s="1515" t="n"/>
      <c r="J11" s="1514" t="n"/>
      <c r="K11" s="1514" t="n"/>
      <c r="L11" s="1514" t="n"/>
      <c r="M11" s="1514" t="n"/>
      <c r="N11" s="1514" t="n"/>
      <c r="O11" s="1516" t="n"/>
      <c r="P11" s="1514" t="n"/>
      <c r="Q11" s="1517" t="n"/>
      <c r="R11" s="1517" t="n"/>
      <c r="S11" s="1517" t="n"/>
    </row>
    <row r="12">
      <c r="E12" s="1233" t="inlineStr">
        <is>
          <t>*</t>
        </is>
      </c>
      <c r="F12" s="1145" t="n"/>
      <c r="G12" s="1867">
        <f>F11+0.1</f>
        <v/>
      </c>
      <c r="H12" s="1519" t="inlineStr">
        <is>
          <t>Purpose of the exercise</t>
        </is>
      </c>
      <c r="I12" s="1520" t="n"/>
      <c r="J12" s="1521" t="n"/>
      <c r="K12" s="1521" t="n"/>
      <c r="L12" s="1521" t="n"/>
      <c r="M12" s="1521" t="n"/>
      <c r="N12" s="1521" t="n"/>
      <c r="O12" s="1522" t="n"/>
      <c r="P12" s="1521" t="n"/>
      <c r="Q12" s="1523" t="n"/>
      <c r="R12" s="1523" t="n"/>
      <c r="S12" s="1523" t="n"/>
    </row>
    <row r="13">
      <c r="E13" s="1233" t="inlineStr">
        <is>
          <t>*</t>
        </is>
      </c>
      <c r="F13" s="1145" t="n"/>
      <c r="G13" s="1868" t="n"/>
      <c r="H13" s="1791" t="inlineStr">
        <is>
          <t>Introduction</t>
        </is>
      </c>
      <c r="I13" s="1822" t="inlineStr">
        <is>
          <t>We understand that you seek a fair valuation of a business. At Valify, we are committed to providing a swift &amp; efficient self-valuation tool. We would like to emphasize that the valuation estimates through Valify do not qualify as independent valuation advisory.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By completing the below-set questionnaire, you consent to receive a valuation estimate on the subject company through the above-described self-valuation tool.</t>
        </is>
      </c>
      <c r="R13" s="1822" t="n"/>
      <c r="S13" s="1822" t="n"/>
    </row>
    <row r="14">
      <c r="E14" s="1233" t="inlineStr">
        <is>
          <t>*</t>
        </is>
      </c>
      <c r="F14" s="1145" t="n"/>
      <c r="G14" s="1868" t="n"/>
      <c r="H14" s="1583" t="n"/>
      <c r="S14" s="1506" t="n"/>
    </row>
    <row r="15" customFormat="1" s="1533">
      <c r="E15" s="1233" t="inlineStr">
        <is>
          <t>*</t>
        </is>
      </c>
      <c r="F15" s="1145" t="n"/>
      <c r="G15" s="1868" t="n"/>
      <c r="H15" s="1792" t="inlineStr">
        <is>
          <t>Valuer Type</t>
        </is>
      </c>
      <c r="I15" s="1528" t="inlineStr">
        <is>
          <t>Please select your role with the subject company.</t>
        </is>
      </c>
      <c r="J15" s="1529" t="n"/>
      <c r="K15" s="1529" t="n"/>
      <c r="L15" s="1529" t="n"/>
      <c r="M15" s="1529" t="n"/>
      <c r="N15" s="1530" t="inlineStr">
        <is>
          <t>Consultant</t>
        </is>
      </c>
      <c r="O15" s="1529" t="n"/>
      <c r="P15" s="1531" t="n"/>
      <c r="Q15" s="1531" t="n"/>
      <c r="R15" s="1532" t="n"/>
      <c r="S15" s="1532" t="n"/>
    </row>
    <row r="16" customFormat="1" s="1533">
      <c r="E16" s="1233" t="inlineStr">
        <is>
          <t>*</t>
        </is>
      </c>
      <c r="F16" s="1145" t="n"/>
      <c r="H16" s="1793" t="inlineStr">
        <is>
          <t>Client Company Name</t>
        </is>
      </c>
      <c r="I16" s="1534" t="inlineStr">
        <is>
          <t>What is the official name of your company?</t>
        </is>
      </c>
      <c r="M16" s="1533" t="inlineStr">
        <is>
          <t>client.company</t>
        </is>
      </c>
      <c r="N16" s="1535" t="inlineStr">
        <is>
          <t>Hazel Lighting India</t>
        </is>
      </c>
      <c r="O16" s="1536" t="n"/>
      <c r="Q16" s="1532" t="n"/>
      <c r="R16" s="1532" t="n"/>
      <c r="S16" s="1532" t="n"/>
    </row>
    <row r="17" customFormat="1" s="1533">
      <c r="E17" s="1233" t="inlineStr">
        <is>
          <t>*</t>
        </is>
      </c>
      <c r="F17" s="1145" t="n"/>
      <c r="H17" s="1792" t="inlineStr">
        <is>
          <t>Valuer Name</t>
        </is>
      </c>
      <c r="I17" s="1528" t="inlineStr">
        <is>
          <t>Please enter your full name &amp; designation.</t>
        </is>
      </c>
      <c r="J17" s="1529" t="n"/>
      <c r="K17" s="1529" t="n"/>
      <c r="L17" s="1529" t="n"/>
      <c r="M17" s="1529" t="inlineStr">
        <is>
          <t>valuer.name</t>
        </is>
      </c>
      <c r="N17" s="1530" t="inlineStr">
        <is>
          <t>Samina Burhani</t>
        </is>
      </c>
      <c r="O17" s="1537" t="n"/>
      <c r="P17" s="1529" t="n"/>
      <c r="Q17" s="1531" t="n"/>
      <c r="R17" s="1532" t="n"/>
      <c r="S17" s="1532" t="n"/>
    </row>
    <row r="18" ht="115.5" customFormat="1" customHeight="1" s="1533">
      <c r="E18" s="1233" t="inlineStr">
        <is>
          <t>*</t>
        </is>
      </c>
      <c r="F18" s="1145" t="n"/>
      <c r="H18" s="1793" t="inlineStr">
        <is>
          <t xml:space="preserve">Purpose  </t>
        </is>
      </c>
      <c r="I18" s="1534" t="inlineStr">
        <is>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is>
      </c>
      <c r="N18" s="1538" t="inlineStr">
        <is>
          <t>B</t>
        </is>
      </c>
      <c r="O18" s="1533">
        <f>IF(N18="A","Vendor Valuation",IF(N18="B","Management Valuation",IF(N18="C","Target Valuation","Other (please specify)")))</f>
        <v/>
      </c>
      <c r="Q18" s="1532" t="n"/>
      <c r="R18" s="1532" t="n"/>
      <c r="S18" s="1532" t="n"/>
    </row>
    <row r="19" customFormat="1" s="1533">
      <c r="E19" s="1233" t="inlineStr">
        <is>
          <t>*</t>
        </is>
      </c>
      <c r="F19" s="1145" t="n"/>
      <c r="H19" s="1793" t="n"/>
      <c r="I19" s="1534" t="n"/>
      <c r="O19" s="1536" t="n"/>
      <c r="Q19" s="1532" t="n"/>
      <c r="R19" s="1532" t="n"/>
      <c r="S19" s="1532" t="n"/>
    </row>
    <row r="20">
      <c r="E20" s="1233" t="inlineStr">
        <is>
          <t>*</t>
        </is>
      </c>
      <c r="F20" s="1145" t="n"/>
      <c r="G20" s="1867">
        <f>G12+0.1</f>
        <v/>
      </c>
      <c r="H20" s="1519" t="inlineStr">
        <is>
          <t>Company Information</t>
        </is>
      </c>
      <c r="I20" s="1520" t="n"/>
      <c r="J20" s="1521" t="n"/>
      <c r="K20" s="1521" t="n"/>
      <c r="L20" s="1521" t="n"/>
      <c r="M20" s="1521" t="n"/>
      <c r="N20" s="1521" t="n"/>
      <c r="O20" s="1522" t="n"/>
      <c r="P20" s="1521" t="n"/>
      <c r="Q20" s="1523" t="n"/>
      <c r="R20" s="1523" t="n"/>
      <c r="S20" s="1523" t="n"/>
    </row>
    <row r="21">
      <c r="E21" s="1233" t="inlineStr">
        <is>
          <t>*</t>
        </is>
      </c>
      <c r="F21" s="1145" t="n"/>
      <c r="H21" s="1560" t="inlineStr">
        <is>
          <t>Check</t>
        </is>
      </c>
      <c r="I21" s="1541" t="inlineStr">
        <is>
          <t>Are you seeking a valuation of your own company?</t>
        </is>
      </c>
      <c r="J21" s="1542" t="n"/>
      <c r="K21" s="1542" t="n"/>
      <c r="L21" s="1542" t="n"/>
      <c r="M21" s="1542" t="n"/>
      <c r="N21" s="1530" t="inlineStr">
        <is>
          <t>Yes</t>
        </is>
      </c>
      <c r="O21" s="1542" t="inlineStr">
        <is>
          <t>Yes/No</t>
        </is>
      </c>
      <c r="P21" s="1542" t="n"/>
      <c r="Q21" s="1543" t="n"/>
      <c r="R21" s="1544" t="n"/>
      <c r="S21" s="1544" t="n"/>
    </row>
    <row r="22">
      <c r="E22" s="1233" t="inlineStr">
        <is>
          <t>*</t>
        </is>
      </c>
      <c r="F22" s="1145" t="n"/>
      <c r="H22" s="1560" t="inlineStr">
        <is>
          <t>Company Name</t>
        </is>
      </c>
      <c r="I22" s="1541" t="inlineStr">
        <is>
          <t>What is the official name of the subject company to be valued?</t>
        </is>
      </c>
      <c r="J22" s="1542" t="inlineStr">
        <is>
          <t>If yes, autofill Client Name</t>
        </is>
      </c>
      <c r="K22" s="1542" t="n"/>
      <c r="L22" s="1542" t="n"/>
      <c r="M22" s="1542" t="inlineStr">
        <is>
          <t>subject.name</t>
        </is>
      </c>
      <c r="N22" s="1530" t="inlineStr">
        <is>
          <t>Lazure Worldwide FZCO</t>
        </is>
      </c>
      <c r="O22" s="1545" t="n"/>
      <c r="P22" s="1542" t="n"/>
      <c r="Q22" s="1543" t="n"/>
      <c r="R22" s="1544" t="n"/>
      <c r="S22" s="1544" t="n"/>
    </row>
    <row r="23">
      <c r="E23" s="1233" t="inlineStr">
        <is>
          <t>*</t>
        </is>
      </c>
      <c r="F23" s="1145" t="n"/>
      <c r="H23" s="1560" t="inlineStr">
        <is>
          <t>Short Name</t>
        </is>
      </c>
      <c r="I23" s="1528" t="inlineStr">
        <is>
          <t>Enter a short name for the subject company.</t>
        </is>
      </c>
      <c r="J23" s="1542" t="inlineStr">
        <is>
          <t>Autofill with Company Name, with option to overwrite</t>
        </is>
      </c>
      <c r="K23" s="1542" t="n"/>
      <c r="L23" s="1542" t="n"/>
      <c r="M23" s="1542" t="inlineStr">
        <is>
          <t>short.name</t>
        </is>
      </c>
      <c r="N23" s="1546" t="inlineStr">
        <is>
          <t>Lazure</t>
        </is>
      </c>
      <c r="O23" s="1545" t="n"/>
      <c r="P23" s="1542" t="n"/>
      <c r="Q23" s="1547" t="n"/>
      <c r="S23" s="1506" t="n"/>
    </row>
    <row r="24">
      <c r="E24" s="1233" t="inlineStr">
        <is>
          <t>*</t>
        </is>
      </c>
      <c r="F24" s="1145" t="n"/>
      <c r="N24" s="1538" t="n"/>
      <c r="S24" s="1506" t="n"/>
    </row>
    <row r="25">
      <c r="E25" s="1233" t="inlineStr">
        <is>
          <t>*</t>
        </is>
      </c>
      <c r="F25" s="1145" t="n"/>
      <c r="G25" s="1867">
        <f>G20+0.1</f>
        <v/>
      </c>
      <c r="H25" s="1519" t="inlineStr">
        <is>
          <t>Dates Information</t>
        </is>
      </c>
      <c r="I25" s="1520" t="n"/>
      <c r="J25" s="1521" t="n"/>
      <c r="K25" s="1521" t="n"/>
      <c r="L25" s="1521" t="n"/>
      <c r="M25" s="1521" t="n"/>
      <c r="N25" s="1521" t="n"/>
      <c r="O25" s="1522" t="n"/>
      <c r="P25" s="1521" t="n"/>
      <c r="Q25" s="1523" t="n"/>
      <c r="R25" s="1523" t="n"/>
      <c r="S25" s="1523" t="n"/>
    </row>
    <row r="26" ht="49.5" customHeight="1">
      <c r="E26" s="1233" t="inlineStr">
        <is>
          <t>*</t>
        </is>
      </c>
      <c r="F26" s="1145" t="n"/>
      <c r="H26" s="1560" t="inlineStr">
        <is>
          <t>Valuation Date</t>
        </is>
      </c>
      <c r="I26" s="1541" t="inlineStr">
        <is>
          <t>Please enter the date as at which you wish to conduct this valuation. Please note that this may not necessarily be today's date. The valuation date is typically the date to which you have the latest actual business financial performance which is ideally the most recent month-end.</t>
        </is>
      </c>
      <c r="J26" s="1542" t="inlineStr">
        <is>
          <t>Allow only month-end dates</t>
        </is>
      </c>
      <c r="K26" s="1542" t="n"/>
      <c r="L26" s="1542" t="n"/>
      <c r="M26" s="1542" t="inlineStr">
        <is>
          <t>val.date</t>
        </is>
      </c>
      <c r="N26" s="1548" t="n">
        <v>45565</v>
      </c>
      <c r="O26" s="1545" t="inlineStr">
        <is>
          <t>date format</t>
        </is>
      </c>
      <c r="P26" s="1542" t="n"/>
      <c r="Q26" s="1551" t="n"/>
      <c r="R26" s="1552" t="n"/>
      <c r="S26" s="1552" t="n"/>
    </row>
    <row r="27">
      <c r="E27" s="1233" t="inlineStr">
        <is>
          <t>*</t>
        </is>
      </c>
      <c r="F27" s="1145" t="n"/>
      <c r="H27" s="1560" t="inlineStr">
        <is>
          <t>Next fiscal year end date</t>
        </is>
      </c>
      <c r="I27" s="1541" t="inlineStr">
        <is>
          <t>What is the next financial year end for the business?</t>
        </is>
      </c>
      <c r="J27" s="1542" t="inlineStr">
        <is>
          <t>Allow only month-end dates</t>
        </is>
      </c>
      <c r="K27" s="1542" t="n"/>
      <c r="L27" s="1542" t="n"/>
      <c r="M27" s="1542" t="inlineStr">
        <is>
          <t>proj.yearend</t>
        </is>
      </c>
      <c r="N27" s="1548" t="n">
        <v>45657</v>
      </c>
      <c r="O27" s="1545" t="inlineStr">
        <is>
          <t>date format</t>
        </is>
      </c>
      <c r="P27" s="1542" t="n"/>
      <c r="Q27" s="1549" t="n"/>
      <c r="S27" s="1550" t="inlineStr">
        <is>
          <t>Country-wise reference</t>
        </is>
      </c>
    </row>
    <row r="28">
      <c r="E28" s="1233" t="inlineStr">
        <is>
          <t>*</t>
        </is>
      </c>
      <c r="F28" s="1145" t="n"/>
      <c r="H28" s="1499" t="inlineStr">
        <is>
          <t>Year to Date: months completed in current year</t>
        </is>
      </c>
      <c r="I28" s="1501" t="inlineStr">
        <is>
          <t>How many months have passed since the start of new financial year of the business?</t>
        </is>
      </c>
      <c r="J28" s="1533" t="inlineStr">
        <is>
          <t>Need not ask, but auto-fill (based on provided formula) &amp; confirm</t>
        </is>
      </c>
      <c r="K28" s="1533" t="n"/>
      <c r="L28" s="1533" t="n"/>
      <c r="M28" s="1500" t="inlineStr">
        <is>
          <t>ytd.months</t>
        </is>
      </c>
      <c r="N28" s="1869">
        <f>12-ROUND((N27-val.date)/30,0)</f>
        <v/>
      </c>
      <c r="Q28" s="1552" t="n"/>
      <c r="S28" s="1506" t="n"/>
    </row>
    <row r="29">
      <c r="E29" s="1233" t="inlineStr">
        <is>
          <t>*</t>
        </is>
      </c>
      <c r="F29" s="1145" t="n"/>
      <c r="H29" s="1794" t="inlineStr">
        <is>
          <t>Valuation Header</t>
        </is>
      </c>
      <c r="I29" s="1555" t="inlineStr">
        <is>
          <t>NA</t>
        </is>
      </c>
      <c r="J29" s="1556" t="n"/>
      <c r="K29" s="1556" t="n"/>
      <c r="L29" s="1556" t="n"/>
      <c r="M29" s="1556" t="inlineStr">
        <is>
          <t>val.header</t>
        </is>
      </c>
      <c r="N29" s="1557">
        <f t="array" ref="N29">"Valuation Date:  "&amp;TEXT(val.date,"mmmm d, yyy")</f>
        <v/>
      </c>
      <c r="O29" s="1558" t="n"/>
      <c r="P29" s="1556" t="n"/>
      <c r="Q29" s="1559" t="n"/>
      <c r="S29" s="1506" t="n"/>
    </row>
    <row r="30" ht="306" customHeight="1">
      <c r="E30" s="1233" t="inlineStr">
        <is>
          <t>*</t>
        </is>
      </c>
      <c r="F30" s="1145" t="n"/>
      <c r="H30" s="1560" t="inlineStr">
        <is>
          <t>Year-to-Go Approach</t>
        </is>
      </c>
      <c r="I30" s="1541" t="inlineStr">
        <is>
          <t>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1. YTD Annualized (Default): Select this option if you prefer to forecast performance of upcoming months based on previous months of the year (at the same rate as previous months).
2. Management Monthly Budget:  Select this option if you prefer the remaining months to be forecasted in line with the original monthly budgets, irrespective of previous months' actual performance.
3. Catch-up Approach: Select this option if the business has under-performed or over-performed the budget in previous months, and you expect the business to catch up in coming months and meet the annual targets budgeted for the current year.</t>
        </is>
      </c>
      <c r="J30" s="1542" t="inlineStr">
        <is>
          <t>Keep YTD Annualized as the default selection</t>
        </is>
      </c>
      <c r="K30" s="1542" t="n"/>
      <c r="L30" s="1542" t="n"/>
      <c r="M30" s="1542" t="n"/>
      <c r="N30" s="1297" t="inlineStr">
        <is>
          <t>Catch Up Approach</t>
        </is>
      </c>
      <c r="O30" s="1298" t="n"/>
      <c r="P30" s="1542" t="n"/>
      <c r="Q30" s="1554" t="n"/>
      <c r="R30" s="1554" t="n"/>
      <c r="S30" s="1550" t="inlineStr">
        <is>
          <t>ppt video or perhaps default option\</t>
        </is>
      </c>
    </row>
    <row r="31">
      <c r="E31" s="1233" t="inlineStr">
        <is>
          <t>*</t>
        </is>
      </c>
      <c r="F31" s="1145" t="n"/>
      <c r="N31" s="1299" t="n"/>
      <c r="O31" s="1300" t="n"/>
      <c r="S31" s="1506" t="n"/>
    </row>
    <row r="32">
      <c r="E32" s="1233" t="inlineStr">
        <is>
          <t>*</t>
        </is>
      </c>
      <c r="F32" s="1145" t="n"/>
      <c r="G32" s="1867">
        <f>G25+0.1</f>
        <v/>
      </c>
      <c r="H32" s="1519" t="inlineStr">
        <is>
          <t>Currency Information</t>
        </is>
      </c>
      <c r="I32" s="1540" t="n"/>
      <c r="J32" s="1521" t="n"/>
      <c r="K32" s="1521" t="n"/>
      <c r="L32" s="1521" t="n"/>
      <c r="M32" s="1521" t="n"/>
      <c r="N32" s="1521" t="n"/>
      <c r="O32" s="1522" t="n"/>
      <c r="P32" s="1521" t="n"/>
      <c r="Q32" s="1523" t="n"/>
      <c r="R32" s="1523" t="n"/>
      <c r="S32" s="1523" t="n"/>
    </row>
    <row r="33">
      <c r="E33" s="1233" t="inlineStr">
        <is>
          <t>*</t>
        </is>
      </c>
      <c r="F33" s="1145" t="n"/>
      <c r="H33" s="1560" t="inlineStr">
        <is>
          <t>Information Currency</t>
        </is>
      </c>
      <c r="I33" s="1541" t="inlineStr">
        <is>
          <t>Please select the currency of the financial information you will provide.</t>
        </is>
      </c>
      <c r="J33" s="1542" t="n"/>
      <c r="K33" s="1542" t="n"/>
      <c r="L33" s="1542" t="n"/>
      <c r="M33" s="1542" t="n"/>
      <c r="N33" s="1530" t="inlineStr">
        <is>
          <t>USD</t>
        </is>
      </c>
      <c r="O33" s="1545" t="n"/>
      <c r="P33" s="1542" t="n"/>
      <c r="Q33" s="1549" t="n"/>
      <c r="S33" s="1506" t="n"/>
    </row>
    <row r="34">
      <c r="E34" s="1233" t="inlineStr">
        <is>
          <t>*</t>
        </is>
      </c>
      <c r="F34" s="1145" t="n"/>
      <c r="H34" s="1560" t="inlineStr">
        <is>
          <t>Presentation Currency</t>
        </is>
      </c>
      <c r="I34" s="1541" t="inlineStr">
        <is>
          <t>Please select the currency in which you wish to process the valuation.</t>
        </is>
      </c>
      <c r="J34" s="1542" t="n"/>
      <c r="K34" s="1542" t="n"/>
      <c r="L34" s="1542" t="n"/>
      <c r="M34" s="1542" t="n"/>
      <c r="N34" s="1530" t="inlineStr">
        <is>
          <t>AED</t>
        </is>
      </c>
      <c r="O34" s="1545" t="n"/>
      <c r="P34" s="1542" t="n"/>
      <c r="Q34" s="1549" t="n"/>
      <c r="S34" s="1506" t="n"/>
    </row>
    <row r="35" ht="82.5" customHeight="1">
      <c r="E35" s="1233" t="inlineStr">
        <is>
          <t>*</t>
        </is>
      </c>
      <c r="F35" s="1145" t="n"/>
      <c r="H35" s="1560" t="inlineStr">
        <is>
          <t>Currency Denomination (Units)</t>
        </is>
      </c>
      <c r="I35" s="1541" t="inlineStr">
        <is>
          <t>Please select the unit of currency (eg: "USD million" or "AED 000s"), in which you would like us to generate the analysis. 
To ensure clean, legible outputs, it is best to avoid unit metrics unless the business financials are within 4 digits.</t>
        </is>
      </c>
      <c r="J35" s="1542" t="inlineStr">
        <is>
          <t xml:space="preserve">If "Units" Selected, add grey text next to the answer box "Eg: 200,000 will appear as "200,000"". If "000s" Selected, add grey text next to the answer box "Eg: 200,000 will appear as "200K". If "Mn" Selected, add grey text next to the answer box "Eg: 200,000 will appear as "0.2 Mn"". </t>
        </is>
      </c>
      <c r="K35" s="1542" t="n"/>
      <c r="L35" s="1542" t="n"/>
      <c r="M35" s="1542" t="n"/>
      <c r="N35" s="1301" t="inlineStr">
        <is>
          <t>Units</t>
        </is>
      </c>
      <c r="O35" s="1545" t="n"/>
      <c r="P35" s="1542" t="n"/>
      <c r="Q35" s="1561" t="n"/>
      <c r="R35" s="1562" t="n"/>
      <c r="S35" s="1563" t="n"/>
    </row>
    <row r="36">
      <c r="E36" s="1233" t="inlineStr">
        <is>
          <t>*</t>
        </is>
      </c>
      <c r="F36" s="1145" t="n"/>
      <c r="S36" s="1506" t="n"/>
    </row>
    <row r="37">
      <c r="E37" s="1233" t="inlineStr">
        <is>
          <t>*</t>
        </is>
      </c>
      <c r="F37" s="1145" t="n"/>
      <c r="G37" s="1867">
        <f>G32+0.1</f>
        <v/>
      </c>
      <c r="H37" s="1519" t="inlineStr">
        <is>
          <t>Business Information</t>
        </is>
      </c>
      <c r="I37" s="1520" t="n"/>
      <c r="J37" s="1521" t="n"/>
      <c r="K37" s="1521" t="n"/>
      <c r="L37" s="1521" t="n"/>
      <c r="M37" s="1521" t="n"/>
      <c r="N37" s="1521" t="n"/>
      <c r="O37" s="1522" t="n"/>
      <c r="P37" s="1521" t="n"/>
      <c r="Q37" s="1523" t="n"/>
      <c r="R37" s="1523" t="n"/>
      <c r="S37" s="1523" t="n"/>
    </row>
    <row r="38" ht="66" customHeight="1">
      <c r="E38" s="1233" t="inlineStr">
        <is>
          <t>*</t>
        </is>
      </c>
      <c r="F38" s="1145" t="n"/>
      <c r="H38" s="1560" t="inlineStr">
        <is>
          <t>Average Annual Revenue</t>
        </is>
      </c>
      <c r="I38" s="1541" t="inlineStr">
        <is>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is>
      </c>
      <c r="J38" s="1542" t="n"/>
      <c r="K38" s="1542" t="n"/>
      <c r="L38" s="1542" t="n"/>
      <c r="M38" s="1542" t="n"/>
      <c r="N38" s="1870" t="n">
        <v>50000</v>
      </c>
      <c r="O38" s="1545" t="n"/>
      <c r="P38" s="1542" t="n"/>
      <c r="Q38" s="1549" t="n"/>
      <c r="S38" s="1506" t="n"/>
    </row>
    <row r="39">
      <c r="E39" s="1233" t="inlineStr">
        <is>
          <t>*</t>
        </is>
      </c>
      <c r="F39" s="1145" t="n"/>
      <c r="H39" s="1560" t="inlineStr">
        <is>
          <t>Industry - Primary Business</t>
        </is>
      </c>
      <c r="I39" s="1541" t="inlineStr">
        <is>
          <t>Select the most relevant industry for the company's primary business operations (main business).</t>
        </is>
      </c>
      <c r="J39" s="1560" t="inlineStr">
        <is>
          <t>List Capital IQ industries/Ashwath Damodaran beta industries</t>
        </is>
      </c>
      <c r="K39" s="1560" t="n"/>
      <c r="L39" s="1560" t="n"/>
      <c r="M39" s="1542" t="n"/>
      <c r="N39" s="1871" t="inlineStr">
        <is>
          <t>Electrical Equipment</t>
        </is>
      </c>
      <c r="O39" s="1545" t="n"/>
      <c r="P39" s="1542" t="n"/>
      <c r="Q39" s="1564" t="n"/>
      <c r="S39" s="1506" t="n"/>
    </row>
    <row r="40">
      <c r="E40" s="1233" t="inlineStr">
        <is>
          <t>*</t>
        </is>
      </c>
      <c r="F40" s="1145" t="n"/>
      <c r="H40" s="1560" t="inlineStr">
        <is>
          <t>Sub-industry - Primary Business</t>
        </is>
      </c>
      <c r="I40" s="1541" t="inlineStr">
        <is>
          <t>If relevant, specify a sub-industry for your primary business.</t>
        </is>
      </c>
      <c r="J40" s="1560" t="n"/>
      <c r="K40" s="1560" t="n"/>
      <c r="L40" s="1560" t="n"/>
      <c r="M40" s="1542" t="n"/>
      <c r="N40" s="1871" t="inlineStr">
        <is>
          <t>Project Lighting</t>
        </is>
      </c>
      <c r="O40" s="1545" t="n"/>
      <c r="P40" s="1542" t="n"/>
      <c r="Q40" s="1564" t="n"/>
      <c r="S40" s="1506" t="n"/>
    </row>
    <row r="41" ht="33" customHeight="1">
      <c r="E41" s="1233" t="inlineStr">
        <is>
          <t>*</t>
        </is>
      </c>
      <c r="F41" s="1145" t="n"/>
      <c r="H41" s="1560" t="inlineStr">
        <is>
          <t>Nature of Primary Business</t>
        </is>
      </c>
      <c r="I41" s="1541" t="inlineStr">
        <is>
          <t xml:space="preserve">Please select one or more from the below that most accurately describe the nature of your business(es): </t>
        </is>
      </c>
      <c r="J41" s="1542" t="n"/>
      <c r="K41" s="1542" t="n"/>
      <c r="L41" s="1542" t="n"/>
      <c r="M41" s="1542" t="n"/>
      <c r="N41" s="1530" t="inlineStr">
        <is>
          <t>Service Provider</t>
        </is>
      </c>
      <c r="O41" s="1545" t="n"/>
      <c r="P41" s="1542" t="n"/>
      <c r="Q41" s="1549" t="n"/>
      <c r="S41" s="1506" t="n"/>
    </row>
    <row r="42" ht="68" customHeight="1">
      <c r="E42" s="1233" t="inlineStr">
        <is>
          <t>*</t>
        </is>
      </c>
      <c r="F42" s="1145" t="n"/>
      <c r="H42" s="1560" t="inlineStr">
        <is>
          <t>Primary Business description (key words)</t>
        </is>
      </c>
      <c r="I42" s="1541" t="inlineStr">
        <is>
          <t>Please mention 3-5 key words that describe the exact nature of the business within the industry. These key words will be used to screen the most relevant comparable companies in the market for benchmarking analysis. For example, to describe Tesla Motors, you would say - "B2C" "electric vehicle", "car manufacturer".</t>
        </is>
      </c>
      <c r="J42" s="1542" t="n"/>
      <c r="K42" s="1542" t="n"/>
      <c r="L42" s="1542" t="n"/>
      <c r="M42" s="1542" t="n"/>
      <c r="N42" s="1530" t="inlineStr">
        <is>
          <t xml:space="preserve">project lighting manufacturer for B2B </t>
        </is>
      </c>
      <c r="O42" s="1545" t="n"/>
      <c r="P42" s="1542" t="n"/>
      <c r="Q42" s="1565" t="n"/>
      <c r="R42" s="1552" t="inlineStr">
        <is>
          <t>Add shared services option (Hazel-Lazure cost sharing)
Add note that this is not a pitch but a business classification</t>
        </is>
      </c>
      <c r="S42" s="1506" t="n"/>
    </row>
    <row r="43">
      <c r="E43" s="1233" t="inlineStr">
        <is>
          <t>*</t>
        </is>
      </c>
      <c r="F43" s="1145" t="n"/>
      <c r="H43" s="1560" t="inlineStr">
        <is>
          <t>Main operating region - Primary</t>
        </is>
      </c>
      <c r="I43" s="1541" t="inlineStr">
        <is>
          <t>Please select the main operating region for the business.</t>
        </is>
      </c>
      <c r="J43" s="1542" t="n"/>
      <c r="K43" s="1542" t="n"/>
      <c r="L43" s="1542" t="n"/>
      <c r="M43" s="1542" t="n"/>
      <c r="N43" s="1530" t="inlineStr">
        <is>
          <t>India</t>
        </is>
      </c>
      <c r="O43" s="1545" t="n"/>
      <c r="P43" s="1542" t="n"/>
      <c r="Q43" s="1565" t="n"/>
      <c r="S43" s="1506" t="n"/>
    </row>
    <row r="44" ht="33.5" customHeight="1" thickBot="1">
      <c r="E44" s="1233" t="inlineStr">
        <is>
          <t>*</t>
        </is>
      </c>
      <c r="F44" s="1145" t="n"/>
      <c r="H44" s="1795" t="inlineStr">
        <is>
          <t>Other operating regions - Primary</t>
        </is>
      </c>
      <c r="I44" s="1566" t="inlineStr">
        <is>
          <t>Please select up to 3 other operating regions for the business, if relevant. If so, enter approximate revenue contribution from each added region.</t>
        </is>
      </c>
      <c r="J44" s="1567" t="n"/>
      <c r="K44" s="1567" t="n"/>
      <c r="L44" s="1567" t="n"/>
      <c r="M44" s="1567" t="n"/>
      <c r="N44" s="1530" t="inlineStr">
        <is>
          <t>United Arab Emirates</t>
        </is>
      </c>
      <c r="O44" s="1568" t="inlineStr">
        <is>
          <t>Allow upto 3 input options for geographies and respective "Average revenue contribution"</t>
        </is>
      </c>
      <c r="P44" s="1569" t="n"/>
      <c r="Q44" s="1570" t="n"/>
      <c r="S44" s="1506" t="n"/>
    </row>
    <row r="45">
      <c r="E45" s="1233" t="inlineStr">
        <is>
          <t>*</t>
        </is>
      </c>
      <c r="F45" s="1145" t="n"/>
      <c r="H45" s="1500" t="n"/>
      <c r="I45" s="1500" t="n"/>
      <c r="O45" s="1500" t="n"/>
      <c r="Q45" s="1500" t="n"/>
    </row>
    <row r="46" ht="33" customHeight="1">
      <c r="E46" s="1233" t="inlineStr">
        <is>
          <t>*</t>
        </is>
      </c>
      <c r="F46" s="1145" t="n"/>
      <c r="H46" s="1560" t="inlineStr">
        <is>
          <t>Secondary Business Check</t>
        </is>
      </c>
      <c r="I46" s="1541" t="inlineStr">
        <is>
          <t>Does the business currently have(or intend to venture into) an alternative business line? If yes, answer the below 3 questions.</t>
        </is>
      </c>
      <c r="J46" s="1542" t="n"/>
      <c r="K46" s="1542" t="n"/>
      <c r="L46" s="1542" t="n"/>
      <c r="M46" s="1542" t="n"/>
      <c r="N46" s="1530" t="inlineStr">
        <is>
          <t>Yes</t>
        </is>
      </c>
      <c r="O46" s="1571" t="n"/>
      <c r="P46" s="1542" t="n"/>
      <c r="Q46" s="1549" t="n"/>
      <c r="S46" s="1506" t="n"/>
    </row>
    <row r="47">
      <c r="E47" s="1233" t="inlineStr">
        <is>
          <t>*</t>
        </is>
      </c>
      <c r="F47" s="1145" t="n"/>
      <c r="H47" s="1560" t="inlineStr">
        <is>
          <t>Industry - Secondary Business</t>
        </is>
      </c>
      <c r="I47" s="1541" t="inlineStr">
        <is>
          <t>Select the most relevant industry for the company's secondary business operations</t>
        </is>
      </c>
      <c r="J47" s="1560" t="inlineStr">
        <is>
          <t>If "No" for row 52 question, then grey out this question</t>
        </is>
      </c>
      <c r="K47" s="1560" t="inlineStr">
        <is>
          <t>List Capital IQ industries/Ashwath Damodaran beta industries</t>
        </is>
      </c>
      <c r="L47" s="1560" t="n"/>
      <c r="M47" s="1542" t="n"/>
      <c r="N47" s="1871" t="inlineStr">
        <is>
          <t>Electrical Equipment</t>
        </is>
      </c>
      <c r="O47" s="1545" t="n"/>
      <c r="P47" s="1542" t="n"/>
      <c r="Q47" s="1565" t="n"/>
      <c r="S47" s="1506" t="n"/>
    </row>
    <row r="48">
      <c r="E48" s="1233" t="inlineStr">
        <is>
          <t>*</t>
        </is>
      </c>
      <c r="F48" s="1145" t="n"/>
      <c r="H48" s="1560" t="inlineStr">
        <is>
          <t>Sub-industry - Secondary Business</t>
        </is>
      </c>
      <c r="I48" s="1541" t="inlineStr">
        <is>
          <t>If relevant, specify a sub-industry for your secondary business.</t>
        </is>
      </c>
      <c r="J48" s="1560" t="inlineStr">
        <is>
          <t>If "No" for row 52 question, then grey out this question</t>
        </is>
      </c>
      <c r="K48" s="1560" t="n"/>
      <c r="L48" s="1560" t="n"/>
      <c r="M48" s="1542" t="n"/>
      <c r="N48" s="1871" t="inlineStr">
        <is>
          <t>Lighting products</t>
        </is>
      </c>
      <c r="O48" s="1545" t="n"/>
      <c r="P48" s="1542" t="n"/>
      <c r="Q48" s="1564" t="n"/>
      <c r="S48" s="1506" t="n"/>
    </row>
    <row r="49" ht="33" customHeight="1">
      <c r="E49" s="1233" t="inlineStr">
        <is>
          <t>*</t>
        </is>
      </c>
      <c r="F49" s="1145" t="n"/>
      <c r="H49" s="1560" t="inlineStr">
        <is>
          <t>Nature of Secondary Business</t>
        </is>
      </c>
      <c r="I49" s="1541" t="inlineStr">
        <is>
          <t>Please select one or more from the below that most accurately describe the nature of your secondary business(es):</t>
        </is>
      </c>
      <c r="J49" s="1560" t="inlineStr">
        <is>
          <t>If "No" for row 52 question, then grey out this question</t>
        </is>
      </c>
      <c r="K49" s="1542" t="n"/>
      <c r="L49" s="1542" t="n"/>
      <c r="M49" s="1542" t="n"/>
      <c r="N49" s="1530" t="inlineStr">
        <is>
          <t>Distributor</t>
        </is>
      </c>
      <c r="O49" s="1545" t="n"/>
      <c r="P49" s="1542" t="n"/>
      <c r="Q49" s="1549" t="n"/>
      <c r="S49" s="1506" t="n"/>
    </row>
    <row r="50" ht="68" customHeight="1">
      <c r="E50" s="1233" t="inlineStr">
        <is>
          <t>*</t>
        </is>
      </c>
      <c r="F50" s="1145" t="n"/>
      <c r="H50" s="1560" t="inlineStr">
        <is>
          <t>Secondary Business description (key words)</t>
        </is>
      </c>
      <c r="I50" s="1541" t="inlineStr">
        <is>
          <t>Please mention 3-5 key words that describe the exact nature of the secondary business within the industry. These key words will be used to screen the most relevant comparable companies in the market for benchmarking analysis. For example, to describe Tesla Motors, you would say- "B2C" "electric vehicle", "car manufacturer".</t>
        </is>
      </c>
      <c r="J50" s="1560" t="inlineStr">
        <is>
          <t>If "No" for row 52 question, then grey out this question</t>
        </is>
      </c>
      <c r="K50" s="1542" t="n"/>
      <c r="L50" s="1542" t="n"/>
      <c r="M50" s="1542" t="n"/>
      <c r="N50" s="1530" t="inlineStr">
        <is>
          <t>Lighting product distribution to project specifiers</t>
        </is>
      </c>
      <c r="O50" s="1545" t="n"/>
      <c r="P50" s="1542" t="n"/>
      <c r="Q50" s="1549" t="n"/>
      <c r="S50" s="1506" t="n"/>
    </row>
    <row r="51">
      <c r="E51" s="1233" t="inlineStr">
        <is>
          <t>*</t>
        </is>
      </c>
      <c r="F51" s="1145" t="n"/>
      <c r="H51" s="1560" t="inlineStr">
        <is>
          <t>Main Operating regions - Secondary</t>
        </is>
      </c>
      <c r="I51" s="1541" t="inlineStr">
        <is>
          <t>Please select the main operating region for the secondary business.</t>
        </is>
      </c>
      <c r="J51" s="1560" t="inlineStr">
        <is>
          <t>If "No" for row 52 question, then grey out this question</t>
        </is>
      </c>
      <c r="K51" s="1542" t="n"/>
      <c r="L51" s="1542" t="n"/>
      <c r="M51" s="1542" t="n"/>
      <c r="N51" s="1530" t="inlineStr">
        <is>
          <t>India</t>
        </is>
      </c>
      <c r="O51" s="1545" t="n"/>
      <c r="P51" s="1542" t="n"/>
      <c r="Q51" s="1565" t="n"/>
      <c r="S51" s="1506" t="n"/>
    </row>
    <row r="52" ht="33.5" customHeight="1" thickBot="1">
      <c r="E52" s="1233" t="inlineStr">
        <is>
          <t>*</t>
        </is>
      </c>
      <c r="F52" s="1145" t="n"/>
      <c r="H52" s="1795" t="inlineStr">
        <is>
          <t>Other operating regions - Secondary</t>
        </is>
      </c>
      <c r="I52" s="1566" t="inlineStr">
        <is>
          <t>Please select up to 3 other operating regions for the secondary business, if relevant. If so, enter approximate revenue contribution from each added region.</t>
        </is>
      </c>
      <c r="J52" s="1567" t="inlineStr">
        <is>
          <t>If "No" for row 52 question, then grey out this question</t>
        </is>
      </c>
      <c r="K52" s="1567" t="n"/>
      <c r="L52" s="1567" t="n"/>
      <c r="M52" s="1567" t="n"/>
      <c r="N52" s="1530" t="inlineStr">
        <is>
          <t>United Arab Emirates</t>
        </is>
      </c>
      <c r="O52" s="1568" t="inlineStr">
        <is>
          <t>Allow upto 3 input options for geographies and respective "Average revenue contribution"</t>
        </is>
      </c>
      <c r="P52" s="1569" t="n"/>
      <c r="Q52" s="1570" t="n"/>
      <c r="S52" s="1506" t="n"/>
    </row>
    <row r="53">
      <c r="E53" s="1233" t="inlineStr">
        <is>
          <t>*</t>
        </is>
      </c>
      <c r="F53" s="1145" t="n"/>
      <c r="H53" s="1793" t="inlineStr">
        <is>
          <t>Revenue contribution - Secondary Business</t>
        </is>
      </c>
      <c r="I53" s="1534" t="inlineStr">
        <is>
          <t>Please estimate the avearge revenue contribution from secondary business (in %)</t>
        </is>
      </c>
      <c r="J53" s="1533" t="n"/>
      <c r="K53" s="1533" t="n"/>
      <c r="L53" s="1533" t="n"/>
      <c r="M53" s="1533" t="n"/>
      <c r="N53" s="1572" t="n">
        <v>0.3</v>
      </c>
      <c r="O53" s="1573" t="n"/>
      <c r="Q53" s="1574" t="n"/>
      <c r="S53" s="1506" t="n"/>
    </row>
    <row r="54">
      <c r="E54" s="1233" t="inlineStr">
        <is>
          <t>*</t>
        </is>
      </c>
      <c r="F54" s="1145" t="n"/>
      <c r="H54" s="1500" t="n"/>
      <c r="I54" s="1500" t="n"/>
      <c r="O54" s="1500" t="n"/>
      <c r="Q54" s="1500" t="n"/>
    </row>
    <row r="55">
      <c r="E55" s="1233" t="inlineStr">
        <is>
          <t>*</t>
        </is>
      </c>
      <c r="F55" s="1145" t="n"/>
      <c r="G55" s="1867">
        <f>G37+0.1</f>
        <v/>
      </c>
      <c r="H55" s="1589" t="inlineStr">
        <is>
          <t>Historical Data</t>
        </is>
      </c>
      <c r="I55" s="1520" t="n"/>
      <c r="J55" s="1521" t="n"/>
      <c r="K55" s="1521" t="n"/>
      <c r="L55" s="1521" t="n"/>
      <c r="M55" s="1521" t="n"/>
      <c r="N55" s="1521" t="n"/>
      <c r="O55" s="1522" t="n"/>
      <c r="P55" s="1521" t="n"/>
      <c r="Q55" s="1523" t="n"/>
      <c r="R55" s="1575" t="n"/>
      <c r="S55" s="1523" t="n"/>
    </row>
    <row r="56">
      <c r="E56" s="1233" t="inlineStr">
        <is>
          <t>*</t>
        </is>
      </c>
      <c r="F56" s="1145" t="n"/>
      <c r="H56" s="1560" t="inlineStr">
        <is>
          <t>Existing Business check</t>
        </is>
      </c>
      <c r="I56" s="1541" t="inlineStr">
        <is>
          <t>Does the company have operating and financial history?</t>
        </is>
      </c>
      <c r="J56" s="1542" t="n"/>
      <c r="K56" s="1542" t="n"/>
      <c r="L56" s="1542" t="n"/>
      <c r="M56" s="1542" t="n"/>
      <c r="N56" s="1530" t="inlineStr">
        <is>
          <t>Yes</t>
        </is>
      </c>
      <c r="O56" s="1545" t="inlineStr">
        <is>
          <t>Yes/No</t>
        </is>
      </c>
      <c r="P56" s="1542" t="n"/>
      <c r="Q56" s="1549" t="n"/>
      <c r="R56" s="1552" t="n"/>
      <c r="S56" s="1506" t="n"/>
    </row>
    <row r="57" ht="66" customHeight="1">
      <c r="E57" s="1233" t="inlineStr">
        <is>
          <t>*</t>
        </is>
      </c>
      <c r="F57" s="1145" t="n"/>
      <c r="H57" s="1560" t="inlineStr">
        <is>
          <t>Historical Financial Information</t>
        </is>
      </c>
      <c r="I57" s="1541" t="inlineStr">
        <is>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is>
      </c>
      <c r="J57" s="1542" t="inlineStr">
        <is>
          <t>Add upload button for Hist.Fin template</t>
        </is>
      </c>
      <c r="K57" s="1542" t="n"/>
      <c r="L57" s="1542" t="n"/>
      <c r="M57" s="1542" t="n"/>
      <c r="N57" s="1542" t="n"/>
      <c r="O57" s="1545" t="n"/>
      <c r="P57" s="1542" t="n"/>
      <c r="Q57" s="1549" t="n"/>
      <c r="R57" s="1552" t="n"/>
      <c r="S57" s="1506" t="n"/>
    </row>
    <row r="58">
      <c r="E58" s="1233" t="inlineStr">
        <is>
          <t>*</t>
        </is>
      </c>
      <c r="F58" s="1145" t="n"/>
      <c r="R58" s="1552" t="n"/>
      <c r="S58" s="1506" t="n"/>
    </row>
    <row r="59">
      <c r="E59" s="1233" t="inlineStr">
        <is>
          <t>*</t>
        </is>
      </c>
      <c r="F59" s="1513">
        <f>F11+1</f>
        <v/>
      </c>
      <c r="G59" s="1515" t="n"/>
      <c r="H59" s="1513" t="inlineStr">
        <is>
          <t>Revenue</t>
        </is>
      </c>
      <c r="I59" s="1515" t="n"/>
      <c r="J59" s="1514" t="n"/>
      <c r="K59" s="1514" t="n"/>
      <c r="L59" s="1514" t="n"/>
      <c r="M59" s="1514" t="n"/>
      <c r="N59" s="1514" t="n"/>
      <c r="O59" s="1516" t="n"/>
      <c r="P59" s="1514" t="n"/>
      <c r="Q59" s="1517" t="n"/>
      <c r="R59" s="1576" t="n"/>
      <c r="S59" s="1517" t="n"/>
    </row>
    <row r="60" ht="115.5" customHeight="1">
      <c r="E60" s="1233" t="inlineStr">
        <is>
          <t>*</t>
        </is>
      </c>
      <c r="F60" s="1145" t="n"/>
      <c r="G60" s="1868" t="n"/>
      <c r="H60" s="1791" t="inlineStr">
        <is>
          <t>Introduction</t>
        </is>
      </c>
      <c r="I60" s="1525" t="inlineStr">
        <is>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is>
      </c>
      <c r="J60" s="1542" t="inlineStr">
        <is>
          <t>Add upload button for forecast template</t>
        </is>
      </c>
      <c r="K60" s="1525" t="n"/>
      <c r="L60" s="1525" t="n"/>
      <c r="M60" s="1525" t="n"/>
      <c r="N60" s="1525" t="n"/>
      <c r="O60" s="1525" t="n"/>
      <c r="P60" s="1525" t="n"/>
      <c r="Q60" s="1525" t="n"/>
      <c r="R60" s="1577" t="n"/>
      <c r="S60" s="1822" t="n"/>
    </row>
    <row r="61">
      <c r="E61" s="1233" t="inlineStr">
        <is>
          <t>*</t>
        </is>
      </c>
      <c r="F61" s="1145" t="n"/>
      <c r="G61" s="1868" t="n"/>
      <c r="I61" s="1578" t="n"/>
      <c r="J61" s="1579" t="n"/>
      <c r="K61" s="1579" t="n"/>
      <c r="L61" s="1579" t="n"/>
      <c r="M61" s="1580" t="n"/>
      <c r="N61" s="1580" t="n"/>
      <c r="O61" s="1581" t="n"/>
      <c r="P61" s="1580" t="n"/>
      <c r="Q61" s="1580" t="n"/>
      <c r="R61" s="1582" t="n"/>
      <c r="S61" s="1580" t="n"/>
    </row>
    <row r="62" ht="132" customHeight="1">
      <c r="E62" s="1233" t="inlineStr">
        <is>
          <t>*</t>
        </is>
      </c>
      <c r="F62" s="1145" t="n"/>
      <c r="G62" s="1583" t="inlineStr">
        <is>
          <t>Existing Revenues</t>
        </is>
      </c>
      <c r="I62" s="1584" t="inlineStr">
        <is>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is>
      </c>
      <c r="J62" s="1499" t="n"/>
      <c r="K62" s="1499" t="n"/>
      <c r="L62" s="1499" t="n"/>
      <c r="Q62" s="1532" t="n"/>
      <c r="R62" s="1552" t="n"/>
      <c r="S62" s="1506" t="n"/>
    </row>
    <row r="63">
      <c r="E63" s="1233" t="inlineStr">
        <is>
          <t>*</t>
        </is>
      </c>
      <c r="F63" s="1145" t="n"/>
      <c r="G63" s="1583" t="n"/>
      <c r="I63" s="1584" t="inlineStr">
        <is>
          <t>Select your revenue categorization style.</t>
        </is>
      </c>
      <c r="J63" s="1499" t="n"/>
      <c r="K63" s="1499" t="n"/>
      <c r="L63" s="1499" t="n"/>
      <c r="N63" s="1585" t="inlineStr">
        <is>
          <t>Product/Service</t>
        </is>
      </c>
      <c r="Q63" s="1532" t="n"/>
      <c r="R63" s="1552" t="n"/>
      <c r="S63" s="1506" t="n"/>
    </row>
    <row r="64">
      <c r="E64" s="1233" t="inlineStr">
        <is>
          <t>*</t>
        </is>
      </c>
      <c r="F64" s="1145" t="n"/>
      <c r="G64" s="1583" t="n"/>
      <c r="I64" s="1584" t="n"/>
      <c r="J64" s="1499" t="n"/>
      <c r="K64" s="1499" t="n"/>
      <c r="L64" s="1499" t="n"/>
      <c r="Q64" s="1532" t="n"/>
      <c r="R64" s="1552" t="n"/>
      <c r="S64" s="1506" t="n"/>
    </row>
    <row r="65" ht="33" customHeight="1">
      <c r="E65" s="1233" t="inlineStr">
        <is>
          <t>*</t>
        </is>
      </c>
      <c r="F65" s="1145" t="n"/>
      <c r="H65" s="1499" t="inlineStr">
        <is>
          <t>Existing Stream 1</t>
        </is>
      </c>
      <c r="N65" s="1538" t="inlineStr">
        <is>
          <t>Residential lighting</t>
        </is>
      </c>
      <c r="R65" s="1506" t="inlineStr">
        <is>
          <t xml:space="preserve">If subscription services, do not classify by clients but rather any different servic elines </t>
        </is>
      </c>
    </row>
    <row r="66">
      <c r="E66" s="1233" t="inlineStr">
        <is>
          <t>*</t>
        </is>
      </c>
      <c r="F66" s="1145" t="n"/>
      <c r="H66" s="1499" t="inlineStr">
        <is>
          <t>Existing Stream 2</t>
        </is>
      </c>
      <c r="N66" s="1538" t="inlineStr">
        <is>
          <t>Hotels &amp; Hospitals</t>
        </is>
      </c>
      <c r="R66" s="1552" t="n"/>
      <c r="S66" s="1506" t="n"/>
    </row>
    <row r="67">
      <c r="E67" s="1233" t="inlineStr">
        <is>
          <t>*</t>
        </is>
      </c>
      <c r="F67" s="1145" t="n"/>
      <c r="H67" s="1499" t="inlineStr">
        <is>
          <t>Existing Stream 3</t>
        </is>
      </c>
      <c r="N67" s="1538" t="inlineStr">
        <is>
          <t>Government &amp; Infrastructure</t>
        </is>
      </c>
      <c r="R67" s="1552" t="n"/>
      <c r="S67" s="1506" t="n"/>
    </row>
    <row r="68">
      <c r="E68" s="1233" t="inlineStr">
        <is>
          <t>*</t>
        </is>
      </c>
      <c r="F68" s="1145" t="n"/>
      <c r="G68" s="1542" t="n"/>
      <c r="H68" s="1560" t="inlineStr">
        <is>
          <t>Existing Stream 4</t>
        </is>
      </c>
      <c r="I68" s="1541" t="n"/>
      <c r="J68" s="1542" t="n"/>
      <c r="K68" s="1542" t="n"/>
      <c r="L68" s="1542" t="n"/>
      <c r="M68" s="1542" t="n"/>
      <c r="N68" s="1530" t="inlineStr">
        <is>
          <t>Distributorship</t>
        </is>
      </c>
      <c r="O68" s="1545" t="n"/>
      <c r="P68" s="1542" t="n"/>
      <c r="Q68" s="1549" t="n"/>
      <c r="R68" s="1552" t="n"/>
      <c r="S68" s="1506" t="n"/>
    </row>
    <row r="69">
      <c r="E69" s="1233" t="inlineStr">
        <is>
          <t>*</t>
        </is>
      </c>
      <c r="F69" s="1145" t="n"/>
      <c r="R69" s="1552" t="n"/>
      <c r="S69" s="1506" t="n"/>
    </row>
    <row r="70" ht="82.5" customHeight="1">
      <c r="E70" s="1233" t="inlineStr">
        <is>
          <t>*</t>
        </is>
      </c>
      <c r="F70" s="1145" t="n"/>
      <c r="G70" s="1583" t="inlineStr">
        <is>
          <t>Pipeline Revenues</t>
        </is>
      </c>
      <c r="I70" s="1506" t="inlineStr">
        <is>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is>
      </c>
      <c r="J70" s="1500" t="inlineStr">
        <is>
          <t>(if No, populate 0 &amp; skip)</t>
        </is>
      </c>
      <c r="N70" s="1538" t="inlineStr">
        <is>
          <t>Yes</t>
        </is>
      </c>
      <c r="O70" s="1503" t="inlineStr">
        <is>
          <t>Yes/No</t>
        </is>
      </c>
      <c r="R70" s="1552" t="inlineStr">
        <is>
          <t>Add prompts to align existing, pipeline and potential revenues</t>
        </is>
      </c>
      <c r="S70" s="1506" t="n"/>
    </row>
    <row r="71">
      <c r="E71" s="1233" t="inlineStr">
        <is>
          <t>*</t>
        </is>
      </c>
      <c r="F71" s="1145" t="n"/>
      <c r="G71" s="1583" t="n"/>
      <c r="I71" s="1506" t="n"/>
      <c r="R71" s="1552" t="n"/>
      <c r="S71" s="1506" t="n"/>
    </row>
    <row r="72">
      <c r="E72" s="1233" t="inlineStr">
        <is>
          <t>*</t>
        </is>
      </c>
      <c r="F72" s="1145" t="n"/>
      <c r="G72" s="1583" t="n"/>
      <c r="I72" s="1506" t="n"/>
      <c r="R72" s="1552" t="n"/>
      <c r="S72" s="1506" t="n"/>
    </row>
    <row r="73">
      <c r="E73" s="1233" t="inlineStr">
        <is>
          <t>*</t>
        </is>
      </c>
      <c r="F73" s="1145" t="n"/>
      <c r="H73" s="1499" t="inlineStr">
        <is>
          <t>Pipeline Stream 1</t>
        </is>
      </c>
      <c r="N73" s="1538" t="inlineStr">
        <is>
          <t>UAE &amp; Oman projects</t>
        </is>
      </c>
      <c r="R73" s="1552" t="n"/>
      <c r="S73" s="1506" t="n"/>
    </row>
    <row r="74">
      <c r="E74" s="1233" t="inlineStr">
        <is>
          <t>*</t>
        </is>
      </c>
      <c r="F74" s="1145" t="n"/>
      <c r="H74" s="1499" t="inlineStr">
        <is>
          <t>Pipeline Stream 2</t>
        </is>
      </c>
      <c r="N74" s="1538" t="inlineStr">
        <is>
          <t>NA</t>
        </is>
      </c>
      <c r="R74" s="1552" t="n"/>
      <c r="S74" s="1506" t="n"/>
    </row>
    <row r="75">
      <c r="E75" s="1233" t="inlineStr">
        <is>
          <t>*</t>
        </is>
      </c>
      <c r="F75" s="1145" t="n"/>
      <c r="H75" s="1499" t="inlineStr">
        <is>
          <t>Pipeline Stream 3</t>
        </is>
      </c>
      <c r="N75" s="1538" t="inlineStr">
        <is>
          <t>NA</t>
        </is>
      </c>
      <c r="R75" s="1552" t="n"/>
      <c r="S75" s="1506" t="n"/>
    </row>
    <row r="76">
      <c r="E76" s="1233" t="inlineStr">
        <is>
          <t>*</t>
        </is>
      </c>
      <c r="F76" s="1145" t="n"/>
      <c r="G76" s="1542" t="n"/>
      <c r="H76" s="1560" t="inlineStr">
        <is>
          <t>Pipeline Stream 4</t>
        </is>
      </c>
      <c r="I76" s="1541" t="n"/>
      <c r="J76" s="1542" t="n"/>
      <c r="K76" s="1542" t="n"/>
      <c r="L76" s="1542" t="n"/>
      <c r="M76" s="1542" t="n"/>
      <c r="N76" s="1530" t="inlineStr">
        <is>
          <t>NA</t>
        </is>
      </c>
      <c r="O76" s="1545" t="n"/>
      <c r="P76" s="1542" t="n"/>
      <c r="Q76" s="1549" t="n"/>
      <c r="R76" s="1552" t="n"/>
      <c r="S76" s="1506" t="n"/>
    </row>
    <row r="77" ht="66" customHeight="1">
      <c r="E77" s="1233" t="inlineStr">
        <is>
          <t>*</t>
        </is>
      </c>
      <c r="F77" s="1145" t="n"/>
      <c r="R77" s="1552" t="inlineStr">
        <is>
          <t>If the pipeline revenues reflect a pivot or diversification pivot into a new business line, please return to Business Information section and add "Secondary Business" information.</t>
        </is>
      </c>
      <c r="S77" s="1506" t="n"/>
    </row>
    <row r="78" ht="99" customHeight="1">
      <c r="E78" s="1233" t="inlineStr">
        <is>
          <t>*</t>
        </is>
      </c>
      <c r="F78" s="1145" t="n"/>
      <c r="G78" s="1583" t="inlineStr">
        <is>
          <t>Potential Revenues</t>
        </is>
      </c>
      <c r="I78" s="1501" t="inlineStr">
        <is>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is>
      </c>
      <c r="J78" s="1500" t="inlineStr">
        <is>
          <t>(if No, populate 0 &amp; skip)</t>
        </is>
      </c>
      <c r="N78" s="1538" t="inlineStr">
        <is>
          <t>Yes</t>
        </is>
      </c>
      <c r="O78" s="1503" t="inlineStr">
        <is>
          <t>Yes/No</t>
        </is>
      </c>
      <c r="R78" s="1552" t="inlineStr">
        <is>
          <t>Add 5 years in question</t>
        </is>
      </c>
      <c r="S78" s="1506" t="n"/>
    </row>
    <row r="79">
      <c r="E79" s="1233" t="inlineStr">
        <is>
          <t>*</t>
        </is>
      </c>
      <c r="F79" s="1145" t="n"/>
      <c r="G79" s="1583" t="n"/>
      <c r="I79" s="1506" t="n"/>
      <c r="R79" s="1552" t="n"/>
      <c r="S79" s="1506" t="n"/>
    </row>
    <row r="80">
      <c r="E80" s="1233" t="inlineStr">
        <is>
          <t>*</t>
        </is>
      </c>
      <c r="F80" s="1145" t="n"/>
      <c r="G80" s="1583" t="n"/>
      <c r="I80" s="1506" t="n"/>
      <c r="R80" s="1552" t="n"/>
      <c r="S80" s="1506" t="n"/>
    </row>
    <row r="81">
      <c r="E81" s="1233" t="inlineStr">
        <is>
          <t>*</t>
        </is>
      </c>
      <c r="F81" s="1145" t="n"/>
      <c r="H81" s="1499" t="inlineStr">
        <is>
          <t>Potential Stream 1</t>
        </is>
      </c>
      <c r="N81" s="1538" t="inlineStr">
        <is>
          <t>Product contracts by specifiers</t>
        </is>
      </c>
      <c r="R81" s="1552" t="n"/>
      <c r="S81" s="1506" t="n"/>
    </row>
    <row r="82">
      <c r="E82" s="1233" t="inlineStr">
        <is>
          <t>*</t>
        </is>
      </c>
      <c r="F82" s="1145" t="n"/>
      <c r="H82" s="1499" t="inlineStr">
        <is>
          <t>Potential Stream 2</t>
        </is>
      </c>
      <c r="N82" s="1538" t="inlineStr">
        <is>
          <t>NA</t>
        </is>
      </c>
      <c r="R82" s="1552" t="n"/>
      <c r="S82" s="1506" t="n"/>
    </row>
    <row r="83">
      <c r="E83" s="1233" t="inlineStr">
        <is>
          <t>*</t>
        </is>
      </c>
      <c r="F83" s="1145" t="n"/>
      <c r="H83" s="1499" t="inlineStr">
        <is>
          <t>Potential Stream 3</t>
        </is>
      </c>
      <c r="N83" s="1538" t="inlineStr">
        <is>
          <t>NA</t>
        </is>
      </c>
      <c r="R83" s="1552" t="n"/>
      <c r="S83" s="1506" t="n"/>
    </row>
    <row r="84">
      <c r="E84" s="1233" t="inlineStr">
        <is>
          <t>*</t>
        </is>
      </c>
      <c r="F84" s="1145" t="n"/>
      <c r="H84" s="1499" t="inlineStr">
        <is>
          <t>Potential Stream 4</t>
        </is>
      </c>
      <c r="N84" s="1538" t="inlineStr">
        <is>
          <t>NA</t>
        </is>
      </c>
      <c r="R84" s="1552" t="n"/>
      <c r="S84" s="1506" t="n"/>
    </row>
    <row r="85" ht="49.5" customHeight="1">
      <c r="E85" s="1233" t="inlineStr">
        <is>
          <t>*</t>
        </is>
      </c>
      <c r="F85" s="1145" t="n"/>
      <c r="G85" s="1498" t="n"/>
      <c r="I85" s="1501" t="inlineStr">
        <is>
          <t>Since the potential revenues are uncertain, please share an expected probability of achieving these over next 5 years? If you are unsure about this, it is recommended to consider a 50%-50% probability of achievement.</t>
        </is>
      </c>
      <c r="N85" s="1538" t="n"/>
      <c r="R85" s="1552" t="inlineStr">
        <is>
          <t>Add note for zero if not in 5 years</t>
        </is>
      </c>
      <c r="S85" s="1506" t="n"/>
    </row>
    <row r="86">
      <c r="E86" s="1233" t="inlineStr">
        <is>
          <t>*</t>
        </is>
      </c>
      <c r="F86" s="1145" t="n"/>
      <c r="H86" s="1499" t="inlineStr">
        <is>
          <t>Probability for Potential Stream 1</t>
        </is>
      </c>
      <c r="N86" s="1586" t="n">
        <v>0.8</v>
      </c>
      <c r="O86" s="1503" t="inlineStr">
        <is>
          <t>%</t>
        </is>
      </c>
      <c r="R86" s="1552" t="n"/>
      <c r="S86" s="1506" t="n"/>
    </row>
    <row r="87">
      <c r="E87" s="1233" t="inlineStr">
        <is>
          <t>*</t>
        </is>
      </c>
      <c r="F87" s="1145" t="n"/>
      <c r="H87" s="1499" t="inlineStr">
        <is>
          <t>Probability for Potential Stream 2</t>
        </is>
      </c>
      <c r="N87" s="1586" t="n">
        <v>0</v>
      </c>
      <c r="O87" s="1503" t="inlineStr">
        <is>
          <t>%</t>
        </is>
      </c>
      <c r="R87" s="1552" t="n"/>
      <c r="S87" s="1506" t="n"/>
    </row>
    <row r="88">
      <c r="E88" s="1233" t="inlineStr">
        <is>
          <t>*</t>
        </is>
      </c>
      <c r="F88" s="1145" t="n"/>
      <c r="H88" s="1499" t="inlineStr">
        <is>
          <t>Probability for Potential Stream 3</t>
        </is>
      </c>
      <c r="N88" s="1586" t="n">
        <v>0</v>
      </c>
      <c r="O88" s="1503" t="inlineStr">
        <is>
          <t>%</t>
        </is>
      </c>
      <c r="R88" s="1552" t="n"/>
      <c r="S88" s="1506" t="n"/>
    </row>
    <row r="89">
      <c r="E89" s="1233" t="inlineStr">
        <is>
          <t>*</t>
        </is>
      </c>
      <c r="F89" s="1145" t="n"/>
      <c r="G89" s="1542" t="n"/>
      <c r="H89" s="1560" t="inlineStr">
        <is>
          <t>Probability for Potential Stream 4</t>
        </is>
      </c>
      <c r="I89" s="1541" t="n"/>
      <c r="J89" s="1542" t="n"/>
      <c r="K89" s="1542" t="n"/>
      <c r="L89" s="1542" t="n"/>
      <c r="M89" s="1542" t="n"/>
      <c r="N89" s="1587" t="n">
        <v>0</v>
      </c>
      <c r="O89" s="1545" t="inlineStr">
        <is>
          <t>%</t>
        </is>
      </c>
      <c r="P89" s="1542" t="n"/>
      <c r="Q89" s="1549" t="n"/>
      <c r="R89" s="1552" t="n"/>
      <c r="S89" s="1506" t="n"/>
    </row>
    <row r="90">
      <c r="E90" s="1233" t="inlineStr">
        <is>
          <t>*</t>
        </is>
      </c>
      <c r="F90" s="1145" t="n"/>
      <c r="R90" s="1552" t="n"/>
      <c r="S90" s="1506" t="n"/>
    </row>
    <row r="91" ht="132" customHeight="1">
      <c r="E91" s="1233" t="inlineStr">
        <is>
          <t>*</t>
        </is>
      </c>
      <c r="F91" s="1145" t="n"/>
      <c r="G91" s="1583" t="inlineStr">
        <is>
          <t>Data check</t>
        </is>
      </c>
      <c r="I91" s="1501" t="inlineStr">
        <is>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is>
      </c>
      <c r="J91" s="1500" t="inlineStr">
        <is>
          <t>Autofill: If answer is "Yes", populate all 3 green boxes below with "I have price &amp; volume data for existing business lines.", if no populate all 3 with "I DO NOT have price &amp; volume data for existing business.")</t>
        </is>
      </c>
      <c r="N91" s="1538" t="inlineStr">
        <is>
          <t>I have price &amp; volume data for some business lines</t>
        </is>
      </c>
      <c r="O91" s="1503" t="inlineStr">
        <is>
          <t>Yes/No</t>
        </is>
      </c>
      <c r="R91" s="1506" t="inlineStr">
        <is>
          <t>If the potential revenues reflect a pivot or diversification pivot into a new business line, please return to Business Information section and add "Secondary Business" information.</t>
        </is>
      </c>
    </row>
    <row r="92">
      <c r="E92" s="1233" t="inlineStr">
        <is>
          <t>*</t>
        </is>
      </c>
      <c r="F92" s="1145" t="n"/>
      <c r="G92" s="1583" t="n"/>
      <c r="J92" s="1500" t="inlineStr">
        <is>
          <t>Display the below hidden question only if above row answer is "I have price &amp; volume data for some business lines")</t>
        </is>
      </c>
      <c r="R92" s="1552" t="n"/>
      <c r="S92" s="1506" t="n"/>
    </row>
    <row r="93">
      <c r="E93" s="1233" t="inlineStr">
        <is>
          <t>*</t>
        </is>
      </c>
      <c r="F93" s="1145" t="n"/>
      <c r="G93" s="1498" t="inlineStr">
        <is>
          <t>Existing Business Revenues</t>
        </is>
      </c>
      <c r="H93" s="1500" t="n"/>
      <c r="J93" s="1500" t="inlineStr">
        <is>
          <t>Display the below hidden question only if above row answer is "I have price &amp; volume data for some business lines")</t>
        </is>
      </c>
      <c r="N93" s="1588" t="inlineStr">
        <is>
          <t>I DO NOT have price &amp; volume data for existing business.</t>
        </is>
      </c>
      <c r="R93" s="1552" t="n"/>
      <c r="S93" s="1506" t="n"/>
    </row>
    <row r="94">
      <c r="E94" s="1233" t="inlineStr">
        <is>
          <t>*</t>
        </is>
      </c>
      <c r="F94" s="1145" t="n"/>
      <c r="G94" s="1498" t="inlineStr">
        <is>
          <t>Pipeline Business Revenues</t>
        </is>
      </c>
      <c r="H94" s="1500" t="n"/>
      <c r="J94" s="1500" t="inlineStr">
        <is>
          <t>If answer is "I have price &amp; volume data for existing business.", display schedule AP from Column G reference, else display Schedule BP.</t>
        </is>
      </c>
      <c r="N94" s="1588" t="inlineStr">
        <is>
          <t>Select this Option - I have price &amp; volume data for pipeline business lines.</t>
        </is>
      </c>
      <c r="R94" s="1552" t="n"/>
      <c r="S94" s="1506" t="n"/>
    </row>
    <row r="95">
      <c r="E95" s="1233" t="inlineStr">
        <is>
          <t>*</t>
        </is>
      </c>
      <c r="F95" s="1145" t="n"/>
      <c r="G95" s="1498" t="inlineStr">
        <is>
          <t>Potential Business Revenues</t>
        </is>
      </c>
      <c r="H95" s="1500" t="n"/>
      <c r="J95" s="1500" t="inlineStr">
        <is>
          <t>If answer is "I have price &amp; volume data for existing business.", display schedule AF from Column G reference, else display Schedule BF.</t>
        </is>
      </c>
      <c r="N95" s="1588" t="inlineStr">
        <is>
          <t>I DO NOT have price &amp; volume data for potential business.</t>
        </is>
      </c>
      <c r="R95" s="1552" t="n"/>
      <c r="S95" s="1506" t="n"/>
    </row>
    <row r="96">
      <c r="E96" s="1233" t="inlineStr">
        <is>
          <t>*</t>
        </is>
      </c>
      <c r="F96" s="1145" t="n"/>
      <c r="G96" s="1583" t="n"/>
      <c r="R96" s="1552" t="n"/>
      <c r="S96" s="1506" t="n"/>
    </row>
    <row r="97">
      <c r="E97" s="1233" t="inlineStr">
        <is>
          <t>*</t>
        </is>
      </c>
      <c r="F97" s="1145" t="n"/>
      <c r="G97" s="1519" t="inlineStr">
        <is>
          <t>Schedule A - Price x Volume</t>
        </is>
      </c>
      <c r="H97" s="1519" t="n"/>
      <c r="I97" s="1540" t="n"/>
      <c r="J97" s="1589" t="n"/>
      <c r="K97" s="1590" t="inlineStr">
        <is>
          <t>YTD</t>
        </is>
      </c>
      <c r="L97" s="1589" t="inlineStr">
        <is>
          <t>Current Year</t>
        </is>
      </c>
      <c r="M97" s="1589" t="inlineStr">
        <is>
          <t>Year 1</t>
        </is>
      </c>
      <c r="N97" s="1589" t="inlineStr">
        <is>
          <t>Year 2</t>
        </is>
      </c>
      <c r="O97" s="1590" t="inlineStr">
        <is>
          <t>Year 3</t>
        </is>
      </c>
      <c r="P97" s="1589" t="inlineStr">
        <is>
          <t>Year 4</t>
        </is>
      </c>
      <c r="Q97" s="1589" t="inlineStr">
        <is>
          <t>Year 5</t>
        </is>
      </c>
      <c r="R97" s="1552" t="n"/>
    </row>
    <row r="98">
      <c r="E98" s="1233" t="inlineStr">
        <is>
          <t>*</t>
        </is>
      </c>
      <c r="F98" s="1145" t="n"/>
      <c r="G98" s="1583" t="n"/>
      <c r="H98" s="1583" t="n"/>
      <c r="I98" s="1527" t="n"/>
      <c r="J98" s="1498" t="n"/>
      <c r="K98" s="1498" t="n"/>
      <c r="L98" s="1498" t="n"/>
      <c r="M98" s="1498" t="n"/>
      <c r="N98" s="1498" t="n"/>
      <c r="O98" s="1591" t="n"/>
      <c r="P98" s="1498" t="n"/>
      <c r="Q98" s="1498" t="n"/>
      <c r="R98" s="1552" t="n"/>
    </row>
    <row r="99">
      <c r="E99" s="1233" t="inlineStr">
        <is>
          <t>*</t>
        </is>
      </c>
      <c r="F99" s="1145" t="n"/>
      <c r="G99" s="1498" t="inlineStr">
        <is>
          <t>AE</t>
        </is>
      </c>
      <c r="H99" s="1498" t="inlineStr">
        <is>
          <t>EXISTING BUSINESS REVENUES - Price x Volume</t>
        </is>
      </c>
      <c r="I99" s="1500" t="n"/>
      <c r="O99" s="1500" t="n"/>
      <c r="Q99" s="1500" t="n"/>
      <c r="R99" s="1552" t="n"/>
    </row>
    <row r="100">
      <c r="E100" s="1233" t="inlineStr">
        <is>
          <t>*</t>
        </is>
      </c>
      <c r="F100" s="1145" t="n"/>
      <c r="G100" s="1498" t="n"/>
      <c r="H100" s="1500" t="n"/>
      <c r="I100" s="1500" t="n"/>
      <c r="O100" s="1500" t="n"/>
      <c r="Q100" s="1500" t="n"/>
      <c r="R100" s="1552" t="n"/>
    </row>
    <row r="101" ht="49.5" customHeight="1">
      <c r="E101" s="1233" t="inlineStr">
        <is>
          <t>*</t>
        </is>
      </c>
      <c r="F101" s="1145" t="n"/>
      <c r="G101" s="1498" t="inlineStr">
        <is>
          <t>Price</t>
        </is>
      </c>
      <c r="H101" s="1500" t="n"/>
      <c r="I101" s="1501" t="inlineStr">
        <is>
          <t>Prices are often difficult to forecast. The intention here is to ascertain a long-term sustainable average. However, if you are unable to determine specific price levels, we recommend opting for "Forecast using Price Growth".</t>
        </is>
      </c>
      <c r="J101" s="1500" t="inlineStr">
        <is>
          <t>If answer is "Forecast using Average Price", display AE1 (Reference in Column G), else display AE2</t>
        </is>
      </c>
      <c r="N101" s="1592" t="inlineStr">
        <is>
          <t>Forecast using Average Price</t>
        </is>
      </c>
      <c r="O101" s="1593" t="inlineStr">
        <is>
          <t>Forecast using Price growth</t>
        </is>
      </c>
      <c r="Q101" s="1500" t="n"/>
      <c r="R101" s="1552" t="n"/>
    </row>
    <row r="102">
      <c r="E102" s="1233" t="inlineStr">
        <is>
          <t>*</t>
        </is>
      </c>
      <c r="F102" s="1145" t="n"/>
      <c r="G102" s="1500" t="inlineStr">
        <is>
          <t>AE1</t>
        </is>
      </c>
      <c r="H102" s="1594" t="inlineStr">
        <is>
          <t>Price or Average revenue per unit (in information currency)</t>
        </is>
      </c>
      <c r="O102" s="1593" t="inlineStr">
        <is>
          <t>Forecast using Average Price</t>
        </is>
      </c>
      <c r="R102" s="1552" t="n"/>
    </row>
    <row r="103" ht="49.5" customHeight="1">
      <c r="E103" s="1233" t="inlineStr">
        <is>
          <t>*</t>
        </is>
      </c>
      <c r="F103" s="1145" t="n"/>
      <c r="G103" s="1499" t="n"/>
      <c r="H103" s="1499" t="inlineStr">
        <is>
          <t>Existing Stream 1</t>
        </is>
      </c>
      <c r="K103" s="1585" t="n"/>
      <c r="L103" s="1585" t="n"/>
      <c r="M103" s="1538" t="n"/>
      <c r="N103" s="1538" t="n"/>
      <c r="O103" s="1595" t="n"/>
      <c r="P103" s="1538" t="n"/>
      <c r="Q103" s="1538" t="n"/>
      <c r="R103" s="1552" t="inlineStr">
        <is>
          <t>Add commentary to explain that the price &amp; volume requests are for sustainable averages.</t>
        </is>
      </c>
    </row>
    <row r="104">
      <c r="E104" s="1233" t="inlineStr">
        <is>
          <t>*</t>
        </is>
      </c>
      <c r="F104" s="1145" t="n"/>
      <c r="G104" s="1499" t="n"/>
      <c r="H104" s="1499" t="inlineStr">
        <is>
          <t>Existing Stream 2</t>
        </is>
      </c>
      <c r="K104" s="1585" t="n"/>
      <c r="L104" s="1585" t="n"/>
      <c r="M104" s="1538" t="n"/>
      <c r="N104" s="1538" t="n"/>
      <c r="O104" s="1595" t="n"/>
      <c r="P104" s="1538" t="n"/>
      <c r="Q104" s="1538" t="n"/>
    </row>
    <row r="105">
      <c r="E105" s="1233" t="inlineStr">
        <is>
          <t>*</t>
        </is>
      </c>
      <c r="F105" s="1145" t="n"/>
      <c r="G105" s="1499" t="n"/>
      <c r="H105" s="1499" t="inlineStr">
        <is>
          <t>Existing Stream 3</t>
        </is>
      </c>
      <c r="K105" s="1585" t="n"/>
      <c r="L105" s="1585" t="n"/>
      <c r="M105" s="1538" t="n"/>
      <c r="N105" s="1538" t="n"/>
      <c r="O105" s="1595" t="n"/>
      <c r="P105" s="1538" t="n"/>
      <c r="Q105" s="1538" t="n"/>
    </row>
    <row r="106">
      <c r="E106" s="1233" t="inlineStr">
        <is>
          <t>*</t>
        </is>
      </c>
      <c r="F106" s="1145" t="n"/>
      <c r="G106" s="1499" t="n"/>
      <c r="H106" s="1560" t="inlineStr">
        <is>
          <t>Existing Stream 4</t>
        </is>
      </c>
      <c r="I106" s="1541" t="n"/>
      <c r="J106" s="1542" t="n"/>
      <c r="K106" s="1711" t="n"/>
      <c r="L106" s="1711" t="n"/>
      <c r="M106" s="1530" t="n"/>
      <c r="N106" s="1530" t="n"/>
      <c r="O106" s="1596" t="n"/>
      <c r="P106" s="1530" t="n"/>
      <c r="Q106" s="1530" t="n"/>
    </row>
    <row r="107">
      <c r="E107" s="1233" t="inlineStr">
        <is>
          <t>*</t>
        </is>
      </c>
      <c r="F107" s="1145" t="n"/>
      <c r="G107" s="1499" t="n"/>
    </row>
    <row r="108" customFormat="1" s="1506">
      <c r="E108" s="1233" t="inlineStr">
        <is>
          <t>*</t>
        </is>
      </c>
      <c r="F108" s="1145" t="n"/>
      <c r="G108" s="1499" t="inlineStr">
        <is>
          <t>AE2</t>
        </is>
      </c>
      <c r="H108" s="1594" t="inlineStr">
        <is>
          <t>Price Growth</t>
        </is>
      </c>
      <c r="I108" s="1501" t="n"/>
      <c r="J108" s="1500" t="n"/>
      <c r="K108" s="1500" t="n"/>
      <c r="L108" s="1500" t="n"/>
      <c r="M108" s="1500" t="n"/>
      <c r="N108" s="1500" t="n"/>
      <c r="O108" s="1503" t="n"/>
      <c r="P108" s="1500" t="n"/>
      <c r="S108" s="1500" t="n"/>
      <c r="T108" s="1500" t="n"/>
      <c r="U108" s="1500" t="n"/>
      <c r="V108" s="1500" t="n"/>
    </row>
    <row r="109" customFormat="1" s="1506">
      <c r="E109" s="1233" t="inlineStr">
        <is>
          <t>*</t>
        </is>
      </c>
      <c r="F109" s="1145" t="n"/>
      <c r="G109" s="1499" t="n"/>
      <c r="H109" s="1499" t="inlineStr">
        <is>
          <t>Existing Stream 1</t>
        </is>
      </c>
      <c r="I109" s="1501" t="n"/>
      <c r="J109" s="1500" t="inlineStr">
        <is>
          <t>If exact prices are entered in above section, auto-calculate growth rates here</t>
        </is>
      </c>
      <c r="K109" s="1585" t="n"/>
      <c r="L109" s="1585" t="n"/>
      <c r="M109" s="1538" t="n"/>
      <c r="N109" s="1538" t="n"/>
      <c r="O109" s="1595" t="n"/>
      <c r="P109" s="1538" t="n"/>
      <c r="Q109" s="1538" t="n"/>
      <c r="S109" s="1500" t="n"/>
      <c r="T109" s="1500" t="n"/>
      <c r="U109" s="1500" t="n"/>
      <c r="V109" s="1500" t="n"/>
    </row>
    <row r="110" customFormat="1" s="1506">
      <c r="E110" s="1233" t="inlineStr">
        <is>
          <t>*</t>
        </is>
      </c>
      <c r="F110" s="1145" t="n"/>
      <c r="G110" s="1499" t="n"/>
      <c r="H110" s="1499" t="inlineStr">
        <is>
          <t>Existing Stream 2</t>
        </is>
      </c>
      <c r="I110" s="1501" t="n"/>
      <c r="J110" s="1500" t="inlineStr">
        <is>
          <t>If exact prices are entered in above section, auto-calculate growth rates here</t>
        </is>
      </c>
      <c r="K110" s="1585" t="n"/>
      <c r="L110" s="1585" t="n"/>
      <c r="M110" s="1538" t="n"/>
      <c r="N110" s="1538" t="n"/>
      <c r="O110" s="1595" t="n"/>
      <c r="P110" s="1538" t="n"/>
      <c r="Q110" s="1538" t="n"/>
      <c r="S110" s="1500" t="n"/>
      <c r="T110" s="1500" t="n"/>
      <c r="U110" s="1500" t="n"/>
      <c r="V110" s="1500" t="n"/>
    </row>
    <row r="111" customFormat="1" s="1506">
      <c r="E111" s="1233" t="inlineStr">
        <is>
          <t>*</t>
        </is>
      </c>
      <c r="F111" s="1145" t="n"/>
      <c r="G111" s="1499" t="n"/>
      <c r="H111" s="1499" t="inlineStr">
        <is>
          <t>Existing Stream 3</t>
        </is>
      </c>
      <c r="I111" s="1501" t="n"/>
      <c r="J111" s="1500" t="inlineStr">
        <is>
          <t>If exact prices are entered in above section, auto-calculate growth rates here</t>
        </is>
      </c>
      <c r="K111" s="1585" t="n"/>
      <c r="L111" s="1585" t="n"/>
      <c r="M111" s="1538" t="n"/>
      <c r="N111" s="1538" t="n"/>
      <c r="O111" s="1595" t="n"/>
      <c r="P111" s="1538" t="n"/>
      <c r="Q111" s="1538" t="n"/>
      <c r="S111" s="1500" t="n"/>
      <c r="T111" s="1500" t="n"/>
      <c r="U111" s="1500" t="n"/>
      <c r="V111" s="1500" t="n"/>
    </row>
    <row r="112" customFormat="1" s="1506">
      <c r="E112" s="1233" t="inlineStr">
        <is>
          <t>*</t>
        </is>
      </c>
      <c r="F112" s="1145" t="n"/>
      <c r="G112" s="1499" t="n"/>
      <c r="H112" s="1499" t="inlineStr">
        <is>
          <t>Existing Stream 4</t>
        </is>
      </c>
      <c r="I112" s="1501" t="n"/>
      <c r="J112" s="1500" t="inlineStr">
        <is>
          <t>If exact prices are entered in above section, auto-calculate growth rates here</t>
        </is>
      </c>
      <c r="K112" s="1585" t="n"/>
      <c r="L112" s="1585" t="n"/>
      <c r="M112" s="1538" t="n"/>
      <c r="N112" s="1538" t="n"/>
      <c r="O112" s="1595" t="n"/>
      <c r="P112" s="1538" t="n"/>
      <c r="Q112" s="1538" t="n"/>
      <c r="S112" s="1500" t="n"/>
      <c r="T112" s="1500" t="n"/>
      <c r="U112" s="1500" t="n"/>
      <c r="V112" s="1500" t="n"/>
    </row>
    <row r="113" customFormat="1" s="1506">
      <c r="E113" s="1233" t="inlineStr">
        <is>
          <t>*</t>
        </is>
      </c>
      <c r="F113" s="1145" t="n"/>
      <c r="G113" s="1499" t="n"/>
      <c r="H113" s="1796" t="n"/>
      <c r="I113" s="1597" t="n"/>
      <c r="J113" s="1598" t="n"/>
      <c r="K113" s="1598" t="n"/>
      <c r="L113" s="1598" t="n"/>
      <c r="M113" s="1598" t="n"/>
      <c r="N113" s="1598" t="n"/>
      <c r="O113" s="1599" t="n"/>
      <c r="P113" s="1598" t="n"/>
      <c r="Q113" s="1600" t="n"/>
      <c r="S113" s="1500" t="n"/>
      <c r="T113" s="1500" t="n"/>
      <c r="U113" s="1500" t="n"/>
      <c r="V113" s="1500" t="n"/>
    </row>
    <row r="114" ht="49.5" customFormat="1" customHeight="1" s="1506">
      <c r="E114" s="1233" t="inlineStr">
        <is>
          <t>*</t>
        </is>
      </c>
      <c r="F114" s="1145" t="n"/>
      <c r="G114" s="1498" t="inlineStr">
        <is>
          <t>Volumes</t>
        </is>
      </c>
      <c r="H114" s="1500" t="n"/>
      <c r="I114" s="1501" t="inlineStr">
        <is>
          <t>Sales volumes can be difficult to forecast. The intention here is to ascertain a long-term sustainable average. However, if you are unable to determine volume levels, we recommend opting for the below "Volume Growth approach".</t>
        </is>
      </c>
      <c r="J114" s="1500" t="inlineStr">
        <is>
          <t>If answer is "Forecast using Average Price", display AE3 (Reference in Column G), else display AE4</t>
        </is>
      </c>
      <c r="K114" s="1500" t="n"/>
      <c r="L114" s="1500" t="n"/>
      <c r="M114" s="1500" t="n"/>
      <c r="N114" s="1592" t="inlineStr">
        <is>
          <t>Forecast using Average Volume</t>
        </is>
      </c>
      <c r="O114" s="1593" t="inlineStr">
        <is>
          <t>Forecast using Volume growth</t>
        </is>
      </c>
      <c r="P114" s="1500" t="n"/>
      <c r="S114" s="1500" t="n"/>
      <c r="T114" s="1500" t="n"/>
      <c r="U114" s="1500" t="n"/>
      <c r="V114" s="1500" t="n"/>
    </row>
    <row r="115" customFormat="1" s="1506">
      <c r="E115" s="1233" t="inlineStr">
        <is>
          <t>*</t>
        </is>
      </c>
      <c r="F115" s="1145" t="n"/>
      <c r="G115" s="1500" t="inlineStr">
        <is>
          <t>AE3</t>
        </is>
      </c>
      <c r="H115" s="1594" t="inlineStr">
        <is>
          <t>Expected sales volumes</t>
        </is>
      </c>
      <c r="I115" s="1501" t="n"/>
      <c r="K115" s="1500" t="n"/>
      <c r="L115" s="1500" t="n"/>
      <c r="M115" s="1500" t="n"/>
      <c r="N115" s="1500" t="n"/>
      <c r="O115" s="1593" t="inlineStr">
        <is>
          <t>Forecast using Average Volume</t>
        </is>
      </c>
      <c r="P115" s="1500" t="n"/>
      <c r="S115" s="1500" t="n"/>
      <c r="T115" s="1500" t="n"/>
      <c r="U115" s="1500" t="n"/>
      <c r="V115" s="1500" t="n"/>
    </row>
    <row r="116" customFormat="1" s="1506">
      <c r="E116" s="1233" t="inlineStr">
        <is>
          <t>*</t>
        </is>
      </c>
      <c r="F116" s="1145" t="n"/>
      <c r="G116" s="1499" t="n"/>
      <c r="H116" s="1499" t="inlineStr">
        <is>
          <t>Existing Stream 1</t>
        </is>
      </c>
      <c r="I116" s="1501" t="n"/>
      <c r="J116" s="1500" t="n"/>
      <c r="K116" s="1585" t="n"/>
      <c r="L116" s="1585" t="n"/>
      <c r="M116" s="1538" t="n"/>
      <c r="N116" s="1538" t="n"/>
      <c r="O116" s="1595" t="n"/>
      <c r="P116" s="1538" t="n"/>
      <c r="Q116" s="1538" t="n"/>
      <c r="S116" s="1500" t="n"/>
      <c r="T116" s="1500" t="n"/>
      <c r="U116" s="1500" t="n"/>
      <c r="V116" s="1500" t="n"/>
    </row>
    <row r="117" customFormat="1" s="1506">
      <c r="E117" s="1233" t="inlineStr">
        <is>
          <t>*</t>
        </is>
      </c>
      <c r="F117" s="1145" t="n"/>
      <c r="G117" s="1499" t="n"/>
      <c r="H117" s="1499" t="inlineStr">
        <is>
          <t>Existing Stream 2</t>
        </is>
      </c>
      <c r="I117" s="1501" t="n"/>
      <c r="J117" s="1500" t="n"/>
      <c r="K117" s="1585" t="n"/>
      <c r="L117" s="1585" t="n"/>
      <c r="M117" s="1538" t="n"/>
      <c r="N117" s="1538" t="n"/>
      <c r="O117" s="1595" t="n"/>
      <c r="P117" s="1538" t="n"/>
      <c r="Q117" s="1538" t="n"/>
      <c r="S117" s="1500" t="n"/>
      <c r="T117" s="1500" t="n"/>
      <c r="U117" s="1500" t="n"/>
      <c r="V117" s="1500" t="n"/>
    </row>
    <row r="118" customFormat="1" s="1506">
      <c r="E118" s="1233" t="inlineStr">
        <is>
          <t>*</t>
        </is>
      </c>
      <c r="F118" s="1145" t="n"/>
      <c r="G118" s="1499" t="n"/>
      <c r="H118" s="1499" t="inlineStr">
        <is>
          <t>Existing Stream 3</t>
        </is>
      </c>
      <c r="I118" s="1501" t="n"/>
      <c r="J118" s="1500" t="n"/>
      <c r="K118" s="1585" t="n"/>
      <c r="L118" s="1585" t="n"/>
      <c r="M118" s="1538" t="n"/>
      <c r="N118" s="1538" t="n"/>
      <c r="O118" s="1595" t="n"/>
      <c r="P118" s="1538" t="n"/>
      <c r="Q118" s="1538" t="n"/>
      <c r="S118" s="1500" t="n"/>
      <c r="T118" s="1500" t="n"/>
      <c r="U118" s="1500" t="n"/>
      <c r="V118" s="1500" t="n"/>
    </row>
    <row r="119" customFormat="1" s="1506">
      <c r="E119" s="1233" t="inlineStr">
        <is>
          <t>*</t>
        </is>
      </c>
      <c r="F119" s="1145" t="n"/>
      <c r="G119" s="1499" t="n"/>
      <c r="H119" s="1560" t="inlineStr">
        <is>
          <t>Existing Stream 4</t>
        </is>
      </c>
      <c r="I119" s="1541" t="n"/>
      <c r="J119" s="1542" t="n"/>
      <c r="K119" s="1711" t="n"/>
      <c r="L119" s="1711" t="n"/>
      <c r="M119" s="1530" t="n"/>
      <c r="N119" s="1530" t="n"/>
      <c r="O119" s="1596" t="n"/>
      <c r="P119" s="1530" t="n"/>
      <c r="Q119" s="1530" t="n"/>
      <c r="S119" s="1500" t="n"/>
      <c r="T119" s="1500" t="n"/>
      <c r="U119" s="1500" t="n"/>
      <c r="V119" s="1500" t="n"/>
    </row>
    <row r="120" customFormat="1" s="1506">
      <c r="E120" s="1233" t="inlineStr">
        <is>
          <t>*</t>
        </is>
      </c>
      <c r="F120" s="1145" t="n"/>
      <c r="G120" s="1500" t="n"/>
      <c r="H120" s="1499" t="n"/>
      <c r="P120" s="1500" t="n"/>
      <c r="S120" s="1500" t="n"/>
      <c r="T120" s="1500" t="n"/>
      <c r="U120" s="1500" t="n"/>
      <c r="V120" s="1500" t="n"/>
    </row>
    <row r="121" customFormat="1" s="1506">
      <c r="E121" s="1233" t="inlineStr">
        <is>
          <t>*</t>
        </is>
      </c>
      <c r="F121" s="1145" t="n"/>
      <c r="G121" s="1500" t="inlineStr">
        <is>
          <t>AE4</t>
        </is>
      </c>
      <c r="H121" s="1594" t="inlineStr">
        <is>
          <t>Volume Growth</t>
        </is>
      </c>
      <c r="I121" s="1501" t="n"/>
      <c r="J121" s="1500" t="n"/>
      <c r="K121" s="1500" t="n"/>
      <c r="L121" s="1500" t="n"/>
      <c r="M121" s="1500" t="n"/>
      <c r="N121" s="1500" t="n"/>
      <c r="O121" s="1503" t="n"/>
      <c r="P121" s="1500" t="n"/>
      <c r="S121" s="1500" t="n"/>
      <c r="T121" s="1500" t="n"/>
      <c r="U121" s="1500" t="n"/>
      <c r="V121" s="1500" t="n"/>
    </row>
    <row r="122" customFormat="1" s="1506">
      <c r="E122" s="1233" t="inlineStr">
        <is>
          <t>*</t>
        </is>
      </c>
      <c r="F122" s="1145" t="n"/>
      <c r="G122" s="1499" t="n"/>
      <c r="H122" s="1499" t="inlineStr">
        <is>
          <t>Existing Stream 1</t>
        </is>
      </c>
      <c r="I122" s="1501" t="n"/>
      <c r="J122" s="1500" t="inlineStr">
        <is>
          <t>If exact volumes are entered in above section, auto-calculate growth rates here</t>
        </is>
      </c>
      <c r="K122" s="1585" t="n"/>
      <c r="L122" s="1585" t="n"/>
      <c r="M122" s="1538" t="n"/>
      <c r="N122" s="1538" t="n"/>
      <c r="O122" s="1595" t="n"/>
      <c r="P122" s="1538" t="n"/>
      <c r="Q122" s="1538" t="n"/>
      <c r="S122" s="1500" t="n"/>
      <c r="T122" s="1500" t="n"/>
      <c r="U122" s="1500" t="n"/>
      <c r="V122" s="1500" t="n"/>
    </row>
    <row r="123" customFormat="1" s="1506">
      <c r="E123" s="1233" t="inlineStr">
        <is>
          <t>*</t>
        </is>
      </c>
      <c r="F123" s="1145" t="n"/>
      <c r="G123" s="1499" t="n"/>
      <c r="H123" s="1499" t="inlineStr">
        <is>
          <t>Existing Stream 2</t>
        </is>
      </c>
      <c r="I123" s="1501" t="n"/>
      <c r="J123" s="1500" t="inlineStr">
        <is>
          <t>If exact volumes are entered in above section, auto-calculate growth rates here</t>
        </is>
      </c>
      <c r="K123" s="1585" t="n"/>
      <c r="L123" s="1585" t="n"/>
      <c r="M123" s="1538" t="n"/>
      <c r="N123" s="1538" t="n"/>
      <c r="O123" s="1595" t="n"/>
      <c r="P123" s="1538" t="n"/>
      <c r="Q123" s="1538" t="n"/>
      <c r="S123" s="1500" t="n"/>
      <c r="T123" s="1500" t="n"/>
      <c r="U123" s="1500" t="n"/>
      <c r="V123" s="1500" t="n"/>
    </row>
    <row r="124" customFormat="1" s="1506">
      <c r="E124" s="1233" t="inlineStr">
        <is>
          <t>*</t>
        </is>
      </c>
      <c r="F124" s="1145" t="n"/>
      <c r="G124" s="1499" t="n"/>
      <c r="H124" s="1499" t="inlineStr">
        <is>
          <t>Existing Stream 3</t>
        </is>
      </c>
      <c r="I124" s="1501" t="n"/>
      <c r="J124" s="1500" t="inlineStr">
        <is>
          <t>If exact volumes are entered in above section, auto-calculate growth rates here</t>
        </is>
      </c>
      <c r="K124" s="1585" t="n"/>
      <c r="L124" s="1585" t="n"/>
      <c r="M124" s="1538" t="n"/>
      <c r="N124" s="1538" t="n"/>
      <c r="O124" s="1595" t="n"/>
      <c r="P124" s="1538" t="n"/>
      <c r="Q124" s="1538" t="n"/>
      <c r="S124" s="1500" t="n"/>
      <c r="T124" s="1500" t="n"/>
      <c r="U124" s="1500" t="n"/>
      <c r="V124" s="1500" t="n"/>
    </row>
    <row r="125" ht="17" customFormat="1" customHeight="1" s="1506" thickBot="1">
      <c r="E125" s="1233" t="inlineStr">
        <is>
          <t>*</t>
        </is>
      </c>
      <c r="F125" s="1145" t="n"/>
      <c r="G125" s="1601" t="n"/>
      <c r="H125" s="1601" t="inlineStr">
        <is>
          <t>Existing Stream 4</t>
        </is>
      </c>
      <c r="I125" s="1602" t="n"/>
      <c r="J125" s="1603" t="inlineStr">
        <is>
          <t>If exact volumes are entered in above section, auto-calculate growth rates here</t>
        </is>
      </c>
      <c r="K125" s="1710" t="n"/>
      <c r="L125" s="1710" t="n"/>
      <c r="M125" s="1604" t="n"/>
      <c r="N125" s="1604" t="n"/>
      <c r="O125" s="1605" t="n"/>
      <c r="P125" s="1604" t="n"/>
      <c r="Q125" s="1604" t="n"/>
      <c r="S125" s="1500" t="n"/>
      <c r="T125" s="1500" t="n"/>
      <c r="U125" s="1500" t="n"/>
      <c r="V125" s="1500" t="n"/>
    </row>
    <row r="126">
      <c r="E126" s="1233" t="inlineStr">
        <is>
          <t>*</t>
        </is>
      </c>
      <c r="F126" s="1145" t="n"/>
    </row>
    <row r="127" customFormat="1" s="1506">
      <c r="E127" s="1233" t="inlineStr">
        <is>
          <t>*</t>
        </is>
      </c>
      <c r="F127" s="1145" t="n"/>
      <c r="G127" s="1606" t="inlineStr">
        <is>
          <t>AP</t>
        </is>
      </c>
      <c r="H127" s="1498" t="inlineStr">
        <is>
          <t>PIPELINE BUSINESS REVENUES - Price x Volume</t>
        </is>
      </c>
      <c r="I127" s="1500" t="n"/>
      <c r="J127" s="1500" t="n"/>
      <c r="K127" s="1500" t="n"/>
      <c r="L127" s="1500" t="n"/>
      <c r="M127" s="1500" t="n"/>
      <c r="N127" s="1500" t="n"/>
      <c r="O127" s="1500" t="n"/>
      <c r="P127" s="1500" t="n"/>
      <c r="Q127" s="1500" t="n"/>
      <c r="S127" s="1500" t="n"/>
      <c r="T127" s="1500" t="n"/>
      <c r="U127" s="1500" t="n"/>
      <c r="V127" s="1500" t="n"/>
    </row>
    <row r="128" customFormat="1" s="1506">
      <c r="E128" s="1233" t="inlineStr">
        <is>
          <t>*</t>
        </is>
      </c>
      <c r="F128" s="1145" t="n"/>
      <c r="G128" s="1498" t="n"/>
      <c r="H128" s="1500" t="n"/>
      <c r="I128" s="1500" t="n"/>
      <c r="J128" s="1500" t="n"/>
      <c r="K128" s="1500" t="n"/>
      <c r="L128" s="1500" t="n"/>
      <c r="M128" s="1500" t="n"/>
      <c r="N128" s="1500" t="n"/>
      <c r="O128" s="1500" t="n"/>
      <c r="P128" s="1500" t="n"/>
      <c r="Q128" s="1500" t="n"/>
      <c r="S128" s="1500" t="n"/>
      <c r="T128" s="1500" t="n"/>
      <c r="U128" s="1500" t="n"/>
      <c r="V128" s="1500" t="n"/>
    </row>
    <row r="129" ht="49.5" customHeight="1">
      <c r="E129" s="1233" t="inlineStr">
        <is>
          <t>*</t>
        </is>
      </c>
      <c r="F129" s="1145" t="n"/>
      <c r="G129" s="1498" t="inlineStr">
        <is>
          <t>Price</t>
        </is>
      </c>
      <c r="H129" s="1500" t="n"/>
      <c r="I129" s="1501" t="inlineStr">
        <is>
          <t>Prices are often difficult to forecast. The intention here is to ascertain a long-term sustainable average. However, if you are unable to determine specific price levels, we recommend opting for "Forecast using Price Growth".</t>
        </is>
      </c>
      <c r="J129" s="1500" t="inlineStr">
        <is>
          <t>If answer is "Forecast using Average Price", display AP1 (Reference in Column G), else display AP2</t>
        </is>
      </c>
      <c r="N129" s="1592" t="inlineStr">
        <is>
          <t>Forecast using Average Price</t>
        </is>
      </c>
      <c r="O129" s="1593" t="inlineStr">
        <is>
          <t>Forecast using Price growth</t>
        </is>
      </c>
      <c r="Q129" s="1500" t="n"/>
      <c r="R129" s="1552" t="n"/>
    </row>
    <row r="130" customFormat="1" s="1506">
      <c r="E130" s="1233" t="inlineStr">
        <is>
          <t>*</t>
        </is>
      </c>
      <c r="F130" s="1145" t="n"/>
      <c r="G130" s="1500" t="inlineStr">
        <is>
          <t>AP1</t>
        </is>
      </c>
      <c r="H130" s="1594" t="inlineStr">
        <is>
          <t>Price or Average revenue per unit (in information currency)</t>
        </is>
      </c>
      <c r="I130" s="1501" t="n"/>
      <c r="J130" s="1500" t="n"/>
      <c r="K130" s="1500" t="n"/>
      <c r="L130" s="1500" t="n"/>
      <c r="M130" s="1500" t="n"/>
      <c r="N130" s="1500" t="n"/>
      <c r="O130" s="1593" t="inlineStr">
        <is>
          <t>Forecast using Average Price</t>
        </is>
      </c>
      <c r="P130" s="1500" t="n"/>
      <c r="S130" s="1500" t="n"/>
      <c r="T130" s="1500" t="n"/>
      <c r="U130" s="1500" t="n"/>
      <c r="V130" s="1500" t="n"/>
    </row>
    <row r="131" customFormat="1" s="1506">
      <c r="E131" s="1233" t="inlineStr">
        <is>
          <t>*</t>
        </is>
      </c>
      <c r="F131" s="1145" t="n"/>
      <c r="G131" s="1499" t="n"/>
      <c r="H131" s="1499" t="inlineStr">
        <is>
          <t>Pipeline Stream 1</t>
        </is>
      </c>
      <c r="I131" s="1501" t="n"/>
      <c r="J131" s="1500" t="n"/>
      <c r="K131" s="1585" t="n"/>
      <c r="L131" s="1585" t="n"/>
      <c r="M131" s="1538" t="n"/>
      <c r="N131" s="1538" t="n"/>
      <c r="O131" s="1595" t="n"/>
      <c r="P131" s="1538" t="n"/>
      <c r="Q131" s="1538" t="n"/>
      <c r="S131" s="1500" t="n"/>
      <c r="T131" s="1500" t="n"/>
      <c r="U131" s="1500" t="n"/>
      <c r="V131" s="1500" t="n"/>
    </row>
    <row r="132" customFormat="1" s="1506">
      <c r="E132" s="1233" t="inlineStr">
        <is>
          <t>*</t>
        </is>
      </c>
      <c r="F132" s="1145" t="n"/>
      <c r="G132" s="1499" t="n"/>
      <c r="H132" s="1499" t="inlineStr">
        <is>
          <t>Pipeline Stream 2</t>
        </is>
      </c>
      <c r="I132" s="1501" t="n"/>
      <c r="J132" s="1500" t="n"/>
      <c r="K132" s="1585" t="n"/>
      <c r="L132" s="1585" t="n"/>
      <c r="M132" s="1538" t="n"/>
      <c r="N132" s="1538" t="n"/>
      <c r="O132" s="1595" t="n"/>
      <c r="P132" s="1538" t="n"/>
      <c r="Q132" s="1538" t="n"/>
      <c r="S132" s="1500" t="n"/>
      <c r="T132" s="1500" t="n"/>
      <c r="U132" s="1500" t="n"/>
      <c r="V132" s="1500" t="n"/>
    </row>
    <row r="133" customFormat="1" s="1506">
      <c r="E133" s="1233" t="inlineStr">
        <is>
          <t>*</t>
        </is>
      </c>
      <c r="F133" s="1145" t="n"/>
      <c r="G133" s="1499" t="n"/>
      <c r="H133" s="1499" t="inlineStr">
        <is>
          <t>Pipeline Stream 3</t>
        </is>
      </c>
      <c r="I133" s="1501" t="n"/>
      <c r="J133" s="1500" t="n"/>
      <c r="K133" s="1585" t="n"/>
      <c r="L133" s="1585" t="n"/>
      <c r="M133" s="1538" t="n"/>
      <c r="N133" s="1538" t="n"/>
      <c r="O133" s="1595" t="n"/>
      <c r="P133" s="1538" t="n"/>
      <c r="Q133" s="1538" t="n"/>
      <c r="S133" s="1500" t="n"/>
      <c r="T133" s="1500" t="n"/>
      <c r="U133" s="1500" t="n"/>
      <c r="V133" s="1500" t="n"/>
    </row>
    <row r="134" customFormat="1" s="1506">
      <c r="E134" s="1233" t="inlineStr">
        <is>
          <t>*</t>
        </is>
      </c>
      <c r="F134" s="1145" t="n"/>
      <c r="G134" s="1499" t="n"/>
      <c r="H134" s="1499" t="inlineStr">
        <is>
          <t>Pipeline Stream 4</t>
        </is>
      </c>
      <c r="I134" s="1501" t="n"/>
      <c r="J134" s="1500" t="n"/>
      <c r="K134" s="1585" t="n"/>
      <c r="L134" s="1585" t="n"/>
      <c r="M134" s="1538" t="n"/>
      <c r="N134" s="1538" t="n"/>
      <c r="O134" s="1595" t="n"/>
      <c r="P134" s="1538" t="n"/>
      <c r="Q134" s="1538" t="n"/>
      <c r="S134" s="1500" t="n"/>
      <c r="T134" s="1500" t="n"/>
      <c r="U134" s="1500" t="n"/>
      <c r="V134" s="1500" t="n"/>
    </row>
    <row r="135" customFormat="1" s="1506">
      <c r="E135" s="1233" t="inlineStr">
        <is>
          <t>*</t>
        </is>
      </c>
      <c r="F135" s="1145" t="n"/>
      <c r="G135" s="1499" t="n"/>
      <c r="H135" s="1499" t="n"/>
      <c r="I135" s="1501" t="n"/>
      <c r="J135" s="1500" t="n"/>
      <c r="K135" s="1500" t="n"/>
      <c r="L135" s="1500" t="n"/>
      <c r="M135" s="1500" t="n"/>
      <c r="N135" s="1500" t="n"/>
      <c r="O135" s="1503" t="n"/>
      <c r="P135" s="1500" t="n"/>
      <c r="S135" s="1500" t="n"/>
      <c r="T135" s="1500" t="n"/>
      <c r="U135" s="1500" t="n"/>
      <c r="V135" s="1500" t="n"/>
    </row>
    <row r="136" customFormat="1" s="1506">
      <c r="E136" s="1233" t="inlineStr">
        <is>
          <t>*</t>
        </is>
      </c>
      <c r="F136" s="1145" t="n"/>
      <c r="G136" s="1500" t="inlineStr">
        <is>
          <t>AP2</t>
        </is>
      </c>
      <c r="H136" s="1594" t="inlineStr">
        <is>
          <t>Price Growth</t>
        </is>
      </c>
      <c r="I136" s="1501" t="n"/>
      <c r="J136" s="1500" t="n"/>
      <c r="K136" s="1500" t="n"/>
      <c r="L136" s="1500" t="n"/>
      <c r="M136" s="1500" t="n"/>
      <c r="N136" s="1500" t="n"/>
      <c r="O136" s="1503" t="n"/>
      <c r="P136" s="1500" t="n"/>
      <c r="S136" s="1500" t="n"/>
      <c r="T136" s="1500" t="n"/>
      <c r="U136" s="1500" t="n"/>
      <c r="V136" s="1500" t="n"/>
    </row>
    <row r="137" customFormat="1" s="1506">
      <c r="E137" s="1233" t="inlineStr">
        <is>
          <t>*</t>
        </is>
      </c>
      <c r="F137" s="1145" t="n"/>
      <c r="G137" s="1499" t="n"/>
      <c r="H137" s="1499" t="inlineStr">
        <is>
          <t>Pipeline Stream 1</t>
        </is>
      </c>
      <c r="I137" s="1501" t="n"/>
      <c r="J137" s="1500" t="inlineStr">
        <is>
          <t>If exact prices are entered in above section, auto-calculate growth rates here</t>
        </is>
      </c>
      <c r="K137" s="1585" t="n"/>
      <c r="L137" s="1585" t="n"/>
      <c r="M137" s="1538" t="n"/>
      <c r="N137" s="1538" t="n"/>
      <c r="O137" s="1595" t="n"/>
      <c r="P137" s="1538" t="n"/>
      <c r="Q137" s="1538" t="n"/>
      <c r="S137" s="1500" t="n"/>
      <c r="T137" s="1500" t="n"/>
      <c r="U137" s="1500" t="n"/>
      <c r="V137" s="1500" t="n"/>
    </row>
    <row r="138" customFormat="1" s="1506">
      <c r="E138" s="1233" t="inlineStr">
        <is>
          <t>*</t>
        </is>
      </c>
      <c r="F138" s="1145" t="n"/>
      <c r="G138" s="1499" t="n"/>
      <c r="H138" s="1499" t="inlineStr">
        <is>
          <t>Pipeline Stream 2</t>
        </is>
      </c>
      <c r="I138" s="1501" t="n"/>
      <c r="J138" s="1500" t="inlineStr">
        <is>
          <t>If exact prices are entered in above section, auto-calculate growth rates here</t>
        </is>
      </c>
      <c r="K138" s="1585" t="n"/>
      <c r="L138" s="1585" t="n"/>
      <c r="M138" s="1538" t="n"/>
      <c r="N138" s="1538" t="n"/>
      <c r="O138" s="1595" t="n"/>
      <c r="P138" s="1538" t="n"/>
      <c r="Q138" s="1538" t="n"/>
      <c r="S138" s="1500" t="n"/>
      <c r="T138" s="1500" t="n"/>
      <c r="U138" s="1500" t="n"/>
      <c r="V138" s="1500" t="n"/>
    </row>
    <row r="139" customFormat="1" s="1506">
      <c r="E139" s="1233" t="inlineStr">
        <is>
          <t>*</t>
        </is>
      </c>
      <c r="F139" s="1145" t="n"/>
      <c r="G139" s="1499" t="n"/>
      <c r="H139" s="1499" t="inlineStr">
        <is>
          <t>Pipeline Stream 3</t>
        </is>
      </c>
      <c r="I139" s="1501" t="n"/>
      <c r="J139" s="1500" t="inlineStr">
        <is>
          <t>If exact prices are entered in above section, auto-calculate growth rates here</t>
        </is>
      </c>
      <c r="K139" s="1585" t="n"/>
      <c r="L139" s="1585" t="n"/>
      <c r="M139" s="1538" t="n"/>
      <c r="N139" s="1538" t="n"/>
      <c r="O139" s="1595" t="n"/>
      <c r="P139" s="1538" t="n"/>
      <c r="Q139" s="1538" t="n"/>
      <c r="S139" s="1500" t="n"/>
      <c r="T139" s="1500" t="n"/>
      <c r="U139" s="1500" t="n"/>
      <c r="V139" s="1500" t="n"/>
    </row>
    <row r="140" customFormat="1" s="1506">
      <c r="E140" s="1233" t="inlineStr">
        <is>
          <t>*</t>
        </is>
      </c>
      <c r="F140" s="1145" t="n"/>
      <c r="G140" s="1499" t="n"/>
      <c r="H140" s="1499" t="inlineStr">
        <is>
          <t>Pipeline Stream 4</t>
        </is>
      </c>
      <c r="I140" s="1501" t="n"/>
      <c r="J140" s="1500" t="inlineStr">
        <is>
          <t>If exact prices are entered in above section, auto-calculate growth rates here</t>
        </is>
      </c>
      <c r="K140" s="1585" t="n"/>
      <c r="L140" s="1585" t="n"/>
      <c r="M140" s="1538" t="n"/>
      <c r="N140" s="1538" t="n"/>
      <c r="O140" s="1595" t="n"/>
      <c r="P140" s="1538" t="n"/>
      <c r="Q140" s="1538" t="n"/>
      <c r="S140" s="1500" t="n"/>
      <c r="T140" s="1500" t="n"/>
      <c r="U140" s="1500" t="n"/>
      <c r="V140" s="1500" t="n"/>
    </row>
    <row r="141" customFormat="1" s="1506">
      <c r="E141" s="1233" t="inlineStr">
        <is>
          <t>*</t>
        </is>
      </c>
      <c r="F141" s="1145" t="n"/>
      <c r="G141" s="1499" t="n"/>
      <c r="H141" s="1796" t="n"/>
      <c r="I141" s="1597" t="n"/>
      <c r="J141" s="1598" t="n"/>
      <c r="K141" s="1598" t="n"/>
      <c r="L141" s="1598" t="n"/>
      <c r="M141" s="1598" t="n"/>
      <c r="N141" s="1598" t="n"/>
      <c r="O141" s="1599" t="n"/>
      <c r="P141" s="1598" t="n"/>
      <c r="Q141" s="1600" t="n"/>
      <c r="S141" s="1500" t="n"/>
      <c r="T141" s="1500" t="n"/>
      <c r="U141" s="1500" t="n"/>
      <c r="V141" s="1500" t="n"/>
    </row>
    <row r="142" ht="49.5" customFormat="1" customHeight="1" s="1506">
      <c r="E142" s="1233" t="inlineStr">
        <is>
          <t>*</t>
        </is>
      </c>
      <c r="F142" s="1145" t="n"/>
      <c r="G142" s="1498" t="inlineStr">
        <is>
          <t>Volumes</t>
        </is>
      </c>
      <c r="H142" s="1500" t="n"/>
      <c r="I142" s="1501" t="inlineStr">
        <is>
          <t>Sales volumes can be difficult to forecast. The intention here is to ascertain a long-term sustainable average. However, if you are unable to determine volume levels, we recommend opting for the below "Volume Growth approach".</t>
        </is>
      </c>
      <c r="J142" s="1500" t="inlineStr">
        <is>
          <t>If answer is "Forecast using Average Price", display AP3 (Reference in Column G), else display AP4</t>
        </is>
      </c>
      <c r="K142" s="1500" t="n"/>
      <c r="L142" s="1500" t="n"/>
      <c r="M142" s="1500" t="n"/>
      <c r="N142" s="1592" t="inlineStr">
        <is>
          <t>Forecast using Average Volume</t>
        </is>
      </c>
      <c r="O142" s="1593" t="inlineStr">
        <is>
          <t>Forecast using Volume growth</t>
        </is>
      </c>
      <c r="P142" s="1500" t="n"/>
      <c r="S142" s="1500" t="n"/>
      <c r="T142" s="1500" t="n"/>
      <c r="U142" s="1500" t="n"/>
      <c r="V142" s="1500" t="n"/>
    </row>
    <row r="143" customFormat="1" s="1506">
      <c r="E143" s="1233" t="inlineStr">
        <is>
          <t>*</t>
        </is>
      </c>
      <c r="F143" s="1145" t="n"/>
      <c r="G143" s="1500" t="inlineStr">
        <is>
          <t>AP3</t>
        </is>
      </c>
      <c r="H143" s="1594" t="inlineStr">
        <is>
          <t>Expected sales volumes</t>
        </is>
      </c>
      <c r="I143" s="1501" t="n"/>
      <c r="K143" s="1500" t="n"/>
      <c r="L143" s="1500" t="n"/>
      <c r="M143" s="1500" t="n"/>
      <c r="N143" s="1500" t="n"/>
      <c r="O143" s="1593" t="inlineStr">
        <is>
          <t>Forecast using Average Volume</t>
        </is>
      </c>
      <c r="P143" s="1500" t="n"/>
      <c r="S143" s="1500" t="n"/>
      <c r="T143" s="1500" t="n"/>
      <c r="U143" s="1500" t="n"/>
      <c r="V143" s="1500" t="n"/>
    </row>
    <row r="144" customFormat="1" s="1506">
      <c r="E144" s="1233" t="inlineStr">
        <is>
          <t>*</t>
        </is>
      </c>
      <c r="F144" s="1145" t="n"/>
      <c r="G144" s="1499" t="n"/>
      <c r="H144" s="1499" t="inlineStr">
        <is>
          <t>Pipeline Stream 1</t>
        </is>
      </c>
      <c r="I144" s="1501" t="n"/>
      <c r="J144" s="1500" t="n"/>
      <c r="K144" s="1585" t="n"/>
      <c r="L144" s="1585" t="n"/>
      <c r="M144" s="1538" t="n"/>
      <c r="N144" s="1538" t="n"/>
      <c r="O144" s="1595" t="n"/>
      <c r="P144" s="1538" t="n"/>
      <c r="Q144" s="1538" t="n"/>
      <c r="S144" s="1500" t="n"/>
      <c r="T144" s="1500" t="n"/>
      <c r="U144" s="1500" t="n"/>
      <c r="V144" s="1500" t="n"/>
    </row>
    <row r="145" customFormat="1" s="1506">
      <c r="E145" s="1233" t="inlineStr">
        <is>
          <t>*</t>
        </is>
      </c>
      <c r="F145" s="1145" t="n"/>
      <c r="G145" s="1499" t="n"/>
      <c r="H145" s="1499" t="inlineStr">
        <is>
          <t>Pipeline Stream 2</t>
        </is>
      </c>
      <c r="I145" s="1501" t="n"/>
      <c r="J145" s="1500" t="n"/>
      <c r="K145" s="1585" t="n"/>
      <c r="L145" s="1585" t="n"/>
      <c r="M145" s="1538" t="n"/>
      <c r="N145" s="1538" t="n"/>
      <c r="O145" s="1595" t="n"/>
      <c r="P145" s="1538" t="n"/>
      <c r="Q145" s="1538" t="n"/>
      <c r="S145" s="1500" t="n"/>
      <c r="T145" s="1500" t="n"/>
      <c r="U145" s="1500" t="n"/>
      <c r="V145" s="1500" t="n"/>
    </row>
    <row r="146" customFormat="1" s="1506">
      <c r="E146" s="1233" t="inlineStr">
        <is>
          <t>*</t>
        </is>
      </c>
      <c r="F146" s="1145" t="n"/>
      <c r="G146" s="1499" t="n"/>
      <c r="H146" s="1499" t="inlineStr">
        <is>
          <t>Pipeline Stream 3</t>
        </is>
      </c>
      <c r="I146" s="1501" t="n"/>
      <c r="J146" s="1500" t="n"/>
      <c r="K146" s="1585" t="n"/>
      <c r="L146" s="1585" t="n"/>
      <c r="M146" s="1538" t="n"/>
      <c r="N146" s="1538" t="n"/>
      <c r="O146" s="1595" t="n"/>
      <c r="P146" s="1538" t="n"/>
      <c r="Q146" s="1538" t="n"/>
      <c r="S146" s="1500" t="n"/>
      <c r="T146" s="1500" t="n"/>
      <c r="U146" s="1500" t="n"/>
      <c r="V146" s="1500" t="n"/>
    </row>
    <row r="147" customFormat="1" s="1506">
      <c r="E147" s="1233" t="inlineStr">
        <is>
          <t>*</t>
        </is>
      </c>
      <c r="F147" s="1145" t="n"/>
      <c r="G147" s="1499" t="n"/>
      <c r="H147" s="1499" t="inlineStr">
        <is>
          <t>Pipeline Stream 4</t>
        </is>
      </c>
      <c r="I147" s="1501" t="n"/>
      <c r="J147" s="1500" t="n"/>
      <c r="K147" s="1585" t="n"/>
      <c r="L147" s="1585" t="n"/>
      <c r="M147" s="1538" t="n"/>
      <c r="N147" s="1538" t="n"/>
      <c r="O147" s="1595" t="n"/>
      <c r="P147" s="1538" t="n"/>
      <c r="Q147" s="1538" t="n"/>
      <c r="S147" s="1500" t="n"/>
      <c r="T147" s="1500" t="n"/>
      <c r="U147" s="1500" t="n"/>
      <c r="V147" s="1500" t="n"/>
    </row>
    <row r="148" customFormat="1" s="1506">
      <c r="E148" s="1233" t="inlineStr">
        <is>
          <t>*</t>
        </is>
      </c>
      <c r="F148" s="1145" t="n"/>
      <c r="G148" s="1499" t="n"/>
      <c r="H148" s="1499" t="n"/>
      <c r="I148" s="1501" t="n"/>
      <c r="J148" s="1500" t="n"/>
      <c r="K148" s="1533" t="n"/>
      <c r="L148" s="1533" t="n"/>
      <c r="M148" s="1533" t="n"/>
      <c r="N148" s="1533" t="n"/>
      <c r="O148" s="1536" t="n"/>
      <c r="P148" s="1533" t="n"/>
      <c r="Q148" s="1533" t="n"/>
      <c r="S148" s="1500" t="n"/>
      <c r="T148" s="1500" t="n"/>
      <c r="U148" s="1500" t="n"/>
      <c r="V148" s="1500" t="n"/>
    </row>
    <row r="149" customFormat="1" s="1506">
      <c r="E149" s="1233" t="inlineStr">
        <is>
          <t>*</t>
        </is>
      </c>
      <c r="F149" s="1145" t="n"/>
      <c r="G149" s="1500" t="inlineStr">
        <is>
          <t>AP4</t>
        </is>
      </c>
      <c r="H149" s="1594" t="inlineStr">
        <is>
          <t>Volume Growth</t>
        </is>
      </c>
      <c r="I149" s="1501" t="n"/>
      <c r="J149" s="1500" t="n"/>
      <c r="K149" s="1500" t="n"/>
      <c r="L149" s="1500" t="n"/>
      <c r="M149" s="1500" t="n"/>
      <c r="N149" s="1500" t="n"/>
      <c r="O149" s="1503" t="n"/>
      <c r="P149" s="1500" t="n"/>
      <c r="S149" s="1500" t="n"/>
      <c r="T149" s="1500" t="n"/>
      <c r="U149" s="1500" t="n"/>
      <c r="V149" s="1500" t="n"/>
    </row>
    <row r="150" customFormat="1" s="1506">
      <c r="E150" s="1233" t="inlineStr">
        <is>
          <t>*</t>
        </is>
      </c>
      <c r="F150" s="1145" t="n"/>
      <c r="G150" s="1499" t="n"/>
      <c r="H150" s="1499" t="inlineStr">
        <is>
          <t>Pipeline Stream 1</t>
        </is>
      </c>
      <c r="I150" s="1501" t="n"/>
      <c r="J150" s="1500" t="inlineStr">
        <is>
          <t>If exact volumes are entered in above section, auto-calculate growth rates here</t>
        </is>
      </c>
      <c r="K150" s="1585" t="n"/>
      <c r="L150" s="1585" t="n"/>
      <c r="M150" s="1538" t="n"/>
      <c r="N150" s="1538" t="n"/>
      <c r="O150" s="1595" t="n"/>
      <c r="P150" s="1538" t="n"/>
      <c r="Q150" s="1538" t="n"/>
      <c r="S150" s="1500" t="n"/>
      <c r="T150" s="1500" t="n"/>
      <c r="U150" s="1500" t="n"/>
      <c r="V150" s="1500" t="n"/>
    </row>
    <row r="151" customFormat="1" s="1506">
      <c r="E151" s="1233" t="inlineStr">
        <is>
          <t>*</t>
        </is>
      </c>
      <c r="F151" s="1145" t="n"/>
      <c r="G151" s="1499" t="n"/>
      <c r="H151" s="1499" t="inlineStr">
        <is>
          <t>Pipeline Stream 2</t>
        </is>
      </c>
      <c r="I151" s="1501" t="n"/>
      <c r="J151" s="1500" t="inlineStr">
        <is>
          <t>If exact volumes are entered in above section, auto-calculate growth rates here</t>
        </is>
      </c>
      <c r="K151" s="1585" t="n"/>
      <c r="L151" s="1585" t="n"/>
      <c r="M151" s="1538" t="n"/>
      <c r="N151" s="1538" t="n"/>
      <c r="O151" s="1595" t="n"/>
      <c r="P151" s="1538" t="n"/>
      <c r="Q151" s="1538" t="n"/>
      <c r="S151" s="1500" t="n"/>
      <c r="T151" s="1500" t="n"/>
      <c r="U151" s="1500" t="n"/>
      <c r="V151" s="1500" t="n"/>
    </row>
    <row r="152" customFormat="1" s="1506">
      <c r="E152" s="1233" t="inlineStr">
        <is>
          <t>*</t>
        </is>
      </c>
      <c r="F152" s="1145" t="n"/>
      <c r="G152" s="1499" t="n"/>
      <c r="H152" s="1499" t="inlineStr">
        <is>
          <t>Pipeline Stream 3</t>
        </is>
      </c>
      <c r="I152" s="1501" t="n"/>
      <c r="J152" s="1500" t="inlineStr">
        <is>
          <t>If exact volumes are entered in above section, auto-calculate growth rates here</t>
        </is>
      </c>
      <c r="K152" s="1585" t="n"/>
      <c r="L152" s="1585" t="n"/>
      <c r="M152" s="1538" t="n"/>
      <c r="N152" s="1538" t="n"/>
      <c r="O152" s="1595" t="n"/>
      <c r="P152" s="1538" t="n"/>
      <c r="Q152" s="1538" t="n"/>
      <c r="S152" s="1500" t="n"/>
      <c r="T152" s="1500" t="n"/>
      <c r="U152" s="1500" t="n"/>
      <c r="V152" s="1500" t="n"/>
    </row>
    <row r="153" ht="17" customFormat="1" customHeight="1" s="1506" thickBot="1">
      <c r="E153" s="1233" t="inlineStr">
        <is>
          <t>*</t>
        </is>
      </c>
      <c r="F153" s="1145" t="n"/>
      <c r="G153" s="1601" t="n"/>
      <c r="H153" s="1601" t="inlineStr">
        <is>
          <t>Pipeline Stream 4</t>
        </is>
      </c>
      <c r="I153" s="1602" t="n"/>
      <c r="J153" s="1603" t="inlineStr">
        <is>
          <t>If exact volumes are entered in above section, auto-calculate growth rates here</t>
        </is>
      </c>
      <c r="K153" s="1710" t="n"/>
      <c r="L153" s="1710" t="n"/>
      <c r="M153" s="1604" t="n"/>
      <c r="N153" s="1604" t="n"/>
      <c r="O153" s="1605" t="n"/>
      <c r="P153" s="1604" t="n"/>
      <c r="Q153" s="1604" t="n"/>
      <c r="S153" s="1500" t="n"/>
      <c r="T153" s="1500" t="n"/>
      <c r="U153" s="1500" t="n"/>
      <c r="V153" s="1500" t="n"/>
    </row>
    <row r="154">
      <c r="E154" s="1233" t="inlineStr">
        <is>
          <t>*</t>
        </is>
      </c>
      <c r="F154" s="1145" t="n"/>
    </row>
    <row r="155" customFormat="1" s="1506">
      <c r="E155" s="1233" t="inlineStr">
        <is>
          <t>*</t>
        </is>
      </c>
      <c r="G155" s="1606" t="inlineStr">
        <is>
          <t>AF</t>
        </is>
      </c>
      <c r="H155" s="1498" t="inlineStr">
        <is>
          <t>POTENTIAL BUSINESS REVENUES - Price x Volume</t>
        </is>
      </c>
      <c r="I155" s="1500" t="n"/>
      <c r="J155" s="1500" t="n"/>
      <c r="K155" s="1500" t="n"/>
      <c r="L155" s="1500" t="n"/>
      <c r="M155" s="1500" t="n"/>
      <c r="N155" s="1500" t="n"/>
      <c r="O155" s="1500" t="n"/>
      <c r="P155" s="1500" t="n"/>
      <c r="Q155" s="1500" t="n"/>
      <c r="S155" s="1500" t="n"/>
      <c r="T155" s="1500" t="n"/>
      <c r="U155" s="1500" t="n"/>
      <c r="V155" s="1500" t="n"/>
    </row>
    <row r="156" customFormat="1" s="1506">
      <c r="E156" s="1233" t="inlineStr">
        <is>
          <t>*</t>
        </is>
      </c>
      <c r="F156" s="1145" t="n"/>
      <c r="G156" s="1607" t="inlineStr">
        <is>
          <t>Select this Option - I have price &amp; volume data for potential business lines.</t>
        </is>
      </c>
      <c r="H156" s="1500" t="n"/>
      <c r="I156" s="1500" t="n"/>
      <c r="J156" s="1500" t="n"/>
      <c r="K156" s="1500" t="n"/>
      <c r="L156" s="1500" t="n"/>
      <c r="M156" s="1500" t="n"/>
      <c r="N156" s="1500" t="n"/>
      <c r="O156" s="1500" t="n"/>
      <c r="P156" s="1500" t="n"/>
      <c r="Q156" s="1500" t="n"/>
      <c r="S156" s="1500" t="n"/>
      <c r="T156" s="1500" t="n"/>
      <c r="U156" s="1500" t="n"/>
      <c r="V156" s="1500" t="n"/>
    </row>
    <row r="157" ht="49.5" customHeight="1">
      <c r="E157" s="1233" t="inlineStr">
        <is>
          <t>*</t>
        </is>
      </c>
      <c r="F157" s="1145" t="n"/>
      <c r="G157" s="1498" t="inlineStr">
        <is>
          <t>Price</t>
        </is>
      </c>
      <c r="H157" s="1500" t="n"/>
      <c r="I157" s="1501" t="inlineStr">
        <is>
          <t>Prices are often difficult to forecast. The intention here is to ascertain a long-term sustainable average. However, if you are unable to determine specific price levels, we recommend opting for "Forecast using Price Growth".</t>
        </is>
      </c>
      <c r="J157" s="1500" t="inlineStr">
        <is>
          <t>If answer is "Forecast using Average Price", display AF1 (Reference in Column G), else display AF2</t>
        </is>
      </c>
      <c r="N157" s="1592" t="inlineStr">
        <is>
          <t>Forecast using Average Price</t>
        </is>
      </c>
      <c r="O157" s="1593" t="inlineStr">
        <is>
          <t>Forecast using Price growth</t>
        </is>
      </c>
      <c r="Q157" s="1500" t="n"/>
      <c r="R157" s="1552" t="n"/>
    </row>
    <row r="158" customFormat="1" s="1506">
      <c r="E158" s="1233" t="inlineStr">
        <is>
          <t>*</t>
        </is>
      </c>
      <c r="F158" s="1145" t="n"/>
      <c r="G158" s="1500" t="inlineStr">
        <is>
          <t>AF1</t>
        </is>
      </c>
      <c r="H158" s="1594" t="inlineStr">
        <is>
          <t>Price or Average revenue per unit (in information currency)</t>
        </is>
      </c>
      <c r="I158" s="1501" t="n"/>
      <c r="J158" s="1500" t="n"/>
      <c r="K158" s="1500" t="n"/>
      <c r="L158" s="1500" t="n"/>
      <c r="M158" s="1500" t="n"/>
      <c r="N158" s="1500" t="n"/>
      <c r="O158" s="1593" t="inlineStr">
        <is>
          <t>Forecast using Average Price</t>
        </is>
      </c>
      <c r="P158" s="1500" t="n"/>
      <c r="S158" s="1500" t="n"/>
      <c r="T158" s="1500" t="n"/>
      <c r="U158" s="1500" t="n"/>
      <c r="V158" s="1500" t="n"/>
    </row>
    <row r="159" customFormat="1" s="1506">
      <c r="E159" s="1233" t="inlineStr">
        <is>
          <t>*</t>
        </is>
      </c>
      <c r="F159" s="1145" t="n"/>
      <c r="G159" s="1499" t="n"/>
      <c r="H159" s="1499" t="inlineStr">
        <is>
          <t>Potential Stream 1</t>
        </is>
      </c>
      <c r="I159" s="1501" t="n"/>
      <c r="J159" s="1500" t="n"/>
      <c r="K159" s="1585" t="n"/>
      <c r="L159" s="1585" t="n"/>
      <c r="M159" s="1538" t="n"/>
      <c r="N159" s="1538" t="n"/>
      <c r="O159" s="1595" t="n"/>
      <c r="P159" s="1538" t="n"/>
      <c r="Q159" s="1538" t="n"/>
      <c r="S159" s="1500" t="n"/>
      <c r="T159" s="1500" t="n"/>
      <c r="U159" s="1500" t="n"/>
      <c r="V159" s="1500" t="n"/>
    </row>
    <row r="160" customFormat="1" s="1506">
      <c r="E160" s="1233" t="inlineStr">
        <is>
          <t>*</t>
        </is>
      </c>
      <c r="F160" s="1145" t="n"/>
      <c r="G160" s="1499" t="n"/>
      <c r="H160" s="1499" t="inlineStr">
        <is>
          <t>Potential Stream 2</t>
        </is>
      </c>
      <c r="I160" s="1501" t="n"/>
      <c r="J160" s="1500" t="n"/>
      <c r="K160" s="1585" t="n"/>
      <c r="L160" s="1585" t="n"/>
      <c r="M160" s="1538" t="n"/>
      <c r="N160" s="1538" t="n"/>
      <c r="O160" s="1595" t="n"/>
      <c r="P160" s="1538" t="n"/>
      <c r="Q160" s="1538" t="n"/>
      <c r="S160" s="1500" t="n"/>
      <c r="T160" s="1500" t="n"/>
      <c r="U160" s="1500" t="n"/>
      <c r="V160" s="1500" t="n"/>
    </row>
    <row r="161" customFormat="1" s="1506">
      <c r="E161" s="1233" t="inlineStr">
        <is>
          <t>*</t>
        </is>
      </c>
      <c r="F161" s="1145" t="n"/>
      <c r="G161" s="1499" t="n"/>
      <c r="H161" s="1499" t="inlineStr">
        <is>
          <t>Potential Stream 3</t>
        </is>
      </c>
      <c r="I161" s="1501" t="n"/>
      <c r="J161" s="1500" t="n"/>
      <c r="K161" s="1585" t="n"/>
      <c r="L161" s="1585" t="n"/>
      <c r="M161" s="1538" t="n"/>
      <c r="N161" s="1538" t="n"/>
      <c r="O161" s="1595" t="n"/>
      <c r="P161" s="1538" t="n"/>
      <c r="Q161" s="1538" t="n"/>
      <c r="S161" s="1500" t="n"/>
      <c r="T161" s="1500" t="n"/>
      <c r="U161" s="1500" t="n"/>
      <c r="V161" s="1500" t="n"/>
    </row>
    <row r="162" customFormat="1" s="1506">
      <c r="E162" s="1233" t="inlineStr">
        <is>
          <t>*</t>
        </is>
      </c>
      <c r="F162" s="1145" t="n"/>
      <c r="G162" s="1499" t="n"/>
      <c r="H162" s="1499" t="inlineStr">
        <is>
          <t>Potential Stream 4</t>
        </is>
      </c>
      <c r="I162" s="1501" t="n"/>
      <c r="J162" s="1500" t="n"/>
      <c r="K162" s="1585" t="n"/>
      <c r="L162" s="1585" t="n"/>
      <c r="M162" s="1538" t="n"/>
      <c r="N162" s="1538" t="n"/>
      <c r="O162" s="1595" t="n"/>
      <c r="P162" s="1538" t="n"/>
      <c r="Q162" s="1538" t="n"/>
      <c r="S162" s="1500" t="n"/>
      <c r="T162" s="1500" t="n"/>
      <c r="U162" s="1500" t="n"/>
      <c r="V162" s="1500" t="n"/>
    </row>
    <row r="163" customFormat="1" s="1506">
      <c r="E163" s="1233" t="inlineStr">
        <is>
          <t>*</t>
        </is>
      </c>
      <c r="F163" s="1145" t="n"/>
      <c r="G163" s="1499" t="n"/>
      <c r="H163" s="1499" t="n"/>
      <c r="I163" s="1501" t="n"/>
      <c r="J163" s="1500" t="n"/>
      <c r="K163" s="1500" t="n"/>
      <c r="L163" s="1500" t="n"/>
      <c r="M163" s="1500" t="n"/>
      <c r="N163" s="1500" t="n"/>
      <c r="O163" s="1503" t="n"/>
      <c r="P163" s="1500" t="n"/>
      <c r="S163" s="1500" t="n"/>
      <c r="T163" s="1500" t="n"/>
      <c r="U163" s="1500" t="n"/>
      <c r="V163" s="1500" t="n"/>
    </row>
    <row r="164" customFormat="1" s="1506">
      <c r="E164" s="1233" t="inlineStr">
        <is>
          <t>*</t>
        </is>
      </c>
      <c r="F164" s="1145" t="n"/>
      <c r="G164" s="1500" t="inlineStr">
        <is>
          <t>AF2</t>
        </is>
      </c>
      <c r="H164" s="1594" t="inlineStr">
        <is>
          <t>Price Growth</t>
        </is>
      </c>
      <c r="I164" s="1501" t="n"/>
      <c r="J164" s="1500" t="n"/>
      <c r="K164" s="1500" t="n"/>
      <c r="L164" s="1500" t="n"/>
      <c r="M164" s="1500" t="n"/>
      <c r="N164" s="1500" t="n"/>
      <c r="O164" s="1503" t="n"/>
      <c r="P164" s="1500" t="n"/>
      <c r="S164" s="1500" t="n"/>
      <c r="T164" s="1500" t="n"/>
      <c r="U164" s="1500" t="n"/>
      <c r="V164" s="1500" t="n"/>
    </row>
    <row r="165" customFormat="1" s="1506">
      <c r="E165" s="1233" t="inlineStr">
        <is>
          <t>*</t>
        </is>
      </c>
      <c r="F165" s="1145" t="n"/>
      <c r="G165" s="1499" t="n"/>
      <c r="H165" s="1499" t="inlineStr">
        <is>
          <t>Pipeline Stream 1</t>
        </is>
      </c>
      <c r="I165" s="1501" t="n"/>
      <c r="J165" s="1500" t="inlineStr">
        <is>
          <t>If exact prices are entered in above section, auto-calculate growth rates here</t>
        </is>
      </c>
      <c r="K165" s="1585" t="n"/>
      <c r="L165" s="1585" t="n"/>
      <c r="M165" s="1538" t="n"/>
      <c r="N165" s="1538" t="n"/>
      <c r="O165" s="1595" t="n"/>
      <c r="P165" s="1538" t="n"/>
      <c r="Q165" s="1538" t="n"/>
      <c r="S165" s="1500" t="n"/>
      <c r="T165" s="1500" t="n"/>
      <c r="U165" s="1500" t="n"/>
      <c r="V165" s="1500" t="n"/>
    </row>
    <row r="166" customFormat="1" s="1506">
      <c r="E166" s="1233" t="inlineStr">
        <is>
          <t>*</t>
        </is>
      </c>
      <c r="F166" s="1145" t="n"/>
      <c r="G166" s="1499" t="n"/>
      <c r="H166" s="1499" t="inlineStr">
        <is>
          <t>Pipeline Stream 2</t>
        </is>
      </c>
      <c r="I166" s="1501" t="n"/>
      <c r="J166" s="1500" t="inlineStr">
        <is>
          <t>If exact prices are entered in above section, auto-calculate growth rates here</t>
        </is>
      </c>
      <c r="K166" s="1585" t="n"/>
      <c r="L166" s="1585" t="n"/>
      <c r="M166" s="1538" t="n"/>
      <c r="N166" s="1538" t="n"/>
      <c r="O166" s="1595" t="n"/>
      <c r="P166" s="1538" t="n"/>
      <c r="Q166" s="1538" t="n"/>
      <c r="S166" s="1500" t="n"/>
      <c r="T166" s="1500" t="n"/>
      <c r="U166" s="1500" t="n"/>
      <c r="V166" s="1500" t="n"/>
    </row>
    <row r="167" customFormat="1" s="1506">
      <c r="E167" s="1233" t="inlineStr">
        <is>
          <t>*</t>
        </is>
      </c>
      <c r="F167" s="1145" t="n"/>
      <c r="G167" s="1499" t="n"/>
      <c r="H167" s="1499" t="inlineStr">
        <is>
          <t>Pipeline Stream 3</t>
        </is>
      </c>
      <c r="I167" s="1501" t="n"/>
      <c r="J167" s="1500" t="inlineStr">
        <is>
          <t>If exact prices are entered in above section, auto-calculate growth rates here</t>
        </is>
      </c>
      <c r="K167" s="1585" t="n"/>
      <c r="L167" s="1585" t="n"/>
      <c r="M167" s="1538" t="n"/>
      <c r="N167" s="1538" t="n"/>
      <c r="O167" s="1595" t="n"/>
      <c r="P167" s="1538" t="n"/>
      <c r="Q167" s="1538" t="n"/>
      <c r="S167" s="1500" t="n"/>
      <c r="T167" s="1500" t="n"/>
      <c r="U167" s="1500" t="n"/>
      <c r="V167" s="1500" t="n"/>
    </row>
    <row r="168" customFormat="1" s="1506">
      <c r="E168" s="1233" t="inlineStr">
        <is>
          <t>*</t>
        </is>
      </c>
      <c r="F168" s="1145" t="n"/>
      <c r="G168" s="1499" t="n"/>
      <c r="H168" s="1499" t="inlineStr">
        <is>
          <t>Pipeline Stream 4</t>
        </is>
      </c>
      <c r="I168" s="1501" t="n"/>
      <c r="J168" s="1500" t="inlineStr">
        <is>
          <t>If exact prices are entered in above section, auto-calculate growth rates here</t>
        </is>
      </c>
      <c r="K168" s="1585" t="n"/>
      <c r="L168" s="1585" t="n"/>
      <c r="M168" s="1538" t="n"/>
      <c r="N168" s="1538" t="n"/>
      <c r="O168" s="1595" t="n"/>
      <c r="P168" s="1538" t="n"/>
      <c r="Q168" s="1538" t="n"/>
      <c r="S168" s="1500" t="n"/>
      <c r="T168" s="1500" t="n"/>
      <c r="U168" s="1500" t="n"/>
      <c r="V168" s="1500" t="n"/>
    </row>
    <row r="169" customFormat="1" s="1506">
      <c r="E169" s="1233" t="inlineStr">
        <is>
          <t>*</t>
        </is>
      </c>
      <c r="F169" s="1145" t="n"/>
      <c r="G169" s="1499" t="n"/>
      <c r="H169" s="1796" t="n"/>
      <c r="I169" s="1597" t="n"/>
      <c r="J169" s="1598" t="n"/>
      <c r="K169" s="1598" t="n"/>
      <c r="L169" s="1598" t="n"/>
      <c r="M169" s="1598" t="n"/>
      <c r="N169" s="1598" t="n"/>
      <c r="O169" s="1599" t="n"/>
      <c r="P169" s="1598" t="n"/>
      <c r="Q169" s="1600" t="n"/>
      <c r="S169" s="1500" t="n"/>
      <c r="T169" s="1500" t="n"/>
      <c r="U169" s="1500" t="n"/>
      <c r="V169" s="1500" t="n"/>
    </row>
    <row r="170" ht="49.5" customFormat="1" customHeight="1" s="1506">
      <c r="E170" s="1233" t="inlineStr">
        <is>
          <t>*</t>
        </is>
      </c>
      <c r="F170" s="1145" t="n"/>
      <c r="G170" s="1498" t="inlineStr">
        <is>
          <t>Volumes</t>
        </is>
      </c>
      <c r="H170" s="1500" t="n"/>
      <c r="I170" s="1501" t="inlineStr">
        <is>
          <t>Sales volumes can be difficult to forecast. The intention here is to ascertain a long-term sustainable average. However, if you are unable to determine volume levels, we recommend opting for the below "Volume Growth approach".</t>
        </is>
      </c>
      <c r="J170" s="1500" t="inlineStr">
        <is>
          <t>If answer is "Forecast using Average Price", display AF3 (Reference in Column G), else display AF4</t>
        </is>
      </c>
      <c r="K170" s="1500" t="n"/>
      <c r="L170" s="1500" t="n"/>
      <c r="M170" s="1500" t="n"/>
      <c r="N170" s="1592" t="inlineStr">
        <is>
          <t>Forecast using Average Volume</t>
        </is>
      </c>
      <c r="O170" s="1593" t="inlineStr">
        <is>
          <t>Forecast using Volume growth</t>
        </is>
      </c>
      <c r="P170" s="1500" t="n"/>
      <c r="S170" s="1500" t="n"/>
      <c r="T170" s="1500" t="n"/>
      <c r="U170" s="1500" t="n"/>
      <c r="V170" s="1500" t="n"/>
    </row>
    <row r="171" customFormat="1" s="1506">
      <c r="E171" s="1233" t="inlineStr">
        <is>
          <t>*</t>
        </is>
      </c>
      <c r="F171" s="1145" t="n"/>
      <c r="G171" s="1500" t="inlineStr">
        <is>
          <t>AF3</t>
        </is>
      </c>
      <c r="H171" s="1594" t="inlineStr">
        <is>
          <t>Expected sales volumes</t>
        </is>
      </c>
      <c r="I171" s="1501" t="n"/>
      <c r="K171" s="1500" t="n"/>
      <c r="L171" s="1500" t="n"/>
      <c r="M171" s="1500" t="n"/>
      <c r="N171" s="1500" t="n"/>
      <c r="O171" s="1593" t="inlineStr">
        <is>
          <t>Forecast using Average Volume</t>
        </is>
      </c>
      <c r="P171" s="1500" t="n"/>
      <c r="S171" s="1500" t="n"/>
      <c r="T171" s="1500" t="n"/>
      <c r="U171" s="1500" t="n"/>
      <c r="V171" s="1500" t="n"/>
    </row>
    <row r="172" customFormat="1" s="1506">
      <c r="E172" s="1233" t="inlineStr">
        <is>
          <t>*</t>
        </is>
      </c>
      <c r="F172" s="1145" t="n"/>
      <c r="G172" s="1499" t="n"/>
      <c r="H172" s="1499" t="inlineStr">
        <is>
          <t>Pipeline Stream 1</t>
        </is>
      </c>
      <c r="I172" s="1501" t="n"/>
      <c r="J172" s="1500" t="n"/>
      <c r="K172" s="1585" t="n"/>
      <c r="L172" s="1585" t="n"/>
      <c r="M172" s="1538" t="n"/>
      <c r="N172" s="1538" t="n"/>
      <c r="O172" s="1595" t="n"/>
      <c r="P172" s="1538" t="n"/>
      <c r="Q172" s="1538" t="n"/>
      <c r="S172" s="1500" t="n"/>
      <c r="T172" s="1500" t="n"/>
      <c r="U172" s="1500" t="n"/>
      <c r="V172" s="1500" t="n"/>
    </row>
    <row r="173" customFormat="1" s="1506">
      <c r="E173" s="1233" t="inlineStr">
        <is>
          <t>*</t>
        </is>
      </c>
      <c r="F173" s="1145" t="n"/>
      <c r="G173" s="1499" t="n"/>
      <c r="H173" s="1499" t="inlineStr">
        <is>
          <t>Pipeline Stream 2</t>
        </is>
      </c>
      <c r="I173" s="1501" t="n"/>
      <c r="J173" s="1500" t="n"/>
      <c r="K173" s="1585" t="n"/>
      <c r="L173" s="1585" t="n"/>
      <c r="M173" s="1538" t="n"/>
      <c r="N173" s="1538" t="n"/>
      <c r="O173" s="1595" t="n"/>
      <c r="P173" s="1538" t="n"/>
      <c r="Q173" s="1538" t="n"/>
      <c r="S173" s="1500" t="n"/>
      <c r="T173" s="1500" t="n"/>
      <c r="U173" s="1500" t="n"/>
      <c r="V173" s="1500" t="n"/>
    </row>
    <row r="174" customFormat="1" s="1506">
      <c r="E174" s="1233" t="inlineStr">
        <is>
          <t>*</t>
        </is>
      </c>
      <c r="F174" s="1145" t="n"/>
      <c r="G174" s="1499" t="n"/>
      <c r="H174" s="1499" t="inlineStr">
        <is>
          <t>Pipeline Stream 3</t>
        </is>
      </c>
      <c r="I174" s="1501" t="n"/>
      <c r="J174" s="1500" t="n"/>
      <c r="K174" s="1585" t="n"/>
      <c r="L174" s="1585" t="n"/>
      <c r="M174" s="1538" t="n"/>
      <c r="N174" s="1538" t="n"/>
      <c r="O174" s="1595" t="n"/>
      <c r="P174" s="1538" t="n"/>
      <c r="Q174" s="1538" t="n"/>
      <c r="S174" s="1500" t="n"/>
      <c r="T174" s="1500" t="n"/>
      <c r="U174" s="1500" t="n"/>
      <c r="V174" s="1500" t="n"/>
    </row>
    <row r="175" customFormat="1" s="1506">
      <c r="E175" s="1233" t="inlineStr">
        <is>
          <t>*</t>
        </is>
      </c>
      <c r="F175" s="1145" t="n"/>
      <c r="G175" s="1499" t="n"/>
      <c r="H175" s="1499" t="inlineStr">
        <is>
          <t>Pipeline Stream 4</t>
        </is>
      </c>
      <c r="I175" s="1501" t="n"/>
      <c r="J175" s="1500" t="n"/>
      <c r="K175" s="1585" t="n"/>
      <c r="L175" s="1585" t="n"/>
      <c r="M175" s="1538" t="n"/>
      <c r="N175" s="1538" t="n"/>
      <c r="O175" s="1595" t="n"/>
      <c r="P175" s="1538" t="n"/>
      <c r="Q175" s="1538" t="n"/>
      <c r="S175" s="1500" t="n"/>
      <c r="T175" s="1500" t="n"/>
      <c r="U175" s="1500" t="n"/>
      <c r="V175" s="1500" t="n"/>
    </row>
    <row r="176" customFormat="1" s="1506">
      <c r="E176" s="1233" t="inlineStr">
        <is>
          <t>*</t>
        </is>
      </c>
      <c r="F176" s="1145" t="n"/>
      <c r="G176" s="1499" t="n"/>
      <c r="H176" s="1499" t="n"/>
      <c r="I176" s="1501" t="n"/>
      <c r="J176" s="1500" t="n"/>
      <c r="U176" s="1500" t="n"/>
      <c r="V176" s="1500" t="n"/>
    </row>
    <row r="177" customFormat="1" s="1506">
      <c r="E177" s="1233" t="inlineStr">
        <is>
          <t>*</t>
        </is>
      </c>
      <c r="F177" s="1145" t="n"/>
      <c r="G177" s="1500" t="inlineStr">
        <is>
          <t>AF4</t>
        </is>
      </c>
      <c r="H177" s="1594" t="inlineStr">
        <is>
          <t>Volume Growth</t>
        </is>
      </c>
      <c r="I177" s="1501" t="n"/>
      <c r="J177" s="1500" t="n"/>
      <c r="K177" s="1500" t="n"/>
      <c r="L177" s="1500" t="n"/>
      <c r="M177" s="1500" t="n"/>
      <c r="N177" s="1500" t="n"/>
      <c r="O177" s="1503" t="n"/>
      <c r="P177" s="1500" t="n"/>
      <c r="S177" s="1500" t="n"/>
      <c r="T177" s="1500" t="n"/>
      <c r="U177" s="1500" t="n"/>
      <c r="V177" s="1500" t="n"/>
    </row>
    <row r="178" customFormat="1" s="1506">
      <c r="E178" s="1233" t="inlineStr">
        <is>
          <t>*</t>
        </is>
      </c>
      <c r="F178" s="1145" t="n"/>
      <c r="G178" s="1499" t="n"/>
      <c r="H178" s="1499" t="inlineStr">
        <is>
          <t>Pipeline Stream 1</t>
        </is>
      </c>
      <c r="I178" s="1501" t="n"/>
      <c r="J178" s="1500" t="inlineStr">
        <is>
          <t>If exact volumes are entered in above section, auto-calculate growth rates here</t>
        </is>
      </c>
      <c r="K178" s="1585" t="n"/>
      <c r="L178" s="1585" t="n"/>
      <c r="M178" s="1538" t="n"/>
      <c r="N178" s="1538" t="n"/>
      <c r="O178" s="1595" t="n"/>
      <c r="P178" s="1538" t="n"/>
      <c r="Q178" s="1538" t="n"/>
      <c r="S178" s="1500" t="n"/>
      <c r="T178" s="1500" t="n"/>
      <c r="U178" s="1500" t="n"/>
      <c r="V178" s="1500" t="n"/>
    </row>
    <row r="179" customFormat="1" s="1506">
      <c r="E179" s="1233" t="inlineStr">
        <is>
          <t>*</t>
        </is>
      </c>
      <c r="F179" s="1145" t="n"/>
      <c r="G179" s="1499" t="n"/>
      <c r="H179" s="1499" t="inlineStr">
        <is>
          <t>Pipeline Stream 2</t>
        </is>
      </c>
      <c r="I179" s="1501" t="n"/>
      <c r="J179" s="1500" t="inlineStr">
        <is>
          <t>If exact volumes are entered in above section, auto-calculate growth rates here</t>
        </is>
      </c>
      <c r="K179" s="1585" t="n"/>
      <c r="L179" s="1585" t="n"/>
      <c r="M179" s="1538" t="n"/>
      <c r="N179" s="1538" t="n"/>
      <c r="O179" s="1595" t="n"/>
      <c r="P179" s="1538" t="n"/>
      <c r="Q179" s="1538" t="n"/>
      <c r="S179" s="1500" t="n"/>
      <c r="T179" s="1500" t="n"/>
      <c r="U179" s="1500" t="n"/>
      <c r="V179" s="1500" t="n"/>
    </row>
    <row r="180" customFormat="1" s="1506">
      <c r="E180" s="1233" t="inlineStr">
        <is>
          <t>*</t>
        </is>
      </c>
      <c r="F180" s="1145" t="n"/>
      <c r="G180" s="1499" t="n"/>
      <c r="H180" s="1499" t="inlineStr">
        <is>
          <t>Pipeline Stream 3</t>
        </is>
      </c>
      <c r="I180" s="1501" t="n"/>
      <c r="J180" s="1500" t="inlineStr">
        <is>
          <t>If exact volumes are entered in above section, auto-calculate growth rates here</t>
        </is>
      </c>
      <c r="K180" s="1585" t="n"/>
      <c r="L180" s="1585" t="n"/>
      <c r="M180" s="1538" t="n"/>
      <c r="N180" s="1538" t="n"/>
      <c r="O180" s="1595" t="n"/>
      <c r="P180" s="1538" t="n"/>
      <c r="Q180" s="1538" t="n"/>
      <c r="S180" s="1500" t="n"/>
      <c r="T180" s="1500" t="n"/>
      <c r="U180" s="1500" t="n"/>
      <c r="V180" s="1500" t="n"/>
    </row>
    <row r="181" ht="17" customFormat="1" customHeight="1" s="1506" thickBot="1">
      <c r="E181" s="1233" t="inlineStr">
        <is>
          <t>*</t>
        </is>
      </c>
      <c r="F181" s="1145" t="n"/>
      <c r="G181" s="1601" t="n"/>
      <c r="H181" s="1601" t="inlineStr">
        <is>
          <t>Pipeline Stream 4</t>
        </is>
      </c>
      <c r="I181" s="1602" t="n"/>
      <c r="J181" s="1603" t="inlineStr">
        <is>
          <t>If exact volumes are entered in above section, auto-calculate growth rates here</t>
        </is>
      </c>
      <c r="K181" s="1710" t="n"/>
      <c r="L181" s="1710" t="n"/>
      <c r="M181" s="1604" t="n"/>
      <c r="N181" s="1604" t="n"/>
      <c r="O181" s="1605" t="n"/>
      <c r="P181" s="1604" t="n"/>
      <c r="Q181" s="1604" t="n"/>
      <c r="S181" s="1500" t="n"/>
      <c r="T181" s="1500" t="n"/>
      <c r="U181" s="1500" t="n"/>
      <c r="V181" s="1500" t="n"/>
    </row>
    <row r="182">
      <c r="E182" s="1233" t="inlineStr">
        <is>
          <t>*</t>
        </is>
      </c>
      <c r="F182" s="1145" t="n"/>
    </row>
    <row r="183" customFormat="1" s="1506">
      <c r="E183" s="1233" t="inlineStr">
        <is>
          <t>*</t>
        </is>
      </c>
      <c r="F183" s="1145" t="n"/>
      <c r="G183" s="1519" t="inlineStr">
        <is>
          <t>Schedule B - No Price x Volume</t>
        </is>
      </c>
      <c r="H183" s="1519" t="n"/>
      <c r="I183" s="1608" t="n"/>
      <c r="J183" s="1589" t="n"/>
      <c r="K183" s="1589" t="inlineStr">
        <is>
          <t>YTD</t>
        </is>
      </c>
      <c r="L183" s="1589" t="inlineStr">
        <is>
          <t>Current Year</t>
        </is>
      </c>
      <c r="M183" s="1589">
        <f>M97</f>
        <v/>
      </c>
      <c r="N183" s="1589">
        <f>N97</f>
        <v/>
      </c>
      <c r="O183" s="1590">
        <f>O97</f>
        <v/>
      </c>
      <c r="P183" s="1589">
        <f>P97</f>
        <v/>
      </c>
      <c r="Q183" s="1589">
        <f>Q97</f>
        <v/>
      </c>
      <c r="S183" s="1500" t="n"/>
      <c r="T183" s="1500" t="n"/>
      <c r="U183" s="1500" t="n"/>
      <c r="V183" s="1500" t="n"/>
    </row>
    <row r="184" customFormat="1" s="1506">
      <c r="E184" s="1233" t="inlineStr">
        <is>
          <t>*</t>
        </is>
      </c>
      <c r="F184" s="1145" t="n"/>
      <c r="G184" s="1583" t="n"/>
      <c r="H184" s="1583" t="n"/>
      <c r="I184" s="1583" t="n"/>
      <c r="J184" s="1498" t="n"/>
      <c r="K184" s="1498" t="n"/>
      <c r="L184" s="1498" t="n"/>
      <c r="M184" s="1498" t="n"/>
      <c r="N184" s="1498" t="n"/>
      <c r="O184" s="1591" t="n"/>
      <c r="P184" s="1498" t="n"/>
      <c r="Q184" s="1498" t="n"/>
      <c r="S184" s="1500" t="n"/>
      <c r="T184" s="1500" t="n"/>
      <c r="U184" s="1500" t="n"/>
      <c r="V184" s="1500" t="n"/>
    </row>
    <row r="185" customFormat="1" s="1506">
      <c r="E185" s="1233" t="inlineStr">
        <is>
          <t>*</t>
        </is>
      </c>
      <c r="F185" s="1145" t="n"/>
      <c r="G185" s="1583" t="inlineStr">
        <is>
          <t>BE</t>
        </is>
      </c>
      <c r="H185" s="1609" t="inlineStr">
        <is>
          <t>Existing Business</t>
        </is>
      </c>
      <c r="I185" s="1609" t="n"/>
      <c r="J185" s="1498" t="n"/>
      <c r="K185" s="1498" t="n"/>
      <c r="L185" s="1498" t="n"/>
      <c r="M185" s="1498" t="n"/>
      <c r="N185" s="1498" t="n"/>
      <c r="O185" s="1591" t="n"/>
      <c r="P185" s="1498" t="n"/>
      <c r="Q185" s="1498" t="n"/>
      <c r="S185" s="1500" t="n"/>
      <c r="T185" s="1500" t="n"/>
      <c r="U185" s="1500" t="n"/>
      <c r="V185" s="1500" t="n"/>
    </row>
    <row r="186" customFormat="1" s="1506">
      <c r="E186" s="1233" t="inlineStr">
        <is>
          <t>*</t>
        </is>
      </c>
      <c r="F186" s="1145" t="n"/>
      <c r="G186" s="1583" t="n"/>
      <c r="H186" s="1583" t="n"/>
      <c r="I186" s="1501" t="inlineStr">
        <is>
          <t>Please select most appropriate option.</t>
        </is>
      </c>
      <c r="J186" s="1500" t="inlineStr">
        <is>
          <t>If answer is A, display BE1, else display BE2</t>
        </is>
      </c>
      <c r="K186" s="1498" t="n"/>
      <c r="L186" s="1498" t="n"/>
      <c r="M186" s="1498" t="n"/>
      <c r="N186" s="1592" t="inlineStr">
        <is>
          <t>I can only provide consolidated total revenue for existing business.</t>
        </is>
      </c>
      <c r="O186" s="1500" t="inlineStr">
        <is>
          <t>A. I can provide specific revenue estimates for each existing business line</t>
        </is>
      </c>
      <c r="P186" s="1498" t="n"/>
      <c r="Q186" s="1498" t="n"/>
      <c r="S186" s="1500" t="n"/>
      <c r="T186" s="1500" t="n"/>
      <c r="U186" s="1500" t="n"/>
      <c r="V186" s="1500" t="n"/>
    </row>
    <row r="187" customFormat="1" s="1506">
      <c r="E187" s="1233" t="inlineStr">
        <is>
          <t>*</t>
        </is>
      </c>
      <c r="F187" s="1145" t="n"/>
      <c r="H187" s="1583" t="n"/>
      <c r="I187" s="1583" t="n"/>
      <c r="J187" s="1498" t="n"/>
      <c r="K187" s="1498" t="n"/>
      <c r="L187" s="1498" t="n"/>
      <c r="M187" s="1498" t="n"/>
      <c r="O187" s="1500" t="inlineStr">
        <is>
          <t>B. I can only provide consolidated total revenue for existing business.</t>
        </is>
      </c>
      <c r="P187" s="1498" t="n"/>
      <c r="Q187" s="1498" t="n"/>
      <c r="S187" s="1500" t="n"/>
      <c r="T187" s="1500" t="n"/>
      <c r="U187" s="1500" t="n"/>
      <c r="V187" s="1500" t="n"/>
    </row>
    <row r="188" customFormat="1" s="1506">
      <c r="E188" s="1233" t="inlineStr">
        <is>
          <t>*</t>
        </is>
      </c>
      <c r="F188" s="1145" t="n"/>
      <c r="G188" s="1506" t="inlineStr">
        <is>
          <t>BE1</t>
        </is>
      </c>
      <c r="H188" s="1594" t="inlineStr">
        <is>
          <t>Existing Revenue</t>
        </is>
      </c>
      <c r="I188" s="1501" t="n"/>
      <c r="J188" s="1500" t="n"/>
      <c r="K188" s="1500" t="n"/>
      <c r="L188" s="1500" t="n"/>
      <c r="M188" s="1500" t="n"/>
      <c r="N188" s="1500" t="n"/>
      <c r="O188" s="1503" t="n"/>
      <c r="P188" s="1500" t="n"/>
      <c r="S188" s="1500" t="n"/>
      <c r="T188" s="1500" t="n"/>
      <c r="U188" s="1500" t="n"/>
      <c r="V188" s="1500" t="n"/>
    </row>
    <row r="189" customFormat="1" s="1506">
      <c r="E189" s="1233" t="inlineStr">
        <is>
          <t>*</t>
        </is>
      </c>
      <c r="F189" s="1145" t="n"/>
      <c r="H189" s="1499" t="inlineStr">
        <is>
          <t>Revenue Stream 1</t>
        </is>
      </c>
      <c r="I189" s="1501" t="n"/>
      <c r="J189" s="1500" t="inlineStr">
        <is>
          <t>If contributions are entered in below section, auto-calculate exact revenues here</t>
        </is>
      </c>
      <c r="K189" s="1585" t="n"/>
      <c r="L189" s="1585" t="n"/>
      <c r="M189" s="1538" t="n"/>
      <c r="N189" s="1538" t="n"/>
      <c r="O189" s="1595" t="n"/>
      <c r="P189" s="1538" t="n"/>
      <c r="Q189" s="1538" t="n"/>
      <c r="S189" s="1500" t="n"/>
      <c r="T189" s="1500" t="n"/>
      <c r="U189" s="1500" t="n"/>
      <c r="V189" s="1500" t="n"/>
    </row>
    <row r="190" customFormat="1" s="1506">
      <c r="E190" s="1233" t="inlineStr">
        <is>
          <t>*</t>
        </is>
      </c>
      <c r="F190" s="1145" t="n"/>
      <c r="H190" s="1499" t="inlineStr">
        <is>
          <t>Revenue Stream 2</t>
        </is>
      </c>
      <c r="I190" s="1501" t="n"/>
      <c r="J190" s="1500" t="inlineStr">
        <is>
          <t>If contributions are entered in below section, auto-calculate exact revenues here</t>
        </is>
      </c>
      <c r="K190" s="1585" t="n"/>
      <c r="L190" s="1585" t="n"/>
      <c r="M190" s="1538" t="n"/>
      <c r="N190" s="1538" t="n"/>
      <c r="O190" s="1595" t="n"/>
      <c r="P190" s="1538" t="n"/>
      <c r="Q190" s="1538" t="n"/>
      <c r="S190" s="1500" t="n"/>
      <c r="T190" s="1500" t="n"/>
      <c r="U190" s="1500" t="n"/>
      <c r="V190" s="1500" t="n"/>
    </row>
    <row r="191" customFormat="1" s="1506">
      <c r="E191" s="1233" t="inlineStr">
        <is>
          <t>*</t>
        </is>
      </c>
      <c r="F191" s="1145" t="n"/>
      <c r="H191" s="1499" t="inlineStr">
        <is>
          <t>Revenue Stream 3</t>
        </is>
      </c>
      <c r="I191" s="1501" t="n"/>
      <c r="J191" s="1500" t="inlineStr">
        <is>
          <t>If contributions are entered in below section, auto-calculate exact revenues here</t>
        </is>
      </c>
      <c r="K191" s="1585" t="n"/>
      <c r="L191" s="1585" t="n"/>
      <c r="M191" s="1538" t="n"/>
      <c r="N191" s="1538" t="n"/>
      <c r="O191" s="1595" t="n"/>
      <c r="P191" s="1538" t="n"/>
      <c r="Q191" s="1538" t="n"/>
      <c r="S191" s="1500" t="n"/>
      <c r="T191" s="1500" t="n"/>
      <c r="U191" s="1500" t="n"/>
      <c r="V191" s="1500" t="n"/>
    </row>
    <row r="192" customFormat="1" s="1506">
      <c r="E192" s="1233" t="inlineStr">
        <is>
          <t>*</t>
        </is>
      </c>
      <c r="F192" s="1145" t="n"/>
      <c r="H192" s="1499" t="inlineStr">
        <is>
          <t>Revenue Stream 4</t>
        </is>
      </c>
      <c r="I192" s="1501" t="n"/>
      <c r="J192" s="1500" t="inlineStr">
        <is>
          <t>If contributions are entered in below section, auto-calculate exact revenues here</t>
        </is>
      </c>
      <c r="K192" s="1585" t="n"/>
      <c r="L192" s="1585" t="n"/>
      <c r="M192" s="1538" t="n"/>
      <c r="N192" s="1538" t="n"/>
      <c r="O192" s="1595" t="n"/>
      <c r="P192" s="1538" t="n"/>
      <c r="Q192" s="1538" t="n"/>
      <c r="S192" s="1500" t="n"/>
      <c r="T192" s="1500" t="n"/>
      <c r="U192" s="1500" t="n"/>
      <c r="V192" s="1500" t="n"/>
    </row>
    <row r="193" customFormat="1" s="1506">
      <c r="E193" s="1233" t="inlineStr">
        <is>
          <t>*</t>
        </is>
      </c>
      <c r="F193" s="1145" t="n"/>
      <c r="G193" s="1499" t="n"/>
      <c r="H193" s="1500" t="n"/>
      <c r="I193" s="1501" t="n"/>
      <c r="J193" s="1500" t="n"/>
      <c r="K193" s="1500" t="n"/>
      <c r="L193" s="1500" t="n"/>
      <c r="M193" s="1500" t="n"/>
      <c r="N193" s="1500" t="n"/>
      <c r="O193" s="1503" t="n"/>
      <c r="P193" s="1500" t="n"/>
      <c r="S193" s="1500" t="n"/>
      <c r="T193" s="1500" t="n"/>
      <c r="U193" s="1500" t="n"/>
      <c r="V193" s="1500" t="n"/>
    </row>
    <row r="194" ht="17.5" customFormat="1" customHeight="1" s="1506">
      <c r="E194" s="1233" t="inlineStr">
        <is>
          <t>*</t>
        </is>
      </c>
      <c r="F194" s="1145" t="n"/>
      <c r="G194" s="1506" t="inlineStr">
        <is>
          <t>BE2</t>
        </is>
      </c>
      <c r="H194" s="1499" t="inlineStr">
        <is>
          <t>Total Existing Revenue (value)</t>
        </is>
      </c>
      <c r="J194" s="1500" t="n"/>
      <c r="K194" s="1712" t="n"/>
      <c r="L194" s="1712" t="n"/>
      <c r="M194" s="1538" t="n"/>
      <c r="N194" s="1538" t="n"/>
      <c r="O194" s="1595" t="n"/>
      <c r="P194" s="1538" t="n"/>
      <c r="Q194" s="1538" t="n"/>
      <c r="S194" s="1500" t="n"/>
      <c r="T194" s="1500" t="n"/>
      <c r="U194" s="1500" t="n"/>
      <c r="V194" s="1500" t="n"/>
    </row>
    <row r="195" ht="17.5" customFormat="1" customHeight="1" s="1506">
      <c r="E195" s="1233" t="inlineStr">
        <is>
          <t>*</t>
        </is>
      </c>
      <c r="F195" s="1145" t="n"/>
      <c r="H195" s="1610" t="inlineStr">
        <is>
          <t>Existing Revenue Stream 1 - contribution %</t>
        </is>
      </c>
      <c r="K195" s="1712" t="n"/>
      <c r="L195" s="1712" t="n"/>
      <c r="M195" s="1538" t="n"/>
      <c r="N195" s="1538" t="n"/>
      <c r="O195" s="1595" t="n"/>
      <c r="P195" s="1538" t="n"/>
      <c r="Q195" s="1538" t="n"/>
      <c r="S195" s="1500" t="n"/>
      <c r="T195" s="1500" t="n"/>
      <c r="U195" s="1500" t="n"/>
      <c r="V195" s="1500" t="n"/>
    </row>
    <row r="196" ht="17.5" customFormat="1" customHeight="1" s="1506">
      <c r="E196" s="1233" t="inlineStr">
        <is>
          <t>*</t>
        </is>
      </c>
      <c r="F196" s="1145" t="n"/>
      <c r="H196" s="1610" t="inlineStr">
        <is>
          <t>Existing Revenue Stream 2 - contribution %</t>
        </is>
      </c>
      <c r="J196" s="1500" t="n"/>
      <c r="K196" s="1712" t="n"/>
      <c r="L196" s="1712" t="n"/>
      <c r="M196" s="1538" t="n"/>
      <c r="N196" s="1538" t="n"/>
      <c r="O196" s="1595" t="n"/>
      <c r="P196" s="1538" t="n"/>
      <c r="Q196" s="1538" t="n"/>
      <c r="S196" s="1500" t="n"/>
      <c r="T196" s="1500" t="n"/>
      <c r="U196" s="1500" t="n"/>
      <c r="V196" s="1500" t="n"/>
    </row>
    <row r="197" ht="17.5" customFormat="1" customHeight="1" s="1506">
      <c r="E197" s="1233" t="inlineStr">
        <is>
          <t>*</t>
        </is>
      </c>
      <c r="F197" s="1145" t="n"/>
      <c r="H197" s="1610" t="inlineStr">
        <is>
          <t>Existing Revenue Stream 3 - contribution %</t>
        </is>
      </c>
      <c r="J197" s="1500" t="n"/>
      <c r="K197" s="1712" t="n"/>
      <c r="L197" s="1712" t="n"/>
      <c r="M197" s="1538" t="n"/>
      <c r="N197" s="1538" t="n"/>
      <c r="O197" s="1595" t="n"/>
      <c r="P197" s="1538" t="n"/>
      <c r="Q197" s="1538" t="n"/>
      <c r="S197" s="1500" t="n"/>
      <c r="T197" s="1500" t="n"/>
      <c r="U197" s="1500" t="n"/>
      <c r="V197" s="1500" t="n"/>
    </row>
    <row r="198" ht="17.5" customFormat="1" customHeight="1" s="1506">
      <c r="E198" s="1233" t="inlineStr">
        <is>
          <t>*</t>
        </is>
      </c>
      <c r="F198" s="1145" t="n"/>
      <c r="H198" s="1610" t="inlineStr">
        <is>
          <t>Existing Revenue Stream 3 - contribution %</t>
        </is>
      </c>
      <c r="J198" s="1500" t="n"/>
      <c r="K198" s="1712" t="n"/>
      <c r="L198" s="1712" t="n"/>
      <c r="M198" s="1538" t="n"/>
      <c r="N198" s="1538" t="n"/>
      <c r="O198" s="1595" t="n"/>
      <c r="P198" s="1538" t="n"/>
      <c r="Q198" s="1538" t="n"/>
      <c r="S198" s="1500" t="n"/>
      <c r="T198" s="1500" t="n"/>
      <c r="U198" s="1500" t="n"/>
      <c r="V198" s="1500" t="n"/>
    </row>
    <row r="199">
      <c r="E199" s="1233" t="inlineStr">
        <is>
          <t>*</t>
        </is>
      </c>
      <c r="F199" s="1145" t="n"/>
    </row>
    <row r="200" customFormat="1" s="1506">
      <c r="E200" s="1233" t="inlineStr">
        <is>
          <t>*</t>
        </is>
      </c>
      <c r="F200" s="1145" t="n"/>
      <c r="G200" s="1606" t="inlineStr">
        <is>
          <t>BP</t>
        </is>
      </c>
      <c r="H200" s="1609" t="inlineStr">
        <is>
          <t>Pipeline Business</t>
        </is>
      </c>
      <c r="I200" s="1609" t="n"/>
      <c r="J200" s="1500" t="n"/>
      <c r="K200" s="1500" t="n"/>
      <c r="L200" s="1500" t="n"/>
      <c r="M200" s="1611" t="n"/>
      <c r="N200" s="1611" t="n"/>
      <c r="O200" s="1612" t="n"/>
      <c r="P200" s="1611" t="n"/>
      <c r="Q200" s="1611" t="n"/>
      <c r="S200" s="1500" t="n"/>
      <c r="T200" s="1500" t="n"/>
      <c r="U200" s="1500" t="n"/>
      <c r="V200" s="1500" t="n"/>
    </row>
    <row r="201" customFormat="1" s="1506">
      <c r="E201" s="1233" t="inlineStr">
        <is>
          <t>*</t>
        </is>
      </c>
      <c r="F201" s="1145" t="n"/>
      <c r="G201" s="1583" t="n"/>
      <c r="H201" s="1583" t="n"/>
      <c r="I201" s="1501" t="inlineStr">
        <is>
          <t>Please select most appropriate option.</t>
        </is>
      </c>
      <c r="J201" s="1500" t="inlineStr">
        <is>
          <t>If answer is A, display BP1, else display BP2</t>
        </is>
      </c>
      <c r="K201" s="1498" t="n"/>
      <c r="L201" s="1498" t="n"/>
      <c r="M201" s="1498" t="n"/>
      <c r="N201" s="1592" t="inlineStr">
        <is>
          <t>B. I can only provide consolidated total revenue for pipeline business.</t>
        </is>
      </c>
      <c r="O201" s="1500" t="inlineStr">
        <is>
          <t>A. I can provide specific revenue estimates for each pipeline business line</t>
        </is>
      </c>
      <c r="P201" s="1498" t="n"/>
      <c r="Q201" s="1498" t="n"/>
      <c r="S201" s="1500" t="n"/>
      <c r="T201" s="1500" t="n"/>
      <c r="U201" s="1500" t="n"/>
      <c r="V201" s="1500" t="n"/>
    </row>
    <row r="202" customFormat="1" s="1506">
      <c r="E202" s="1233" t="inlineStr">
        <is>
          <t>*</t>
        </is>
      </c>
      <c r="F202" s="1145" t="n"/>
      <c r="H202" s="1583" t="n"/>
      <c r="I202" s="1583" t="n"/>
      <c r="J202" s="1498" t="n"/>
      <c r="K202" s="1498" t="n"/>
      <c r="L202" s="1498" t="n"/>
      <c r="M202" s="1498" t="n"/>
      <c r="O202" s="1500" t="inlineStr">
        <is>
          <t>B. I can only provide consolidated total revenue for pipeline business.</t>
        </is>
      </c>
      <c r="P202" s="1498" t="n"/>
      <c r="Q202" s="1498" t="n"/>
      <c r="S202" s="1500" t="n"/>
      <c r="T202" s="1500" t="n"/>
      <c r="U202" s="1500" t="n"/>
      <c r="V202" s="1500" t="n"/>
    </row>
    <row r="203" customFormat="1" s="1506">
      <c r="E203" s="1233" t="inlineStr">
        <is>
          <t>*</t>
        </is>
      </c>
      <c r="F203" s="1145" t="n"/>
      <c r="G203" s="1506" t="inlineStr">
        <is>
          <t>BP1</t>
        </is>
      </c>
      <c r="H203" s="1594" t="inlineStr">
        <is>
          <t>Pipeline Revenues</t>
        </is>
      </c>
      <c r="J203" s="1500" t="n"/>
      <c r="K203" s="1500" t="n"/>
      <c r="L203" s="1500" t="n"/>
      <c r="M203" s="1500" t="n"/>
      <c r="N203" s="1500" t="n"/>
      <c r="O203" s="1503" t="n"/>
      <c r="P203" s="1500" t="n"/>
      <c r="S203" s="1500" t="n"/>
      <c r="T203" s="1500" t="n"/>
      <c r="U203" s="1500" t="n"/>
      <c r="V203" s="1500" t="n"/>
    </row>
    <row r="204" customFormat="1" s="1506">
      <c r="E204" s="1233" t="inlineStr">
        <is>
          <t>*</t>
        </is>
      </c>
      <c r="F204" s="1145" t="n"/>
      <c r="H204" s="1499" t="inlineStr">
        <is>
          <t>Pipeline Stream 1</t>
        </is>
      </c>
      <c r="J204" s="1500" t="inlineStr">
        <is>
          <t>If contributions are entered in below section, auto-calculate exact revenues here</t>
        </is>
      </c>
      <c r="K204" s="1585" t="n"/>
      <c r="L204" s="1585" t="n"/>
      <c r="M204" s="1538" t="n"/>
      <c r="N204" s="1538" t="n"/>
      <c r="O204" s="1595" t="n"/>
      <c r="P204" s="1538" t="n"/>
      <c r="Q204" s="1538" t="n"/>
      <c r="S204" s="1500" t="n"/>
      <c r="T204" s="1500" t="n"/>
      <c r="U204" s="1500" t="n"/>
      <c r="V204" s="1500" t="n"/>
    </row>
    <row r="205" customFormat="1" s="1506">
      <c r="E205" s="1233" t="inlineStr">
        <is>
          <t>*</t>
        </is>
      </c>
      <c r="F205" s="1145" t="n"/>
      <c r="H205" s="1499" t="inlineStr">
        <is>
          <t>Pipeline Stream 2</t>
        </is>
      </c>
      <c r="J205" s="1500" t="inlineStr">
        <is>
          <t>If contributions are entered in below section, auto-calculate exact revenues here</t>
        </is>
      </c>
      <c r="K205" s="1585" t="n"/>
      <c r="L205" s="1585" t="n"/>
      <c r="M205" s="1538" t="n"/>
      <c r="N205" s="1538" t="n"/>
      <c r="O205" s="1595" t="n"/>
      <c r="P205" s="1538" t="n"/>
      <c r="Q205" s="1538" t="n"/>
      <c r="S205" s="1500" t="n"/>
      <c r="T205" s="1500" t="n"/>
      <c r="U205" s="1500" t="n"/>
      <c r="V205" s="1500" t="n"/>
    </row>
    <row r="206" customFormat="1" s="1506">
      <c r="E206" s="1233" t="inlineStr">
        <is>
          <t>*</t>
        </is>
      </c>
      <c r="F206" s="1145" t="n"/>
      <c r="H206" s="1499" t="inlineStr">
        <is>
          <t>Pipeline Stream 3</t>
        </is>
      </c>
      <c r="J206" s="1500" t="inlineStr">
        <is>
          <t>If contributions are entered in below section, auto-calculate exact revenues here</t>
        </is>
      </c>
      <c r="K206" s="1585" t="n"/>
      <c r="L206" s="1585" t="n"/>
      <c r="M206" s="1538" t="n"/>
      <c r="N206" s="1538" t="n"/>
      <c r="O206" s="1595" t="n"/>
      <c r="P206" s="1538" t="n"/>
      <c r="Q206" s="1538" t="n"/>
      <c r="S206" s="1500" t="n"/>
      <c r="T206" s="1500" t="n"/>
      <c r="U206" s="1500" t="n"/>
      <c r="V206" s="1500" t="n"/>
    </row>
    <row r="207" customFormat="1" s="1506">
      <c r="E207" s="1233" t="inlineStr">
        <is>
          <t>*</t>
        </is>
      </c>
      <c r="F207" s="1145" t="n"/>
      <c r="H207" s="1499" t="inlineStr">
        <is>
          <t>Pipeline Stream 4</t>
        </is>
      </c>
      <c r="J207" s="1500" t="inlineStr">
        <is>
          <t>If contributions are entered in below section, auto-calculate exact revenues here</t>
        </is>
      </c>
      <c r="K207" s="1585" t="n"/>
      <c r="L207" s="1585" t="n"/>
      <c r="M207" s="1538" t="n"/>
      <c r="N207" s="1538" t="n"/>
      <c r="O207" s="1595" t="n"/>
      <c r="P207" s="1538" t="n"/>
      <c r="Q207" s="1538" t="n"/>
      <c r="S207" s="1500" t="n"/>
      <c r="T207" s="1500" t="n"/>
      <c r="U207" s="1500" t="n"/>
      <c r="V207" s="1500" t="n"/>
    </row>
    <row r="208" customFormat="1" s="1506">
      <c r="E208" s="1233" t="inlineStr">
        <is>
          <t>*</t>
        </is>
      </c>
      <c r="F208" s="1145" t="n"/>
      <c r="H208" s="1499" t="n"/>
      <c r="J208" s="1500" t="n"/>
      <c r="K208" s="1500" t="n"/>
      <c r="L208" s="1500" t="n"/>
      <c r="M208" s="1500" t="n"/>
      <c r="N208" s="1500" t="n"/>
      <c r="O208" s="1503" t="n"/>
      <c r="P208" s="1500" t="n"/>
      <c r="S208" s="1500" t="n"/>
      <c r="T208" s="1500" t="n"/>
      <c r="U208" s="1500" t="n"/>
      <c r="V208" s="1500" t="n"/>
    </row>
    <row r="209" customFormat="1" s="1506">
      <c r="E209" s="1233" t="inlineStr">
        <is>
          <t>*</t>
        </is>
      </c>
      <c r="F209" s="1145" t="n"/>
      <c r="G209" s="1506" t="inlineStr">
        <is>
          <t>BP2</t>
        </is>
      </c>
      <c r="H209" s="1499" t="inlineStr">
        <is>
          <t>Total Pipeline Revenues  (value)</t>
        </is>
      </c>
      <c r="J209" s="1500" t="n"/>
      <c r="K209" s="1585" t="n"/>
      <c r="L209" s="1585" t="n"/>
      <c r="M209" s="1538" t="n"/>
      <c r="N209" s="1538" t="n"/>
      <c r="O209" s="1595" t="n"/>
      <c r="P209" s="1538" t="n"/>
      <c r="Q209" s="1538" t="n"/>
      <c r="S209" s="1500" t="n"/>
      <c r="T209" s="1500" t="n"/>
      <c r="U209" s="1500" t="n"/>
      <c r="V209" s="1500" t="n"/>
    </row>
    <row r="210" customFormat="1" s="1506">
      <c r="E210" s="1233" t="inlineStr">
        <is>
          <t>*</t>
        </is>
      </c>
      <c r="F210" s="1145" t="n"/>
      <c r="H210" s="1610" t="inlineStr">
        <is>
          <t>Pipeline Stream 1 - contribution %</t>
        </is>
      </c>
      <c r="I210" s="1610" t="n"/>
      <c r="J210" s="1500" t="n"/>
      <c r="K210" s="1585" t="n"/>
      <c r="L210" s="1585" t="n"/>
      <c r="M210" s="1538" t="n"/>
      <c r="N210" s="1538" t="n"/>
      <c r="O210" s="1595" t="n"/>
      <c r="P210" s="1538" t="n"/>
      <c r="Q210" s="1538" t="n"/>
      <c r="S210" s="1500" t="n"/>
      <c r="T210" s="1500" t="n"/>
      <c r="U210" s="1500" t="n"/>
      <c r="V210" s="1500" t="n"/>
    </row>
    <row r="211" customFormat="1" s="1506">
      <c r="E211" s="1233" t="inlineStr">
        <is>
          <t>*</t>
        </is>
      </c>
      <c r="F211" s="1145" t="n"/>
      <c r="H211" s="1610" t="inlineStr">
        <is>
          <t>Pipeline Stream 2 - contribution %</t>
        </is>
      </c>
      <c r="I211" s="1610" t="n"/>
      <c r="J211" s="1500" t="n"/>
      <c r="K211" s="1585" t="n"/>
      <c r="L211" s="1585" t="n"/>
      <c r="M211" s="1538" t="n"/>
      <c r="N211" s="1538" t="n"/>
      <c r="O211" s="1595" t="n"/>
      <c r="P211" s="1538" t="n"/>
      <c r="Q211" s="1538" t="n"/>
      <c r="S211" s="1500" t="n"/>
      <c r="T211" s="1500" t="n"/>
      <c r="U211" s="1500" t="n"/>
      <c r="V211" s="1500" t="n"/>
    </row>
    <row r="212" customFormat="1" s="1506">
      <c r="E212" s="1233" t="inlineStr">
        <is>
          <t>*</t>
        </is>
      </c>
      <c r="F212" s="1145" t="n"/>
      <c r="H212" s="1610" t="inlineStr">
        <is>
          <t>Pipeline Stream 3 - contribution %</t>
        </is>
      </c>
      <c r="I212" s="1610" t="n"/>
      <c r="J212" s="1500" t="n"/>
      <c r="K212" s="1585" t="n"/>
      <c r="L212" s="1585" t="n"/>
      <c r="M212" s="1538" t="n"/>
      <c r="N212" s="1538" t="n"/>
      <c r="O212" s="1595" t="n"/>
      <c r="P212" s="1538" t="n"/>
      <c r="Q212" s="1538" t="n"/>
      <c r="S212" s="1500" t="n"/>
      <c r="T212" s="1500" t="n"/>
      <c r="U212" s="1500" t="n"/>
      <c r="V212" s="1500" t="n"/>
    </row>
    <row r="213" customFormat="1" s="1506">
      <c r="E213" s="1233" t="inlineStr">
        <is>
          <t>*</t>
        </is>
      </c>
      <c r="F213" s="1145" t="n"/>
      <c r="H213" s="1610" t="inlineStr">
        <is>
          <t>Pipeline Stream 4 - contribution %</t>
        </is>
      </c>
      <c r="I213" s="1610" t="n"/>
      <c r="J213" s="1500" t="n"/>
      <c r="K213" s="1585" t="n"/>
      <c r="L213" s="1585" t="n"/>
      <c r="M213" s="1538" t="n"/>
      <c r="N213" s="1538" t="n"/>
      <c r="O213" s="1595" t="n"/>
      <c r="P213" s="1538" t="n"/>
      <c r="Q213" s="1538" t="n"/>
      <c r="S213" s="1500" t="n"/>
      <c r="T213" s="1500" t="n"/>
      <c r="U213" s="1500" t="n"/>
      <c r="V213" s="1500" t="n"/>
    </row>
    <row r="214" customFormat="1" s="1506">
      <c r="E214" s="1233" t="inlineStr">
        <is>
          <t>*</t>
        </is>
      </c>
      <c r="F214" s="1145" t="n"/>
      <c r="H214" s="1500" t="n"/>
      <c r="I214" s="1610" t="n"/>
      <c r="J214" s="1500" t="n"/>
      <c r="K214" s="1585" t="n"/>
      <c r="L214" s="1585" t="n"/>
      <c r="M214" s="1538" t="n"/>
      <c r="N214" s="1538" t="n"/>
      <c r="O214" s="1595" t="n"/>
      <c r="P214" s="1538" t="n"/>
      <c r="Q214" s="1538" t="n"/>
      <c r="S214" s="1500" t="n"/>
      <c r="T214" s="1500" t="n"/>
      <c r="U214" s="1500" t="n"/>
      <c r="V214" s="1500" t="n"/>
    </row>
    <row r="215" customFormat="1" s="1506">
      <c r="E215" s="1233" t="inlineStr">
        <is>
          <t>*</t>
        </is>
      </c>
      <c r="F215" s="1145" t="n"/>
      <c r="G215" s="1606" t="inlineStr">
        <is>
          <t>BF</t>
        </is>
      </c>
      <c r="H215" s="1609" t="inlineStr">
        <is>
          <t>Potential Business</t>
        </is>
      </c>
      <c r="I215" s="1609" t="n"/>
      <c r="J215" s="1500" t="n"/>
      <c r="K215" s="1500" t="n"/>
      <c r="L215" s="1500" t="n"/>
      <c r="M215" s="1500" t="n"/>
      <c r="N215" s="1500" t="n"/>
      <c r="O215" s="1503" t="n"/>
      <c r="P215" s="1500" t="n"/>
      <c r="S215" s="1500" t="n"/>
      <c r="T215" s="1500" t="n"/>
      <c r="U215" s="1500" t="n"/>
      <c r="V215" s="1500" t="n"/>
    </row>
    <row r="216" customFormat="1" s="1506">
      <c r="E216" s="1233" t="inlineStr">
        <is>
          <t>*</t>
        </is>
      </c>
      <c r="F216" s="1145" t="n"/>
      <c r="G216" s="1583" t="n"/>
      <c r="H216" s="1583" t="n"/>
      <c r="I216" s="1501" t="inlineStr">
        <is>
          <t>Please select most appropriate option.</t>
        </is>
      </c>
      <c r="J216" s="1500" t="inlineStr">
        <is>
          <t>If answer is A, display BF1, else display BF2</t>
        </is>
      </c>
      <c r="K216" s="1498" t="n"/>
      <c r="L216" s="1498" t="n"/>
      <c r="M216" s="1498" t="n"/>
      <c r="N216" s="1592" t="inlineStr">
        <is>
          <t>B. I can only provide consolidated total revenue for potential business.</t>
        </is>
      </c>
      <c r="O216" s="1500" t="inlineStr">
        <is>
          <t>A. I can provide specific revenue estimates for each potential business line</t>
        </is>
      </c>
      <c r="P216" s="1498" t="n"/>
      <c r="Q216" s="1498" t="n"/>
      <c r="S216" s="1500" t="n"/>
      <c r="T216" s="1500" t="n"/>
      <c r="U216" s="1500" t="n"/>
      <c r="V216" s="1500" t="n"/>
    </row>
    <row r="217" customFormat="1" s="1506">
      <c r="E217" s="1233" t="inlineStr">
        <is>
          <t>*</t>
        </is>
      </c>
      <c r="F217" s="1145" t="n"/>
      <c r="H217" s="1583" t="n"/>
      <c r="I217" s="1583" t="n"/>
      <c r="J217" s="1498" t="n"/>
      <c r="K217" s="1498" t="n"/>
      <c r="L217" s="1498" t="n"/>
      <c r="M217" s="1498" t="n"/>
      <c r="O217" s="1500" t="inlineStr">
        <is>
          <t>B. I can only provide consolidated total revenue for potential business.</t>
        </is>
      </c>
      <c r="P217" s="1498" t="n"/>
      <c r="Q217" s="1498" t="n"/>
      <c r="S217" s="1500" t="n"/>
      <c r="T217" s="1500" t="n"/>
      <c r="U217" s="1500" t="n"/>
      <c r="V217" s="1500" t="n"/>
    </row>
    <row r="218" customFormat="1" s="1506">
      <c r="E218" s="1233" t="inlineStr">
        <is>
          <t>*</t>
        </is>
      </c>
      <c r="F218" s="1145" t="n"/>
      <c r="G218" s="1506" t="inlineStr">
        <is>
          <t>BF1</t>
        </is>
      </c>
      <c r="H218" s="1594" t="inlineStr">
        <is>
          <t>Potential Revenues</t>
        </is>
      </c>
      <c r="J218" s="1500" t="n"/>
      <c r="K218" s="1500" t="n"/>
      <c r="L218" s="1500" t="n"/>
      <c r="M218" s="1500" t="n"/>
      <c r="N218" s="1500" t="n"/>
      <c r="O218" s="1503" t="n"/>
      <c r="P218" s="1500" t="n"/>
      <c r="S218" s="1500" t="n"/>
      <c r="T218" s="1500" t="n"/>
      <c r="U218" s="1500" t="n"/>
      <c r="V218" s="1500" t="n"/>
    </row>
    <row r="219" customFormat="1" s="1506">
      <c r="E219" s="1233" t="inlineStr">
        <is>
          <t>*</t>
        </is>
      </c>
      <c r="F219" s="1145" t="n"/>
      <c r="H219" s="1499" t="inlineStr">
        <is>
          <t>Potential Revenue Stream 1</t>
        </is>
      </c>
      <c r="J219" s="1500" t="inlineStr">
        <is>
          <t>If contributions are entered in below section, auto-calculate exact revenues here</t>
        </is>
      </c>
      <c r="K219" s="1585" t="n"/>
      <c r="L219" s="1585" t="n"/>
      <c r="M219" s="1538" t="n"/>
      <c r="N219" s="1538" t="n"/>
      <c r="O219" s="1595" t="n"/>
      <c r="P219" s="1538" t="n"/>
      <c r="Q219" s="1538" t="n"/>
      <c r="S219" s="1500" t="n"/>
      <c r="T219" s="1500" t="n"/>
      <c r="U219" s="1500" t="n"/>
      <c r="V219" s="1500" t="n"/>
    </row>
    <row r="220" customFormat="1" s="1506">
      <c r="E220" s="1233" t="inlineStr">
        <is>
          <t>*</t>
        </is>
      </c>
      <c r="F220" s="1145" t="n"/>
      <c r="H220" s="1499" t="inlineStr">
        <is>
          <t>Potential Revenue Stream 2</t>
        </is>
      </c>
      <c r="J220" s="1500" t="inlineStr">
        <is>
          <t>If contributions are entered in below section, auto-calculate exact revenues here</t>
        </is>
      </c>
      <c r="K220" s="1585" t="n"/>
      <c r="L220" s="1585" t="n"/>
      <c r="M220" s="1538" t="n"/>
      <c r="N220" s="1538" t="n"/>
      <c r="O220" s="1595" t="n"/>
      <c r="P220" s="1538" t="n"/>
      <c r="Q220" s="1538" t="n"/>
      <c r="S220" s="1500" t="n"/>
      <c r="T220" s="1500" t="n"/>
      <c r="U220" s="1500" t="n"/>
      <c r="V220" s="1500" t="n"/>
    </row>
    <row r="221" customFormat="1" s="1506">
      <c r="E221" s="1233" t="inlineStr">
        <is>
          <t>*</t>
        </is>
      </c>
      <c r="F221" s="1145" t="n"/>
      <c r="H221" s="1499" t="inlineStr">
        <is>
          <t>Potential Revenue Stream 3</t>
        </is>
      </c>
      <c r="J221" s="1500" t="inlineStr">
        <is>
          <t>If contributions are entered in below section, auto-calculate exact revenues here</t>
        </is>
      </c>
      <c r="K221" s="1585" t="n"/>
      <c r="L221" s="1585" t="n"/>
      <c r="M221" s="1538" t="n"/>
      <c r="N221" s="1538" t="n"/>
      <c r="O221" s="1595" t="n"/>
      <c r="P221" s="1538" t="n"/>
      <c r="Q221" s="1538" t="n"/>
      <c r="S221" s="1500" t="n"/>
      <c r="T221" s="1500" t="n"/>
      <c r="U221" s="1500" t="n"/>
      <c r="V221" s="1500" t="n"/>
    </row>
    <row r="222" customFormat="1" s="1506">
      <c r="E222" s="1233" t="inlineStr">
        <is>
          <t>*</t>
        </is>
      </c>
      <c r="F222" s="1145" t="n"/>
      <c r="H222" s="1499" t="inlineStr">
        <is>
          <t>Potential Revenue Stream 4</t>
        </is>
      </c>
      <c r="J222" s="1500" t="inlineStr">
        <is>
          <t>If contributions are entered in below section, auto-calculate exact revenues here</t>
        </is>
      </c>
      <c r="K222" s="1585" t="n"/>
      <c r="L222" s="1585" t="n"/>
      <c r="M222" s="1538" t="n"/>
      <c r="N222" s="1538" t="n"/>
      <c r="O222" s="1595" t="n"/>
      <c r="P222" s="1538" t="n"/>
      <c r="Q222" s="1538" t="n"/>
      <c r="S222" s="1500" t="n"/>
      <c r="T222" s="1500" t="n"/>
      <c r="U222" s="1500" t="n"/>
      <c r="V222" s="1500" t="n"/>
    </row>
    <row r="223">
      <c r="E223" s="1233" t="inlineStr">
        <is>
          <t>*</t>
        </is>
      </c>
      <c r="F223" s="1145" t="n"/>
      <c r="H223" s="1500" t="n"/>
    </row>
    <row r="224" customFormat="1" s="1506">
      <c r="E224" s="1233" t="inlineStr">
        <is>
          <t>*</t>
        </is>
      </c>
      <c r="F224" s="1145" t="n"/>
      <c r="G224" s="1506" t="inlineStr">
        <is>
          <t>BF2</t>
        </is>
      </c>
      <c r="H224" s="1499" t="inlineStr">
        <is>
          <t>Total Potential Revenues (value)</t>
        </is>
      </c>
      <c r="J224" s="1500" t="n"/>
      <c r="K224" s="1585" t="n"/>
      <c r="L224" s="1585" t="n"/>
      <c r="M224" s="1538" t="n"/>
      <c r="N224" s="1538" t="n"/>
      <c r="O224" s="1595" t="n"/>
      <c r="P224" s="1538" t="n"/>
      <c r="Q224" s="1538" t="n"/>
      <c r="S224" s="1500" t="n"/>
      <c r="T224" s="1500" t="n"/>
      <c r="U224" s="1500" t="n"/>
      <c r="V224" s="1500" t="n"/>
    </row>
    <row r="225" customFormat="1" s="1506">
      <c r="E225" s="1233" t="inlineStr">
        <is>
          <t>*</t>
        </is>
      </c>
      <c r="F225" s="1145" t="n"/>
      <c r="H225" s="1610" t="inlineStr">
        <is>
          <t>Potential Revenue Stream 1 - contribution %</t>
        </is>
      </c>
      <c r="J225" s="1500" t="n"/>
      <c r="K225" s="1585" t="n"/>
      <c r="L225" s="1585" t="n"/>
      <c r="M225" s="1538" t="n"/>
      <c r="N225" s="1538" t="n"/>
      <c r="O225" s="1595" t="n"/>
      <c r="P225" s="1538" t="n"/>
      <c r="Q225" s="1538" t="n"/>
      <c r="S225" s="1500" t="n"/>
      <c r="T225" s="1500" t="n"/>
      <c r="U225" s="1500" t="n"/>
      <c r="V225" s="1500" t="n"/>
    </row>
    <row r="226" customFormat="1" s="1506">
      <c r="E226" s="1233" t="inlineStr">
        <is>
          <t>*</t>
        </is>
      </c>
      <c r="F226" s="1145" t="n"/>
      <c r="H226" s="1610" t="inlineStr">
        <is>
          <t>Potential Revenue Stream 2 - contribution %</t>
        </is>
      </c>
      <c r="J226" s="1500" t="n"/>
      <c r="K226" s="1585" t="n"/>
      <c r="L226" s="1585" t="n"/>
      <c r="M226" s="1538" t="n"/>
      <c r="N226" s="1538" t="n"/>
      <c r="O226" s="1595" t="n"/>
      <c r="P226" s="1538" t="n"/>
      <c r="Q226" s="1538" t="n"/>
      <c r="S226" s="1500" t="n"/>
      <c r="T226" s="1500" t="n"/>
      <c r="U226" s="1500" t="n"/>
      <c r="V226" s="1500" t="n"/>
    </row>
    <row r="227" customFormat="1" s="1506">
      <c r="E227" s="1233" t="inlineStr">
        <is>
          <t>*</t>
        </is>
      </c>
      <c r="F227" s="1145" t="n"/>
      <c r="H227" s="1610" t="inlineStr">
        <is>
          <t>Potential Revenue Stream 3 - contribution %</t>
        </is>
      </c>
      <c r="J227" s="1500" t="n"/>
      <c r="K227" s="1585" t="n"/>
      <c r="L227" s="1585" t="n"/>
      <c r="M227" s="1538" t="n"/>
      <c r="N227" s="1538" t="n"/>
      <c r="O227" s="1595" t="n"/>
      <c r="P227" s="1538" t="n"/>
      <c r="Q227" s="1538" t="n"/>
      <c r="S227" s="1500" t="n"/>
      <c r="T227" s="1500" t="n"/>
      <c r="U227" s="1500" t="n"/>
      <c r="V227" s="1500" t="n"/>
    </row>
    <row r="228" customFormat="1" s="1506">
      <c r="E228" s="1233" t="inlineStr">
        <is>
          <t>*</t>
        </is>
      </c>
      <c r="F228" s="1145" t="n"/>
      <c r="H228" s="1610" t="inlineStr">
        <is>
          <t>Potential Revenue Stream 4 - contribution %</t>
        </is>
      </c>
      <c r="J228" s="1500" t="n"/>
      <c r="K228" s="1585" t="n"/>
      <c r="L228" s="1585" t="n"/>
      <c r="M228" s="1538" t="n"/>
      <c r="N228" s="1538" t="n"/>
      <c r="O228" s="1595" t="n"/>
      <c r="P228" s="1538" t="n"/>
      <c r="Q228" s="1538" t="n"/>
      <c r="S228" s="1500" t="n"/>
      <c r="T228" s="1500" t="n"/>
      <c r="U228" s="1500" t="n"/>
      <c r="V228" s="1500" t="n"/>
    </row>
    <row r="229">
      <c r="E229" s="1233" t="inlineStr">
        <is>
          <t>*</t>
        </is>
      </c>
      <c r="F229" s="1145" t="n"/>
    </row>
    <row r="230" customFormat="1" s="1506">
      <c r="E230" s="1233" t="inlineStr">
        <is>
          <t>*</t>
        </is>
      </c>
      <c r="F230" s="1513">
        <f>F59+1</f>
        <v/>
      </c>
      <c r="G230" s="1514" t="n"/>
      <c r="H230" s="1513" t="inlineStr">
        <is>
          <t>Gross Margin</t>
        </is>
      </c>
      <c r="I230" s="1613" t="n"/>
      <c r="J230" s="1514" t="n"/>
      <c r="K230" s="1514" t="n"/>
      <c r="L230" s="1514" t="n"/>
      <c r="M230" s="1514" t="n"/>
      <c r="N230" s="1514" t="n"/>
      <c r="O230" s="1516" t="n"/>
      <c r="P230" s="1514" t="n"/>
      <c r="Q230" s="1517" t="n"/>
      <c r="S230" s="1500" t="n"/>
      <c r="T230" s="1500" t="n"/>
      <c r="U230" s="1500" t="n"/>
      <c r="V230" s="1500" t="n"/>
    </row>
    <row r="231" ht="51" customFormat="1" customHeight="1" s="1506">
      <c r="E231" s="1233" t="inlineStr">
        <is>
          <t>*</t>
        </is>
      </c>
      <c r="F231" s="1145" t="n"/>
      <c r="G231" s="1614" t="n"/>
      <c r="H231" s="1797" t="n"/>
      <c r="I231" s="1501" t="inlineStr">
        <is>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is>
      </c>
      <c r="J231" s="1614" t="n"/>
      <c r="K231" s="1614" t="n"/>
      <c r="L231" s="1614" t="n"/>
      <c r="M231" s="1614" t="n"/>
      <c r="N231" s="1614" t="n"/>
      <c r="O231" s="1615" t="n"/>
      <c r="P231" s="1614" t="n"/>
      <c r="Q231" s="1616" t="n"/>
      <c r="S231" s="1500" t="n"/>
      <c r="T231" s="1500" t="n"/>
      <c r="U231" s="1500" t="n"/>
      <c r="V231" s="1500" t="n"/>
    </row>
    <row r="232" customFormat="1" s="1506">
      <c r="E232" s="1233" t="inlineStr">
        <is>
          <t>*</t>
        </is>
      </c>
      <c r="F232" s="1145" t="n"/>
      <c r="G232" s="1614" t="n"/>
      <c r="H232" s="1797" t="n"/>
      <c r="I232" s="1583" t="n"/>
      <c r="J232" s="1533" t="inlineStr">
        <is>
          <t>Build button to autofill Years 1-5 based on current Year data</t>
        </is>
      </c>
      <c r="K232" s="1614" t="n"/>
      <c r="L232" s="1614" t="n"/>
      <c r="M232" s="1614" t="n"/>
      <c r="N232" s="1614" t="n"/>
      <c r="O232" s="1615" t="n"/>
      <c r="P232" s="1614" t="n"/>
      <c r="Q232" s="1616" t="n"/>
      <c r="S232" s="1500" t="n"/>
      <c r="T232" s="1500" t="n"/>
      <c r="U232" s="1500" t="n"/>
      <c r="V232" s="1500" t="n"/>
    </row>
    <row r="233" customFormat="1" s="1506">
      <c r="E233" s="1233" t="inlineStr">
        <is>
          <t>*</t>
        </is>
      </c>
      <c r="F233" s="1145" t="n"/>
      <c r="G233" s="1594" t="inlineStr">
        <is>
          <t>Gross Margin</t>
        </is>
      </c>
      <c r="H233" s="1499" t="n"/>
      <c r="I233" s="1501" t="n"/>
      <c r="L233" s="1617" t="inlineStr">
        <is>
          <t>Current Year</t>
        </is>
      </c>
      <c r="M233" s="1617">
        <f>M183</f>
        <v/>
      </c>
      <c r="N233" s="1617">
        <f>N183</f>
        <v/>
      </c>
      <c r="O233" s="1617">
        <f>O183</f>
        <v/>
      </c>
      <c r="P233" s="1617">
        <f>P183</f>
        <v/>
      </c>
      <c r="Q233" s="1617">
        <f>Q183</f>
        <v/>
      </c>
      <c r="S233" s="1500" t="n"/>
      <c r="T233" s="1500" t="n"/>
      <c r="U233" s="1500" t="n"/>
      <c r="V233" s="1500" t="n"/>
    </row>
    <row r="234" customFormat="1" s="1506">
      <c r="E234" s="1233" t="inlineStr">
        <is>
          <t>*</t>
        </is>
      </c>
      <c r="F234" s="1145" t="n"/>
      <c r="G234" s="1499" t="n"/>
      <c r="H234" s="1499" t="inlineStr">
        <is>
          <t>Existing Stream 1</t>
        </is>
      </c>
      <c r="I234" s="1618" t="inlineStr">
        <is>
          <t>%</t>
        </is>
      </c>
      <c r="L234" s="1586" t="n">
        <v>0.3</v>
      </c>
      <c r="M234" s="1586" t="n">
        <v>0.3</v>
      </c>
      <c r="N234" s="1586" t="n">
        <v>0.3</v>
      </c>
      <c r="O234" s="1586" t="n">
        <v>0.3</v>
      </c>
      <c r="P234" s="1586" t="n">
        <v>0.3</v>
      </c>
      <c r="Q234" s="1586" t="n">
        <v>0.3</v>
      </c>
      <c r="S234" s="1500" t="n"/>
      <c r="T234" s="1500" t="n"/>
      <c r="U234" s="1500" t="n"/>
      <c r="V234" s="1500" t="n"/>
    </row>
    <row r="235" customFormat="1" s="1506">
      <c r="E235" s="1233" t="inlineStr">
        <is>
          <t>*</t>
        </is>
      </c>
      <c r="F235" s="1145" t="n"/>
      <c r="G235" s="1499" t="n"/>
      <c r="H235" s="1499" t="inlineStr">
        <is>
          <t>Existing Stream 2</t>
        </is>
      </c>
      <c r="I235" s="1618" t="inlineStr">
        <is>
          <t>%</t>
        </is>
      </c>
      <c r="L235" s="1586" t="n">
        <v>0.3</v>
      </c>
      <c r="M235" s="1586" t="n">
        <v>0.3</v>
      </c>
      <c r="N235" s="1586" t="n">
        <v>0.3</v>
      </c>
      <c r="O235" s="1586" t="n">
        <v>0.3</v>
      </c>
      <c r="P235" s="1586" t="n">
        <v>0.3</v>
      </c>
      <c r="Q235" s="1586" t="n">
        <v>0.3</v>
      </c>
      <c r="S235" s="1500" t="n"/>
      <c r="T235" s="1500" t="n"/>
      <c r="U235" s="1500" t="n"/>
      <c r="V235" s="1500" t="n"/>
    </row>
    <row r="236" customFormat="1" s="1506">
      <c r="E236" s="1233" t="inlineStr">
        <is>
          <t>*</t>
        </is>
      </c>
      <c r="F236" s="1145" t="n"/>
      <c r="G236" s="1499" t="n"/>
      <c r="H236" s="1499" t="inlineStr">
        <is>
          <t>Existing Stream 3</t>
        </is>
      </c>
      <c r="I236" s="1618" t="inlineStr">
        <is>
          <t>%</t>
        </is>
      </c>
      <c r="L236" s="1586" t="n">
        <v>0.3</v>
      </c>
      <c r="M236" s="1586" t="n">
        <v>0.3</v>
      </c>
      <c r="N236" s="1586" t="n">
        <v>0.3</v>
      </c>
      <c r="O236" s="1586" t="n">
        <v>0.3</v>
      </c>
      <c r="P236" s="1586" t="n">
        <v>0.3</v>
      </c>
      <c r="Q236" s="1586" t="n">
        <v>0.3</v>
      </c>
      <c r="S236" s="1500" t="n"/>
      <c r="T236" s="1500" t="n"/>
      <c r="U236" s="1500" t="n"/>
      <c r="V236" s="1500" t="n"/>
    </row>
    <row r="237" customFormat="1" s="1506">
      <c r="E237" s="1233" t="inlineStr">
        <is>
          <t>*</t>
        </is>
      </c>
      <c r="F237" s="1145" t="n"/>
      <c r="G237" s="1499" t="n"/>
      <c r="H237" s="1499" t="inlineStr">
        <is>
          <t>Existing Stream 4</t>
        </is>
      </c>
      <c r="I237" s="1618" t="inlineStr">
        <is>
          <t>%</t>
        </is>
      </c>
      <c r="L237" s="1586" t="n">
        <v>0.3</v>
      </c>
      <c r="M237" s="1586" t="n">
        <v>0.3</v>
      </c>
      <c r="N237" s="1586" t="n">
        <v>0.3</v>
      </c>
      <c r="O237" s="1586" t="n">
        <v>0.3</v>
      </c>
      <c r="P237" s="1586" t="n">
        <v>0.3</v>
      </c>
      <c r="Q237" s="1586" t="n">
        <v>0.3</v>
      </c>
      <c r="S237" s="1500" t="n"/>
      <c r="T237" s="1500" t="n"/>
      <c r="U237" s="1500" t="n"/>
      <c r="V237" s="1500" t="n"/>
    </row>
    <row r="238" customFormat="1" s="1506">
      <c r="E238" s="1233" t="inlineStr">
        <is>
          <t>*</t>
        </is>
      </c>
      <c r="F238" s="1145" t="n"/>
      <c r="G238" s="1499" t="n"/>
      <c r="H238" s="1499" t="inlineStr">
        <is>
          <t>Pipeline Stream 1</t>
        </is>
      </c>
      <c r="I238" s="1618" t="inlineStr">
        <is>
          <t>%</t>
        </is>
      </c>
      <c r="L238" s="1586" t="n">
        <v>0.3</v>
      </c>
      <c r="M238" s="1586" t="n">
        <v>0.3</v>
      </c>
      <c r="N238" s="1586" t="n">
        <v>0.3</v>
      </c>
      <c r="O238" s="1586" t="n">
        <v>0.3</v>
      </c>
      <c r="P238" s="1586" t="n">
        <v>0.3</v>
      </c>
      <c r="Q238" s="1586" t="n">
        <v>0.3</v>
      </c>
      <c r="S238" s="1500" t="n"/>
      <c r="T238" s="1500" t="n"/>
      <c r="U238" s="1500" t="n"/>
      <c r="V238" s="1500" t="n"/>
    </row>
    <row r="239" customFormat="1" s="1506">
      <c r="E239" s="1233" t="inlineStr">
        <is>
          <t>*</t>
        </is>
      </c>
      <c r="F239" s="1145" t="n"/>
      <c r="G239" s="1499" t="n"/>
      <c r="H239" s="1499" t="inlineStr">
        <is>
          <t>Pipeline Stream 2</t>
        </is>
      </c>
      <c r="I239" s="1618" t="inlineStr">
        <is>
          <t>%</t>
        </is>
      </c>
      <c r="L239" s="1586" t="n">
        <v>0.3</v>
      </c>
      <c r="M239" s="1586" t="n">
        <v>0.3</v>
      </c>
      <c r="N239" s="1586" t="n">
        <v>0.3</v>
      </c>
      <c r="O239" s="1586" t="n">
        <v>0.3</v>
      </c>
      <c r="P239" s="1586" t="n">
        <v>0.3</v>
      </c>
      <c r="Q239" s="1586" t="n">
        <v>0.3</v>
      </c>
      <c r="S239" s="1500" t="n"/>
      <c r="T239" s="1500" t="n"/>
      <c r="U239" s="1500" t="n"/>
      <c r="V239" s="1500" t="n"/>
    </row>
    <row r="240" customFormat="1" s="1506">
      <c r="E240" s="1233" t="inlineStr">
        <is>
          <t>*</t>
        </is>
      </c>
      <c r="F240" s="1145" t="n"/>
      <c r="G240" s="1499" t="n"/>
      <c r="H240" s="1499" t="inlineStr">
        <is>
          <t>Pipeline Stream 3</t>
        </is>
      </c>
      <c r="I240" s="1618" t="inlineStr">
        <is>
          <t>%</t>
        </is>
      </c>
      <c r="L240" s="1586" t="n">
        <v>0.3</v>
      </c>
      <c r="M240" s="1586" t="n">
        <v>0.3</v>
      </c>
      <c r="N240" s="1586" t="n">
        <v>0.3</v>
      </c>
      <c r="O240" s="1586" t="n">
        <v>0.3</v>
      </c>
      <c r="P240" s="1586" t="n">
        <v>0.3</v>
      </c>
      <c r="Q240" s="1586" t="n">
        <v>0.3</v>
      </c>
      <c r="S240" s="1500" t="n"/>
      <c r="T240" s="1500" t="n"/>
      <c r="U240" s="1500" t="n"/>
      <c r="V240" s="1500" t="n"/>
    </row>
    <row r="241" customFormat="1" s="1506">
      <c r="E241" s="1233" t="inlineStr">
        <is>
          <t>*</t>
        </is>
      </c>
      <c r="F241" s="1145" t="n"/>
      <c r="G241" s="1499" t="n"/>
      <c r="H241" s="1499" t="inlineStr">
        <is>
          <t>Pipeline Stream 4</t>
        </is>
      </c>
      <c r="I241" s="1618" t="inlineStr">
        <is>
          <t>%</t>
        </is>
      </c>
      <c r="L241" s="1586" t="n">
        <v>0.3</v>
      </c>
      <c r="M241" s="1586" t="n">
        <v>0.3</v>
      </c>
      <c r="N241" s="1586" t="n">
        <v>0.3</v>
      </c>
      <c r="O241" s="1586" t="n">
        <v>0.3</v>
      </c>
      <c r="P241" s="1586" t="n">
        <v>0.3</v>
      </c>
      <c r="Q241" s="1586" t="n">
        <v>0.3</v>
      </c>
      <c r="S241" s="1500" t="n"/>
      <c r="T241" s="1500" t="n"/>
      <c r="U241" s="1500" t="n"/>
      <c r="V241" s="1500" t="n"/>
    </row>
    <row r="242" customFormat="1" s="1506">
      <c r="E242" s="1233" t="inlineStr">
        <is>
          <t>*</t>
        </is>
      </c>
      <c r="F242" s="1145" t="n"/>
      <c r="G242" s="1499" t="n"/>
      <c r="H242" s="1499" t="inlineStr">
        <is>
          <t>Potential Stream 1</t>
        </is>
      </c>
      <c r="I242" s="1618" t="inlineStr">
        <is>
          <t>%</t>
        </is>
      </c>
      <c r="L242" s="1586" t="n">
        <v>0.3</v>
      </c>
      <c r="M242" s="1586" t="n">
        <v>0.3</v>
      </c>
      <c r="N242" s="1586" t="n">
        <v>0.3</v>
      </c>
      <c r="O242" s="1586" t="n">
        <v>0.3</v>
      </c>
      <c r="P242" s="1586" t="n">
        <v>0.3</v>
      </c>
      <c r="Q242" s="1586" t="n">
        <v>0.3</v>
      </c>
      <c r="S242" s="1500" t="n"/>
      <c r="T242" s="1500" t="n"/>
      <c r="U242" s="1500" t="n"/>
      <c r="V242" s="1500" t="n"/>
    </row>
    <row r="243" customFormat="1" s="1506">
      <c r="E243" s="1233" t="inlineStr">
        <is>
          <t>*</t>
        </is>
      </c>
      <c r="F243" s="1145" t="n"/>
      <c r="G243" s="1499" t="n"/>
      <c r="H243" s="1499" t="inlineStr">
        <is>
          <t>Potential Stream 2</t>
        </is>
      </c>
      <c r="I243" s="1618" t="inlineStr">
        <is>
          <t>%</t>
        </is>
      </c>
      <c r="L243" s="1586" t="n">
        <v>0.3</v>
      </c>
      <c r="M243" s="1586" t="n">
        <v>0.3</v>
      </c>
      <c r="N243" s="1586" t="n">
        <v>0.3</v>
      </c>
      <c r="O243" s="1586" t="n">
        <v>0.3</v>
      </c>
      <c r="P243" s="1586" t="n">
        <v>0.3</v>
      </c>
      <c r="Q243" s="1586" t="n">
        <v>0.3</v>
      </c>
      <c r="S243" s="1500" t="n"/>
      <c r="T243" s="1500" t="n"/>
      <c r="U243" s="1500" t="n"/>
      <c r="V243" s="1500" t="n"/>
    </row>
    <row r="244" customFormat="1" s="1506">
      <c r="E244" s="1233" t="inlineStr">
        <is>
          <t>*</t>
        </is>
      </c>
      <c r="F244" s="1145" t="n"/>
      <c r="G244" s="1499" t="n"/>
      <c r="H244" s="1499" t="inlineStr">
        <is>
          <t>Potential Stream 3</t>
        </is>
      </c>
      <c r="I244" s="1618" t="inlineStr">
        <is>
          <t>%</t>
        </is>
      </c>
      <c r="L244" s="1586" t="n">
        <v>0.3</v>
      </c>
      <c r="M244" s="1586" t="n">
        <v>0.3</v>
      </c>
      <c r="N244" s="1586" t="n">
        <v>0.3</v>
      </c>
      <c r="O244" s="1586" t="n">
        <v>0.3</v>
      </c>
      <c r="P244" s="1586" t="n">
        <v>0.3</v>
      </c>
      <c r="Q244" s="1586" t="n">
        <v>0.3</v>
      </c>
      <c r="S244" s="1500" t="n"/>
      <c r="T244" s="1500" t="n"/>
      <c r="U244" s="1500" t="n"/>
      <c r="V244" s="1500" t="n"/>
    </row>
    <row r="245" customFormat="1" s="1506">
      <c r="E245" s="1233" t="inlineStr">
        <is>
          <t>*</t>
        </is>
      </c>
      <c r="F245" s="1145" t="n"/>
      <c r="G245" s="1499" t="n"/>
      <c r="H245" s="1499" t="inlineStr">
        <is>
          <t>Potential Stream 4</t>
        </is>
      </c>
      <c r="I245" s="1618" t="inlineStr">
        <is>
          <t>%</t>
        </is>
      </c>
      <c r="L245" s="1586" t="n">
        <v>0.3</v>
      </c>
      <c r="M245" s="1586" t="n">
        <v>0.3</v>
      </c>
      <c r="N245" s="1586" t="n">
        <v>0.3</v>
      </c>
      <c r="O245" s="1586" t="n">
        <v>0.3</v>
      </c>
      <c r="P245" s="1586" t="n">
        <v>0.3</v>
      </c>
      <c r="Q245" s="1586" t="n">
        <v>0.3</v>
      </c>
      <c r="S245" s="1500" t="n"/>
      <c r="T245" s="1500" t="n"/>
      <c r="U245" s="1500" t="n"/>
      <c r="V245" s="1500" t="n"/>
    </row>
    <row r="246">
      <c r="E246" s="1233" t="inlineStr">
        <is>
          <t>*</t>
        </is>
      </c>
      <c r="F246" s="1145" t="n"/>
    </row>
    <row r="247" customFormat="1" s="1506">
      <c r="E247" s="1233" t="inlineStr">
        <is>
          <t>*</t>
        </is>
      </c>
      <c r="F247" s="1513">
        <f>F230+1</f>
        <v/>
      </c>
      <c r="G247" s="1514" t="n"/>
      <c r="H247" s="1513" t="inlineStr">
        <is>
          <t>Operating Expenses</t>
        </is>
      </c>
      <c r="I247" s="1613" t="n"/>
      <c r="J247" s="1514" t="n"/>
      <c r="K247" s="1514" t="n"/>
      <c r="L247" s="1514" t="n"/>
      <c r="M247" s="1514" t="n"/>
      <c r="N247" s="1514" t="n"/>
      <c r="O247" s="1516" t="n"/>
      <c r="P247" s="1514" t="n"/>
      <c r="Q247" s="1517" t="n"/>
      <c r="S247" s="1500" t="n"/>
      <c r="T247" s="1500" t="n"/>
      <c r="U247" s="1500" t="n"/>
      <c r="V247" s="1500" t="n"/>
    </row>
    <row r="248" customFormat="1" s="1506">
      <c r="E248" s="1233" t="inlineStr">
        <is>
          <t>*</t>
        </is>
      </c>
      <c r="F248" s="1145" t="n"/>
      <c r="G248" s="1500" t="n"/>
      <c r="H248" s="1500" t="n"/>
      <c r="I248" s="1500" t="inlineStr">
        <is>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is>
      </c>
      <c r="J248" s="1500" t="n"/>
      <c r="K248" s="1500" t="n"/>
      <c r="L248" s="1500" t="n"/>
      <c r="M248" s="1500" t="n"/>
      <c r="N248" s="1500" t="n"/>
      <c r="O248" s="1640" t="inlineStr">
        <is>
          <t>Option 1</t>
        </is>
      </c>
      <c r="P248" s="1500" t="n"/>
      <c r="Q248" s="1500" t="n"/>
      <c r="S248" s="1500" t="n"/>
      <c r="T248" s="1500" t="n"/>
      <c r="U248" s="1500" t="n"/>
      <c r="V248" s="1500" t="n"/>
    </row>
    <row r="249" customFormat="1" s="1506">
      <c r="E249" s="1233" t="inlineStr">
        <is>
          <t>*</t>
        </is>
      </c>
      <c r="F249" s="1145" t="n"/>
      <c r="G249" s="1500" t="n"/>
      <c r="H249" s="1500" t="n"/>
      <c r="I249" s="1500" t="n"/>
      <c r="J249" s="1500" t="n"/>
      <c r="K249" s="1500" t="n"/>
      <c r="L249" s="1500" t="n"/>
      <c r="M249" s="1500" t="n"/>
      <c r="N249" s="1500" t="n"/>
      <c r="O249" s="1500" t="n"/>
      <c r="P249" s="1500" t="n"/>
      <c r="Q249" s="1500" t="n"/>
      <c r="S249" s="1500" t="n"/>
      <c r="T249" s="1500" t="n"/>
      <c r="U249" s="1500" t="n"/>
      <c r="V249" s="1500" t="n"/>
    </row>
    <row r="250">
      <c r="E250" s="1233" t="inlineStr">
        <is>
          <t>*</t>
        </is>
      </c>
      <c r="F250" s="1145" t="n"/>
      <c r="H250" s="1500" t="n"/>
      <c r="I250" s="1500" t="inlineStr">
        <is>
          <t>Option 1: I can provide operating expense information for the current &amp; forecast period</t>
        </is>
      </c>
      <c r="O250" s="1500" t="n"/>
      <c r="Q250" s="1500" t="n"/>
    </row>
    <row r="251">
      <c r="E251" s="1233" t="inlineStr">
        <is>
          <t>*</t>
        </is>
      </c>
      <c r="F251" s="1145" t="n"/>
      <c r="G251" s="1542" t="n"/>
      <c r="H251" s="1542" t="n"/>
      <c r="I251" s="1542" t="inlineStr">
        <is>
          <t>Option 2: I have operating expenses for current year, and would like Valify to forecast growth with revenues and inflation.</t>
        </is>
      </c>
      <c r="J251" s="1542" t="n"/>
      <c r="K251" s="1542" t="n"/>
      <c r="L251" s="1542" t="n"/>
      <c r="M251" s="1542" t="n"/>
      <c r="N251" s="1542" t="n"/>
      <c r="O251" s="1542" t="n"/>
      <c r="P251" s="1542" t="n"/>
      <c r="Q251" s="1542" t="n"/>
    </row>
    <row r="252">
      <c r="E252" s="1233" t="inlineStr">
        <is>
          <t>*</t>
        </is>
      </c>
      <c r="F252" s="1145" t="n"/>
      <c r="H252" s="1500" t="n"/>
      <c r="I252" s="1500" t="n"/>
      <c r="O252" s="1500" t="n"/>
      <c r="Q252" s="1500" t="n"/>
    </row>
    <row r="253">
      <c r="E253" s="1233" t="inlineStr">
        <is>
          <t>*</t>
        </is>
      </c>
      <c r="F253" s="1145" t="n"/>
      <c r="G253" s="1498" t="inlineStr">
        <is>
          <t>Option 1:</t>
        </is>
      </c>
      <c r="H253" s="1500" t="n"/>
      <c r="O253" s="1500" t="n"/>
      <c r="Q253" s="1500" t="n"/>
    </row>
    <row r="254">
      <c r="E254" s="1233" t="inlineStr">
        <is>
          <t>*</t>
        </is>
      </c>
      <c r="F254" s="1145" t="n"/>
      <c r="G254" s="1510" t="inlineStr">
        <is>
          <t>Selling, general and admin expenses</t>
        </is>
      </c>
      <c r="J254" s="1500" t="inlineStr">
        <is>
          <t>Autofill for Years 1-5 based on Current Year &amp; allow overwrite</t>
        </is>
      </c>
      <c r="K254" s="1617" t="inlineStr">
        <is>
          <t>YTD</t>
        </is>
      </c>
      <c r="L254" s="1617">
        <f>L233</f>
        <v/>
      </c>
      <c r="M254" s="1617">
        <f>M233</f>
        <v/>
      </c>
      <c r="N254" s="1617">
        <f>N233</f>
        <v/>
      </c>
      <c r="O254" s="1617">
        <f>O233</f>
        <v/>
      </c>
      <c r="P254" s="1617">
        <f>P233</f>
        <v/>
      </c>
      <c r="Q254" s="1617">
        <f>Q233</f>
        <v/>
      </c>
    </row>
    <row r="255">
      <c r="E255" s="1233" t="inlineStr">
        <is>
          <t>*</t>
        </is>
      </c>
      <c r="F255" s="1145" t="n"/>
      <c r="H255" s="1500" t="inlineStr">
        <is>
          <t>Staff cost</t>
        </is>
      </c>
      <c r="K255" s="1538" t="n">
        <v>5000</v>
      </c>
      <c r="L255" s="1538" t="n">
        <v>5000</v>
      </c>
      <c r="M255" s="1538" t="n">
        <v>5000</v>
      </c>
      <c r="N255" s="1538" t="n">
        <v>5000</v>
      </c>
      <c r="O255" s="1538" t="n">
        <v>5000</v>
      </c>
      <c r="P255" s="1538" t="n">
        <v>5000</v>
      </c>
      <c r="Q255" s="1538" t="n">
        <v>5000</v>
      </c>
      <c r="R255" s="1500" t="inlineStr">
        <is>
          <t>Option to give total Opex</t>
        </is>
      </c>
    </row>
    <row r="256">
      <c r="E256" s="1233" t="inlineStr">
        <is>
          <t>*</t>
        </is>
      </c>
      <c r="F256" s="1145" t="n"/>
      <c r="H256" s="1500" t="inlineStr">
        <is>
          <t>Staff Commission (if any)</t>
        </is>
      </c>
      <c r="K256" s="1538" t="n">
        <v>5000</v>
      </c>
      <c r="L256" s="1538" t="n">
        <v>5000</v>
      </c>
      <c r="M256" s="1538" t="n">
        <v>5000</v>
      </c>
      <c r="N256" s="1538" t="n">
        <v>5000</v>
      </c>
      <c r="O256" s="1538" t="n">
        <v>5000</v>
      </c>
      <c r="P256" s="1538" t="n">
        <v>5000</v>
      </c>
      <c r="Q256" s="1538" t="n">
        <v>5000</v>
      </c>
    </row>
    <row r="257">
      <c r="E257" s="1233" t="inlineStr">
        <is>
          <t>*</t>
        </is>
      </c>
      <c r="F257" s="1145" t="n"/>
      <c r="H257" s="1500" t="inlineStr">
        <is>
          <t>Rent expense</t>
        </is>
      </c>
      <c r="K257" s="1538" t="n">
        <v>5000</v>
      </c>
      <c r="L257" s="1538" t="n">
        <v>5000</v>
      </c>
      <c r="M257" s="1538" t="n">
        <v>5000</v>
      </c>
      <c r="N257" s="1538" t="n">
        <v>5000</v>
      </c>
      <c r="O257" s="1538" t="n">
        <v>5000</v>
      </c>
      <c r="P257" s="1538" t="n">
        <v>5000</v>
      </c>
      <c r="Q257" s="1538" t="n">
        <v>5000</v>
      </c>
    </row>
    <row r="258">
      <c r="E258" s="1233" t="inlineStr">
        <is>
          <t>*</t>
        </is>
      </c>
      <c r="F258" s="1145" t="n"/>
      <c r="H258" s="1500" t="inlineStr">
        <is>
          <t>Legal and professional fee</t>
        </is>
      </c>
      <c r="K258" s="1538" t="n">
        <v>5000</v>
      </c>
      <c r="L258" s="1538" t="n">
        <v>5000</v>
      </c>
      <c r="M258" s="1538" t="n">
        <v>5000</v>
      </c>
      <c r="N258" s="1538" t="n">
        <v>5000</v>
      </c>
      <c r="O258" s="1538" t="n">
        <v>5000</v>
      </c>
      <c r="P258" s="1538" t="n">
        <v>5000</v>
      </c>
      <c r="Q258" s="1538" t="n">
        <v>5000</v>
      </c>
    </row>
    <row r="259">
      <c r="E259" s="1233" t="inlineStr">
        <is>
          <t>*</t>
        </is>
      </c>
      <c r="F259" s="1145" t="n"/>
      <c r="H259" s="1500" t="inlineStr">
        <is>
          <t>Travelling &amp; communication</t>
        </is>
      </c>
      <c r="K259" s="1538" t="n">
        <v>5000</v>
      </c>
      <c r="L259" s="1538" t="n">
        <v>5000</v>
      </c>
      <c r="M259" s="1538" t="n">
        <v>5000</v>
      </c>
      <c r="N259" s="1538" t="n">
        <v>5000</v>
      </c>
      <c r="O259" s="1538" t="n">
        <v>5000</v>
      </c>
      <c r="P259" s="1538" t="n">
        <v>5000</v>
      </c>
      <c r="Q259" s="1538" t="n">
        <v>5000</v>
      </c>
    </row>
    <row r="260">
      <c r="E260" s="1233" t="n"/>
      <c r="F260" s="1145" t="n"/>
      <c r="H260" s="1500" t="inlineStr">
        <is>
          <t>Marketing &amp; PR cost</t>
        </is>
      </c>
      <c r="K260" s="1538" t="n">
        <v>5000</v>
      </c>
      <c r="L260" s="1538" t="n">
        <v>5000</v>
      </c>
      <c r="M260" s="1538" t="n">
        <v>5000</v>
      </c>
      <c r="N260" s="1538" t="n">
        <v>5000</v>
      </c>
      <c r="O260" s="1538" t="n">
        <v>5000</v>
      </c>
      <c r="P260" s="1538" t="n">
        <v>5000</v>
      </c>
      <c r="Q260" s="1538" t="n">
        <v>5000</v>
      </c>
    </row>
    <row r="261">
      <c r="E261" s="1233" t="inlineStr">
        <is>
          <t>*</t>
        </is>
      </c>
      <c r="F261" s="1145" t="n"/>
      <c r="H261" s="1500" t="inlineStr">
        <is>
          <t>Office &amp; sundry expenses</t>
        </is>
      </c>
      <c r="K261" s="1538" t="n">
        <v>5000</v>
      </c>
      <c r="L261" s="1538" t="n">
        <v>5000</v>
      </c>
      <c r="M261" s="1538" t="n">
        <v>5000</v>
      </c>
      <c r="N261" s="1538" t="n">
        <v>5000</v>
      </c>
      <c r="O261" s="1538" t="n">
        <v>5000</v>
      </c>
      <c r="P261" s="1538" t="n">
        <v>5000</v>
      </c>
      <c r="Q261" s="1538" t="n">
        <v>5000</v>
      </c>
    </row>
    <row r="262">
      <c r="E262" s="1233" t="n"/>
      <c r="F262" s="1145" t="n"/>
      <c r="H262" s="1500" t="inlineStr">
        <is>
          <t>Printing &amp; Stationery</t>
        </is>
      </c>
      <c r="K262" s="1538" t="n">
        <v>5000</v>
      </c>
      <c r="L262" s="1538" t="n">
        <v>5000</v>
      </c>
      <c r="M262" s="1538" t="n">
        <v>5000</v>
      </c>
      <c r="N262" s="1538" t="n">
        <v>5000</v>
      </c>
      <c r="O262" s="1538" t="n">
        <v>5000</v>
      </c>
      <c r="P262" s="1538" t="n">
        <v>5000</v>
      </c>
      <c r="Q262" s="1538" t="n">
        <v>5000</v>
      </c>
    </row>
    <row r="263">
      <c r="E263" s="1233" t="inlineStr">
        <is>
          <t>*</t>
        </is>
      </c>
      <c r="F263" s="1145" t="n"/>
      <c r="H263" s="1500" t="inlineStr">
        <is>
          <t>Utilities</t>
        </is>
      </c>
      <c r="K263" s="1538" t="n">
        <v>5000</v>
      </c>
      <c r="L263" s="1538" t="n">
        <v>5000</v>
      </c>
      <c r="M263" s="1538" t="n">
        <v>5000</v>
      </c>
      <c r="N263" s="1538" t="n">
        <v>5000</v>
      </c>
      <c r="O263" s="1538" t="n">
        <v>5000</v>
      </c>
      <c r="P263" s="1538" t="n">
        <v>5000</v>
      </c>
      <c r="Q263" s="1538" t="n">
        <v>5000</v>
      </c>
    </row>
    <row r="264">
      <c r="E264" s="1233" t="inlineStr">
        <is>
          <t>*</t>
        </is>
      </c>
      <c r="F264" s="1145" t="n"/>
      <c r="H264" s="1499" t="inlineStr">
        <is>
          <t>Finance cost - Interest</t>
        </is>
      </c>
      <c r="K264" s="1538" t="n">
        <v>5000</v>
      </c>
      <c r="L264" s="1538" t="n">
        <v>5000</v>
      </c>
      <c r="M264" s="1538" t="n">
        <v>5000</v>
      </c>
      <c r="N264" s="1538" t="n">
        <v>5000</v>
      </c>
      <c r="O264" s="1538" t="n">
        <v>5000</v>
      </c>
      <c r="P264" s="1538" t="n">
        <v>5000</v>
      </c>
      <c r="Q264" s="1538" t="n">
        <v>5000</v>
      </c>
    </row>
    <row r="265">
      <c r="E265" s="1233" t="inlineStr">
        <is>
          <t>*</t>
        </is>
      </c>
      <c r="F265" s="1145" t="n"/>
      <c r="G265" s="1542" t="n"/>
      <c r="H265" s="1560" t="inlineStr">
        <is>
          <t>Bank Charges</t>
        </is>
      </c>
      <c r="I265" s="1541" t="n"/>
      <c r="J265" s="1541" t="n"/>
      <c r="K265" s="1530" t="n">
        <v>5000</v>
      </c>
      <c r="L265" s="1530" t="n">
        <v>5000</v>
      </c>
      <c r="M265" s="1530" t="n">
        <v>5000</v>
      </c>
      <c r="N265" s="1530" t="n">
        <v>5000</v>
      </c>
      <c r="O265" s="1530" t="n">
        <v>5000</v>
      </c>
      <c r="P265" s="1530" t="n">
        <v>5000</v>
      </c>
      <c r="Q265" s="1530" t="n">
        <v>5000</v>
      </c>
    </row>
    <row r="266" ht="99" customHeight="1">
      <c r="E266" s="1233" t="inlineStr">
        <is>
          <t>*</t>
        </is>
      </c>
      <c r="F266" s="1145" t="n"/>
      <c r="G266" s="1643" t="n"/>
      <c r="H266" s="1798" t="inlineStr">
        <is>
          <t>Total Operating Expenses</t>
        </is>
      </c>
      <c r="I266" s="1644" t="inlineStr">
        <is>
          <t>Enter only total</t>
        </is>
      </c>
      <c r="J266" s="1644" t="inlineStr">
        <is>
          <t>If "Enter only totals" is selected, hide breakdown rows.</t>
        </is>
      </c>
      <c r="K266" s="1645" t="n">
        <v>200000</v>
      </c>
      <c r="L266" s="1645" t="n">
        <v>200000</v>
      </c>
      <c r="M266" s="1645" t="n">
        <v>200000</v>
      </c>
      <c r="N266" s="1645" t="n">
        <v>200000</v>
      </c>
      <c r="O266" s="1645" t="n">
        <v>200000</v>
      </c>
      <c r="P266" s="1645" t="n">
        <v>200000</v>
      </c>
      <c r="Q266" s="1645" t="n">
        <v>200000</v>
      </c>
    </row>
    <row r="267">
      <c r="E267" s="1233" t="inlineStr">
        <is>
          <t>*</t>
        </is>
      </c>
      <c r="F267" s="1145" t="n"/>
      <c r="H267" s="1500" t="n"/>
      <c r="I267" s="1500" t="n"/>
      <c r="O267" s="1500" t="n"/>
      <c r="Q267" s="1500" t="n"/>
    </row>
    <row r="268">
      <c r="E268" s="1233" t="inlineStr">
        <is>
          <t>*</t>
        </is>
      </c>
      <c r="F268" s="1145" t="n"/>
      <c r="G268" s="1498" t="inlineStr">
        <is>
          <t>Option 2:</t>
        </is>
      </c>
      <c r="H268" s="1500" t="n"/>
      <c r="I268" s="1619" t="inlineStr">
        <is>
          <t>Enter fixed/variable expense tag</t>
        </is>
      </c>
      <c r="M268" s="1823" t="inlineStr">
        <is>
          <t>&lt;&lt; Growth rates &gt;&gt;</t>
        </is>
      </c>
      <c r="R268" s="1500" t="n"/>
    </row>
    <row r="269">
      <c r="E269" s="1233" t="inlineStr">
        <is>
          <t>*</t>
        </is>
      </c>
      <c r="F269" s="1145" t="n"/>
      <c r="G269" s="1510" t="inlineStr">
        <is>
          <t>Selling, general and admin expenses</t>
        </is>
      </c>
      <c r="I269" s="1621" t="inlineStr">
        <is>
          <t>Is this expense a fixed cost or variable (changes with sales levels)?</t>
        </is>
      </c>
      <c r="J269" s="1500" t="inlineStr">
        <is>
          <t>Years 1-5: Enter suggested growth rate (if any)</t>
        </is>
      </c>
      <c r="K269" s="1617" t="inlineStr">
        <is>
          <t>YTD</t>
        </is>
      </c>
      <c r="L269" s="1617">
        <f>L233</f>
        <v/>
      </c>
      <c r="M269" s="1617">
        <f>M233</f>
        <v/>
      </c>
      <c r="N269" s="1617">
        <f>N233</f>
        <v/>
      </c>
      <c r="O269" s="1617">
        <f>O233</f>
        <v/>
      </c>
      <c r="P269" s="1617">
        <f>P233</f>
        <v/>
      </c>
      <c r="Q269" s="1617">
        <f>Q233</f>
        <v/>
      </c>
      <c r="R269" s="1500" t="n"/>
    </row>
    <row r="270">
      <c r="E270" s="1233" t="inlineStr">
        <is>
          <t>*</t>
        </is>
      </c>
      <c r="F270" s="1145" t="n"/>
      <c r="H270" s="1500">
        <f>H255</f>
        <v/>
      </c>
      <c r="I270" s="1622" t="inlineStr">
        <is>
          <t>Fixed/Variable</t>
        </is>
      </c>
      <c r="K270" s="1538" t="n">
        <v>5000</v>
      </c>
      <c r="L270" s="1538" t="n">
        <v>5000</v>
      </c>
      <c r="M270" s="1586" t="n">
        <v>0.02</v>
      </c>
      <c r="N270" s="1586" t="n">
        <v>0.02</v>
      </c>
      <c r="O270" s="1586" t="n">
        <v>0.02</v>
      </c>
      <c r="P270" s="1586" t="n">
        <v>0.02</v>
      </c>
      <c r="Q270" s="1586" t="n">
        <v>0.02</v>
      </c>
      <c r="R270" s="1500" t="n"/>
    </row>
    <row r="271">
      <c r="E271" s="1233" t="inlineStr">
        <is>
          <t>*</t>
        </is>
      </c>
      <c r="F271" s="1145" t="n"/>
      <c r="H271" s="1500">
        <f>H256</f>
        <v/>
      </c>
      <c r="I271" s="1622" t="inlineStr">
        <is>
          <t>Fixed/Variable</t>
        </is>
      </c>
      <c r="K271" s="1538" t="n">
        <v>5000</v>
      </c>
      <c r="L271" s="1538" t="n">
        <v>5000</v>
      </c>
      <c r="M271" s="1586" t="n">
        <v>0.02</v>
      </c>
      <c r="N271" s="1586" t="n">
        <v>0.02</v>
      </c>
      <c r="O271" s="1586" t="n">
        <v>0.02</v>
      </c>
      <c r="P271" s="1586" t="n">
        <v>0.02</v>
      </c>
      <c r="Q271" s="1586" t="n">
        <v>0.02</v>
      </c>
      <c r="R271" s="1500" t="n"/>
    </row>
    <row r="272">
      <c r="E272" s="1233" t="inlineStr">
        <is>
          <t>*</t>
        </is>
      </c>
      <c r="F272" s="1145" t="n"/>
      <c r="H272" s="1500">
        <f>H257</f>
        <v/>
      </c>
      <c r="I272" s="1622" t="inlineStr">
        <is>
          <t>Fixed/Variable</t>
        </is>
      </c>
      <c r="K272" s="1538" t="n">
        <v>5000</v>
      </c>
      <c r="L272" s="1538" t="n">
        <v>5000</v>
      </c>
      <c r="M272" s="1586" t="n">
        <v>0.02</v>
      </c>
      <c r="N272" s="1586" t="n">
        <v>0.02</v>
      </c>
      <c r="O272" s="1586" t="n">
        <v>0.02</v>
      </c>
      <c r="P272" s="1586" t="n">
        <v>0.02</v>
      </c>
      <c r="Q272" s="1586" t="n">
        <v>0.02</v>
      </c>
      <c r="R272" s="1500" t="n"/>
    </row>
    <row r="273">
      <c r="E273" s="1233" t="inlineStr">
        <is>
          <t>*</t>
        </is>
      </c>
      <c r="F273" s="1145" t="n"/>
      <c r="H273" s="1500">
        <f>H258</f>
        <v/>
      </c>
      <c r="I273" s="1622" t="inlineStr">
        <is>
          <t>Fixed/Variable</t>
        </is>
      </c>
      <c r="K273" s="1538" t="n">
        <v>5000</v>
      </c>
      <c r="L273" s="1538" t="n">
        <v>5000</v>
      </c>
      <c r="M273" s="1586" t="n">
        <v>0.02</v>
      </c>
      <c r="N273" s="1586" t="n">
        <v>0.02</v>
      </c>
      <c r="O273" s="1586" t="n">
        <v>0.02</v>
      </c>
      <c r="P273" s="1586" t="n">
        <v>0.02</v>
      </c>
      <c r="Q273" s="1586" t="n">
        <v>0.02</v>
      </c>
      <c r="R273" s="1500" t="n"/>
    </row>
    <row r="274">
      <c r="E274" s="1233" t="inlineStr">
        <is>
          <t>*</t>
        </is>
      </c>
      <c r="F274" s="1145" t="n"/>
      <c r="H274" s="1500">
        <f>H259</f>
        <v/>
      </c>
      <c r="I274" s="1622" t="inlineStr">
        <is>
          <t>Fixed/Variable</t>
        </is>
      </c>
      <c r="K274" s="1538" t="n">
        <v>5000</v>
      </c>
      <c r="L274" s="1538" t="n">
        <v>5000</v>
      </c>
      <c r="M274" s="1586" t="n">
        <v>0.02</v>
      </c>
      <c r="N274" s="1586" t="n">
        <v>0.02</v>
      </c>
      <c r="O274" s="1586" t="n">
        <v>0.02</v>
      </c>
      <c r="P274" s="1586" t="n">
        <v>0.02</v>
      </c>
      <c r="Q274" s="1586" t="n">
        <v>0.02</v>
      </c>
      <c r="R274" s="1500" t="n"/>
    </row>
    <row r="275">
      <c r="E275" s="1233" t="n"/>
      <c r="F275" s="1145" t="n"/>
      <c r="H275" s="1500">
        <f>H260</f>
        <v/>
      </c>
      <c r="I275" s="1622" t="inlineStr">
        <is>
          <t>Fixed/Variable</t>
        </is>
      </c>
      <c r="K275" s="1538" t="n">
        <v>5000</v>
      </c>
      <c r="L275" s="1538" t="n">
        <v>5000</v>
      </c>
      <c r="M275" s="1586" t="n">
        <v>0.02</v>
      </c>
      <c r="N275" s="1586" t="n">
        <v>0.02</v>
      </c>
      <c r="O275" s="1586" t="n">
        <v>0.02</v>
      </c>
      <c r="P275" s="1586" t="n">
        <v>0.02</v>
      </c>
      <c r="Q275" s="1586" t="n">
        <v>0.02</v>
      </c>
      <c r="R275" s="1500" t="n"/>
    </row>
    <row r="276">
      <c r="E276" s="1233" t="n"/>
      <c r="F276" s="1145" t="n"/>
      <c r="H276" s="1500">
        <f>H261</f>
        <v/>
      </c>
      <c r="I276" s="1622" t="inlineStr">
        <is>
          <t>Fixed/Variable</t>
        </is>
      </c>
      <c r="K276" s="1538" t="n">
        <v>5000</v>
      </c>
      <c r="L276" s="1538" t="n">
        <v>5000</v>
      </c>
      <c r="M276" s="1586" t="n">
        <v>0.02</v>
      </c>
      <c r="N276" s="1586" t="n">
        <v>0.02</v>
      </c>
      <c r="O276" s="1586" t="n">
        <v>0.02</v>
      </c>
      <c r="P276" s="1586" t="n">
        <v>0.02</v>
      </c>
      <c r="Q276" s="1586" t="n">
        <v>0.02</v>
      </c>
      <c r="R276" s="1500" t="n"/>
    </row>
    <row r="277">
      <c r="E277" s="1233" t="inlineStr">
        <is>
          <t>*</t>
        </is>
      </c>
      <c r="F277" s="1145" t="n"/>
      <c r="H277" s="1500">
        <f>H262</f>
        <v/>
      </c>
      <c r="I277" s="1622" t="inlineStr">
        <is>
          <t>Fixed/Variable</t>
        </is>
      </c>
      <c r="K277" s="1538" t="n">
        <v>5000</v>
      </c>
      <c r="L277" s="1538" t="n">
        <v>5000</v>
      </c>
      <c r="M277" s="1586" t="n">
        <v>0.02</v>
      </c>
      <c r="N277" s="1586" t="n">
        <v>0.02</v>
      </c>
      <c r="O277" s="1586" t="n">
        <v>0.02</v>
      </c>
      <c r="P277" s="1586" t="n">
        <v>0.02</v>
      </c>
      <c r="Q277" s="1586" t="n">
        <v>0.02</v>
      </c>
      <c r="R277" s="1500" t="n"/>
    </row>
    <row r="278">
      <c r="E278" s="1233" t="inlineStr">
        <is>
          <t>*</t>
        </is>
      </c>
      <c r="F278" s="1145" t="n"/>
      <c r="H278" s="1500">
        <f>H263</f>
        <v/>
      </c>
      <c r="I278" s="1622" t="inlineStr">
        <is>
          <t>Fixed/Variable</t>
        </is>
      </c>
      <c r="K278" s="1538" t="n">
        <v>5000</v>
      </c>
      <c r="L278" s="1538" t="n">
        <v>5000</v>
      </c>
      <c r="M278" s="1586" t="n">
        <v>0.02</v>
      </c>
      <c r="N278" s="1586" t="n">
        <v>0.02</v>
      </c>
      <c r="O278" s="1586" t="n">
        <v>0.02</v>
      </c>
      <c r="P278" s="1586" t="n">
        <v>0.02</v>
      </c>
      <c r="Q278" s="1586" t="n">
        <v>0.02</v>
      </c>
      <c r="R278" s="1500" t="n"/>
    </row>
    <row r="279">
      <c r="E279" s="1233" t="inlineStr">
        <is>
          <t>*</t>
        </is>
      </c>
      <c r="F279" s="1145" t="n"/>
      <c r="H279" s="1500">
        <f>H264</f>
        <v/>
      </c>
      <c r="I279" s="1622" t="inlineStr">
        <is>
          <t>Fixed/Variable</t>
        </is>
      </c>
      <c r="K279" s="1538" t="n">
        <v>5000</v>
      </c>
      <c r="L279" s="1538" t="n">
        <v>5000</v>
      </c>
      <c r="M279" s="1586" t="n">
        <v>0.02</v>
      </c>
      <c r="N279" s="1586" t="n">
        <v>0.02</v>
      </c>
      <c r="O279" s="1586" t="n">
        <v>0.02</v>
      </c>
      <c r="P279" s="1586" t="n">
        <v>0.02</v>
      </c>
      <c r="Q279" s="1586" t="n">
        <v>0.02</v>
      </c>
      <c r="R279" s="1500" t="n"/>
    </row>
    <row r="280">
      <c r="E280" s="1233" t="inlineStr">
        <is>
          <t>*</t>
        </is>
      </c>
      <c r="F280" s="1145" t="n"/>
      <c r="H280" s="1500">
        <f>H265</f>
        <v/>
      </c>
      <c r="I280" s="1622" t="inlineStr">
        <is>
          <t>Fixed/Variable</t>
        </is>
      </c>
      <c r="K280" s="1538" t="n">
        <v>5000</v>
      </c>
      <c r="L280" s="1538" t="n">
        <v>5000</v>
      </c>
      <c r="M280" s="1586" t="n">
        <v>0.02</v>
      </c>
      <c r="N280" s="1586" t="n">
        <v>0.02</v>
      </c>
      <c r="O280" s="1586" t="n">
        <v>0.02</v>
      </c>
      <c r="P280" s="1586" t="n">
        <v>0.02</v>
      </c>
      <c r="Q280" s="1586" t="n">
        <v>0.02</v>
      </c>
      <c r="R280" s="1500" t="n"/>
    </row>
    <row r="281" ht="99" customHeight="1">
      <c r="E281" s="1233" t="inlineStr">
        <is>
          <t>*</t>
        </is>
      </c>
      <c r="F281" s="1145" t="n"/>
      <c r="G281" s="1643" t="n"/>
      <c r="H281" s="1798" t="inlineStr">
        <is>
          <t>Total Operating Expenses</t>
        </is>
      </c>
      <c r="I281" s="1644" t="inlineStr">
        <is>
          <t>Enter only totals here</t>
        </is>
      </c>
      <c r="J281" s="1644" t="inlineStr">
        <is>
          <t>If "Enter only totals" is selected, hide breakdown rows.</t>
        </is>
      </c>
      <c r="K281" s="1645" t="n">
        <v>200000</v>
      </c>
      <c r="L281" s="1645" t="n">
        <v>200000</v>
      </c>
      <c r="M281" s="1646" t="n">
        <v>0.02</v>
      </c>
      <c r="N281" s="1647" t="n">
        <v>0.02</v>
      </c>
      <c r="O281" s="1647" t="n">
        <v>0.02</v>
      </c>
      <c r="P281" s="1647" t="n">
        <v>0.02</v>
      </c>
      <c r="Q281" s="1647" t="n">
        <v>0.02</v>
      </c>
    </row>
    <row r="282" ht="15.5" customHeight="1">
      <c r="E282" s="1233" t="inlineStr">
        <is>
          <t>*</t>
        </is>
      </c>
      <c r="F282" s="1145" t="n"/>
    </row>
    <row r="283" ht="15.5" customHeight="1">
      <c r="E283" s="1233" t="inlineStr">
        <is>
          <t>*</t>
        </is>
      </c>
      <c r="F283" s="1513">
        <f>F247+1</f>
        <v/>
      </c>
      <c r="G283" s="1514" t="n"/>
      <c r="H283" s="1513" t="inlineStr">
        <is>
          <t>Assets &amp; Depreciation</t>
        </is>
      </c>
      <c r="I283" s="1623" t="n"/>
      <c r="J283" s="1514" t="n"/>
      <c r="K283" s="1514" t="n"/>
      <c r="L283" s="1514" t="n"/>
      <c r="M283" s="1514" t="n"/>
      <c r="N283" s="1514" t="n"/>
      <c r="O283" s="1516" t="n"/>
      <c r="P283" s="1514" t="n"/>
      <c r="Q283" s="1514" t="n"/>
      <c r="R283" s="1500" t="n"/>
    </row>
    <row r="284" ht="112.5" customHeight="1">
      <c r="E284" s="1233" t="inlineStr">
        <is>
          <t>*</t>
        </is>
      </c>
      <c r="F284" s="1145" t="n"/>
      <c r="H284" s="1500" t="n"/>
      <c r="I284" s="1506" t="inlineStr">
        <is>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is>
      </c>
      <c r="J284" s="1500" t="inlineStr">
        <is>
          <t>If answer is A, display A section, if answer is B, display B section, else display C section</t>
        </is>
      </c>
      <c r="K284" s="1631" t="inlineStr">
        <is>
          <t>B</t>
        </is>
      </c>
      <c r="Q284" s="1500" t="n"/>
      <c r="R284" s="1500" t="n"/>
    </row>
    <row r="285" ht="15.5" customHeight="1">
      <c r="E285" s="1233" t="inlineStr">
        <is>
          <t>*</t>
        </is>
      </c>
      <c r="F285" s="1145" t="n"/>
      <c r="H285" s="1500" t="n"/>
      <c r="I285" s="1500" t="n"/>
      <c r="Q285" s="1500" t="n"/>
      <c r="R285" s="1500" t="n"/>
    </row>
    <row r="286" ht="15.5" customHeight="1">
      <c r="E286" s="1233" t="inlineStr">
        <is>
          <t>*</t>
        </is>
      </c>
      <c r="F286" s="1145" t="n"/>
      <c r="G286" s="1498" t="inlineStr">
        <is>
          <t>A. Capital Expenditure Plan by Useful Life</t>
        </is>
      </c>
      <c r="H286" s="1500" t="n"/>
      <c r="I286" s="1500" t="n"/>
      <c r="K286" s="1510" t="inlineStr">
        <is>
          <t>Existing Capex</t>
        </is>
      </c>
      <c r="L286" s="1510" t="inlineStr">
        <is>
          <t>Current Year</t>
        </is>
      </c>
      <c r="M286" s="1510">
        <f>M269</f>
        <v/>
      </c>
      <c r="N286" s="1510">
        <f>N269</f>
        <v/>
      </c>
      <c r="O286" s="1617">
        <f>O269</f>
        <v/>
      </c>
      <c r="P286" s="1510">
        <f>P269</f>
        <v/>
      </c>
      <c r="Q286" s="1510">
        <f>Q269</f>
        <v/>
      </c>
      <c r="R286" s="1500" t="n"/>
    </row>
    <row r="287" ht="42.5" customHeight="1">
      <c r="E287" s="1233" t="inlineStr">
        <is>
          <t>*</t>
        </is>
      </c>
      <c r="F287" s="1145" t="n"/>
      <c r="H287" s="1499" t="inlineStr">
        <is>
          <t>GROSS BLOCK A - 30 Years</t>
        </is>
      </c>
      <c r="I287" s="1501" t="inlineStr">
        <is>
          <t>These include assets like building, heavy machinery, etc. which can have a 30 years long useful life.</t>
        </is>
      </c>
      <c r="K287" s="1585" t="n"/>
      <c r="L287" s="1585" t="n"/>
      <c r="M287" s="1585" t="n"/>
      <c r="N287" s="1585" t="n"/>
      <c r="O287" s="1624" t="n"/>
      <c r="P287" s="1585" t="n"/>
      <c r="Q287" s="1625" t="n"/>
      <c r="R287" s="1552" t="inlineStr">
        <is>
          <t>Add note that if minimal or no Capex, business growth will be capped at a valuation level (subject to industry)</t>
        </is>
      </c>
    </row>
    <row r="288" ht="28" customHeight="1">
      <c r="E288" s="1233" t="inlineStr">
        <is>
          <t>*</t>
        </is>
      </c>
      <c r="F288" s="1145" t="n"/>
      <c r="H288" s="1500" t="inlineStr">
        <is>
          <t>GROSS BLOCK B - 20 Years</t>
        </is>
      </c>
      <c r="I288" s="1501" t="inlineStr">
        <is>
          <t>These include assets like plant &amp; equipment, renovations, etc. which can have a 20 years long useful life.</t>
        </is>
      </c>
      <c r="K288" s="1585" t="n"/>
      <c r="L288" s="1585" t="n"/>
      <c r="M288" s="1585" t="n"/>
      <c r="N288" s="1585" t="n"/>
      <c r="O288" s="1624" t="n"/>
      <c r="P288" s="1585" t="n"/>
      <c r="Q288" s="1625" t="n"/>
    </row>
    <row r="289" ht="28" customHeight="1">
      <c r="E289" s="1233" t="inlineStr">
        <is>
          <t>*</t>
        </is>
      </c>
      <c r="F289" s="1145" t="n"/>
      <c r="H289" s="1500" t="inlineStr">
        <is>
          <t>GROSS BLOCK C - 10 Years</t>
        </is>
      </c>
      <c r="I289" s="1501" t="inlineStr">
        <is>
          <t>These include assets like light equipment, appliances, furniture, etc. which can have a 10 years useful life.</t>
        </is>
      </c>
      <c r="K289" s="1585" t="n"/>
      <c r="L289" s="1585" t="n"/>
      <c r="M289" s="1585" t="n"/>
      <c r="N289" s="1585" t="n"/>
      <c r="O289" s="1624" t="n"/>
      <c r="P289" s="1585" t="n"/>
      <c r="Q289" s="1625" t="n"/>
    </row>
    <row r="290" ht="15.5" customHeight="1">
      <c r="E290" s="1233" t="inlineStr">
        <is>
          <t>*</t>
        </is>
      </c>
      <c r="F290" s="1145" t="n"/>
      <c r="H290" s="1500" t="inlineStr">
        <is>
          <t>GROSS BLOCK D - 5 Years</t>
        </is>
      </c>
      <c r="I290" s="1501" t="inlineStr">
        <is>
          <t>These include assets like tools, printers, appliances, etc. which can have a 5 years useful life.</t>
        </is>
      </c>
      <c r="K290" s="1585" t="n"/>
      <c r="L290" s="1585" t="n"/>
      <c r="M290" s="1585" t="n"/>
      <c r="N290" s="1585" t="n"/>
      <c r="O290" s="1624" t="n"/>
      <c r="P290" s="1585" t="n"/>
      <c r="Q290" s="1625" t="n"/>
    </row>
    <row r="291" ht="15.5" customHeight="1">
      <c r="E291" s="1233" t="inlineStr">
        <is>
          <t>*</t>
        </is>
      </c>
      <c r="F291" s="1145" t="n"/>
    </row>
    <row r="292" ht="15.5" customHeight="1">
      <c r="E292" s="1233" t="inlineStr">
        <is>
          <t>*</t>
        </is>
      </c>
      <c r="F292" s="1145" t="n"/>
      <c r="G292" s="1498" t="inlineStr">
        <is>
          <t>B. Total Annual Capex Value</t>
        </is>
      </c>
      <c r="K292" s="1585" t="n"/>
      <c r="L292" s="1585" t="n"/>
      <c r="M292" s="1585" t="n"/>
      <c r="N292" s="1585" t="n"/>
      <c r="O292" s="1624" t="n"/>
      <c r="P292" s="1585" t="n"/>
      <c r="Q292" s="1625" t="n"/>
    </row>
    <row r="293" ht="15.5" customHeight="1">
      <c r="E293" s="1233" t="inlineStr">
        <is>
          <t>*</t>
        </is>
      </c>
      <c r="F293" s="1145" t="n"/>
      <c r="G293" s="1498" t="n"/>
      <c r="K293" s="1499" t="n"/>
      <c r="L293" s="1499" t="n"/>
      <c r="M293" s="1501" t="n"/>
      <c r="N293" s="1501" t="n"/>
      <c r="O293" s="1581" t="n"/>
      <c r="P293" s="1501" t="n"/>
      <c r="Q293" s="1501" t="n"/>
    </row>
    <row r="294" ht="15.5" customHeight="1">
      <c r="E294" s="1233" t="inlineStr">
        <is>
          <t>*</t>
        </is>
      </c>
      <c r="F294" s="1145" t="n"/>
      <c r="G294" s="1498" t="inlineStr">
        <is>
          <t>C. Capex as a % of revenue</t>
        </is>
      </c>
      <c r="I294" s="1501" t="inlineStr">
        <is>
          <t>Please enter the % of capital expenditure planned to spend against earned revenues.</t>
        </is>
      </c>
      <c r="J294" s="1500" t="inlineStr">
        <is>
          <t>Only allow % without cap on 100</t>
        </is>
      </c>
      <c r="K294" s="1585" t="n"/>
      <c r="L294" s="1585" t="n"/>
      <c r="M294" s="1585" t="n"/>
      <c r="N294" s="1585" t="n"/>
      <c r="O294" s="1624" t="n"/>
      <c r="P294" s="1585" t="n"/>
      <c r="Q294" s="1625" t="n"/>
    </row>
    <row r="295" ht="15.5" customHeight="1">
      <c r="E295" s="1233" t="inlineStr">
        <is>
          <t>*</t>
        </is>
      </c>
      <c r="F295" s="1145" t="n"/>
    </row>
    <row r="296" ht="15.5" customHeight="1">
      <c r="E296" s="1233" t="inlineStr">
        <is>
          <t>*</t>
        </is>
      </c>
      <c r="F296" s="1513">
        <f>F283+1</f>
        <v/>
      </c>
      <c r="G296" s="1514" t="n"/>
      <c r="H296" s="1513" t="inlineStr">
        <is>
          <t>Net Working Capital</t>
        </is>
      </c>
      <c r="I296" s="1613" t="n"/>
      <c r="J296" s="1514" t="n"/>
      <c r="K296" s="1514" t="n"/>
      <c r="L296" s="1514" t="n"/>
      <c r="M296" s="1514" t="n"/>
      <c r="N296" s="1514" t="n"/>
      <c r="O296" s="1516" t="n"/>
      <c r="P296" s="1514" t="n"/>
      <c r="Q296" s="1517" t="n"/>
    </row>
    <row r="297" ht="112" customHeight="1">
      <c r="E297" s="1233" t="inlineStr">
        <is>
          <t>*</t>
        </is>
      </c>
      <c r="F297" s="1145" t="n"/>
      <c r="H297" s="1791" t="n"/>
      <c r="I297" s="1525" t="inlineStr">
        <is>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is>
      </c>
      <c r="J297" s="1626" t="n"/>
      <c r="K297" s="1626" t="n"/>
      <c r="L297" s="1626" t="n"/>
      <c r="M297" s="1626" t="n"/>
      <c r="N297" s="1626" t="n"/>
      <c r="O297" s="1823" t="n"/>
      <c r="P297" s="1626" t="n"/>
      <c r="Q297" s="1627" t="n"/>
    </row>
    <row r="298" ht="15.5" customHeight="1">
      <c r="E298" s="1233" t="inlineStr">
        <is>
          <t>*</t>
        </is>
      </c>
      <c r="F298" s="1145" t="n"/>
    </row>
    <row r="299" ht="15.5" customHeight="1">
      <c r="E299" s="1233" t="inlineStr">
        <is>
          <t>*</t>
        </is>
      </c>
      <c r="F299" s="1145" t="n"/>
      <c r="H299" s="1583" t="inlineStr">
        <is>
          <t>Current Assets</t>
        </is>
      </c>
      <c r="L299" s="1510">
        <f>L254</f>
        <v/>
      </c>
      <c r="M299" s="1510">
        <f>M254</f>
        <v/>
      </c>
      <c r="N299" s="1510">
        <f>N254</f>
        <v/>
      </c>
      <c r="O299" s="1617">
        <f>O254</f>
        <v/>
      </c>
      <c r="P299" s="1510">
        <f>P254</f>
        <v/>
      </c>
      <c r="Q299" s="1628">
        <f>Q254</f>
        <v/>
      </c>
    </row>
    <row r="300" ht="28" customHeight="1">
      <c r="E300" s="1233" t="inlineStr">
        <is>
          <t>*</t>
        </is>
      </c>
      <c r="F300" s="1145" t="n"/>
      <c r="H300" s="1499" t="inlineStr">
        <is>
          <t>Trade Receivables Days</t>
        </is>
      </c>
      <c r="I300" s="1501" t="inlineStr">
        <is>
          <t>Customer credit terms - Please enter how many days of credit does the business give, on average, to its customers? If customers pay in advance, enter a negative value for the days inputs.</t>
        </is>
      </c>
      <c r="L300" s="1585" t="n">
        <v>-20</v>
      </c>
      <c r="M300" s="1585" t="n">
        <v>-20</v>
      </c>
      <c r="N300" s="1585" t="n">
        <v>-20</v>
      </c>
      <c r="O300" s="1585" t="n">
        <v>-20</v>
      </c>
      <c r="P300" s="1585" t="n">
        <v>-20</v>
      </c>
      <c r="Q300" s="1585" t="n">
        <v>-20</v>
      </c>
      <c r="R300" s="1552" t="inlineStr">
        <is>
          <t>Make a restricted number selection</t>
        </is>
      </c>
    </row>
    <row r="301" ht="15.5" customHeight="1">
      <c r="E301" s="1233" t="inlineStr">
        <is>
          <t>*</t>
        </is>
      </c>
      <c r="F301" s="1145" t="n"/>
      <c r="H301" s="1499" t="inlineStr">
        <is>
          <t>Other Receivables Days</t>
        </is>
      </c>
      <c r="I301" s="1499" t="inlineStr">
        <is>
          <t>If there is anyone else who owes money to the business, on average, how many days would they take to pay back?</t>
        </is>
      </c>
      <c r="L301" s="1585" t="n"/>
      <c r="M301" s="1585" t="n"/>
      <c r="N301" s="1585" t="n"/>
      <c r="O301" s="1624" t="n"/>
      <c r="P301" s="1585" t="n"/>
      <c r="Q301" s="1585" t="n"/>
      <c r="R301" s="1552" t="inlineStr">
        <is>
          <t>Make a restricted number selection</t>
        </is>
      </c>
    </row>
    <row r="302" ht="15.5" customHeight="1">
      <c r="E302" s="1233" t="inlineStr">
        <is>
          <t>*</t>
        </is>
      </c>
      <c r="F302" s="1145" t="n"/>
      <c r="H302" s="1499" t="inlineStr">
        <is>
          <t xml:space="preserve">Inventory Days </t>
        </is>
      </c>
      <c r="I302" s="1499" t="inlineStr">
        <is>
          <t>In how many days does the business turn its stock inventory, on average? If the business is a service-provider, please enter 0 days.</t>
        </is>
      </c>
      <c r="L302" s="1585" t="n"/>
      <c r="M302" s="1585" t="n"/>
      <c r="N302" s="1585" t="n"/>
      <c r="O302" s="1624" t="n"/>
      <c r="P302" s="1585" t="n"/>
      <c r="Q302" s="1585" t="n"/>
      <c r="R302" s="1552" t="inlineStr">
        <is>
          <t>Make a restricted number selection</t>
        </is>
      </c>
    </row>
    <row r="303" ht="15.5" customHeight="1">
      <c r="E303" s="1233" t="inlineStr">
        <is>
          <t>*</t>
        </is>
      </c>
      <c r="F303" s="1145" t="n"/>
      <c r="H303" s="1499" t="inlineStr">
        <is>
          <t xml:space="preserve">Prepaid Expenses &amp; Other Days </t>
        </is>
      </c>
      <c r="I303" s="1499" t="inlineStr">
        <is>
          <t>If the business makes prepayments on expenses, on average, how many days in advance do they pay?</t>
        </is>
      </c>
      <c r="L303" s="1585" t="n"/>
      <c r="M303" s="1585" t="n"/>
      <c r="N303" s="1585" t="n"/>
      <c r="O303" s="1624" t="n"/>
      <c r="P303" s="1585" t="n"/>
      <c r="Q303" s="1585" t="n"/>
      <c r="R303" s="1552" t="inlineStr">
        <is>
          <t>Make a restricted number selection</t>
        </is>
      </c>
    </row>
    <row r="304" ht="15.5" customHeight="1">
      <c r="E304" s="1233" t="inlineStr">
        <is>
          <t>*</t>
        </is>
      </c>
      <c r="F304" s="1145" t="n"/>
      <c r="I304" s="1583" t="n"/>
      <c r="Q304" s="1500" t="n"/>
    </row>
    <row r="305" ht="15.5" customHeight="1">
      <c r="E305" s="1233" t="inlineStr">
        <is>
          <t>*</t>
        </is>
      </c>
      <c r="F305" s="1145" t="n"/>
      <c r="H305" s="1583" t="inlineStr">
        <is>
          <t>Current Liabilities</t>
        </is>
      </c>
      <c r="I305" s="1583" t="n"/>
      <c r="Q305" s="1500" t="n"/>
    </row>
    <row r="306" ht="42" customHeight="1">
      <c r="E306" s="1233" t="inlineStr">
        <is>
          <t>*</t>
        </is>
      </c>
      <c r="F306" s="1145" t="n"/>
      <c r="H306" s="1499" t="inlineStr">
        <is>
          <t xml:space="preserve">Trade Payables Days </t>
        </is>
      </c>
      <c r="I306" s="1501" t="inlineStr">
        <is>
          <t>Supplier credit terms - Please enter how many days of credit does the business receive, on average, from its suppliers &amp; vendors? If the business pays in advance, enter a negative value for the days inputs.</t>
        </is>
      </c>
      <c r="L306" s="1585" t="n">
        <v>-40</v>
      </c>
      <c r="M306" s="1585" t="n">
        <v>-40</v>
      </c>
      <c r="N306" s="1585" t="n">
        <v>-40</v>
      </c>
      <c r="O306" s="1585" t="n">
        <v>-40</v>
      </c>
      <c r="P306" s="1585" t="n">
        <v>-40</v>
      </c>
      <c r="Q306" s="1585" t="n">
        <v>-40</v>
      </c>
      <c r="R306" s="1552" t="inlineStr">
        <is>
          <t>Make a restricted number selection</t>
        </is>
      </c>
    </row>
    <row r="307" ht="15.5" customHeight="1">
      <c r="E307" s="1233" t="inlineStr">
        <is>
          <t>*</t>
        </is>
      </c>
      <c r="F307" s="1145" t="n"/>
      <c r="H307" s="1499" t="inlineStr">
        <is>
          <t>Salaries Payable</t>
        </is>
      </c>
      <c r="I307" s="1501" t="inlineStr">
        <is>
          <t>In how many days does the business pay salaries to its employees?</t>
        </is>
      </c>
      <c r="L307" s="1585" t="n"/>
      <c r="M307" s="1585" t="n"/>
      <c r="N307" s="1585" t="n"/>
      <c r="O307" s="1624" t="n"/>
      <c r="P307" s="1585" t="n"/>
      <c r="Q307" s="1585" t="n"/>
      <c r="R307" s="1552" t="inlineStr">
        <is>
          <t>Make a restricted number selection</t>
        </is>
      </c>
    </row>
    <row r="308" ht="15.5" customHeight="1">
      <c r="E308" s="1233" t="inlineStr">
        <is>
          <t>*</t>
        </is>
      </c>
      <c r="F308" s="1145" t="n"/>
      <c r="H308" s="1499" t="inlineStr">
        <is>
          <t xml:space="preserve">Accrued Expenses Days </t>
        </is>
      </c>
      <c r="I308" s="1499" t="inlineStr">
        <is>
          <t>If the business makes delayed payments on other expenses, on average, how many days late do they pay?</t>
        </is>
      </c>
      <c r="L308" s="1585" t="n"/>
      <c r="M308" s="1585" t="n"/>
      <c r="N308" s="1585" t="n"/>
      <c r="O308" s="1624" t="n"/>
      <c r="P308" s="1585" t="n"/>
      <c r="Q308" s="1585" t="n"/>
      <c r="R308" s="1552" t="inlineStr">
        <is>
          <t>Make a restricted number selection</t>
        </is>
      </c>
    </row>
    <row r="309" ht="15.5" customHeight="1">
      <c r="E309" s="1233" t="inlineStr">
        <is>
          <t>*</t>
        </is>
      </c>
      <c r="F309" s="1145" t="n"/>
      <c r="H309" s="1499" t="inlineStr">
        <is>
          <t xml:space="preserve">Tax Payables Days </t>
        </is>
      </c>
      <c r="I309" s="1499" t="inlineStr">
        <is>
          <t xml:space="preserve">In how many days does the business settle tax expenses? </t>
        </is>
      </c>
      <c r="L309" s="1585" t="n"/>
      <c r="M309" s="1585" t="n"/>
      <c r="N309" s="1585" t="n"/>
      <c r="O309" s="1624" t="n"/>
      <c r="P309" s="1585" t="n"/>
      <c r="Q309" s="1585" t="n"/>
      <c r="R309" s="1552" t="inlineStr">
        <is>
          <t>Make a restricted number selection</t>
        </is>
      </c>
    </row>
    <row r="310" ht="15.5" customHeight="1">
      <c r="E310" s="1233" t="inlineStr">
        <is>
          <t>*</t>
        </is>
      </c>
      <c r="F310" s="1145" t="n"/>
      <c r="H310" s="1499" t="inlineStr">
        <is>
          <t xml:space="preserve">Other Payables Days </t>
        </is>
      </c>
      <c r="I310" s="1499" t="inlineStr">
        <is>
          <t>If the business owes money to anyone else, on average, how many days would it take to pay back?</t>
        </is>
      </c>
      <c r="L310" s="1585" t="n"/>
      <c r="M310" s="1585" t="n"/>
      <c r="N310" s="1585" t="n"/>
      <c r="O310" s="1624" t="n"/>
      <c r="P310" s="1585" t="n"/>
      <c r="Q310" s="1585" t="n"/>
    </row>
    <row r="311" ht="15.5" customHeight="1">
      <c r="E311" s="1233" t="inlineStr">
        <is>
          <t>*</t>
        </is>
      </c>
      <c r="F311" s="1145" t="n"/>
      <c r="I311" s="1583" t="n"/>
    </row>
    <row r="312" ht="15.5" customHeight="1">
      <c r="E312" s="1233" t="inlineStr">
        <is>
          <t>*</t>
        </is>
      </c>
      <c r="F312" s="1145" t="n"/>
    </row>
    <row r="313" ht="15.5" customHeight="1">
      <c r="E313" s="1233" t="inlineStr">
        <is>
          <t>*</t>
        </is>
      </c>
      <c r="F313" s="1145" t="n"/>
      <c r="H313" s="1799" t="inlineStr">
        <is>
          <t>Checkbox</t>
        </is>
      </c>
      <c r="I313" s="1499" t="inlineStr">
        <is>
          <t>I am unsure of the days, please auto-fill  adopting a general credit term standard estimate.</t>
        </is>
      </c>
    </row>
    <row r="314" ht="15.5" customHeight="1">
      <c r="E314" s="1233" t="inlineStr">
        <is>
          <t>*</t>
        </is>
      </c>
      <c r="F314" s="1145" t="n"/>
    </row>
    <row r="315" ht="15.5" customHeight="1">
      <c r="E315" s="1233" t="inlineStr">
        <is>
          <t>*</t>
        </is>
      </c>
      <c r="F315" s="1145" t="n"/>
      <c r="H315" s="1583" t="inlineStr">
        <is>
          <t>Current Assets</t>
        </is>
      </c>
      <c r="L315" s="1510">
        <f>L299</f>
        <v/>
      </c>
      <c r="M315" s="1510">
        <f>M299</f>
        <v/>
      </c>
      <c r="N315" s="1510">
        <f>N299</f>
        <v/>
      </c>
      <c r="O315" s="1617">
        <f>O299</f>
        <v/>
      </c>
      <c r="P315" s="1510">
        <f>P299</f>
        <v/>
      </c>
      <c r="Q315" s="1628">
        <f>Q299</f>
        <v/>
      </c>
    </row>
    <row r="316" ht="28.5" customHeight="1">
      <c r="E316" s="1233" t="inlineStr">
        <is>
          <t>*</t>
        </is>
      </c>
      <c r="F316" s="1145" t="n"/>
      <c r="H316" s="1499" t="inlineStr">
        <is>
          <t>Trade Receivables Days</t>
        </is>
      </c>
      <c r="L316" s="1585" t="n">
        <v>60</v>
      </c>
      <c r="M316" s="1585" t="n">
        <v>60</v>
      </c>
      <c r="N316" s="1585" t="n">
        <v>60</v>
      </c>
      <c r="O316" s="1585" t="n">
        <v>60</v>
      </c>
      <c r="P316" s="1585" t="n">
        <v>60</v>
      </c>
      <c r="Q316" s="1585" t="n">
        <v>60</v>
      </c>
      <c r="R316" s="1552" t="inlineStr">
        <is>
          <t>If you don't know - check with accountant for historical trend.</t>
        </is>
      </c>
    </row>
    <row r="317" ht="15.5" customHeight="1">
      <c r="E317" s="1233" t="inlineStr">
        <is>
          <t>*</t>
        </is>
      </c>
      <c r="F317" s="1145" t="n"/>
      <c r="H317" s="1499" t="inlineStr">
        <is>
          <t>Other Receivables Days</t>
        </is>
      </c>
      <c r="I317" s="1499" t="n"/>
      <c r="L317" s="1585" t="n">
        <v>45</v>
      </c>
      <c r="M317" s="1585" t="n">
        <v>45</v>
      </c>
      <c r="N317" s="1585" t="n">
        <v>45</v>
      </c>
      <c r="O317" s="1585" t="n">
        <v>45</v>
      </c>
      <c r="P317" s="1585" t="n">
        <v>45</v>
      </c>
      <c r="Q317" s="1585" t="n">
        <v>45</v>
      </c>
      <c r="R317" s="1500" t="inlineStr">
        <is>
          <t>Make it clear that we want days not currency value of balance</t>
        </is>
      </c>
    </row>
    <row r="318" ht="15.5" customHeight="1">
      <c r="E318" s="1233" t="inlineStr">
        <is>
          <t>*</t>
        </is>
      </c>
      <c r="F318" s="1145" t="n"/>
      <c r="H318" s="1499" t="inlineStr">
        <is>
          <t xml:space="preserve">Inventory Days </t>
        </is>
      </c>
      <c r="I318" s="1499" t="n"/>
      <c r="L318" s="1585" t="n">
        <v>60</v>
      </c>
      <c r="M318" s="1585" t="n">
        <v>60</v>
      </c>
      <c r="N318" s="1585" t="n">
        <v>60</v>
      </c>
      <c r="O318" s="1585" t="n">
        <v>60</v>
      </c>
      <c r="P318" s="1585" t="n">
        <v>60</v>
      </c>
      <c r="Q318" s="1585" t="n">
        <v>60</v>
      </c>
    </row>
    <row r="319" ht="15.5" customHeight="1">
      <c r="E319" s="1233" t="inlineStr">
        <is>
          <t>*</t>
        </is>
      </c>
      <c r="F319" s="1145" t="n"/>
      <c r="H319" s="1499" t="inlineStr">
        <is>
          <t xml:space="preserve">Prepaid Expenses &amp; Other Days </t>
        </is>
      </c>
      <c r="I319" s="1499" t="n"/>
      <c r="L319" s="1585" t="n">
        <v>30</v>
      </c>
      <c r="M319" s="1585" t="n">
        <v>30</v>
      </c>
      <c r="N319" s="1585" t="n">
        <v>30</v>
      </c>
      <c r="O319" s="1585" t="n">
        <v>30</v>
      </c>
      <c r="P319" s="1585" t="n">
        <v>30</v>
      </c>
      <c r="Q319" s="1585" t="n">
        <v>30</v>
      </c>
    </row>
    <row r="320" ht="15.5" customFormat="1" customHeight="1" s="1506">
      <c r="E320" s="1233" t="inlineStr">
        <is>
          <t>*</t>
        </is>
      </c>
      <c r="F320" s="1145" t="n"/>
      <c r="G320" s="1500" t="n"/>
      <c r="H320" s="1499" t="n"/>
      <c r="I320" s="1583" t="n"/>
      <c r="L320" s="1500" t="n"/>
      <c r="M320" s="1500" t="n"/>
      <c r="N320" s="1500" t="n"/>
      <c r="O320" s="1503" t="n"/>
      <c r="P320" s="1500" t="n"/>
      <c r="Q320" s="1500" t="n"/>
      <c r="S320" s="1500" t="n"/>
      <c r="T320" s="1500" t="n"/>
      <c r="U320" s="1500" t="n"/>
      <c r="V320" s="1500" t="n"/>
    </row>
    <row r="321" ht="15.5" customFormat="1" customHeight="1" s="1506">
      <c r="E321" s="1233" t="inlineStr">
        <is>
          <t>*</t>
        </is>
      </c>
      <c r="F321" s="1145" t="n"/>
      <c r="G321" s="1500" t="n"/>
      <c r="H321" s="1583" t="inlineStr">
        <is>
          <t>Current Liabilities</t>
        </is>
      </c>
      <c r="I321" s="1583" t="n"/>
      <c r="L321" s="1500" t="n"/>
      <c r="M321" s="1500" t="n"/>
      <c r="N321" s="1500" t="n"/>
      <c r="O321" s="1503" t="n"/>
      <c r="P321" s="1500" t="n"/>
      <c r="Q321" s="1500" t="n"/>
      <c r="S321" s="1500" t="n"/>
      <c r="T321" s="1500" t="n"/>
      <c r="U321" s="1500" t="n"/>
      <c r="V321" s="1500" t="n"/>
    </row>
    <row r="322" ht="15.5" customFormat="1" customHeight="1" s="1506">
      <c r="E322" s="1233" t="inlineStr">
        <is>
          <t>*</t>
        </is>
      </c>
      <c r="F322" s="1145" t="n"/>
      <c r="G322" s="1500" t="n"/>
      <c r="H322" s="1499" t="inlineStr">
        <is>
          <t xml:space="preserve">Trade Payables Days </t>
        </is>
      </c>
      <c r="I322" s="1501" t="n"/>
      <c r="L322" s="1585" t="n">
        <v>45</v>
      </c>
      <c r="M322" s="1585" t="n">
        <v>45</v>
      </c>
      <c r="N322" s="1585" t="n">
        <v>45</v>
      </c>
      <c r="O322" s="1585" t="n">
        <v>45</v>
      </c>
      <c r="P322" s="1585" t="n">
        <v>45</v>
      </c>
      <c r="Q322" s="1585" t="n">
        <v>45</v>
      </c>
      <c r="S322" s="1500" t="n"/>
      <c r="T322" s="1500" t="n"/>
      <c r="U322" s="1500" t="n"/>
      <c r="V322" s="1500" t="n"/>
    </row>
    <row r="323" ht="15.5" customFormat="1" customHeight="1" s="1506">
      <c r="E323" s="1233" t="inlineStr">
        <is>
          <t>*</t>
        </is>
      </c>
      <c r="F323" s="1145" t="n"/>
      <c r="G323" s="1500" t="n"/>
      <c r="H323" s="1499" t="inlineStr">
        <is>
          <t>Salaries Payable</t>
        </is>
      </c>
      <c r="I323" s="1501" t="n"/>
      <c r="L323" s="1585" t="n">
        <v>30</v>
      </c>
      <c r="M323" s="1585" t="n">
        <v>30</v>
      </c>
      <c r="N323" s="1585" t="n">
        <v>30</v>
      </c>
      <c r="O323" s="1585" t="n">
        <v>30</v>
      </c>
      <c r="P323" s="1585" t="n">
        <v>30</v>
      </c>
      <c r="Q323" s="1585" t="n">
        <v>30</v>
      </c>
      <c r="S323" s="1500" t="n"/>
      <c r="T323" s="1500" t="n"/>
      <c r="U323" s="1500" t="n"/>
      <c r="V323" s="1500" t="n"/>
    </row>
    <row r="324" ht="15.5" customFormat="1" customHeight="1" s="1506">
      <c r="E324" s="1233" t="inlineStr">
        <is>
          <t>*</t>
        </is>
      </c>
      <c r="F324" s="1145" t="n"/>
      <c r="G324" s="1500" t="n"/>
      <c r="H324" s="1499" t="inlineStr">
        <is>
          <t xml:space="preserve">Accrued Expenses Days </t>
        </is>
      </c>
      <c r="I324" s="1499" t="n"/>
      <c r="L324" s="1585" t="n">
        <v>45</v>
      </c>
      <c r="M324" s="1585" t="n">
        <v>45</v>
      </c>
      <c r="N324" s="1585" t="n">
        <v>45</v>
      </c>
      <c r="O324" s="1585" t="n">
        <v>45</v>
      </c>
      <c r="P324" s="1585" t="n">
        <v>45</v>
      </c>
      <c r="Q324" s="1585" t="n">
        <v>45</v>
      </c>
      <c r="S324" s="1500" t="n"/>
      <c r="T324" s="1500" t="n"/>
      <c r="U324" s="1500" t="n"/>
      <c r="V324" s="1500" t="n"/>
    </row>
    <row r="325" ht="15.5" customFormat="1" customHeight="1" s="1506">
      <c r="E325" s="1233" t="inlineStr">
        <is>
          <t>*</t>
        </is>
      </c>
      <c r="F325" s="1145" t="n"/>
      <c r="G325" s="1500" t="n"/>
      <c r="H325" s="1499" t="inlineStr">
        <is>
          <t xml:space="preserve">Tax Payables Days </t>
        </is>
      </c>
      <c r="I325" s="1499" t="n"/>
      <c r="L325" s="1585" t="n">
        <v>365</v>
      </c>
      <c r="M325" s="1585" t="n">
        <v>365</v>
      </c>
      <c r="N325" s="1585" t="n">
        <v>365</v>
      </c>
      <c r="O325" s="1585" t="n">
        <v>365</v>
      </c>
      <c r="P325" s="1585" t="n">
        <v>365</v>
      </c>
      <c r="Q325" s="1585" t="n">
        <v>365</v>
      </c>
      <c r="S325" s="1500" t="n"/>
      <c r="T325" s="1500" t="n"/>
      <c r="U325" s="1500" t="n"/>
      <c r="V325" s="1500" t="n"/>
    </row>
    <row r="326" ht="15.5" customFormat="1" customHeight="1" s="1506">
      <c r="E326" s="1233" t="inlineStr">
        <is>
          <t>*</t>
        </is>
      </c>
      <c r="F326" s="1145" t="n"/>
      <c r="G326" s="1500" t="n"/>
      <c r="H326" s="1499" t="inlineStr">
        <is>
          <t xml:space="preserve">Other Payables Days </t>
        </is>
      </c>
      <c r="I326" s="1499" t="n"/>
      <c r="L326" s="1585" t="n">
        <v>30</v>
      </c>
      <c r="M326" s="1585" t="n">
        <v>30</v>
      </c>
      <c r="N326" s="1585" t="n">
        <v>30</v>
      </c>
      <c r="O326" s="1585" t="n">
        <v>30</v>
      </c>
      <c r="P326" s="1585" t="n">
        <v>30</v>
      </c>
      <c r="Q326" s="1585" t="n">
        <v>30</v>
      </c>
      <c r="S326" s="1500" t="n"/>
      <c r="T326" s="1500" t="n"/>
      <c r="U326" s="1500" t="n"/>
      <c r="V326" s="1500" t="n"/>
    </row>
    <row r="327" ht="15.5" customHeight="1">
      <c r="E327" s="1233" t="inlineStr">
        <is>
          <t>*</t>
        </is>
      </c>
      <c r="F327" s="1145" t="n"/>
    </row>
    <row r="328" ht="15.5" customHeight="1">
      <c r="E328" s="1233" t="inlineStr">
        <is>
          <t>*</t>
        </is>
      </c>
      <c r="F328" s="1513" t="n">
        <v>7</v>
      </c>
      <c r="G328" s="1514" t="n"/>
      <c r="H328" s="1513" t="inlineStr">
        <is>
          <t>Valuation Inputs</t>
        </is>
      </c>
      <c r="I328" s="1613" t="n"/>
      <c r="J328" s="1514" t="n"/>
      <c r="K328" s="1514" t="n"/>
      <c r="L328" s="1514" t="n"/>
      <c r="M328" s="1514" t="n"/>
      <c r="N328" s="1514" t="n"/>
      <c r="O328" s="1516" t="n"/>
      <c r="P328" s="1514" t="n"/>
      <c r="Q328" s="1517" t="n"/>
    </row>
    <row r="329" ht="15.5" customHeight="1">
      <c r="E329" s="1233" t="inlineStr">
        <is>
          <t>*</t>
        </is>
      </c>
      <c r="F329" s="1145" t="n"/>
    </row>
    <row r="330" ht="28" customHeight="1">
      <c r="E330" s="1233" t="inlineStr">
        <is>
          <t>*</t>
        </is>
      </c>
      <c r="F330" s="1145" t="n"/>
      <c r="H330" s="1583" t="inlineStr">
        <is>
          <t>Cash as at Valuation Date</t>
        </is>
      </c>
      <c r="I330" s="1501" t="inlineStr">
        <is>
          <t>What is the available cash balance of the business on the Valuation Date? This should include bank balances and any cash like items.</t>
        </is>
      </c>
      <c r="J330" s="1500" t="inlineStr">
        <is>
          <t>Show in currency &amp; units mentioned in section 1.4</t>
        </is>
      </c>
      <c r="L330" s="1585" t="n">
        <v>45</v>
      </c>
    </row>
    <row r="331" ht="15.5" customHeight="1">
      <c r="E331" s="1233" t="inlineStr">
        <is>
          <t>*</t>
        </is>
      </c>
      <c r="F331" s="1145" t="n"/>
      <c r="H331" s="1583" t="n"/>
      <c r="L331" s="1585" t="n"/>
    </row>
    <row r="332" ht="70" customHeight="1">
      <c r="E332" s="1233" t="inlineStr">
        <is>
          <t>*</t>
        </is>
      </c>
      <c r="F332" s="1145" t="n"/>
      <c r="H332" s="1583" t="inlineStr">
        <is>
          <t>Related Party Balances - trade/non-trade</t>
        </is>
      </c>
      <c r="I332" s="1501" t="inlineStr">
        <is>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is>
      </c>
      <c r="M332" s="1510" t="inlineStr">
        <is>
          <t>Non-trade amount</t>
        </is>
      </c>
    </row>
    <row r="333" ht="15.5" customFormat="1" customHeight="1" s="1506">
      <c r="E333" s="1233" t="inlineStr">
        <is>
          <t>*</t>
        </is>
      </c>
      <c r="F333" s="1499" t="n"/>
      <c r="G333" s="1629" t="inlineStr">
        <is>
          <t>Trade</t>
        </is>
      </c>
      <c r="H333" s="1583" t="n"/>
      <c r="I333" s="1501" t="inlineStr">
        <is>
          <t>Dues to Related Parties (liability)</t>
        </is>
      </c>
      <c r="J333" s="1500" t="inlineStr">
        <is>
          <t>If trade, show note - "Include these in NWC days under Other Payable Days", if non-trade, collect amount in adjacent column</t>
        </is>
      </c>
      <c r="K333" s="1500" t="n"/>
      <c r="L333" s="1585" t="inlineStr">
        <is>
          <t>Non-Trade</t>
        </is>
      </c>
      <c r="M333" s="1585" t="n">
        <v>50</v>
      </c>
      <c r="N333" s="1500" t="n"/>
      <c r="O333" s="1503" t="n"/>
      <c r="P333" s="1500" t="n"/>
      <c r="S333" s="1500" t="n"/>
      <c r="T333" s="1500" t="n"/>
      <c r="U333" s="1500" t="n"/>
      <c r="V333" s="1500" t="n"/>
      <c r="W333" s="1500" t="n"/>
    </row>
    <row r="334" ht="15.5" customFormat="1" customHeight="1" s="1506">
      <c r="E334" s="1233" t="inlineStr">
        <is>
          <t>*</t>
        </is>
      </c>
      <c r="F334" s="1499" t="n"/>
      <c r="G334" s="1629" t="inlineStr">
        <is>
          <t>Non-Trade</t>
        </is>
      </c>
      <c r="H334" s="1583" t="n"/>
      <c r="I334" s="1501" t="inlineStr">
        <is>
          <t>Dues from Related Parties (asset)</t>
        </is>
      </c>
      <c r="J334" s="1500" t="inlineStr">
        <is>
          <t>If trade, show note - "Include these in NWC days under Other Receivable Days", if non-trade, collect amount in adjacent column</t>
        </is>
      </c>
      <c r="K334" s="1500" t="n"/>
      <c r="L334" s="1585" t="inlineStr">
        <is>
          <t>Trade</t>
        </is>
      </c>
      <c r="M334" s="1585" t="n">
        <v>30</v>
      </c>
      <c r="N334" s="1500" t="n"/>
      <c r="O334" s="1503" t="n"/>
      <c r="P334" s="1500" t="n"/>
      <c r="S334" s="1500" t="n"/>
      <c r="T334" s="1500" t="n"/>
      <c r="U334" s="1500" t="n"/>
      <c r="V334" s="1500" t="n"/>
      <c r="W334" s="1500" t="n"/>
    </row>
    <row r="335" ht="15.5" customFormat="1" customHeight="1" s="1506">
      <c r="E335" s="1233" t="inlineStr">
        <is>
          <t>*</t>
        </is>
      </c>
      <c r="F335" s="1145" t="n"/>
      <c r="G335" s="1500" t="n"/>
      <c r="H335" s="1583" t="n"/>
      <c r="I335" s="1501" t="n"/>
      <c r="J335" s="1500" t="n"/>
      <c r="K335" s="1500" t="n"/>
      <c r="L335" s="1500" t="n"/>
      <c r="M335" s="1500" t="n"/>
      <c r="N335" s="1500" t="n"/>
      <c r="O335" s="1503" t="n"/>
      <c r="P335" s="1500" t="n"/>
      <c r="S335" s="1500" t="n"/>
      <c r="T335" s="1500" t="n"/>
      <c r="U335" s="1500" t="n"/>
      <c r="V335" s="1500" t="n"/>
      <c r="W335" s="1500" t="n"/>
    </row>
    <row r="336" ht="28" customFormat="1" customHeight="1" s="1506">
      <c r="E336" s="1233" t="inlineStr">
        <is>
          <t>*</t>
        </is>
      </c>
      <c r="F336" s="1145" t="n"/>
      <c r="G336" s="1500" t="n"/>
      <c r="H336" s="1583" t="inlineStr">
        <is>
          <t>Loans</t>
        </is>
      </c>
      <c r="I336" s="1501" t="inlineStr">
        <is>
          <t>If the business has any loans on their books , please confirm the exact outstanding amount of the loan as at the Valuation Date.</t>
        </is>
      </c>
      <c r="J336" s="1500" t="inlineStr">
        <is>
          <t>Show in currency &amp; units mentioned in section 1.4</t>
        </is>
      </c>
      <c r="K336" s="1500" t="n"/>
      <c r="L336" s="1585" t="n">
        <v>45</v>
      </c>
      <c r="M336" s="1500" t="n"/>
      <c r="N336" s="1500" t="n"/>
      <c r="O336" s="1503" t="n"/>
      <c r="P336" s="1500" t="n"/>
      <c r="S336" s="1500" t="n"/>
      <c r="T336" s="1500" t="n"/>
      <c r="U336" s="1500" t="n"/>
      <c r="V336" s="1500" t="n"/>
      <c r="W336" s="1500" t="n"/>
    </row>
    <row r="337" ht="15.5" customFormat="1" customHeight="1" s="1506">
      <c r="E337" s="1233" t="inlineStr">
        <is>
          <t>*</t>
        </is>
      </c>
      <c r="F337" s="1145" t="n"/>
      <c r="G337" s="1500" t="n"/>
      <c r="H337" s="1499" t="n"/>
      <c r="I337" s="1501" t="n"/>
      <c r="J337" s="1500" t="n"/>
      <c r="K337" s="1500" t="n"/>
      <c r="L337" s="1500" t="n"/>
      <c r="M337" s="1500" t="n"/>
      <c r="N337" s="1500" t="n"/>
      <c r="O337" s="1503" t="n"/>
      <c r="P337" s="1500" t="n"/>
      <c r="S337" s="1500" t="n"/>
      <c r="T337" s="1500" t="n"/>
      <c r="U337" s="1500" t="n"/>
      <c r="V337" s="1500" t="n"/>
      <c r="W337" s="1500" t="n"/>
    </row>
    <row r="338" ht="15.5" customFormat="1" customHeight="1" s="1506">
      <c r="E338" s="1233" t="inlineStr">
        <is>
          <t>*</t>
        </is>
      </c>
      <c r="F338" s="1513" t="n">
        <v>8</v>
      </c>
      <c r="G338" s="1514" t="n"/>
      <c r="H338" s="1513" t="inlineStr">
        <is>
          <t>Risk Assumptions</t>
        </is>
      </c>
      <c r="I338" s="1613" t="n"/>
      <c r="J338" s="1514" t="n"/>
      <c r="K338" s="1514" t="n"/>
      <c r="L338" s="1514" t="n"/>
      <c r="M338" s="1514" t="n"/>
      <c r="N338" s="1514" t="n"/>
      <c r="O338" s="1516" t="n"/>
      <c r="P338" s="1514" t="n"/>
      <c r="Q338" s="1517" t="n"/>
      <c r="S338" s="1500" t="n"/>
      <c r="T338" s="1500" t="n"/>
      <c r="U338" s="1500" t="n"/>
      <c r="V338" s="1500" t="n"/>
      <c r="W338" s="1500" t="n"/>
    </row>
    <row r="339" ht="15.5" customFormat="1" customHeight="1" s="1506">
      <c r="E339" s="1233" t="inlineStr">
        <is>
          <t>*</t>
        </is>
      </c>
      <c r="F339" s="1145" t="n"/>
      <c r="G339" s="1500" t="n"/>
      <c r="H339" s="1499" t="n"/>
      <c r="I339" s="1501" t="n"/>
      <c r="J339" s="1500" t="n"/>
      <c r="K339" s="1500" t="n"/>
      <c r="L339" s="1500" t="n"/>
      <c r="M339" s="1500" t="n"/>
      <c r="N339" s="1500" t="n"/>
      <c r="O339" s="1503" t="n"/>
      <c r="P339" s="1500" t="n"/>
      <c r="S339" s="1500" t="n"/>
      <c r="T339" s="1500" t="n"/>
      <c r="U339" s="1500" t="n"/>
      <c r="V339" s="1500" t="n"/>
      <c r="W339" s="1500" t="n"/>
    </row>
    <row r="340" ht="28.5" customFormat="1" customHeight="1" s="1506">
      <c r="E340" s="1233" t="inlineStr">
        <is>
          <t>*</t>
        </is>
      </c>
      <c r="F340" s="1145" t="n"/>
      <c r="G340" s="1500" t="n"/>
      <c r="H340" s="1583" t="inlineStr">
        <is>
          <t>Niche Risk</t>
        </is>
      </c>
      <c r="I340" s="1630" t="inlineStr">
        <is>
          <t>Is there high market uncertainity/volatility in the specific business niche? Select "Yes" if it is difficult to make business predictions in Company's niche.</t>
        </is>
      </c>
      <c r="J340" s="72" t="n"/>
      <c r="K340" s="1500" t="n"/>
      <c r="L340" s="1631" t="inlineStr">
        <is>
          <t>No</t>
        </is>
      </c>
      <c r="M340" s="1500" t="n"/>
      <c r="N340" s="1500" t="n"/>
      <c r="O340" s="1503" t="n"/>
      <c r="P340" s="1500" t="n"/>
      <c r="S340" s="1500" t="n"/>
      <c r="T340" s="1500" t="n"/>
      <c r="U340" s="1500" t="n"/>
      <c r="V340" s="1500" t="n"/>
      <c r="W340" s="1500" t="n"/>
    </row>
    <row r="341" ht="15.5" customFormat="1" customHeight="1" s="1506">
      <c r="E341" s="1233" t="inlineStr">
        <is>
          <t>*</t>
        </is>
      </c>
      <c r="F341" s="1145" t="n"/>
      <c r="G341" s="1500" t="n"/>
      <c r="H341" s="1583" t="inlineStr">
        <is>
          <t>Penetration Risk</t>
        </is>
      </c>
      <c r="I341" s="1632" t="inlineStr">
        <is>
          <t>Is the subject company exploring a new ventures, products or locations over the next 5 years?</t>
        </is>
      </c>
      <c r="J341" s="72" t="n"/>
      <c r="K341" s="1500" t="n"/>
      <c r="L341" s="1631" t="inlineStr">
        <is>
          <t>No</t>
        </is>
      </c>
      <c r="M341" s="1500" t="n"/>
      <c r="N341" s="1500" t="n"/>
      <c r="O341" s="1503" t="n"/>
      <c r="P341" s="1500" t="n"/>
      <c r="S341" s="1500" t="n"/>
      <c r="T341" s="1500" t="n"/>
      <c r="U341" s="1500" t="n"/>
      <c r="V341" s="1500" t="n"/>
      <c r="W341" s="1500" t="n"/>
    </row>
    <row r="342" ht="42.5" customFormat="1" customHeight="1" s="1506">
      <c r="E342" s="1233" t="inlineStr">
        <is>
          <t>*</t>
        </is>
      </c>
      <c r="F342" s="1145" t="n"/>
      <c r="G342" s="1500" t="n"/>
      <c r="H342" s="1583" t="inlineStr">
        <is>
          <t>Risky contracts</t>
        </is>
      </c>
      <c r="I342" s="1630" t="inlineStr">
        <is>
          <t>Does the business contain large or long-term contracts of risky nature? 
Note: For example, an annual master agreement without any order forecasts for a high-value client.</t>
        </is>
      </c>
      <c r="J342" s="72" t="n"/>
      <c r="K342" s="1500" t="n"/>
      <c r="L342" s="1631" t="inlineStr">
        <is>
          <t>No</t>
        </is>
      </c>
      <c r="M342" s="1500" t="n"/>
      <c r="N342" s="1500" t="n"/>
      <c r="O342" s="1503" t="n"/>
      <c r="P342" s="1500" t="n"/>
      <c r="S342" s="1500" t="n"/>
      <c r="T342" s="1500" t="n"/>
      <c r="U342" s="1500" t="n"/>
      <c r="V342" s="1500" t="n"/>
      <c r="W342" s="1500" t="n"/>
    </row>
    <row r="343" ht="15.5" customFormat="1" customHeight="1" s="1506">
      <c r="E343" s="1233" t="inlineStr">
        <is>
          <t>*</t>
        </is>
      </c>
      <c r="F343" s="1145" t="n"/>
      <c r="G343" s="1500" t="n"/>
      <c r="H343" s="1583" t="inlineStr">
        <is>
          <t>Vendor Risk</t>
        </is>
      </c>
      <c r="I343" s="1632" t="inlineStr">
        <is>
          <t>Is there dependency on a single supplier? Select yes if the company does not alternative suppliers to support their operations.</t>
        </is>
      </c>
      <c r="J343" s="72" t="n"/>
      <c r="K343" s="1500" t="n"/>
      <c r="L343" s="1631" t="inlineStr">
        <is>
          <t>No</t>
        </is>
      </c>
      <c r="M343" s="1500" t="n"/>
      <c r="N343" s="1500" t="n"/>
      <c r="O343" s="1503" t="n"/>
      <c r="P343" s="1500" t="n"/>
      <c r="S343" s="1500" t="n"/>
      <c r="T343" s="1500" t="n"/>
      <c r="U343" s="1500" t="n"/>
      <c r="V343" s="1500" t="n"/>
      <c r="W343" s="1500" t="n"/>
    </row>
    <row r="344" ht="15.5" customFormat="1" customHeight="1" s="1506">
      <c r="E344" s="1233" t="inlineStr">
        <is>
          <t>*</t>
        </is>
      </c>
      <c r="F344" s="1145" t="n"/>
      <c r="G344" s="1500" t="n"/>
      <c r="H344" s="1583" t="inlineStr">
        <is>
          <t>Key Customer Risk</t>
        </is>
      </c>
      <c r="I344" s="1145" t="inlineStr">
        <is>
          <t xml:space="preserve">On average, does more than 50% of business source from less than 3 major customers? </t>
        </is>
      </c>
      <c r="J344" s="63" t="n"/>
      <c r="K344" s="1500" t="n"/>
      <c r="L344" s="1631" t="inlineStr">
        <is>
          <t>No</t>
        </is>
      </c>
      <c r="M344" s="1500" t="n"/>
      <c r="N344" s="1500" t="n"/>
      <c r="O344" s="1503" t="n"/>
      <c r="P344" s="1500" t="n"/>
      <c r="S344" s="1500" t="n"/>
      <c r="T344" s="1500" t="n"/>
      <c r="U344" s="1500" t="n"/>
      <c r="V344" s="1500" t="n"/>
      <c r="W344" s="1500" t="n"/>
    </row>
    <row r="345" ht="15.5" customFormat="1" customHeight="1" s="1506">
      <c r="E345" s="1233" t="inlineStr">
        <is>
          <t>*</t>
        </is>
      </c>
      <c r="F345" s="1145" t="n"/>
      <c r="G345" s="1500" t="n"/>
      <c r="H345" s="1583" t="inlineStr">
        <is>
          <t>Cyclicality</t>
        </is>
      </c>
      <c r="I345" s="1501" t="inlineStr">
        <is>
          <t>Is the business cyclical in nature?</t>
        </is>
      </c>
      <c r="J345" s="1500" t="n"/>
      <c r="K345" s="1500" t="n"/>
      <c r="L345" s="1631" t="inlineStr">
        <is>
          <t>No</t>
        </is>
      </c>
      <c r="M345" s="1500" t="n"/>
      <c r="N345" s="1500" t="n"/>
      <c r="O345" s="1503" t="n"/>
      <c r="P345" s="1500" t="n"/>
      <c r="S345" s="1500" t="n"/>
      <c r="T345" s="1500" t="n"/>
      <c r="U345" s="1500" t="n"/>
      <c r="V345" s="1500" t="n"/>
      <c r="W345" s="1500" t="n"/>
    </row>
    <row r="346" ht="15.5" customFormat="1" customHeight="1" s="1506">
      <c r="F346" s="1499" t="n"/>
      <c r="G346" s="1500" t="n"/>
      <c r="H346" s="1583" t="n"/>
      <c r="I346" s="1501" t="n"/>
      <c r="J346" s="1500" t="n"/>
      <c r="K346" s="1500" t="n"/>
      <c r="L346" s="1500" t="n"/>
      <c r="M346" s="1500" t="n"/>
      <c r="N346" s="1500" t="n"/>
      <c r="O346" s="1503" t="n"/>
      <c r="P346" s="1500" t="n"/>
      <c r="S346" s="1500" t="n"/>
      <c r="T346" s="1500" t="n"/>
      <c r="U346" s="1500" t="n"/>
      <c r="V346" s="1500" t="n"/>
      <c r="W346" s="1500" t="n"/>
    </row>
    <row r="347" ht="15.5" customFormat="1" customHeight="1" s="1506">
      <c r="A347" s="1500" t="n"/>
      <c r="B347" s="1500" t="n"/>
      <c r="C347" s="1500" t="n"/>
      <c r="D347" s="1500" t="n"/>
      <c r="F347" s="1499" t="n"/>
      <c r="G347" s="1500" t="n"/>
      <c r="H347" s="1583" t="n"/>
      <c r="I347" s="1501" t="n"/>
      <c r="J347" s="1500" t="n"/>
      <c r="K347" s="1500" t="n"/>
      <c r="L347" s="1500" t="n"/>
      <c r="M347" s="1500" t="n"/>
      <c r="N347" s="1500" t="n"/>
      <c r="O347" s="1503" t="n"/>
      <c r="P347" s="1500" t="n"/>
      <c r="S347" s="1500" t="n"/>
      <c r="T347" s="1500" t="n"/>
      <c r="U347" s="1500" t="n"/>
      <c r="V347" s="1500" t="n"/>
      <c r="W347" s="1500" t="n"/>
    </row>
    <row r="348" ht="15.5" customFormat="1" customHeight="1" s="1506">
      <c r="A348" s="1500" t="n"/>
      <c r="B348" s="1500" t="n"/>
      <c r="C348" s="1500" t="n"/>
      <c r="D348" s="1500" t="n"/>
      <c r="F348" s="1499" t="n"/>
      <c r="G348" s="1500" t="n"/>
      <c r="H348" s="1583" t="n"/>
      <c r="I348" s="1501" t="n"/>
      <c r="J348" s="1500" t="n"/>
      <c r="K348" s="1500" t="n"/>
      <c r="L348" s="1500" t="n"/>
      <c r="M348" s="1500" t="n"/>
      <c r="N348" s="1500" t="n"/>
      <c r="O348" s="1503" t="n"/>
      <c r="P348" s="1500" t="n"/>
      <c r="S348" s="1500" t="n"/>
      <c r="T348" s="1500" t="n"/>
      <c r="U348" s="1500" t="n"/>
      <c r="V348" s="1500" t="n"/>
      <c r="W348" s="1500" t="n"/>
    </row>
  </sheetData>
  <mergeCells count="2">
    <mergeCell ref="I13:Q13"/>
    <mergeCell ref="M268:Q268"/>
  </mergeCells>
  <dataValidations count="18">
    <dataValidation sqref="N21 N46 N56 N70 N78" showDropDown="0" showInputMessage="1" showErrorMessage="1" allowBlank="1" type="list">
      <formula1>$Q$21:$Q$22</formula1>
    </dataValidation>
    <dataValidation sqref="N101 N129 N157" showDropDown="0" showInputMessage="1" showErrorMessage="1" allowBlank="1" type="list">
      <formula1>$O$101:$O$102</formula1>
    </dataValidation>
    <dataValidation sqref="N114 N142 N170" showDropDown="0" showInputMessage="1" showErrorMessage="1" allowBlank="1" type="list">
      <formula1>$O$114:$O$115</formula1>
    </dataValidation>
    <dataValidation sqref="N35" showDropDown="0" showInputMessage="1" showErrorMessage="1" allowBlank="1" type="list">
      <formula1>"Units,000s,million"</formula1>
    </dataValidation>
    <dataValidation sqref="N63" showDropDown="0" showInputMessage="1" showErrorMessage="1" allowBlank="1" type="list">
      <formula1>"Product/Service, Major Clients, Regions of Operation, Other, Mix (Not recommended)"</formula1>
    </dataValidation>
    <dataValidation sqref="N91" showDropDown="0" showInputMessage="1" showErrorMessage="1" allowBlank="1" type="list">
      <formula1>"Yes, No, I have price &amp; volume data for some business lines"</formula1>
    </dataValidation>
    <dataValidation sqref="N93" showDropDown="0" showInputMessage="1" showErrorMessage="1" allowBlank="1" type="list">
      <formula1>$A$99:$A$99</formula1>
    </dataValidation>
    <dataValidation sqref="N186" showDropDown="0" showInputMessage="1" showErrorMessage="1" allowBlank="1" type="list">
      <formula1>$O$186:$O$187</formula1>
    </dataValidation>
    <dataValidation sqref="N15" showDropDown="0" showInputMessage="1" showErrorMessage="1" allowBlank="1" type="list">
      <formula1>"Management, Investor, Consultant, Other"</formula1>
    </dataValidation>
    <dataValidation sqref="N41" showDropDown="0" showInputMessage="1" showErrorMessage="1" allowBlank="1" type="list">
      <formula1>"Service Provider, Investor, Agent/Broker, Estate Owner, Manufacturer, Distributor, Wholesaler, Retailer, Other"</formula1>
    </dataValidation>
    <dataValidation sqref="N201" showDropDown="0" showInputMessage="1" showErrorMessage="1" allowBlank="1" type="list">
      <formula1>$O$201:$O$202</formula1>
    </dataValidation>
    <dataValidation sqref="N216" showDropDown="0" showInputMessage="1" showErrorMessage="1" allowBlank="1" type="list">
      <formula1>$O$216:$O$217</formula1>
    </dataValidation>
    <dataValidation sqref="L340:L345" showDropDown="0" showInputMessage="1" showErrorMessage="1" allowBlank="1" type="list">
      <formula1>"Yes, No"</formula1>
    </dataValidation>
    <dataValidation sqref="N94" showDropDown="0" showInputMessage="1" showErrorMessage="1" allowBlank="1" type="list">
      <formula1>$A$127:$A$130</formula1>
    </dataValidation>
    <dataValidation sqref="N95" showDropDown="0" showInputMessage="1" showErrorMessage="1" allowBlank="1" type="list">
      <formula1>$F$155:$F$158</formula1>
    </dataValidation>
    <dataValidation sqref="L333:L334" showDropDown="0" showInputMessage="1" showErrorMessage="1" allowBlank="1" type="list">
      <formula1>$G$333:$G$334</formula1>
    </dataValidation>
    <dataValidation sqref="O248" showDropDown="0" showInputMessage="1" showErrorMessage="1" allowBlank="1" type="list">
      <formula1>"Option 1, Option 2"</formula1>
    </dataValidation>
    <dataValidation sqref="K284" showDropDown="0" showInputMessage="1" showErrorMessage="1" allowBlank="1" type="list">
      <formula1>"A,B,C"</formula1>
    </dataValidation>
  </dataValidations>
  <pageMargins left="0.7" right="0.7" top="0.75" bottom="0.75" header="0.3" footer="0.3"/>
  <pageSetup orientation="portrait"/>
</worksheet>
</file>

<file path=xl/worksheets/sheet4.xml><?xml version="1.0" encoding="utf-8"?>
<worksheet xmlns="http://schemas.openxmlformats.org/spreadsheetml/2006/main">
  <sheetPr>
    <tabColor rgb="FF00CCE2"/>
    <outlinePr summaryBelow="1" summaryRight="1"/>
    <pageSetUpPr/>
  </sheetPr>
  <dimension ref="A2:R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baseColWidth="8" defaultColWidth="0" defaultRowHeight="11.5"/>
  <cols>
    <col width="2.61328125" customWidth="1" style="63" min="1" max="2"/>
    <col width="25" bestFit="1" customWidth="1" style="63" min="3" max="3"/>
    <col width="14.15234375" bestFit="1" customWidth="1" style="63" min="4" max="4"/>
    <col width="26.4609375" bestFit="1" customWidth="1" style="63" min="5" max="5"/>
    <col width="6.84375" customWidth="1" style="63" min="6" max="6"/>
    <col width="8.69140625" customWidth="1" style="63" min="7" max="18"/>
    <col hidden="1" style="63" min="19" max="19"/>
    <col hidden="1" width="8.69140625" customWidth="1" style="63" min="20" max="16384"/>
  </cols>
  <sheetData>
    <row r="2">
      <c r="B2" s="62" t="inlineStr">
        <is>
          <t>Valify - UAE Valuation Services</t>
        </is>
      </c>
    </row>
    <row r="3">
      <c r="B3" s="64">
        <f>project.title&amp;" as at "&amp;TEXT(valuation.date,"mmmm d, yyy")</f>
        <v/>
      </c>
    </row>
    <row r="4">
      <c r="B4" s="65" t="inlineStr">
        <is>
          <t>Model Inputs</t>
        </is>
      </c>
    </row>
    <row r="5" ht="12" customHeight="1" thickBot="1">
      <c r="B5" s="66" t="n"/>
      <c r="C5" s="66" t="n"/>
      <c r="D5" s="66" t="n"/>
      <c r="E5" s="66" t="n"/>
      <c r="F5" s="66" t="n"/>
      <c r="G5" s="66" t="n"/>
      <c r="H5" s="66" t="n"/>
      <c r="I5" s="66" t="n"/>
      <c r="J5" s="66" t="n"/>
      <c r="K5" s="66" t="n"/>
      <c r="L5" s="66" t="n"/>
      <c r="M5" s="66" t="n"/>
      <c r="N5" s="66" t="n"/>
      <c r="O5" s="66" t="n"/>
      <c r="P5" s="66" t="n"/>
      <c r="Q5" s="66" t="n"/>
    </row>
    <row r="6" ht="12" customHeight="1" thickTop="1"/>
    <row r="7">
      <c r="A7" s="1783" t="inlineStr">
        <is>
          <t>Yes</t>
        </is>
      </c>
      <c r="C7" s="67">
        <f>IS_Calcs!C7</f>
        <v/>
      </c>
      <c r="D7" s="68" t="n"/>
      <c r="E7" s="68" t="n"/>
      <c r="F7" s="68" t="n"/>
      <c r="G7" s="69" t="inlineStr">
        <is>
          <t>Financial Period</t>
        </is>
      </c>
      <c r="H7" s="69">
        <f>IS_Calcs!I7</f>
        <v/>
      </c>
      <c r="I7" s="69">
        <f>IS_Calcs!J7</f>
        <v/>
      </c>
      <c r="J7" s="69">
        <f>IS_Calcs!K7</f>
        <v/>
      </c>
      <c r="K7" s="69">
        <f>IS_Calcs!L7</f>
        <v/>
      </c>
      <c r="L7" s="69">
        <f>IS_Calcs!M7</f>
        <v/>
      </c>
      <c r="M7" s="69">
        <f>IS_Calcs!N7</f>
        <v/>
      </c>
      <c r="N7" s="69">
        <f>IS_Calcs!O7</f>
        <v/>
      </c>
      <c r="O7" s="69">
        <f>IS_Calcs!P7</f>
        <v/>
      </c>
      <c r="P7" s="69">
        <f>IS_Calcs!Q7</f>
        <v/>
      </c>
      <c r="Q7" s="70">
        <f>IS_Calcs!R7</f>
        <v/>
      </c>
    </row>
    <row r="8" ht="17.5" customHeight="1">
      <c r="A8" s="1783" t="inlineStr">
        <is>
          <t>No</t>
        </is>
      </c>
      <c r="C8" s="68" t="n"/>
      <c r="D8" s="68" t="n"/>
      <c r="E8" s="68" t="n"/>
      <c r="F8" s="68" t="n"/>
      <c r="G8" s="68" t="n"/>
      <c r="H8" s="69">
        <f>IS_Calcs!I8</f>
        <v/>
      </c>
      <c r="I8" s="69">
        <f>IS_Calcs!J8</f>
        <v/>
      </c>
      <c r="J8" s="69">
        <f>IS_Calcs!K8</f>
        <v/>
      </c>
      <c r="K8" s="69">
        <f>IS_Calcs!L8</f>
        <v/>
      </c>
      <c r="L8" s="69">
        <f>IS_Calcs!M8</f>
        <v/>
      </c>
      <c r="M8" s="69">
        <f>IS_Calcs!N8</f>
        <v/>
      </c>
      <c r="N8" s="69">
        <f>IS_Calcs!O8</f>
        <v/>
      </c>
      <c r="O8" s="69">
        <f>IS_Calcs!P8</f>
        <v/>
      </c>
      <c r="P8" s="69">
        <f>IS_Calcs!Q8</f>
        <v/>
      </c>
      <c r="Q8" s="69">
        <f>IS_Calcs!R8</f>
        <v/>
      </c>
      <c r="R8" s="71" t="n"/>
    </row>
    <row r="10">
      <c r="C10" s="1872" t="inlineStr">
        <is>
          <t>Valuation Approach</t>
        </is>
      </c>
      <c r="D10" s="1873" t="inlineStr">
        <is>
          <t>Form Response</t>
        </is>
      </c>
      <c r="E10" s="1873" t="inlineStr">
        <is>
          <t>Switch (Yes/No)</t>
        </is>
      </c>
      <c r="F10" s="1874" t="inlineStr">
        <is>
          <t>Inputs</t>
        </is>
      </c>
    </row>
    <row r="11">
      <c r="C11" s="63" t="inlineStr">
        <is>
          <t>CCF Method</t>
        </is>
      </c>
      <c r="D11" s="1636" t="n"/>
      <c r="E11" s="1637">
        <f>IF(D15=I53,"Yes",IF(D15=I54,"Yes","No"))</f>
        <v/>
      </c>
      <c r="F11" s="63">
        <f>IF(E11="Yes",C11&amp;", ","")</f>
        <v/>
      </c>
    </row>
    <row r="12">
      <c r="C12" s="63" t="inlineStr">
        <is>
          <t>VC Method</t>
        </is>
      </c>
      <c r="D12" s="1636" t="n"/>
      <c r="E12" s="1637">
        <f>IF(D14="Yes",IF(D15=I49,"Yes",IF(D15=I50,"Yes","No")),"No")</f>
        <v/>
      </c>
      <c r="F12" s="63">
        <f>IF(E12="Yes",C12&amp;", ","")</f>
        <v/>
      </c>
    </row>
    <row r="13">
      <c r="C13" s="63" t="inlineStr">
        <is>
          <t>DCF Method</t>
        </is>
      </c>
      <c r="D13" s="1636" t="n"/>
      <c r="E13" s="1637">
        <f>IF(D14="Yes",IF(D15=I51,"Yes",IF(D15=I52,"Yes","No")),"No")</f>
        <v/>
      </c>
      <c r="F13" s="63">
        <f>IF(E13="Yes",C13&amp;", ","")</f>
        <v/>
      </c>
    </row>
    <row r="14">
      <c r="C14" s="1784" t="inlineStr">
        <is>
          <t>Transaction Multiples Method</t>
        </is>
      </c>
      <c r="D14" s="1636">
        <f>Form!N8</f>
        <v/>
      </c>
      <c r="E14" s="1638" t="inlineStr">
        <is>
          <t>Yes</t>
        </is>
      </c>
      <c r="F14" s="63">
        <f>IF(E14="Yes",C14&amp;", ","")</f>
        <v/>
      </c>
    </row>
    <row r="15">
      <c r="C15" s="63" t="inlineStr">
        <is>
          <t>Market Multiples Method</t>
        </is>
      </c>
      <c r="D15" s="1636">
        <f>Form!N9</f>
        <v/>
      </c>
      <c r="E15" s="1638" t="inlineStr">
        <is>
          <t>Yes</t>
        </is>
      </c>
      <c r="F15" s="63">
        <f>IF(E15="Yes","&amp; "&amp;C15,"")</f>
        <v/>
      </c>
    </row>
    <row r="17">
      <c r="C17" s="1872" t="inlineStr">
        <is>
          <t>General Company Data</t>
        </is>
      </c>
      <c r="D17" s="1872" t="inlineStr">
        <is>
          <t>Named Cell</t>
        </is>
      </c>
      <c r="E17" s="1874" t="inlineStr">
        <is>
          <t>Inputs</t>
        </is>
      </c>
    </row>
    <row r="18">
      <c r="C18" s="72" t="inlineStr">
        <is>
          <t>Valuer Type</t>
        </is>
      </c>
      <c r="D18" s="72" t="n"/>
      <c r="E18" s="1290" t="inlineStr">
        <is>
          <t>Management</t>
        </is>
      </c>
    </row>
    <row r="19">
      <c r="C19" s="72" t="inlineStr">
        <is>
          <t>Client Company Name (long)</t>
        </is>
      </c>
      <c r="D19" s="72" t="inlineStr">
        <is>
          <t>client.company</t>
        </is>
      </c>
      <c r="E19" s="1401" t="inlineStr">
        <is>
          <t>TESTRUN</t>
        </is>
      </c>
      <c r="G19" s="1713">
        <f>client.name.long</f>
        <v/>
      </c>
      <c r="H19" s="63" t="inlineStr">
        <is>
          <t>Character Limit: Long - 35, Short - 15</t>
        </is>
      </c>
    </row>
    <row r="20">
      <c r="C20" s="72" t="inlineStr">
        <is>
          <t>Valuer Name</t>
        </is>
      </c>
      <c r="D20" s="72" t="inlineStr">
        <is>
          <t>valuer.name</t>
        </is>
      </c>
      <c r="E20" s="1401" t="inlineStr">
        <is>
          <t>TESTRUN</t>
        </is>
      </c>
    </row>
    <row r="21">
      <c r="C21" s="72" t="inlineStr">
        <is>
          <t>Valuation Purpose</t>
        </is>
      </c>
      <c r="D21" s="72" t="inlineStr">
        <is>
          <t>val.purpose</t>
        </is>
      </c>
      <c r="E21" s="1290" t="inlineStr">
        <is>
          <t>Vendor Valuation</t>
        </is>
      </c>
    </row>
    <row r="22" ht="15.5" customHeight="1">
      <c r="C22" s="72" t="n"/>
      <c r="D22" s="72" t="n"/>
    </row>
    <row r="23" ht="15.5" customHeight="1">
      <c r="C23" s="72" t="n"/>
      <c r="D23" s="72" t="n"/>
    </row>
    <row r="24">
      <c r="C24" s="72">
        <f>Cover!D6</f>
        <v/>
      </c>
      <c r="D24" s="72" t="inlineStr">
        <is>
          <t>subject.company</t>
        </is>
      </c>
      <c r="E24" s="1290" t="inlineStr">
        <is>
          <t>TESTRUN</t>
        </is>
      </c>
      <c r="G24" s="1713">
        <f>subject.name</f>
        <v/>
      </c>
    </row>
    <row r="25">
      <c r="C25" s="72" t="inlineStr">
        <is>
          <t>Subject Company Short Name</t>
        </is>
      </c>
      <c r="D25" s="72" t="inlineStr">
        <is>
          <t>subject.shortname</t>
        </is>
      </c>
      <c r="E25" s="1290" t="inlineStr">
        <is>
          <t>TESTRUN</t>
        </is>
      </c>
    </row>
    <row r="26">
      <c r="C26" s="72" t="inlineStr">
        <is>
          <t>Project title</t>
        </is>
      </c>
      <c r="D26" s="72" t="inlineStr">
        <is>
          <t>project.title</t>
        </is>
      </c>
      <c r="E26" s="1236">
        <f>subject.name&amp;" - Self Valuation using "&amp;G26</f>
        <v/>
      </c>
      <c r="G26" s="295">
        <f>F13&amp;F11&amp;F12&amp;F14&amp;F15</f>
        <v/>
      </c>
    </row>
    <row r="28">
      <c r="C28" s="1872" t="inlineStr">
        <is>
          <t>Dates</t>
        </is>
      </c>
      <c r="D28" s="1872" t="inlineStr">
        <is>
          <t>Named Cell</t>
        </is>
      </c>
      <c r="E28" s="1875" t="inlineStr">
        <is>
          <t>Inputs</t>
        </is>
      </c>
    </row>
    <row r="29">
      <c r="C29" s="72" t="inlineStr">
        <is>
          <t>Date of valuation</t>
        </is>
      </c>
      <c r="D29" s="72" t="inlineStr">
        <is>
          <t>valuation.date</t>
        </is>
      </c>
      <c r="E29" s="1876">
        <f>Form!val.date</f>
        <v/>
      </c>
    </row>
    <row r="30">
      <c r="C30" s="72" t="inlineStr">
        <is>
          <t>Fiscal year-end date (projected)</t>
        </is>
      </c>
      <c r="D30" s="72" t="inlineStr">
        <is>
          <t>projected.year1.end</t>
        </is>
      </c>
      <c r="E30" s="1876">
        <f>Form!N27</f>
        <v/>
      </c>
    </row>
    <row r="31">
      <c r="C31" s="1325" t="inlineStr">
        <is>
          <t>Is there a stub period?</t>
        </is>
      </c>
      <c r="D31" s="1325" t="inlineStr">
        <is>
          <t>stub.toggle</t>
        </is>
      </c>
      <c r="E31" s="1308" t="inlineStr">
        <is>
          <t>Yes</t>
        </is>
      </c>
    </row>
    <row r="32">
      <c r="C32" s="72" t="inlineStr">
        <is>
          <t>Length of stub period (months)</t>
        </is>
      </c>
      <c r="D32" s="72" t="inlineStr">
        <is>
          <t>stub.period</t>
        </is>
      </c>
      <c r="E32" s="1877">
        <f>12-ytd.months</f>
        <v/>
      </c>
    </row>
    <row r="33">
      <c r="C33" s="72" t="inlineStr">
        <is>
          <t>Current Year to Date months</t>
        </is>
      </c>
      <c r="D33" s="72" t="inlineStr">
        <is>
          <t>ytd.months</t>
        </is>
      </c>
      <c r="E33" s="1878" t="n">
        <v>3</v>
      </c>
    </row>
    <row r="34">
      <c r="C34" s="72" t="inlineStr">
        <is>
          <t>Valuation header</t>
        </is>
      </c>
      <c r="D34" s="72" t="inlineStr">
        <is>
          <t>valuation.date.header</t>
        </is>
      </c>
      <c r="E34" s="1308">
        <f>"Valuation Date:  "&amp;TEXT(valuation.date,"mmmm d, yyy")</f>
        <v/>
      </c>
    </row>
    <row r="35">
      <c r="C35" s="72" t="n"/>
      <c r="D35" s="72" t="n"/>
      <c r="E35" s="1308">
        <f>TEXT(valuation.date,"mmmm d, yyy")</f>
        <v/>
      </c>
    </row>
    <row r="36">
      <c r="C36" s="74" t="inlineStr">
        <is>
          <t>Year-to-Go Estimate</t>
        </is>
      </c>
      <c r="D36" s="74" t="inlineStr">
        <is>
          <t>ytg.approach</t>
        </is>
      </c>
      <c r="E36" s="1309" t="inlineStr">
        <is>
          <t>YTD Anualized</t>
        </is>
      </c>
      <c r="G36" s="75" t="inlineStr">
        <is>
          <t>YTD Actualized</t>
        </is>
      </c>
    </row>
    <row r="37">
      <c r="C37" s="74" t="n"/>
      <c r="D37" s="74" t="n"/>
      <c r="E37" s="74" t="n"/>
      <c r="G37" s="76" t="inlineStr">
        <is>
          <t>Management FY Estimate</t>
        </is>
      </c>
    </row>
    <row r="38">
      <c r="C38" s="77" t="inlineStr">
        <is>
          <t>YTG Forecast Adjustment</t>
        </is>
      </c>
      <c r="D38" s="74" t="n"/>
      <c r="E38" s="74" t="n"/>
      <c r="G38" s="75" t="inlineStr">
        <is>
          <t>Catch Up Approach</t>
        </is>
      </c>
    </row>
    <row r="39">
      <c r="C39" s="74" t="inlineStr">
        <is>
          <t>YTD Actualized</t>
        </is>
      </c>
      <c r="D39" s="74" t="inlineStr">
        <is>
          <t>ytg.actual</t>
        </is>
      </c>
      <c r="E39" s="1879">
        <f>(1/ytd.months)*(stub.period)</f>
        <v/>
      </c>
    </row>
    <row r="40">
      <c r="C40" s="72" t="inlineStr">
        <is>
          <t>Management FY Estimate</t>
        </is>
      </c>
      <c r="D40" s="72" t="inlineStr">
        <is>
          <t>ytg.mgt</t>
        </is>
      </c>
      <c r="E40" s="1880">
        <f>stub.period/12</f>
        <v/>
      </c>
    </row>
    <row r="41">
      <c r="C41" s="72" t="n"/>
      <c r="D41" s="72" t="n"/>
      <c r="E41" s="72" t="n"/>
    </row>
    <row r="42">
      <c r="C42" s="1872" t="inlineStr">
        <is>
          <t>Currency</t>
        </is>
      </c>
      <c r="D42" s="1872" t="inlineStr">
        <is>
          <t>Named Cell</t>
        </is>
      </c>
      <c r="E42" s="1874" t="inlineStr">
        <is>
          <t>Inputs</t>
        </is>
      </c>
    </row>
    <row r="43">
      <c r="C43" s="72" t="inlineStr">
        <is>
          <t>Information Currency</t>
        </is>
      </c>
      <c r="D43" s="72" t="inlineStr">
        <is>
          <t>currency.type</t>
        </is>
      </c>
      <c r="E43" s="1290" t="inlineStr">
        <is>
          <t>SAR</t>
        </is>
      </c>
    </row>
    <row r="44">
      <c r="C44" s="72" t="inlineStr">
        <is>
          <t>Presentation Currency</t>
        </is>
      </c>
      <c r="D44" s="72" t="inlineStr">
        <is>
          <t>val.currency</t>
        </is>
      </c>
      <c r="E44" s="1290" t="inlineStr">
        <is>
          <t>SAR</t>
        </is>
      </c>
    </row>
    <row r="45">
      <c r="C45" s="72" t="inlineStr">
        <is>
          <t>Currency denomination (units)</t>
        </is>
      </c>
      <c r="D45" s="72" t="inlineStr">
        <is>
          <t>currency.denomination</t>
        </is>
      </c>
      <c r="E45" s="1290">
        <f>Form!N35</f>
        <v/>
      </c>
      <c r="F45" s="63">
        <f>IF(currency.denomination="000s","K",IF(currency.denomination="millions","Mn",""))</f>
        <v/>
      </c>
    </row>
    <row r="46">
      <c r="C46" s="72" t="inlineStr">
        <is>
          <t>Currency heading</t>
        </is>
      </c>
      <c r="D46" s="72" t="inlineStr">
        <is>
          <t>currency.heading1</t>
        </is>
      </c>
      <c r="E46" s="72" t="inlineStr">
        <is>
          <t>SAR million</t>
        </is>
      </c>
    </row>
    <row r="47">
      <c r="C47" s="74" t="n"/>
      <c r="D47" s="74" t="n"/>
      <c r="E47" s="74" t="n"/>
    </row>
    <row r="48">
      <c r="C48" s="1872" t="inlineStr">
        <is>
          <t>General Business Information</t>
        </is>
      </c>
      <c r="D48" s="1872" t="n"/>
      <c r="E48" s="1874" t="n"/>
    </row>
    <row r="49" ht="15.5" customHeight="1">
      <c r="C49" s="74" t="inlineStr">
        <is>
          <t>Average Annual Revenue in USD Mn</t>
        </is>
      </c>
      <c r="D49" s="74" t="n"/>
      <c r="E49" s="1881" t="inlineStr">
        <is>
          <t>50000</t>
        </is>
      </c>
      <c r="F49" s="63" t="n"/>
      <c r="G49" s="63" t="n"/>
      <c r="H49" s="1398">
        <f>IF($E$50=I49,"Newly incorporated",IF($E$50=I50,"Start-up",IF($E$50=I51,"Growing",IF($E$50=I52,"Growing",IF($E$50=I53,"Grown to maturity",IF($E$50=I54,"Saturated/Declining",0))))))</f>
        <v/>
      </c>
      <c r="I49" s="1639" t="inlineStr">
        <is>
          <t>Early-stage / Pre-revenue</t>
        </is>
      </c>
      <c r="J49" s="1397" t="n"/>
      <c r="K49" s="63" t="n"/>
    </row>
    <row r="50" ht="15.5" customHeight="1">
      <c r="C50" s="74" t="inlineStr">
        <is>
          <t>Development Phase</t>
        </is>
      </c>
      <c r="D50" s="74" t="n"/>
      <c r="E50" s="1302" t="inlineStr">
        <is>
          <t>Mature Growth</t>
        </is>
      </c>
      <c r="F50" s="63" t="n"/>
      <c r="G50" s="63" t="n"/>
      <c r="H50" s="63" t="n"/>
      <c r="I50" s="1639" t="inlineStr">
        <is>
          <t>Start-up</t>
        </is>
      </c>
      <c r="J50" s="1397" t="n"/>
      <c r="K50" s="63" t="n"/>
    </row>
    <row r="51" ht="15.5" customHeight="1">
      <c r="I51" s="1639" t="inlineStr">
        <is>
          <t>Growth</t>
        </is>
      </c>
      <c r="J51" s="1397" t="n"/>
      <c r="K51" s="63" t="n"/>
    </row>
    <row r="52">
      <c r="C52" s="74" t="inlineStr">
        <is>
          <t>Primary Business Industry</t>
        </is>
      </c>
      <c r="D52" s="74" t="inlineStr">
        <is>
          <t>primary.industry</t>
        </is>
      </c>
      <c r="E52" s="1882" t="inlineStr">
        <is>
          <t>Building Materials</t>
        </is>
      </c>
      <c r="F52" s="63" t="inlineStr">
        <is>
          <t>[Enter business industry name from AD list]</t>
        </is>
      </c>
      <c r="I52" s="1639" t="inlineStr">
        <is>
          <t>Mature Growth</t>
        </is>
      </c>
      <c r="J52" s="1397" t="n"/>
    </row>
    <row r="53">
      <c r="C53" s="74" t="inlineStr">
        <is>
          <t>Primary Business Sub-Industry</t>
        </is>
      </c>
      <c r="D53" s="74" t="inlineStr">
        <is>
          <t>primary.subindustry</t>
        </is>
      </c>
      <c r="E53" s="1882" t="inlineStr">
        <is>
          <t>TESTRUN</t>
        </is>
      </c>
      <c r="I53" s="1639" t="inlineStr">
        <is>
          <t>Matured</t>
        </is>
      </c>
      <c r="J53" s="1397" t="n"/>
    </row>
    <row r="54">
      <c r="C54" s="74" t="inlineStr">
        <is>
          <t>Primary Business Nature</t>
        </is>
      </c>
      <c r="D54" s="74" t="inlineStr">
        <is>
          <t>primarybus.nature</t>
        </is>
      </c>
      <c r="E54" s="1882" t="inlineStr">
        <is>
          <t>Manufacturer</t>
        </is>
      </c>
      <c r="I54" s="1639" t="inlineStr">
        <is>
          <t>Innovate or Decline</t>
        </is>
      </c>
      <c r="J54" s="1397" t="n"/>
    </row>
    <row r="55">
      <c r="C55" s="74" t="inlineStr">
        <is>
          <t>Primary Business Decription</t>
        </is>
      </c>
      <c r="D55" s="74" t="inlineStr">
        <is>
          <t>primary.bus.desc</t>
        </is>
      </c>
      <c r="E55" s="1882" t="inlineStr">
        <is>
          <t>TESTRUN1, TESTRUN2, TESTRUN3</t>
        </is>
      </c>
      <c r="K55" s="1635" t="n"/>
    </row>
    <row r="56">
      <c r="C56" s="74" t="inlineStr">
        <is>
          <t>Primary business main operating region</t>
        </is>
      </c>
      <c r="D56" s="74" t="inlineStr">
        <is>
          <t>primary.location</t>
        </is>
      </c>
      <c r="E56" s="1882">
        <f>Form!N43</f>
        <v/>
      </c>
      <c r="F56" s="63" t="inlineStr">
        <is>
          <t>[Enter business country name from AD list]</t>
        </is>
      </c>
    </row>
    <row r="57">
      <c r="C57" s="74" t="n"/>
      <c r="D57" s="74" t="n"/>
      <c r="E57" s="74" t="n"/>
    </row>
    <row r="58" customFormat="1" s="1635">
      <c r="C58" s="1634" t="inlineStr">
        <is>
          <t>Other Operating Regions - Primary</t>
        </is>
      </c>
      <c r="D58" s="1634" t="inlineStr">
        <is>
          <t>Country Name</t>
        </is>
      </c>
      <c r="E58" s="1634" t="inlineStr">
        <is>
          <t>Average Revenue Contribution (%)</t>
        </is>
      </c>
    </row>
    <row r="59" customFormat="1" s="1635">
      <c r="C59" s="74" t="inlineStr">
        <is>
          <t>Other Operating Region 1</t>
        </is>
      </c>
      <c r="D59" s="1785" t="inlineStr">
        <is>
          <t>Italy</t>
        </is>
      </c>
      <c r="E59" s="1786" t="n">
        <v>0.1</v>
      </c>
    </row>
    <row r="60" customFormat="1" s="1635">
      <c r="C60" s="74" t="inlineStr">
        <is>
          <t>Other Operating Region 2</t>
        </is>
      </c>
      <c r="D60" s="1785" t="inlineStr">
        <is>
          <t>United Arab Emirates</t>
        </is>
      </c>
      <c r="E60" s="1786" t="n">
        <v>0.06</v>
      </c>
    </row>
    <row r="61" customFormat="1" s="1635">
      <c r="C61" s="74" t="inlineStr">
        <is>
          <t>Other Operating Region 3</t>
        </is>
      </c>
      <c r="D61" s="1785" t="inlineStr">
        <is>
          <t>Spain</t>
        </is>
      </c>
      <c r="E61" s="1786" t="n">
        <v>0.04</v>
      </c>
    </row>
    <row r="62">
      <c r="C62" s="74" t="n"/>
      <c r="D62" s="74" t="n"/>
      <c r="E62" s="74" t="n"/>
      <c r="J62" s="1639" t="n"/>
    </row>
    <row r="63">
      <c r="C63" s="74" t="inlineStr">
        <is>
          <t>Secondary Business Industry</t>
        </is>
      </c>
      <c r="D63" s="74" t="inlineStr">
        <is>
          <t>secondary.industry</t>
        </is>
      </c>
      <c r="E63" s="1882" t="inlineStr">
        <is>
          <t>Brokerage &amp; Investment Banking</t>
        </is>
      </c>
      <c r="F63" s="63" t="inlineStr">
        <is>
          <t>[Enter business industry name from AD list]</t>
        </is>
      </c>
      <c r="J63" s="1639" t="n"/>
      <c r="K63" s="1639" t="n"/>
    </row>
    <row r="64">
      <c r="C64" s="74" t="inlineStr">
        <is>
          <t>Secondary Business Sub-Industry</t>
        </is>
      </c>
      <c r="D64" s="74" t="inlineStr">
        <is>
          <t>secondary.subindustry</t>
        </is>
      </c>
      <c r="E64" s="1882" t="inlineStr">
        <is>
          <t>TESTRUN</t>
        </is>
      </c>
      <c r="J64" s="1639" t="n"/>
      <c r="K64" s="1639" t="n"/>
    </row>
    <row r="65">
      <c r="C65" s="74" t="inlineStr">
        <is>
          <t>Secondary Business Nature</t>
        </is>
      </c>
      <c r="D65" s="74" t="inlineStr">
        <is>
          <t>secondarybus.nature</t>
        </is>
      </c>
      <c r="E65" s="1882" t="inlineStr">
        <is>
          <t>Manufacturer</t>
        </is>
      </c>
      <c r="J65" s="1639" t="n"/>
    </row>
    <row r="66">
      <c r="C66" s="74" t="inlineStr">
        <is>
          <t>Secondary Business Description</t>
        </is>
      </c>
      <c r="D66" s="74" t="inlineStr">
        <is>
          <t>secondarybus.desc</t>
        </is>
      </c>
      <c r="E66" s="1882" t="inlineStr">
        <is>
          <t>TESTRUN, TESTRUN, TESTRUN, TESTRUN</t>
        </is>
      </c>
      <c r="J66" s="1639" t="n"/>
      <c r="K66" s="1639" t="n"/>
    </row>
    <row r="67">
      <c r="C67" s="74" t="inlineStr">
        <is>
          <t>Secondary business main operating regions</t>
        </is>
      </c>
      <c r="D67" s="74" t="inlineStr">
        <is>
          <t>secondary.location</t>
        </is>
      </c>
      <c r="E67" s="1882">
        <f>Form!N51</f>
        <v/>
      </c>
      <c r="F67" s="63" t="inlineStr">
        <is>
          <t>[Enter business country name from AD list]</t>
        </is>
      </c>
      <c r="J67" s="1639" t="n"/>
      <c r="K67" s="1639" t="n"/>
    </row>
    <row r="68">
      <c r="C68" s="1263" t="inlineStr">
        <is>
          <t>Average Revenue contribution from secondary business (in %)</t>
        </is>
      </c>
      <c r="D68" s="1263" t="inlineStr">
        <is>
          <t>secondaryrev.contribution</t>
        </is>
      </c>
      <c r="E68" s="1272" t="n">
        <v>0.5</v>
      </c>
      <c r="J68" s="1639" t="n"/>
    </row>
    <row r="69">
      <c r="C69" s="74" t="n"/>
      <c r="D69" s="74" t="n"/>
      <c r="E69" s="74" t="n"/>
      <c r="J69" s="1639" t="n"/>
      <c r="K69" s="1635" t="n"/>
    </row>
    <row r="70">
      <c r="C70" s="1634" t="inlineStr">
        <is>
          <t>Other Operating Regions - Secondary</t>
        </is>
      </c>
      <c r="D70" s="1634" t="inlineStr">
        <is>
          <t>Country Name</t>
        </is>
      </c>
      <c r="E70" s="1634" t="inlineStr">
        <is>
          <t>Average Revenue Contribution (%)</t>
        </is>
      </c>
      <c r="J70" s="1639" t="n"/>
      <c r="K70" s="1635" t="n"/>
    </row>
    <row r="71">
      <c r="C71" s="74" t="inlineStr">
        <is>
          <t>Other Operating Region 1</t>
        </is>
      </c>
      <c r="D71" s="1785" t="inlineStr">
        <is>
          <t>Italy</t>
        </is>
      </c>
      <c r="E71" s="1786" t="n">
        <v>0.1</v>
      </c>
      <c r="J71" s="1639" t="n"/>
      <c r="K71" s="1635" t="n"/>
    </row>
    <row r="72">
      <c r="C72" s="74" t="inlineStr">
        <is>
          <t>Other Operating Region 2</t>
        </is>
      </c>
      <c r="D72" s="1785" t="inlineStr">
        <is>
          <t>India</t>
        </is>
      </c>
      <c r="E72" s="1786" t="n">
        <v>0.05</v>
      </c>
      <c r="J72" s="1635" t="n"/>
      <c r="K72" s="1635" t="n"/>
    </row>
    <row r="73">
      <c r="C73" s="74" t="inlineStr">
        <is>
          <t>Other Operating Region 3</t>
        </is>
      </c>
      <c r="D73" s="1785" t="inlineStr">
        <is>
          <t>Spain</t>
        </is>
      </c>
      <c r="E73" s="1786" t="n">
        <v>0.04</v>
      </c>
    </row>
    <row r="74">
      <c r="C74" s="74" t="n"/>
      <c r="D74" s="74" t="n"/>
      <c r="E74" s="74" t="n"/>
    </row>
    <row r="75">
      <c r="C75" s="1872" t="inlineStr">
        <is>
          <t>Revenue Streams</t>
        </is>
      </c>
      <c r="D75" s="1872" t="n"/>
      <c r="E75" s="1874" t="n"/>
    </row>
    <row r="76">
      <c r="C76" s="79" t="inlineStr">
        <is>
          <t>Existing Revenue</t>
        </is>
      </c>
      <c r="D76" s="1289">
        <f>Form!N63</f>
        <v/>
      </c>
      <c r="E76" s="80" t="inlineStr">
        <is>
          <t>Input product/service/client name below</t>
        </is>
      </c>
    </row>
    <row r="77">
      <c r="C77" s="72" t="inlineStr">
        <is>
          <t>Stream 1</t>
        </is>
      </c>
      <c r="D77" s="81" t="n"/>
      <c r="E77" s="1302">
        <f>Form!N65</f>
        <v/>
      </c>
    </row>
    <row r="78">
      <c r="C78" s="72" t="inlineStr">
        <is>
          <t>Stream 2</t>
        </is>
      </c>
      <c r="D78" s="81" t="n"/>
      <c r="E78" s="1302">
        <f>Form!N66</f>
        <v/>
      </c>
    </row>
    <row r="79">
      <c r="C79" s="72" t="inlineStr">
        <is>
          <t>Stream 3</t>
        </is>
      </c>
      <c r="D79" s="81" t="n"/>
      <c r="E79" s="1302">
        <f>Form!N67</f>
        <v/>
      </c>
    </row>
    <row r="80">
      <c r="C80" s="72" t="inlineStr">
        <is>
          <t>Stream 4</t>
        </is>
      </c>
      <c r="D80" s="81" t="n"/>
      <c r="E80" s="1302">
        <f>Form!N68</f>
        <v/>
      </c>
    </row>
    <row r="81">
      <c r="C81" s="79" t="inlineStr">
        <is>
          <t>Pipeline Revenue</t>
        </is>
      </c>
    </row>
    <row r="82">
      <c r="C82" s="72" t="inlineStr">
        <is>
          <t>Stream 1</t>
        </is>
      </c>
      <c r="D82" s="81" t="n"/>
      <c r="E82" s="1302">
        <f>Form!N73</f>
        <v/>
      </c>
    </row>
    <row r="83">
      <c r="C83" s="72" t="inlineStr">
        <is>
          <t>Stream 2</t>
        </is>
      </c>
      <c r="D83" s="81" t="n"/>
      <c r="E83" s="1302">
        <f>Form!N74</f>
        <v/>
      </c>
    </row>
    <row r="84">
      <c r="C84" s="72" t="inlineStr">
        <is>
          <t>Stream 3</t>
        </is>
      </c>
      <c r="D84" s="81" t="n"/>
      <c r="E84" s="1302">
        <f>Form!N75</f>
        <v/>
      </c>
    </row>
    <row r="85">
      <c r="C85" s="72" t="inlineStr">
        <is>
          <t>Stream 4</t>
        </is>
      </c>
      <c r="D85" s="81" t="n"/>
      <c r="E85" s="1302">
        <f>Form!N76</f>
        <v/>
      </c>
    </row>
    <row r="86">
      <c r="C86" s="79" t="inlineStr">
        <is>
          <t>Potential Revenue</t>
        </is>
      </c>
    </row>
    <row r="87">
      <c r="C87" s="72" t="inlineStr">
        <is>
          <t>Stream 1</t>
        </is>
      </c>
      <c r="D87" s="81" t="n"/>
      <c r="E87" s="1302">
        <f>Form!N81</f>
        <v/>
      </c>
    </row>
    <row r="88">
      <c r="C88" s="72" t="inlineStr">
        <is>
          <t>Stream 2</t>
        </is>
      </c>
      <c r="D88" s="81" t="n"/>
      <c r="E88" s="1302">
        <f>Form!N82</f>
        <v/>
      </c>
    </row>
    <row r="89">
      <c r="C89" s="72" t="inlineStr">
        <is>
          <t>Stream 3</t>
        </is>
      </c>
      <c r="D89" s="81" t="n"/>
      <c r="E89" s="1302">
        <f>Form!N83</f>
        <v/>
      </c>
    </row>
    <row r="90">
      <c r="C90" s="72" t="inlineStr">
        <is>
          <t>Stream 4</t>
        </is>
      </c>
      <c r="D90" s="81" t="n"/>
      <c r="E90" s="1302">
        <f>Form!N84</f>
        <v/>
      </c>
    </row>
    <row r="92">
      <c r="C92" s="63" t="inlineStr">
        <is>
          <t>Potential Revenue Stream - Probability of Achievement</t>
        </is>
      </c>
      <c r="D92" s="1367" t="n"/>
      <c r="E92" s="1237">
        <f>E87</f>
        <v/>
      </c>
      <c r="K92" s="1342">
        <f>Form!N86</f>
        <v/>
      </c>
    </row>
    <row r="93">
      <c r="D93" s="1367" t="n"/>
      <c r="E93" s="1237">
        <f>E88</f>
        <v/>
      </c>
      <c r="K93" s="1342">
        <f>Form!N87</f>
        <v/>
      </c>
    </row>
    <row r="94">
      <c r="D94" s="1367" t="n"/>
      <c r="E94" s="1237">
        <f>E89</f>
        <v/>
      </c>
      <c r="K94" s="1342">
        <f>Form!N88</f>
        <v/>
      </c>
    </row>
    <row r="95">
      <c r="D95" s="1367" t="n"/>
      <c r="E95" s="1237">
        <f>E90</f>
        <v/>
      </c>
      <c r="K95" s="1342">
        <f>Form!N89</f>
        <v/>
      </c>
    </row>
    <row r="97">
      <c r="C97" s="1872" t="inlineStr">
        <is>
          <t>Revenue Drivers</t>
        </is>
      </c>
      <c r="D97" s="1872" t="n"/>
      <c r="E97" s="1874" t="n"/>
      <c r="F97" s="1874" t="n"/>
      <c r="G97" s="1874" t="n"/>
      <c r="H97" s="1874" t="n"/>
      <c r="I97" s="1874" t="n"/>
      <c r="J97" s="1874" t="n"/>
      <c r="K97" s="1874" t="n"/>
      <c r="L97" s="1874" t="n"/>
      <c r="M97" s="1874" t="n"/>
      <c r="N97" s="1874" t="n"/>
      <c r="O97" s="1874" t="n"/>
      <c r="P97" s="1874" t="n"/>
      <c r="Q97" s="1874" t="n"/>
    </row>
    <row r="98" ht="15.5" customHeight="1">
      <c r="B98" s="63" t="n"/>
      <c r="C98" s="1234" t="inlineStr">
        <is>
          <t>Schedule A</t>
        </is>
      </c>
    </row>
    <row r="99" ht="15.5" customHeight="1">
      <c r="C99" s="82" t="inlineStr">
        <is>
          <t>Price/Average Price per unit</t>
        </is>
      </c>
      <c r="M99" s="63" t="inlineStr">
        <is>
          <t>Price Growth &gt;&gt;</t>
        </is>
      </c>
    </row>
    <row r="100" ht="15.5" customHeight="1">
      <c r="C100" s="63" t="inlineStr">
        <is>
          <t>Existing Stream 1</t>
        </is>
      </c>
      <c r="J100" s="1883" t="n">
        <v>50</v>
      </c>
      <c r="L100" s="1883" t="n">
        <v>50</v>
      </c>
      <c r="M100" s="1313" t="n">
        <v>0.05</v>
      </c>
      <c r="N100" s="1313" t="n">
        <v>0.05</v>
      </c>
      <c r="O100" s="1313" t="n">
        <v>0.05</v>
      </c>
      <c r="P100" s="1313" t="n">
        <v>0.05</v>
      </c>
      <c r="Q100" s="1313" t="n">
        <v>0.05</v>
      </c>
    </row>
    <row r="101" ht="15.5" customHeight="1">
      <c r="C101" s="63" t="inlineStr">
        <is>
          <t>Existing Stream 2</t>
        </is>
      </c>
      <c r="J101" s="1883" t="n">
        <v>20</v>
      </c>
      <c r="L101" s="1883" t="n">
        <v>20</v>
      </c>
      <c r="M101" s="1313" t="n">
        <v>0.03</v>
      </c>
      <c r="N101" s="1313" t="n">
        <v>0.03</v>
      </c>
      <c r="O101" s="1313" t="n">
        <v>0.03</v>
      </c>
      <c r="P101" s="1313" t="n">
        <v>0.03</v>
      </c>
      <c r="Q101" s="1313" t="n">
        <v>0.03</v>
      </c>
    </row>
    <row r="102" ht="15.5" customHeight="1">
      <c r="C102" s="63" t="inlineStr">
        <is>
          <t>Existing Stream 3</t>
        </is>
      </c>
      <c r="J102" s="1883" t="n">
        <v>30</v>
      </c>
      <c r="L102" s="1883" t="n">
        <v>30</v>
      </c>
      <c r="M102" s="1313" t="n">
        <v>0.03</v>
      </c>
      <c r="N102" s="1313" t="n">
        <v>0.03</v>
      </c>
      <c r="O102" s="1313" t="n">
        <v>0.03</v>
      </c>
      <c r="P102" s="1313" t="n">
        <v>0.03</v>
      </c>
      <c r="Q102" s="1313" t="n">
        <v>0.03</v>
      </c>
    </row>
    <row r="103" ht="15.5" customHeight="1">
      <c r="C103" s="63" t="inlineStr">
        <is>
          <t>Existing Stream 4</t>
        </is>
      </c>
      <c r="J103" s="1883" t="n">
        <v>30</v>
      </c>
      <c r="L103" s="1883" t="n">
        <v>30</v>
      </c>
      <c r="M103" s="1313" t="n">
        <v>0.03</v>
      </c>
      <c r="N103" s="1313" t="n">
        <v>0.03</v>
      </c>
      <c r="O103" s="1313" t="n">
        <v>0.03</v>
      </c>
      <c r="P103" s="1313" t="n">
        <v>0.03</v>
      </c>
      <c r="Q103" s="1313" t="n">
        <v>0.03</v>
      </c>
    </row>
    <row r="104" ht="15.5" customHeight="1">
      <c r="C104" s="63" t="inlineStr">
        <is>
          <t>Pipeline Stream 1</t>
        </is>
      </c>
      <c r="L104" s="1883" t="n">
        <v>30</v>
      </c>
      <c r="M104" s="1313" t="n">
        <v>0.03</v>
      </c>
      <c r="N104" s="1313" t="n">
        <v>0.03</v>
      </c>
      <c r="O104" s="1313" t="n">
        <v>0.03</v>
      </c>
      <c r="P104" s="1313" t="n">
        <v>0.03</v>
      </c>
      <c r="Q104" s="1313" t="n">
        <v>0.03</v>
      </c>
    </row>
    <row r="105" ht="15.5" customHeight="1">
      <c r="C105" s="63" t="inlineStr">
        <is>
          <t>Pipeline Stream 2</t>
        </is>
      </c>
      <c r="L105" s="1883" t="n">
        <v>30</v>
      </c>
      <c r="M105" s="1313" t="n">
        <v>0.03</v>
      </c>
      <c r="N105" s="1313" t="n">
        <v>0.03</v>
      </c>
      <c r="O105" s="1313" t="n">
        <v>0.03</v>
      </c>
      <c r="P105" s="1313" t="n">
        <v>0.03</v>
      </c>
      <c r="Q105" s="1313" t="n">
        <v>0.03</v>
      </c>
    </row>
    <row r="106" ht="15.5" customHeight="1">
      <c r="C106" s="63" t="inlineStr">
        <is>
          <t>Pipeline Stream 3</t>
        </is>
      </c>
      <c r="L106" s="1883" t="n">
        <v>30</v>
      </c>
      <c r="M106" s="1313" t="n">
        <v>0.03</v>
      </c>
      <c r="N106" s="1313" t="n">
        <v>0.03</v>
      </c>
      <c r="O106" s="1313" t="n">
        <v>0.03</v>
      </c>
      <c r="P106" s="1313" t="n">
        <v>0.03</v>
      </c>
      <c r="Q106" s="1313" t="n">
        <v>0.03</v>
      </c>
    </row>
    <row r="107" ht="15.5" customHeight="1">
      <c r="C107" s="63" t="inlineStr">
        <is>
          <t>Pipeline Stream 4</t>
        </is>
      </c>
      <c r="L107" s="1883" t="n">
        <v>30</v>
      </c>
      <c r="M107" s="1313" t="n">
        <v>0.03</v>
      </c>
      <c r="N107" s="1313" t="n">
        <v>0.03</v>
      </c>
      <c r="O107" s="1313" t="n">
        <v>0.03</v>
      </c>
      <c r="P107" s="1313" t="n">
        <v>0.03</v>
      </c>
      <c r="Q107" s="1313" t="n">
        <v>0.03</v>
      </c>
    </row>
    <row r="108" ht="15.5" customHeight="1">
      <c r="C108" s="63" t="inlineStr">
        <is>
          <t>Potential Stream 1</t>
        </is>
      </c>
      <c r="L108" s="1883" t="n">
        <v>30</v>
      </c>
      <c r="M108" s="1313" t="n">
        <v>0.03</v>
      </c>
      <c r="N108" s="1313" t="n">
        <v>0.03</v>
      </c>
      <c r="O108" s="1313" t="n">
        <v>0.03</v>
      </c>
      <c r="P108" s="1313" t="n">
        <v>0.03</v>
      </c>
      <c r="Q108" s="1313" t="n">
        <v>0.03</v>
      </c>
    </row>
    <row r="109" ht="15.5" customHeight="1">
      <c r="C109" s="63" t="inlineStr">
        <is>
          <t>Potential Stream 2</t>
        </is>
      </c>
      <c r="L109" s="1883" t="n">
        <v>30</v>
      </c>
      <c r="M109" s="1313" t="n">
        <v>0.03</v>
      </c>
      <c r="N109" s="1313" t="n">
        <v>0.03</v>
      </c>
      <c r="O109" s="1313" t="n">
        <v>0.03</v>
      </c>
      <c r="P109" s="1313" t="n">
        <v>0.03</v>
      </c>
      <c r="Q109" s="1313" t="n">
        <v>0.03</v>
      </c>
    </row>
    <row r="110" ht="15.5" customHeight="1">
      <c r="C110" s="63" t="inlineStr">
        <is>
          <t>Potential Stream 3</t>
        </is>
      </c>
      <c r="L110" s="1883" t="n">
        <v>30</v>
      </c>
      <c r="M110" s="1313" t="n">
        <v>0.03</v>
      </c>
      <c r="N110" s="1313" t="n">
        <v>0.03</v>
      </c>
      <c r="O110" s="1313" t="n">
        <v>0.03</v>
      </c>
      <c r="P110" s="1313" t="n">
        <v>0.03</v>
      </c>
      <c r="Q110" s="1313" t="n">
        <v>0.03</v>
      </c>
    </row>
    <row r="111" ht="15.5" customHeight="1">
      <c r="C111" s="63" t="inlineStr">
        <is>
          <t>Potential Stream 4</t>
        </is>
      </c>
      <c r="L111" s="1883" t="n">
        <v>30</v>
      </c>
      <c r="M111" s="1313" t="n">
        <v>0.03</v>
      </c>
      <c r="N111" s="1313" t="n">
        <v>0.03</v>
      </c>
      <c r="O111" s="1313" t="n">
        <v>0.03</v>
      </c>
      <c r="P111" s="1313" t="n">
        <v>0.03</v>
      </c>
      <c r="Q111" s="1313" t="n">
        <v>0.03</v>
      </c>
    </row>
    <row r="112" ht="15.5" customHeight="1"/>
    <row r="113" ht="15.5" customHeight="1">
      <c r="C113" s="82" t="inlineStr">
        <is>
          <t>Sales Volumes</t>
        </is>
      </c>
      <c r="M113" s="63" t="inlineStr">
        <is>
          <t>Volume Growth &gt;&gt;</t>
        </is>
      </c>
    </row>
    <row r="114">
      <c r="C114" s="63" t="inlineStr">
        <is>
          <t>Existing Stream 1</t>
        </is>
      </c>
      <c r="J114" s="1883" t="n">
        <v>100</v>
      </c>
      <c r="L114" s="1883" t="n">
        <v>100</v>
      </c>
      <c r="M114" s="1313" t="n">
        <v>0.03</v>
      </c>
      <c r="N114" s="1313" t="n">
        <v>0.03</v>
      </c>
      <c r="O114" s="1313" t="n">
        <v>0.03</v>
      </c>
      <c r="P114" s="1313" t="n">
        <v>0.03</v>
      </c>
      <c r="Q114" s="1313" t="n">
        <v>0.03</v>
      </c>
    </row>
    <row r="115">
      <c r="C115" s="63" t="inlineStr">
        <is>
          <t>Existing Stream 2</t>
        </is>
      </c>
      <c r="J115" s="1883" t="n">
        <v>200</v>
      </c>
      <c r="L115" s="1883" t="n">
        <v>200</v>
      </c>
      <c r="M115" s="1313" t="n">
        <v>0.03</v>
      </c>
      <c r="N115" s="1313" t="n">
        <v>0.03</v>
      </c>
      <c r="O115" s="1313" t="n">
        <v>0.03</v>
      </c>
      <c r="P115" s="1313" t="n">
        <v>0.03</v>
      </c>
      <c r="Q115" s="1313" t="n">
        <v>0.03</v>
      </c>
    </row>
    <row r="116">
      <c r="C116" s="63" t="inlineStr">
        <is>
          <t>Existing Stream 3</t>
        </is>
      </c>
      <c r="J116" s="1883" t="n">
        <v>100</v>
      </c>
      <c r="L116" s="1883" t="n">
        <v>100</v>
      </c>
      <c r="M116" s="1313" t="n">
        <v>0.03</v>
      </c>
      <c r="N116" s="1313" t="n">
        <v>0.03</v>
      </c>
      <c r="O116" s="1313" t="n">
        <v>0.03</v>
      </c>
      <c r="P116" s="1313" t="n">
        <v>0.03</v>
      </c>
      <c r="Q116" s="1313" t="n">
        <v>0.03</v>
      </c>
    </row>
    <row r="117">
      <c r="C117" s="63" t="inlineStr">
        <is>
          <t>Existing Stream 4</t>
        </is>
      </c>
      <c r="J117" s="1883" t="n">
        <v>200</v>
      </c>
      <c r="L117" s="1883" t="n">
        <v>200</v>
      </c>
      <c r="M117" s="1313" t="n">
        <v>0.03</v>
      </c>
      <c r="N117" s="1313" t="n">
        <v>0.03</v>
      </c>
      <c r="O117" s="1313" t="n">
        <v>0.03</v>
      </c>
      <c r="P117" s="1313" t="n">
        <v>0.03</v>
      </c>
      <c r="Q117" s="1313" t="n">
        <v>0.03</v>
      </c>
    </row>
    <row r="118" ht="15.5" customHeight="1">
      <c r="C118" s="63" t="inlineStr">
        <is>
          <t>Pipeline Stream 1</t>
        </is>
      </c>
      <c r="L118" s="1883" t="n">
        <v>100</v>
      </c>
      <c r="M118" s="1313" t="n">
        <v>0.03</v>
      </c>
      <c r="N118" s="1313" t="n">
        <v>0.03</v>
      </c>
      <c r="O118" s="1313" t="n">
        <v>0.03</v>
      </c>
      <c r="P118" s="1313" t="n">
        <v>0.03</v>
      </c>
      <c r="Q118" s="1313" t="n">
        <v>0.03</v>
      </c>
    </row>
    <row r="119" ht="15.5" customHeight="1">
      <c r="C119" s="63" t="inlineStr">
        <is>
          <t>Pipeline Stream 2</t>
        </is>
      </c>
      <c r="L119" s="1883" t="n">
        <v>200</v>
      </c>
      <c r="M119" s="1313" t="n">
        <v>0.03</v>
      </c>
      <c r="N119" s="1313" t="n">
        <v>0.03</v>
      </c>
      <c r="O119" s="1313" t="n">
        <v>0.03</v>
      </c>
      <c r="P119" s="1313" t="n">
        <v>0.03</v>
      </c>
      <c r="Q119" s="1313" t="n">
        <v>0.03</v>
      </c>
    </row>
    <row r="120" ht="15.5" customHeight="1">
      <c r="C120" s="63" t="inlineStr">
        <is>
          <t>Pipeline Stream 3</t>
        </is>
      </c>
      <c r="L120" s="1883" t="n">
        <v>100</v>
      </c>
      <c r="M120" s="1313" t="n">
        <v>0.03</v>
      </c>
      <c r="N120" s="1313" t="n">
        <v>0.03</v>
      </c>
      <c r="O120" s="1313" t="n">
        <v>0.03</v>
      </c>
      <c r="P120" s="1313" t="n">
        <v>0.03</v>
      </c>
      <c r="Q120" s="1313" t="n">
        <v>0.03</v>
      </c>
    </row>
    <row r="121" ht="15.5" customHeight="1">
      <c r="C121" s="63" t="inlineStr">
        <is>
          <t>Pipeline Stream 4</t>
        </is>
      </c>
      <c r="L121" s="1883" t="n">
        <v>200</v>
      </c>
      <c r="M121" s="1313" t="n">
        <v>0.03</v>
      </c>
      <c r="N121" s="1313" t="n">
        <v>0.03</v>
      </c>
      <c r="O121" s="1313" t="n">
        <v>0.03</v>
      </c>
      <c r="P121" s="1313" t="n">
        <v>0.03</v>
      </c>
      <c r="Q121" s="1313" t="n">
        <v>0.03</v>
      </c>
    </row>
    <row r="122" ht="15.5" customHeight="1">
      <c r="C122" s="63" t="inlineStr">
        <is>
          <t>Potential Stream 1</t>
        </is>
      </c>
      <c r="L122" s="1883" t="n">
        <v>100</v>
      </c>
      <c r="M122" s="1313" t="n">
        <v>0.03</v>
      </c>
      <c r="N122" s="1313" t="n">
        <v>0.03</v>
      </c>
      <c r="O122" s="1313" t="n">
        <v>0.03</v>
      </c>
      <c r="P122" s="1313" t="n">
        <v>0.03</v>
      </c>
      <c r="Q122" s="1313" t="n">
        <v>0.03</v>
      </c>
    </row>
    <row r="123" ht="15.5" customHeight="1">
      <c r="C123" s="63" t="inlineStr">
        <is>
          <t>Potential Stream 2</t>
        </is>
      </c>
      <c r="L123" s="1883" t="n">
        <v>200</v>
      </c>
      <c r="M123" s="1313" t="n">
        <v>0.03</v>
      </c>
      <c r="N123" s="1313" t="n">
        <v>0.03</v>
      </c>
      <c r="O123" s="1313" t="n">
        <v>0.03</v>
      </c>
      <c r="P123" s="1313" t="n">
        <v>0.03</v>
      </c>
      <c r="Q123" s="1313" t="n">
        <v>0.03</v>
      </c>
    </row>
    <row r="124" ht="15.5" customHeight="1">
      <c r="C124" s="63" t="inlineStr">
        <is>
          <t>Potential Stream 3</t>
        </is>
      </c>
      <c r="L124" s="1883" t="n">
        <v>100</v>
      </c>
      <c r="M124" s="1313" t="n">
        <v>0.03</v>
      </c>
      <c r="N124" s="1313" t="n">
        <v>0.03</v>
      </c>
      <c r="O124" s="1313" t="n">
        <v>0.03</v>
      </c>
      <c r="P124" s="1313" t="n">
        <v>0.03</v>
      </c>
      <c r="Q124" s="1313" t="n">
        <v>0.03</v>
      </c>
    </row>
    <row r="125" ht="15.5" customHeight="1">
      <c r="C125" s="63" t="inlineStr">
        <is>
          <t>Potential Stream 4</t>
        </is>
      </c>
      <c r="L125" s="1883" t="n">
        <v>200</v>
      </c>
      <c r="M125" s="1313" t="n">
        <v>0.03</v>
      </c>
      <c r="N125" s="1313" t="n">
        <v>0.03</v>
      </c>
      <c r="O125" s="1313" t="n">
        <v>0.03</v>
      </c>
      <c r="P125" s="1313" t="n">
        <v>0.03</v>
      </c>
      <c r="Q125" s="1313" t="n">
        <v>0.03</v>
      </c>
    </row>
    <row r="127">
      <c r="C127" s="1234" t="inlineStr">
        <is>
          <t>Schedule B.1.</t>
        </is>
      </c>
    </row>
    <row r="128">
      <c r="C128" s="80" t="inlineStr">
        <is>
          <t>Existing Revenue</t>
        </is>
      </c>
      <c r="L128" s="83" t="n"/>
    </row>
    <row r="129">
      <c r="C129" s="63" t="inlineStr">
        <is>
          <t>Revenue Stream 1</t>
        </is>
      </c>
      <c r="E129" s="76">
        <f>currency.heading1</f>
        <v/>
      </c>
      <c r="J129" s="1883" t="n">
        <v>20000</v>
      </c>
      <c r="L129" s="1883" t="n">
        <v>20000</v>
      </c>
      <c r="M129" s="1883" t="n">
        <v>20000</v>
      </c>
      <c r="N129" s="1883" t="n">
        <v>20000</v>
      </c>
      <c r="O129" s="1883" t="n">
        <v>20000</v>
      </c>
      <c r="P129" s="1883" t="n">
        <v>20000</v>
      </c>
      <c r="Q129" s="1883" t="n">
        <v>20000</v>
      </c>
    </row>
    <row r="130">
      <c r="C130" s="63" t="inlineStr">
        <is>
          <t>Revenue Stream 2</t>
        </is>
      </c>
      <c r="E130" s="76">
        <f>currency.heading1</f>
        <v/>
      </c>
      <c r="J130" s="1883" t="n">
        <v>50000</v>
      </c>
      <c r="L130" s="1883" t="n">
        <v>50000</v>
      </c>
      <c r="M130" s="1883" t="n">
        <v>50000</v>
      </c>
      <c r="N130" s="1883" t="n">
        <v>50000</v>
      </c>
      <c r="O130" s="1883" t="n">
        <v>50000</v>
      </c>
      <c r="P130" s="1883" t="n">
        <v>50000</v>
      </c>
      <c r="Q130" s="1883" t="n">
        <v>50000</v>
      </c>
    </row>
    <row r="131">
      <c r="C131" s="63" t="inlineStr">
        <is>
          <t>Revenue Stream 3</t>
        </is>
      </c>
      <c r="E131" s="76">
        <f>currency.heading1</f>
        <v/>
      </c>
      <c r="J131" s="1883" t="n">
        <v>10000</v>
      </c>
      <c r="L131" s="1883" t="n">
        <v>10000</v>
      </c>
      <c r="M131" s="1883" t="n">
        <v>10000</v>
      </c>
      <c r="N131" s="1883" t="n">
        <v>10000</v>
      </c>
      <c r="O131" s="1883" t="n">
        <v>10000</v>
      </c>
      <c r="P131" s="1883" t="n">
        <v>10000</v>
      </c>
      <c r="Q131" s="1883" t="n">
        <v>10000</v>
      </c>
    </row>
    <row r="132">
      <c r="C132" s="63" t="inlineStr">
        <is>
          <t>Revenue Stream 4</t>
        </is>
      </c>
      <c r="E132" s="76">
        <f>currency.heading1</f>
        <v/>
      </c>
      <c r="J132" s="1883" t="n">
        <v>12000</v>
      </c>
      <c r="L132" s="1883" t="n">
        <v>12000</v>
      </c>
      <c r="M132" s="1883" t="n">
        <v>12000</v>
      </c>
      <c r="N132" s="1883" t="n">
        <v>12000</v>
      </c>
      <c r="O132" s="1883" t="n">
        <v>12000</v>
      </c>
      <c r="P132" s="1883" t="n">
        <v>12000</v>
      </c>
      <c r="Q132" s="1883" t="n">
        <v>12000</v>
      </c>
    </row>
    <row r="133">
      <c r="E133" s="76" t="n"/>
    </row>
    <row r="134">
      <c r="C134" s="80" t="inlineStr">
        <is>
          <t>Pipeline Revenues</t>
        </is>
      </c>
      <c r="E134" s="76" t="n"/>
      <c r="L134" s="83" t="n"/>
      <c r="M134" s="83" t="n"/>
      <c r="N134" s="83" t="n"/>
      <c r="O134" s="83" t="n"/>
      <c r="P134" s="83" t="n"/>
      <c r="Q134" s="83" t="n"/>
    </row>
    <row r="135" ht="15.5" customHeight="1">
      <c r="C135" s="63" t="inlineStr">
        <is>
          <t>Pipeline Stream 1</t>
        </is>
      </c>
      <c r="E135" s="76">
        <f>currency.heading1</f>
        <v/>
      </c>
      <c r="L135" s="1883" t="n">
        <v>15000</v>
      </c>
      <c r="M135" s="1883" t="n">
        <v>15000</v>
      </c>
      <c r="N135" s="1883" t="n">
        <v>15000</v>
      </c>
      <c r="O135" s="1883" t="n">
        <v>15000</v>
      </c>
      <c r="P135" s="1883" t="n">
        <v>15000</v>
      </c>
      <c r="Q135" s="1883" t="n">
        <v>15000</v>
      </c>
    </row>
    <row r="136" ht="15.5" customHeight="1">
      <c r="C136" s="63" t="inlineStr">
        <is>
          <t>Pipeline Stream 2</t>
        </is>
      </c>
      <c r="E136" s="76">
        <f>currency.heading1</f>
        <v/>
      </c>
      <c r="L136" s="1883" t="n">
        <v>15000</v>
      </c>
      <c r="M136" s="1883" t="n">
        <v>15000</v>
      </c>
      <c r="N136" s="1883" t="n">
        <v>15000</v>
      </c>
      <c r="O136" s="1883" t="n">
        <v>15000</v>
      </c>
      <c r="P136" s="1883" t="n">
        <v>15000</v>
      </c>
      <c r="Q136" s="1883" t="n">
        <v>15000</v>
      </c>
    </row>
    <row r="137" ht="15.5" customHeight="1">
      <c r="C137" s="63" t="inlineStr">
        <is>
          <t>Pipeline Stream 3</t>
        </is>
      </c>
      <c r="E137" s="76">
        <f>currency.heading1</f>
        <v/>
      </c>
      <c r="L137" s="1883" t="n">
        <v>15000</v>
      </c>
      <c r="M137" s="1883" t="n">
        <v>15000</v>
      </c>
      <c r="N137" s="1883" t="n">
        <v>15000</v>
      </c>
      <c r="O137" s="1883" t="n">
        <v>15000</v>
      </c>
      <c r="P137" s="1883" t="n">
        <v>15000</v>
      </c>
      <c r="Q137" s="1883" t="n">
        <v>15000</v>
      </c>
    </row>
    <row r="138" ht="15.5" customHeight="1">
      <c r="C138" s="63" t="inlineStr">
        <is>
          <t>Pipeline Stream 4</t>
        </is>
      </c>
      <c r="E138" s="76">
        <f>currency.heading1</f>
        <v/>
      </c>
      <c r="L138" s="1883" t="n">
        <v>15000</v>
      </c>
      <c r="M138" s="1883" t="n">
        <v>15000</v>
      </c>
      <c r="N138" s="1883" t="n">
        <v>15000</v>
      </c>
      <c r="O138" s="1883" t="n">
        <v>15000</v>
      </c>
      <c r="P138" s="1883" t="n">
        <v>15000</v>
      </c>
      <c r="Q138" s="1883" t="n">
        <v>15000</v>
      </c>
    </row>
    <row r="139" ht="15.5" customHeight="1">
      <c r="E139" s="76" t="n"/>
    </row>
    <row r="140" ht="15.5" customHeight="1">
      <c r="C140" s="80" t="inlineStr">
        <is>
          <t>Potential Revenues</t>
        </is>
      </c>
      <c r="E140" s="76" t="n"/>
      <c r="L140" s="83" t="n"/>
      <c r="M140" s="83" t="n"/>
      <c r="N140" s="83" t="n"/>
      <c r="O140" s="83" t="n"/>
      <c r="P140" s="83" t="n"/>
      <c r="Q140" s="83" t="n"/>
    </row>
    <row r="141" ht="15.5" customHeight="1">
      <c r="C141" s="63" t="inlineStr">
        <is>
          <t>Potential Revenue Stream 1</t>
        </is>
      </c>
      <c r="E141" s="76">
        <f>currency.heading1</f>
        <v/>
      </c>
      <c r="L141" s="1883" t="n">
        <v>20000</v>
      </c>
      <c r="M141" s="1883" t="n">
        <v>20000</v>
      </c>
      <c r="N141" s="1883" t="n">
        <v>20000</v>
      </c>
      <c r="O141" s="1883" t="n">
        <v>20000</v>
      </c>
      <c r="P141" s="1883" t="n">
        <v>20000</v>
      </c>
      <c r="Q141" s="1883" t="n">
        <v>20000</v>
      </c>
    </row>
    <row r="142" ht="15.5" customHeight="1">
      <c r="C142" s="63" t="inlineStr">
        <is>
          <t>Potential Revenue Stream 2</t>
        </is>
      </c>
      <c r="E142" s="76">
        <f>currency.heading1</f>
        <v/>
      </c>
      <c r="L142" s="1883" t="n">
        <v>50000</v>
      </c>
      <c r="M142" s="1883" t="n">
        <v>50000</v>
      </c>
      <c r="N142" s="1883" t="n">
        <v>50000</v>
      </c>
      <c r="O142" s="1883" t="n">
        <v>50000</v>
      </c>
      <c r="P142" s="1883" t="n">
        <v>50000</v>
      </c>
      <c r="Q142" s="1883" t="n">
        <v>50000</v>
      </c>
    </row>
    <row r="143" ht="15.5" customHeight="1">
      <c r="C143" s="63" t="inlineStr">
        <is>
          <t>Potential Revenue Stream 3</t>
        </is>
      </c>
      <c r="E143" s="76">
        <f>currency.heading1</f>
        <v/>
      </c>
      <c r="L143" s="1883" t="n">
        <v>10000</v>
      </c>
      <c r="M143" s="1883" t="n">
        <v>10000</v>
      </c>
      <c r="N143" s="1883" t="n">
        <v>10000</v>
      </c>
      <c r="O143" s="1883" t="n">
        <v>10000</v>
      </c>
      <c r="P143" s="1883" t="n">
        <v>10000</v>
      </c>
      <c r="Q143" s="1883" t="n">
        <v>10000</v>
      </c>
    </row>
    <row r="144" ht="15.5" customHeight="1">
      <c r="C144" s="63" t="inlineStr">
        <is>
          <t>Potential Revenue Stream 4</t>
        </is>
      </c>
      <c r="E144" s="76">
        <f>currency.heading1</f>
        <v/>
      </c>
      <c r="L144" s="1883" t="n">
        <v>12000</v>
      </c>
      <c r="M144" s="1883" t="n">
        <v>12000</v>
      </c>
      <c r="N144" s="1883" t="n">
        <v>12000</v>
      </c>
      <c r="O144" s="1883" t="n">
        <v>12000</v>
      </c>
      <c r="P144" s="1883" t="n">
        <v>12000</v>
      </c>
      <c r="Q144" s="1883" t="n">
        <v>12000</v>
      </c>
    </row>
    <row r="145">
      <c r="E145" s="76" t="n"/>
    </row>
    <row r="146">
      <c r="C146" s="1234" t="inlineStr">
        <is>
          <t>Schedule B.2.</t>
        </is>
      </c>
    </row>
    <row r="147">
      <c r="B147" s="80" t="inlineStr">
        <is>
          <t>Total Existing Revenue (value)</t>
        </is>
      </c>
      <c r="E147" s="76">
        <f>currency.heading1</f>
        <v/>
      </c>
      <c r="H147" s="1235" t="n"/>
      <c r="I147" s="1235" t="n"/>
      <c r="J147" s="1883" t="n">
        <v>95000</v>
      </c>
      <c r="L147" s="1883" t="n">
        <v>95000</v>
      </c>
      <c r="M147" s="1883" t="n">
        <v>105000</v>
      </c>
      <c r="N147" s="1883" t="n">
        <v>120000</v>
      </c>
      <c r="O147" s="1883" t="n">
        <v>120000</v>
      </c>
      <c r="P147" s="1883" t="n">
        <v>120000</v>
      </c>
      <c r="Q147" s="1883" t="n">
        <v>120000</v>
      </c>
    </row>
    <row r="148">
      <c r="B148" s="80" t="n"/>
      <c r="C148" s="76" t="inlineStr">
        <is>
          <t>Existing Revenue Stream 1 - contribution %</t>
        </is>
      </c>
      <c r="H148" s="1235" t="n"/>
      <c r="I148" s="1235" t="n"/>
      <c r="J148" s="1314" t="n">
        <v>0.2</v>
      </c>
      <c r="L148" s="1314" t="n">
        <v>0.2</v>
      </c>
      <c r="M148" s="1314" t="n">
        <v>0.2</v>
      </c>
      <c r="N148" s="1314" t="n">
        <v>0.2</v>
      </c>
      <c r="O148" s="1314" t="n">
        <v>0.2</v>
      </c>
      <c r="P148" s="1314" t="n">
        <v>0.2</v>
      </c>
      <c r="Q148" s="1314" t="n">
        <v>0.2</v>
      </c>
    </row>
    <row r="149">
      <c r="B149" s="80" t="n"/>
      <c r="C149" s="76" t="inlineStr">
        <is>
          <t>Existing Revenue Stream 2 - contribution %</t>
        </is>
      </c>
      <c r="H149" s="1235" t="n"/>
      <c r="I149" s="1235" t="n"/>
      <c r="J149" s="1314" t="n">
        <v>0.1</v>
      </c>
      <c r="L149" s="1314" t="n">
        <v>0.1</v>
      </c>
      <c r="M149" s="1314" t="n">
        <v>0.1</v>
      </c>
      <c r="N149" s="1314" t="n">
        <v>0.1</v>
      </c>
      <c r="O149" s="1314" t="n">
        <v>0.1</v>
      </c>
      <c r="P149" s="1314" t="n">
        <v>0.1</v>
      </c>
      <c r="Q149" s="1314" t="n">
        <v>0.1</v>
      </c>
    </row>
    <row r="150">
      <c r="B150" s="80" t="n"/>
      <c r="C150" s="76" t="inlineStr">
        <is>
          <t>Existing Revenue Stream 3 - contribution %</t>
        </is>
      </c>
      <c r="H150" s="1235" t="n"/>
      <c r="I150" s="1235" t="n"/>
      <c r="J150" s="1314" t="n">
        <v>0.3</v>
      </c>
      <c r="L150" s="1314" t="n">
        <v>0.3</v>
      </c>
      <c r="M150" s="1314" t="n">
        <v>0.3</v>
      </c>
      <c r="N150" s="1314" t="n">
        <v>0.3</v>
      </c>
      <c r="O150" s="1314" t="n">
        <v>0.3</v>
      </c>
      <c r="P150" s="1314" t="n">
        <v>0.3</v>
      </c>
      <c r="Q150" s="1314" t="n">
        <v>0.3</v>
      </c>
    </row>
    <row r="151">
      <c r="B151" s="80" t="n"/>
      <c r="C151" s="76" t="inlineStr">
        <is>
          <t>Existing Revenue Stream 4 - contribution %</t>
        </is>
      </c>
      <c r="H151" s="1235" t="n"/>
      <c r="I151" s="1235" t="n"/>
      <c r="J151" s="1314" t="n">
        <v>0.4</v>
      </c>
      <c r="L151" s="1314" t="n">
        <v>0.4</v>
      </c>
      <c r="M151" s="1314" t="n">
        <v>0.4</v>
      </c>
      <c r="N151" s="1314" t="n">
        <v>0.4</v>
      </c>
      <c r="O151" s="1314" t="n">
        <v>0.4</v>
      </c>
      <c r="P151" s="1314" t="n">
        <v>0.4</v>
      </c>
      <c r="Q151" s="1314" t="n">
        <v>0.4</v>
      </c>
    </row>
    <row r="152">
      <c r="B152" s="80" t="n"/>
      <c r="C152" s="76" t="n"/>
      <c r="H152" s="1235" t="n"/>
      <c r="I152" s="1235" t="n"/>
      <c r="L152" s="1235" t="n"/>
      <c r="M152" s="1235" t="n"/>
      <c r="N152" s="1235" t="n"/>
      <c r="O152" s="1235" t="n"/>
      <c r="P152" s="1235" t="n"/>
      <c r="Q152" s="1235" t="n"/>
    </row>
    <row r="153" ht="15.5" customHeight="1">
      <c r="B153" s="80" t="inlineStr">
        <is>
          <t>Total Pipeline Revenues  (value)</t>
        </is>
      </c>
      <c r="C153" s="76" t="n"/>
      <c r="E153" s="76">
        <f>currency.heading1</f>
        <v/>
      </c>
      <c r="H153" s="1235" t="n"/>
      <c r="L153" s="1883" t="n">
        <v>95000</v>
      </c>
      <c r="M153" s="1883" t="n">
        <v>105000</v>
      </c>
      <c r="N153" s="1883" t="n">
        <v>120000</v>
      </c>
      <c r="O153" s="1883" t="n">
        <v>120000</v>
      </c>
      <c r="P153" s="1883" t="n">
        <v>120000</v>
      </c>
      <c r="Q153" s="1883" t="n">
        <v>120000</v>
      </c>
    </row>
    <row r="154" ht="15.5" customHeight="1">
      <c r="B154" s="80" t="n"/>
      <c r="C154" s="76" t="inlineStr">
        <is>
          <t>Pipeline Stream 1 - contribution %</t>
        </is>
      </c>
      <c r="H154" s="1235" t="n"/>
      <c r="L154" s="1314" t="n">
        <v>0.2</v>
      </c>
      <c r="M154" s="1314" t="n">
        <v>0.2</v>
      </c>
      <c r="N154" s="1314" t="n">
        <v>0.2</v>
      </c>
      <c r="O154" s="1314" t="n">
        <v>0.2</v>
      </c>
      <c r="P154" s="1314" t="n">
        <v>0.2</v>
      </c>
      <c r="Q154" s="1314" t="n">
        <v>0.2</v>
      </c>
    </row>
    <row r="155" ht="15.5" customHeight="1">
      <c r="B155" s="80" t="n"/>
      <c r="C155" s="76" t="inlineStr">
        <is>
          <t>Pipeline Stream 2 - contribution %</t>
        </is>
      </c>
      <c r="H155" s="1235" t="n"/>
      <c r="L155" s="1314" t="n">
        <v>0.1</v>
      </c>
      <c r="M155" s="1314" t="n">
        <v>0.1</v>
      </c>
      <c r="N155" s="1314" t="n">
        <v>0.1</v>
      </c>
      <c r="O155" s="1314" t="n">
        <v>0.1</v>
      </c>
      <c r="P155" s="1314" t="n">
        <v>0.1</v>
      </c>
      <c r="Q155" s="1314" t="n">
        <v>0.1</v>
      </c>
    </row>
    <row r="156" ht="15.5" customHeight="1">
      <c r="B156" s="80" t="n"/>
      <c r="C156" s="76" t="inlineStr">
        <is>
          <t>Pipeline Stream 3 - contribution %</t>
        </is>
      </c>
      <c r="H156" s="1235" t="n"/>
      <c r="L156" s="1314" t="n">
        <v>0.3</v>
      </c>
      <c r="M156" s="1314" t="n">
        <v>0.3</v>
      </c>
      <c r="N156" s="1314" t="n">
        <v>0.3</v>
      </c>
      <c r="O156" s="1314" t="n">
        <v>0.3</v>
      </c>
      <c r="P156" s="1314" t="n">
        <v>0.3</v>
      </c>
      <c r="Q156" s="1314" t="n">
        <v>0.3</v>
      </c>
    </row>
    <row r="157" ht="15.5" customHeight="1">
      <c r="B157" s="80" t="n"/>
      <c r="C157" s="76" t="inlineStr">
        <is>
          <t>Pipeline Stream 4 - contribution %</t>
        </is>
      </c>
      <c r="H157" s="1235" t="n"/>
      <c r="L157" s="1314" t="n">
        <v>0.4</v>
      </c>
      <c r="M157" s="1314" t="n">
        <v>0.4</v>
      </c>
      <c r="N157" s="1314" t="n">
        <v>0.4</v>
      </c>
      <c r="O157" s="1314" t="n">
        <v>0.4</v>
      </c>
      <c r="P157" s="1314" t="n">
        <v>0.4</v>
      </c>
      <c r="Q157" s="1314" t="n">
        <v>0.4</v>
      </c>
    </row>
    <row r="158" ht="15.5" customHeight="1">
      <c r="B158" s="80" t="n"/>
      <c r="C158" s="76" t="n"/>
      <c r="H158" s="1235" t="n"/>
      <c r="L158" s="1235" t="n"/>
      <c r="M158" s="1235" t="n"/>
      <c r="N158" s="1235" t="n"/>
      <c r="O158" s="1235" t="n"/>
      <c r="P158" s="1235" t="n"/>
      <c r="Q158" s="1235" t="n"/>
    </row>
    <row r="159" ht="15.5" customHeight="1">
      <c r="B159" s="80" t="inlineStr">
        <is>
          <t>Total Potential Revenues (value)</t>
        </is>
      </c>
      <c r="C159" s="76" t="n"/>
      <c r="E159" s="76">
        <f>currency.heading1</f>
        <v/>
      </c>
      <c r="H159" s="1235" t="n"/>
      <c r="L159" s="1883" t="n">
        <v>95000</v>
      </c>
      <c r="M159" s="1883" t="n">
        <v>105000</v>
      </c>
      <c r="N159" s="1883" t="n">
        <v>120000</v>
      </c>
      <c r="O159" s="1883" t="n">
        <v>120000</v>
      </c>
      <c r="P159" s="1883" t="n">
        <v>120000</v>
      </c>
      <c r="Q159" s="1883" t="n">
        <v>120000</v>
      </c>
    </row>
    <row r="160" ht="15.5" customHeight="1">
      <c r="B160" s="80" t="n"/>
      <c r="C160" s="76" t="inlineStr">
        <is>
          <t>Potential Revenue Stream 1 - contribution %</t>
        </is>
      </c>
      <c r="H160" s="1235" t="n"/>
      <c r="L160" s="1314" t="n">
        <v>0.2</v>
      </c>
      <c r="M160" s="1314" t="n">
        <v>0.2</v>
      </c>
      <c r="N160" s="1314" t="n">
        <v>0.2</v>
      </c>
      <c r="O160" s="1314" t="n">
        <v>0.2</v>
      </c>
      <c r="P160" s="1314" t="n">
        <v>0.2</v>
      </c>
      <c r="Q160" s="1314" t="n">
        <v>0.2</v>
      </c>
    </row>
    <row r="161" ht="15.5" customHeight="1">
      <c r="B161" s="80" t="n"/>
      <c r="C161" s="76" t="inlineStr">
        <is>
          <t>Potential Revenue Stream 2 - contribution %</t>
        </is>
      </c>
      <c r="H161" s="1235" t="n"/>
      <c r="L161" s="1314" t="n">
        <v>0.1</v>
      </c>
      <c r="M161" s="1314" t="n">
        <v>0.1</v>
      </c>
      <c r="N161" s="1314" t="n">
        <v>0.1</v>
      </c>
      <c r="O161" s="1314" t="n">
        <v>0.1</v>
      </c>
      <c r="P161" s="1314" t="n">
        <v>0.1</v>
      </c>
      <c r="Q161" s="1314" t="n">
        <v>0.1</v>
      </c>
    </row>
    <row r="162" ht="15.5" customHeight="1">
      <c r="B162" s="80" t="n"/>
      <c r="C162" s="76" t="inlineStr">
        <is>
          <t>Potential Revenue Stream 3 - contribution %</t>
        </is>
      </c>
      <c r="H162" s="1235" t="n"/>
      <c r="L162" s="1314" t="n">
        <v>0.3</v>
      </c>
      <c r="M162" s="1314" t="n">
        <v>0.3</v>
      </c>
      <c r="N162" s="1314" t="n">
        <v>0.3</v>
      </c>
      <c r="O162" s="1314" t="n">
        <v>0.3</v>
      </c>
      <c r="P162" s="1314" t="n">
        <v>0.3</v>
      </c>
      <c r="Q162" s="1314" t="n">
        <v>0.3</v>
      </c>
    </row>
    <row r="163" ht="15.5" customHeight="1">
      <c r="B163" s="80" t="n"/>
      <c r="C163" s="76" t="inlineStr">
        <is>
          <t>Potential Revenue Stream 4 - contribution %</t>
        </is>
      </c>
      <c r="H163" s="1235" t="n"/>
      <c r="L163" s="1314" t="n">
        <v>0.4</v>
      </c>
      <c r="M163" s="1314" t="n">
        <v>0.4</v>
      </c>
      <c r="N163" s="1314" t="n">
        <v>0.4</v>
      </c>
      <c r="O163" s="1314" t="n">
        <v>0.4</v>
      </c>
      <c r="P163" s="1314" t="n">
        <v>0.4</v>
      </c>
      <c r="Q163" s="1314" t="n">
        <v>0.4</v>
      </c>
    </row>
    <row r="164">
      <c r="B164" s="80" t="n"/>
      <c r="C164" s="76" t="n"/>
    </row>
    <row r="165">
      <c r="C165" s="1873" t="inlineStr">
        <is>
          <t>Cost Assumptions</t>
        </is>
      </c>
      <c r="D165" s="1872" t="n"/>
      <c r="E165" s="1874" t="n"/>
      <c r="F165" s="1874" t="n"/>
      <c r="G165" s="1874" t="n"/>
      <c r="H165" s="1874" t="n"/>
      <c r="I165" s="1874" t="n"/>
      <c r="J165" s="1874" t="n"/>
      <c r="K165" s="1874" t="n"/>
      <c r="L165" s="1874" t="n"/>
      <c r="M165" s="1874" t="n"/>
      <c r="N165" s="1874" t="n"/>
      <c r="O165" s="1874" t="n"/>
      <c r="P165" s="1874" t="n"/>
      <c r="Q165" s="1874" t="n"/>
    </row>
    <row r="166">
      <c r="C166" s="84" t="inlineStr">
        <is>
          <t>Gross Margins</t>
        </is>
      </c>
    </row>
    <row r="167">
      <c r="C167" s="85" t="inlineStr">
        <is>
          <t>Existing Stream 1</t>
        </is>
      </c>
      <c r="K167" s="708" t="n"/>
      <c r="L167" s="1315" t="n">
        <v>0.7</v>
      </c>
      <c r="M167" s="1315" t="n">
        <v>0.7</v>
      </c>
      <c r="N167" s="1315" t="n">
        <v>0.7</v>
      </c>
      <c r="O167" s="1315" t="n">
        <v>0.7</v>
      </c>
      <c r="P167" s="1315" t="n">
        <v>0.7</v>
      </c>
      <c r="Q167" s="1315" t="n">
        <v>0.7</v>
      </c>
    </row>
    <row r="168">
      <c r="C168" s="85" t="inlineStr">
        <is>
          <t>Existing Stream 2</t>
        </is>
      </c>
      <c r="K168" s="708" t="n"/>
      <c r="L168" s="1315" t="n">
        <v>0.7</v>
      </c>
      <c r="M168" s="1315" t="n">
        <v>0.7</v>
      </c>
      <c r="N168" s="1315" t="n">
        <v>0.7</v>
      </c>
      <c r="O168" s="1315" t="n">
        <v>0.7</v>
      </c>
      <c r="P168" s="1315" t="n">
        <v>0.7</v>
      </c>
      <c r="Q168" s="1315" t="n">
        <v>0.7</v>
      </c>
    </row>
    <row r="169">
      <c r="C169" s="85" t="inlineStr">
        <is>
          <t>Existing Stream 3</t>
        </is>
      </c>
      <c r="K169" s="708" t="n"/>
      <c r="L169" s="1315" t="n">
        <v>0.7</v>
      </c>
      <c r="M169" s="1315" t="n">
        <v>0.7</v>
      </c>
      <c r="N169" s="1315" t="n">
        <v>0.7</v>
      </c>
      <c r="O169" s="1315" t="n">
        <v>0.7</v>
      </c>
      <c r="P169" s="1315" t="n">
        <v>0.7</v>
      </c>
      <c r="Q169" s="1315" t="n">
        <v>0.7</v>
      </c>
    </row>
    <row r="170">
      <c r="C170" s="85" t="inlineStr">
        <is>
          <t>Existing Stream 4</t>
        </is>
      </c>
      <c r="K170" s="708" t="n"/>
      <c r="L170" s="1315" t="n">
        <v>0.7</v>
      </c>
      <c r="M170" s="1315" t="n">
        <v>0.7</v>
      </c>
      <c r="N170" s="1315" t="n">
        <v>0.7</v>
      </c>
      <c r="O170" s="1315" t="n">
        <v>0.7</v>
      </c>
      <c r="P170" s="1315" t="n">
        <v>0.7</v>
      </c>
      <c r="Q170" s="1315" t="n">
        <v>0.7</v>
      </c>
    </row>
    <row r="171">
      <c r="C171" s="85" t="inlineStr">
        <is>
          <t>Pipeline Stream 1</t>
        </is>
      </c>
      <c r="K171" s="708" t="n"/>
      <c r="L171" s="1315" t="n">
        <v>0.7</v>
      </c>
      <c r="M171" s="1315" t="n">
        <v>0.7</v>
      </c>
      <c r="N171" s="1315" t="n">
        <v>0.7</v>
      </c>
      <c r="O171" s="1315" t="n">
        <v>0.7</v>
      </c>
      <c r="P171" s="1315" t="n">
        <v>0.7</v>
      </c>
      <c r="Q171" s="1315" t="n">
        <v>0.7</v>
      </c>
    </row>
    <row r="172">
      <c r="C172" s="85" t="inlineStr">
        <is>
          <t>Pipeline Stream 2</t>
        </is>
      </c>
      <c r="K172" s="708" t="n"/>
      <c r="L172" s="1315" t="n">
        <v>0.7</v>
      </c>
      <c r="M172" s="1315" t="n">
        <v>0.7</v>
      </c>
      <c r="N172" s="1315" t="n">
        <v>0.7</v>
      </c>
      <c r="O172" s="1315" t="n">
        <v>0.7</v>
      </c>
      <c r="P172" s="1315" t="n">
        <v>0.7</v>
      </c>
      <c r="Q172" s="1315" t="n">
        <v>0.7</v>
      </c>
    </row>
    <row r="173">
      <c r="C173" s="85" t="inlineStr">
        <is>
          <t>Pipeline Stream 3</t>
        </is>
      </c>
      <c r="K173" s="708" t="n"/>
      <c r="L173" s="1315" t="n">
        <v>0.7</v>
      </c>
      <c r="M173" s="1315" t="n">
        <v>0.7</v>
      </c>
      <c r="N173" s="1315" t="n">
        <v>0.7</v>
      </c>
      <c r="O173" s="1315" t="n">
        <v>0.7</v>
      </c>
      <c r="P173" s="1315" t="n">
        <v>0.7</v>
      </c>
      <c r="Q173" s="1315" t="n">
        <v>0.7</v>
      </c>
    </row>
    <row r="174">
      <c r="C174" s="85" t="inlineStr">
        <is>
          <t>Pipeline Stream 4</t>
        </is>
      </c>
      <c r="K174" s="708" t="n"/>
      <c r="L174" s="1315" t="n">
        <v>0.7</v>
      </c>
      <c r="M174" s="1315" t="n">
        <v>0.7</v>
      </c>
      <c r="N174" s="1315" t="n">
        <v>0.7</v>
      </c>
      <c r="O174" s="1315" t="n">
        <v>0.7</v>
      </c>
      <c r="P174" s="1315" t="n">
        <v>0.7</v>
      </c>
      <c r="Q174" s="1315" t="n">
        <v>0.7</v>
      </c>
    </row>
    <row r="175">
      <c r="C175" s="85" t="inlineStr">
        <is>
          <t>Potential Stream 1</t>
        </is>
      </c>
      <c r="K175" s="708" t="n"/>
      <c r="L175" s="1315" t="n">
        <v>0.7</v>
      </c>
      <c r="M175" s="1315" t="n">
        <v>0.7</v>
      </c>
      <c r="N175" s="1315" t="n">
        <v>0.7</v>
      </c>
      <c r="O175" s="1315" t="n">
        <v>0.7</v>
      </c>
      <c r="P175" s="1315" t="n">
        <v>0.7</v>
      </c>
      <c r="Q175" s="1315" t="n">
        <v>0.7</v>
      </c>
    </row>
    <row r="176">
      <c r="C176" s="85" t="inlineStr">
        <is>
          <t>Potential Stream 2</t>
        </is>
      </c>
      <c r="K176" s="708" t="n"/>
      <c r="L176" s="1315" t="n">
        <v>0.7</v>
      </c>
      <c r="M176" s="1315" t="n">
        <v>0.7</v>
      </c>
      <c r="N176" s="1315" t="n">
        <v>0.7</v>
      </c>
      <c r="O176" s="1315" t="n">
        <v>0.7</v>
      </c>
      <c r="P176" s="1315" t="n">
        <v>0.7</v>
      </c>
      <c r="Q176" s="1315" t="n">
        <v>0.7</v>
      </c>
    </row>
    <row r="177">
      <c r="C177" s="85" t="inlineStr">
        <is>
          <t>Potential Stream 3</t>
        </is>
      </c>
      <c r="K177" s="708" t="n"/>
      <c r="L177" s="1315" t="n">
        <v>0.7</v>
      </c>
      <c r="M177" s="1315" t="n">
        <v>0.7</v>
      </c>
      <c r="N177" s="1315" t="n">
        <v>0.7</v>
      </c>
      <c r="O177" s="1315" t="n">
        <v>0.7</v>
      </c>
      <c r="P177" s="1315" t="n">
        <v>0.7</v>
      </c>
      <c r="Q177" s="1315" t="n">
        <v>0.7</v>
      </c>
    </row>
    <row r="178">
      <c r="C178" s="85" t="inlineStr">
        <is>
          <t>Potential Stream 4</t>
        </is>
      </c>
      <c r="K178" s="708" t="n"/>
      <c r="L178" s="1315" t="n">
        <v>0.7</v>
      </c>
      <c r="M178" s="1315" t="n">
        <v>0.7</v>
      </c>
      <c r="N178" s="1315" t="n">
        <v>0.7</v>
      </c>
      <c r="O178" s="1315" t="n">
        <v>0.7</v>
      </c>
      <c r="P178" s="1315" t="n">
        <v>0.7</v>
      </c>
      <c r="Q178" s="1315" t="n">
        <v>0.7</v>
      </c>
    </row>
    <row r="180">
      <c r="C180" s="84" t="inlineStr">
        <is>
          <t>Operating Expenses Assumptions</t>
        </is>
      </c>
      <c r="L180" s="83" t="n"/>
    </row>
    <row r="181">
      <c r="C181" s="1340" t="inlineStr">
        <is>
          <t>Complete forecast option</t>
        </is>
      </c>
      <c r="D181" s="1339">
        <f>IF(E181="Option 1","Selected","Unselected")</f>
        <v/>
      </c>
      <c r="E181" s="1289">
        <f>Form!O248</f>
        <v/>
      </c>
      <c r="L181" s="83" t="n"/>
    </row>
    <row r="182">
      <c r="C182" s="63" t="inlineStr">
        <is>
          <t>Staff cost</t>
        </is>
      </c>
      <c r="E182" s="76">
        <f>currency.heading1</f>
        <v/>
      </c>
      <c r="F182" s="1787" t="n"/>
      <c r="J182" s="1883">
        <f>Form!K255</f>
        <v/>
      </c>
      <c r="L182" s="1883">
        <f>Form!L255</f>
        <v/>
      </c>
      <c r="M182" s="1883">
        <f>Form!M255</f>
        <v/>
      </c>
      <c r="N182" s="1883">
        <f>Form!N255</f>
        <v/>
      </c>
      <c r="O182" s="1883">
        <f>Form!O255</f>
        <v/>
      </c>
      <c r="P182" s="1883">
        <f>Form!P255</f>
        <v/>
      </c>
      <c r="Q182" s="1883">
        <f>Form!Q255</f>
        <v/>
      </c>
    </row>
    <row r="183">
      <c r="C183" s="63" t="inlineStr">
        <is>
          <t>Sales Commission</t>
        </is>
      </c>
      <c r="E183" s="76">
        <f>currency.heading1</f>
        <v/>
      </c>
      <c r="F183" s="1787" t="n"/>
      <c r="J183" s="1883">
        <f>Form!K256</f>
        <v/>
      </c>
      <c r="L183" s="1883">
        <f>Form!L256</f>
        <v/>
      </c>
      <c r="M183" s="1883">
        <f>Form!M256</f>
        <v/>
      </c>
      <c r="N183" s="1883">
        <f>Form!N256</f>
        <v/>
      </c>
      <c r="O183" s="1883">
        <f>Form!O256</f>
        <v/>
      </c>
      <c r="P183" s="1883">
        <f>Form!P256</f>
        <v/>
      </c>
      <c r="Q183" s="1883">
        <f>Form!Q256</f>
        <v/>
      </c>
    </row>
    <row r="184">
      <c r="C184" s="63" t="inlineStr">
        <is>
          <t>Rent</t>
        </is>
      </c>
      <c r="E184" s="76">
        <f>currency.heading1</f>
        <v/>
      </c>
      <c r="F184" s="1787" t="n"/>
      <c r="J184" s="1883">
        <f>Form!K257</f>
        <v/>
      </c>
      <c r="L184" s="1883">
        <f>Form!L257</f>
        <v/>
      </c>
      <c r="M184" s="1883">
        <f>Form!M257</f>
        <v/>
      </c>
      <c r="N184" s="1883">
        <f>Form!N257</f>
        <v/>
      </c>
      <c r="O184" s="1883">
        <f>Form!O257</f>
        <v/>
      </c>
      <c r="P184" s="1883">
        <f>Form!P257</f>
        <v/>
      </c>
      <c r="Q184" s="1883">
        <f>Form!Q257</f>
        <v/>
      </c>
    </row>
    <row r="185">
      <c r="C185" s="63" t="inlineStr">
        <is>
          <t>Legal and professional fee</t>
        </is>
      </c>
      <c r="E185" s="76">
        <f>currency.heading1</f>
        <v/>
      </c>
      <c r="F185" s="1787" t="n"/>
      <c r="J185" s="1883">
        <f>Form!K258</f>
        <v/>
      </c>
      <c r="L185" s="1883">
        <f>Form!L258</f>
        <v/>
      </c>
      <c r="M185" s="1883">
        <f>Form!M258</f>
        <v/>
      </c>
      <c r="N185" s="1883">
        <f>Form!N258</f>
        <v/>
      </c>
      <c r="O185" s="1883">
        <f>Form!O258</f>
        <v/>
      </c>
      <c r="P185" s="1883">
        <f>Form!P258</f>
        <v/>
      </c>
      <c r="Q185" s="1883">
        <f>Form!Q258</f>
        <v/>
      </c>
    </row>
    <row r="186">
      <c r="C186" s="63" t="inlineStr">
        <is>
          <t>Travelling &amp; communication</t>
        </is>
      </c>
      <c r="E186" s="76">
        <f>currency.heading1</f>
        <v/>
      </c>
      <c r="F186" s="1787" t="n"/>
      <c r="J186" s="1883">
        <f>Form!K259</f>
        <v/>
      </c>
      <c r="L186" s="1883">
        <f>Form!L259</f>
        <v/>
      </c>
      <c r="M186" s="1883">
        <f>Form!M259</f>
        <v/>
      </c>
      <c r="N186" s="1883">
        <f>Form!N259</f>
        <v/>
      </c>
      <c r="O186" s="1883">
        <f>Form!O259</f>
        <v/>
      </c>
      <c r="P186" s="1883">
        <f>Form!P259</f>
        <v/>
      </c>
      <c r="Q186" s="1883">
        <f>Form!Q259</f>
        <v/>
      </c>
    </row>
    <row r="187">
      <c r="C187" s="63" t="inlineStr">
        <is>
          <t>Marketing &amp; PR cost</t>
        </is>
      </c>
      <c r="E187" s="76">
        <f>currency.heading1</f>
        <v/>
      </c>
      <c r="F187" s="1787" t="n"/>
      <c r="J187" s="1883">
        <f>Form!K260</f>
        <v/>
      </c>
      <c r="L187" s="1883">
        <f>Form!L260</f>
        <v/>
      </c>
      <c r="M187" s="1883">
        <f>Form!M260</f>
        <v/>
      </c>
      <c r="N187" s="1883">
        <f>Form!N260</f>
        <v/>
      </c>
      <c r="O187" s="1883">
        <f>Form!O260</f>
        <v/>
      </c>
      <c r="P187" s="1883">
        <f>Form!P260</f>
        <v/>
      </c>
      <c r="Q187" s="1883">
        <f>Form!Q260</f>
        <v/>
      </c>
    </row>
    <row r="188">
      <c r="C188" s="63" t="inlineStr">
        <is>
          <t>Office &amp; sundry expenses</t>
        </is>
      </c>
      <c r="E188" s="76">
        <f>currency.heading1</f>
        <v/>
      </c>
      <c r="F188" s="1787" t="n"/>
      <c r="J188" s="1883">
        <f>Form!K261</f>
        <v/>
      </c>
      <c r="L188" s="1883">
        <f>Form!L261</f>
        <v/>
      </c>
      <c r="M188" s="1883">
        <f>Form!M261</f>
        <v/>
      </c>
      <c r="N188" s="1883">
        <f>Form!N261</f>
        <v/>
      </c>
      <c r="O188" s="1883">
        <f>Form!O261</f>
        <v/>
      </c>
      <c r="P188" s="1883">
        <f>Form!P261</f>
        <v/>
      </c>
      <c r="Q188" s="1883">
        <f>Form!Q261</f>
        <v/>
      </c>
    </row>
    <row r="189">
      <c r="C189" s="1787" t="inlineStr">
        <is>
          <t>Printing &amp; Stationery</t>
        </is>
      </c>
      <c r="E189" s="76">
        <f>currency.heading1</f>
        <v/>
      </c>
      <c r="F189" s="1787" t="n"/>
      <c r="J189" s="1883">
        <f>Form!K262</f>
        <v/>
      </c>
      <c r="L189" s="1883">
        <f>Form!L262</f>
        <v/>
      </c>
      <c r="M189" s="1883">
        <f>Form!M262</f>
        <v/>
      </c>
      <c r="N189" s="1883">
        <f>Form!N262</f>
        <v/>
      </c>
      <c r="O189" s="1883">
        <f>Form!O262</f>
        <v/>
      </c>
      <c r="P189" s="1883">
        <f>Form!P262</f>
        <v/>
      </c>
      <c r="Q189" s="1883">
        <f>Form!Q262</f>
        <v/>
      </c>
    </row>
    <row r="190">
      <c r="C190" s="63" t="inlineStr">
        <is>
          <t>Utilities</t>
        </is>
      </c>
      <c r="E190" s="76">
        <f>currency.heading1</f>
        <v/>
      </c>
      <c r="F190" s="1787" t="n"/>
      <c r="J190" s="1883">
        <f>Form!K263</f>
        <v/>
      </c>
      <c r="L190" s="1883">
        <f>Form!L263</f>
        <v/>
      </c>
      <c r="M190" s="1883">
        <f>Form!M263</f>
        <v/>
      </c>
      <c r="N190" s="1883">
        <f>Form!N263</f>
        <v/>
      </c>
      <c r="O190" s="1883">
        <f>Form!O263</f>
        <v/>
      </c>
      <c r="P190" s="1883">
        <f>Form!P263</f>
        <v/>
      </c>
      <c r="Q190" s="1883">
        <f>Form!Q263</f>
        <v/>
      </c>
    </row>
    <row r="191">
      <c r="C191" s="63" t="inlineStr">
        <is>
          <t>Finance cost - Interest</t>
        </is>
      </c>
      <c r="E191" s="76">
        <f>currency.heading1</f>
        <v/>
      </c>
      <c r="F191" s="1787" t="n"/>
      <c r="J191" s="1883">
        <f>Form!K264</f>
        <v/>
      </c>
      <c r="L191" s="1883">
        <f>Form!L264</f>
        <v/>
      </c>
      <c r="M191" s="1883">
        <f>Form!M264</f>
        <v/>
      </c>
      <c r="N191" s="1883">
        <f>Form!N264</f>
        <v/>
      </c>
      <c r="O191" s="1883">
        <f>Form!O264</f>
        <v/>
      </c>
      <c r="P191" s="1883">
        <f>Form!P264</f>
        <v/>
      </c>
      <c r="Q191" s="1883">
        <f>Form!Q264</f>
        <v/>
      </c>
    </row>
    <row r="192">
      <c r="C192" s="63" t="inlineStr">
        <is>
          <t>Bank Charges</t>
        </is>
      </c>
      <c r="E192" s="76">
        <f>currency.heading1</f>
        <v/>
      </c>
      <c r="F192" s="1788" t="n"/>
      <c r="J192" s="1883">
        <f>Form!K265</f>
        <v/>
      </c>
      <c r="L192" s="1883">
        <f>Form!L265</f>
        <v/>
      </c>
      <c r="M192" s="1883">
        <f>Form!M265</f>
        <v/>
      </c>
      <c r="N192" s="1883">
        <f>Form!N265</f>
        <v/>
      </c>
      <c r="O192" s="1883">
        <f>Form!O265</f>
        <v/>
      </c>
      <c r="P192" s="1883">
        <f>Form!P265</f>
        <v/>
      </c>
      <c r="Q192" s="1883">
        <f>Form!Q265</f>
        <v/>
      </c>
    </row>
    <row r="193">
      <c r="C193" s="63" t="inlineStr">
        <is>
          <t>Total Operating Expenses</t>
        </is>
      </c>
      <c r="D193" s="1648">
        <f>IF(SUM(L193:Q193)&gt;0,"On","Off")</f>
        <v/>
      </c>
      <c r="E193" s="76">
        <f>currency.heading1</f>
        <v/>
      </c>
      <c r="F193" s="1788" t="n"/>
      <c r="J193" s="1883">
        <f>Form!K266</f>
        <v/>
      </c>
      <c r="L193" s="1883">
        <f>Form!L266</f>
        <v/>
      </c>
      <c r="M193" s="1883">
        <f>Form!M266</f>
        <v/>
      </c>
      <c r="N193" s="1883">
        <f>Form!N266</f>
        <v/>
      </c>
      <c r="O193" s="1883">
        <f>Form!O266</f>
        <v/>
      </c>
      <c r="P193" s="1883">
        <f>Form!P266</f>
        <v/>
      </c>
      <c r="Q193" s="1883">
        <f>Form!Q266</f>
        <v/>
      </c>
    </row>
    <row r="194">
      <c r="C194" s="63" t="inlineStr">
        <is>
          <t> </t>
        </is>
      </c>
    </row>
    <row r="195">
      <c r="C195" s="82" t="inlineStr">
        <is>
          <t>Opex Growth Option</t>
        </is>
      </c>
      <c r="D195" s="1339">
        <f>IF(D181="No","Selected","Unselected")</f>
        <v/>
      </c>
      <c r="E195" s="1641" t="inlineStr">
        <is>
          <t>Fixed/Variable</t>
        </is>
      </c>
      <c r="L195" s="80">
        <f>E190</f>
        <v/>
      </c>
      <c r="M195" s="80" t="inlineStr">
        <is>
          <t>Growth % &gt;&gt;</t>
        </is>
      </c>
    </row>
    <row r="196">
      <c r="C196" s="63">
        <f>C182</f>
        <v/>
      </c>
      <c r="E196" s="1642">
        <f>Form!I270</f>
        <v/>
      </c>
      <c r="J196" s="1884">
        <f>Form!K270</f>
        <v/>
      </c>
      <c r="L196" s="1884">
        <f>Form!L270</f>
        <v/>
      </c>
      <c r="M196" s="1317">
        <f>Form!M270</f>
        <v/>
      </c>
      <c r="N196" s="1317">
        <f>Form!N270</f>
        <v/>
      </c>
      <c r="O196" s="1317">
        <f>Form!O270</f>
        <v/>
      </c>
      <c r="P196" s="1317">
        <f>Form!P270</f>
        <v/>
      </c>
      <c r="Q196" s="1317">
        <f>Form!Q270</f>
        <v/>
      </c>
    </row>
    <row r="197">
      <c r="C197" s="63">
        <f>C183</f>
        <v/>
      </c>
      <c r="E197" s="1642">
        <f>Form!I271</f>
        <v/>
      </c>
      <c r="J197" s="1884">
        <f>Form!K271</f>
        <v/>
      </c>
      <c r="L197" s="1884">
        <f>Form!L271</f>
        <v/>
      </c>
      <c r="M197" s="1317">
        <f>Form!M271</f>
        <v/>
      </c>
      <c r="N197" s="1317">
        <f>Form!N271</f>
        <v/>
      </c>
      <c r="O197" s="1317">
        <f>Form!O271</f>
        <v/>
      </c>
      <c r="P197" s="1317">
        <f>Form!P271</f>
        <v/>
      </c>
      <c r="Q197" s="1317">
        <f>Form!Q271</f>
        <v/>
      </c>
    </row>
    <row r="198">
      <c r="C198" s="63">
        <f>C184</f>
        <v/>
      </c>
      <c r="E198" s="1642">
        <f>Form!I272</f>
        <v/>
      </c>
      <c r="J198" s="1884">
        <f>Form!K272</f>
        <v/>
      </c>
      <c r="L198" s="1884">
        <f>Form!L272</f>
        <v/>
      </c>
      <c r="M198" s="1317">
        <f>Form!M272</f>
        <v/>
      </c>
      <c r="N198" s="1317">
        <f>Form!N272</f>
        <v/>
      </c>
      <c r="O198" s="1317">
        <f>Form!O272</f>
        <v/>
      </c>
      <c r="P198" s="1317">
        <f>Form!P272</f>
        <v/>
      </c>
      <c r="Q198" s="1317">
        <f>Form!Q272</f>
        <v/>
      </c>
    </row>
    <row r="199">
      <c r="C199" s="63">
        <f>C185</f>
        <v/>
      </c>
      <c r="E199" s="1642">
        <f>Form!I273</f>
        <v/>
      </c>
      <c r="J199" s="1884">
        <f>Form!K273</f>
        <v/>
      </c>
      <c r="L199" s="1884">
        <f>Form!L273</f>
        <v/>
      </c>
      <c r="M199" s="1317">
        <f>Form!M273</f>
        <v/>
      </c>
      <c r="N199" s="1317">
        <f>Form!N273</f>
        <v/>
      </c>
      <c r="O199" s="1317">
        <f>Form!O273</f>
        <v/>
      </c>
      <c r="P199" s="1317">
        <f>Form!P273</f>
        <v/>
      </c>
      <c r="Q199" s="1317">
        <f>Form!Q273</f>
        <v/>
      </c>
    </row>
    <row r="200">
      <c r="C200" s="63">
        <f>C186</f>
        <v/>
      </c>
      <c r="E200" s="1642">
        <f>Form!I274</f>
        <v/>
      </c>
      <c r="J200" s="1884">
        <f>Form!K274</f>
        <v/>
      </c>
      <c r="L200" s="1884">
        <f>Form!L274</f>
        <v/>
      </c>
      <c r="M200" s="1317">
        <f>Form!M274</f>
        <v/>
      </c>
      <c r="N200" s="1317">
        <f>Form!N274</f>
        <v/>
      </c>
      <c r="O200" s="1317">
        <f>Form!O274</f>
        <v/>
      </c>
      <c r="P200" s="1317">
        <f>Form!P274</f>
        <v/>
      </c>
      <c r="Q200" s="1317">
        <f>Form!Q274</f>
        <v/>
      </c>
    </row>
    <row r="201">
      <c r="C201" s="63">
        <f>C187</f>
        <v/>
      </c>
      <c r="E201" s="1642">
        <f>Form!I275</f>
        <v/>
      </c>
      <c r="J201" s="1884">
        <f>Form!K275</f>
        <v/>
      </c>
      <c r="L201" s="1884">
        <f>Form!L275</f>
        <v/>
      </c>
      <c r="M201" s="1317">
        <f>Form!M275</f>
        <v/>
      </c>
      <c r="N201" s="1317">
        <f>Form!N275</f>
        <v/>
      </c>
      <c r="O201" s="1317">
        <f>Form!O275</f>
        <v/>
      </c>
      <c r="P201" s="1317">
        <f>Form!P275</f>
        <v/>
      </c>
      <c r="Q201" s="1317">
        <f>Form!Q275</f>
        <v/>
      </c>
    </row>
    <row r="202">
      <c r="C202" s="63">
        <f>C188</f>
        <v/>
      </c>
      <c r="E202" s="1642">
        <f>Form!I277</f>
        <v/>
      </c>
      <c r="J202" s="1884">
        <f>Form!K277</f>
        <v/>
      </c>
      <c r="L202" s="1884">
        <f>Form!L277</f>
        <v/>
      </c>
      <c r="M202" s="1317">
        <f>Form!M277</f>
        <v/>
      </c>
      <c r="N202" s="1317">
        <f>Form!N277</f>
        <v/>
      </c>
      <c r="O202" s="1317">
        <f>Form!O277</f>
        <v/>
      </c>
      <c r="P202" s="1317">
        <f>Form!P277</f>
        <v/>
      </c>
      <c r="Q202" s="1317">
        <f>Form!Q277</f>
        <v/>
      </c>
    </row>
    <row r="203">
      <c r="C203" s="63">
        <f>C189</f>
        <v/>
      </c>
      <c r="E203" s="1642">
        <f>Form!I278</f>
        <v/>
      </c>
      <c r="J203" s="1884">
        <f>Form!K278</f>
        <v/>
      </c>
      <c r="L203" s="1884">
        <f>Form!L278</f>
        <v/>
      </c>
      <c r="M203" s="1317">
        <f>Form!M278</f>
        <v/>
      </c>
      <c r="N203" s="1317">
        <f>Form!N278</f>
        <v/>
      </c>
      <c r="O203" s="1317">
        <f>Form!O278</f>
        <v/>
      </c>
      <c r="P203" s="1317">
        <f>Form!P278</f>
        <v/>
      </c>
      <c r="Q203" s="1317">
        <f>Form!Q278</f>
        <v/>
      </c>
    </row>
    <row r="204">
      <c r="C204" s="63">
        <f>C190</f>
        <v/>
      </c>
      <c r="E204" s="1642">
        <f>Form!I278</f>
        <v/>
      </c>
      <c r="J204" s="1884">
        <f>Form!K278</f>
        <v/>
      </c>
      <c r="L204" s="1884">
        <f>Form!L278</f>
        <v/>
      </c>
      <c r="M204" s="1317">
        <f>Form!M278</f>
        <v/>
      </c>
      <c r="N204" s="1317">
        <f>Form!N278</f>
        <v/>
      </c>
      <c r="O204" s="1317">
        <f>Form!O278</f>
        <v/>
      </c>
      <c r="P204" s="1317">
        <f>Form!P278</f>
        <v/>
      </c>
      <c r="Q204" s="1317">
        <f>Form!Q278</f>
        <v/>
      </c>
    </row>
    <row r="205">
      <c r="C205" s="63">
        <f>C191</f>
        <v/>
      </c>
      <c r="E205" s="1642">
        <f>Form!I279</f>
        <v/>
      </c>
      <c r="J205" s="1884">
        <f>Form!K279</f>
        <v/>
      </c>
      <c r="L205" s="1884">
        <f>Form!L279</f>
        <v/>
      </c>
      <c r="M205" s="1317">
        <f>Form!M279</f>
        <v/>
      </c>
      <c r="N205" s="1317">
        <f>Form!N279</f>
        <v/>
      </c>
      <c r="O205" s="1317">
        <f>Form!O279</f>
        <v/>
      </c>
      <c r="P205" s="1317">
        <f>Form!P279</f>
        <v/>
      </c>
      <c r="Q205" s="1317">
        <f>Form!Q279</f>
        <v/>
      </c>
    </row>
    <row r="206">
      <c r="C206" s="63">
        <f>C192</f>
        <v/>
      </c>
      <c r="E206" s="1642">
        <f>Form!I280</f>
        <v/>
      </c>
      <c r="J206" s="1884">
        <f>Form!K280</f>
        <v/>
      </c>
      <c r="L206" s="1884">
        <f>Form!L280</f>
        <v/>
      </c>
      <c r="M206" s="1317">
        <f>Form!M280</f>
        <v/>
      </c>
      <c r="N206" s="1317">
        <f>Form!N280</f>
        <v/>
      </c>
      <c r="O206" s="1317">
        <f>Form!O280</f>
        <v/>
      </c>
      <c r="P206" s="1317">
        <f>Form!P280</f>
        <v/>
      </c>
      <c r="Q206" s="1317">
        <f>Form!Q280</f>
        <v/>
      </c>
    </row>
    <row r="207">
      <c r="C207" s="63">
        <f>C193</f>
        <v/>
      </c>
      <c r="D207" s="1648">
        <f>IF(L207&gt;0,"On","Off")</f>
        <v/>
      </c>
      <c r="E207" s="1642" t="n"/>
      <c r="J207" s="1884">
        <f>Form!K281</f>
        <v/>
      </c>
      <c r="L207" s="1884">
        <f>Form!L281</f>
        <v/>
      </c>
      <c r="M207" s="1317">
        <f>Form!M281</f>
        <v/>
      </c>
      <c r="N207" s="1317">
        <f>Form!N281</f>
        <v/>
      </c>
      <c r="O207" s="1317">
        <f>Form!O281</f>
        <v/>
      </c>
      <c r="P207" s="1317">
        <f>Form!P281</f>
        <v/>
      </c>
      <c r="Q207" s="1317">
        <f>Form!Q281</f>
        <v/>
      </c>
    </row>
    <row r="209">
      <c r="C209" s="1873" t="inlineStr">
        <is>
          <t>Capex Additions</t>
        </is>
      </c>
      <c r="D209" s="1873" t="n"/>
      <c r="E209" s="1885" t="n"/>
      <c r="F209" s="1885" t="n"/>
      <c r="G209" s="1885" t="n"/>
      <c r="H209" s="1885" t="n"/>
      <c r="I209" s="1885" t="n"/>
      <c r="J209" s="1885" t="n"/>
      <c r="K209" s="1885" t="n"/>
      <c r="L209" s="1885" t="n"/>
      <c r="M209" s="1885" t="n"/>
      <c r="N209" s="1885" t="n"/>
      <c r="O209" s="1885" t="n"/>
      <c r="P209" s="1885" t="n"/>
      <c r="Q209" s="1885" t="n"/>
    </row>
    <row r="210">
      <c r="C210" s="1325" t="n"/>
      <c r="D210" s="86" t="n"/>
      <c r="E210" s="1886" t="n"/>
    </row>
    <row r="211">
      <c r="C211" s="1321" t="inlineStr">
        <is>
          <t>A. Capex by UEL</t>
        </is>
      </c>
      <c r="D211" s="1322" t="n"/>
      <c r="E211" s="1887" t="n"/>
      <c r="F211" s="708" t="n"/>
      <c r="G211" s="708" t="n"/>
      <c r="H211" s="708" t="n"/>
      <c r="I211" s="708" t="n"/>
      <c r="J211" s="63">
        <f>Form!K284</f>
        <v/>
      </c>
    </row>
    <row r="212">
      <c r="C212" s="1327" t="inlineStr">
        <is>
          <t>GROSS BLOCK A - 30 Years</t>
        </is>
      </c>
      <c r="D212" s="86" t="n"/>
      <c r="E212" s="1328" t="n"/>
    </row>
    <row r="213">
      <c r="C213" s="72" t="inlineStr">
        <is>
          <t>Existing Capex</t>
        </is>
      </c>
      <c r="D213" s="86" t="n"/>
      <c r="J213" s="1302" t="n">
        <v>20000</v>
      </c>
    </row>
    <row r="214">
      <c r="C214" s="72" t="inlineStr">
        <is>
          <t>Expansion Capex</t>
        </is>
      </c>
      <c r="D214" s="86" t="n"/>
      <c r="E214" s="90" t="n"/>
      <c r="K214" s="1337" t="n"/>
      <c r="L214" s="1302" t="n">
        <v>10000</v>
      </c>
      <c r="M214" s="1302" t="n">
        <v>15000</v>
      </c>
      <c r="N214" s="1302" t="n">
        <v>15000</v>
      </c>
      <c r="O214" s="1302" t="n">
        <v>15000</v>
      </c>
      <c r="P214" s="1302" t="n">
        <v>15000</v>
      </c>
      <c r="Q214" s="1302" t="n">
        <v>15000</v>
      </c>
    </row>
    <row r="215">
      <c r="C215" s="79" t="inlineStr">
        <is>
          <t>GROSS BLOCK B - 20 Years</t>
        </is>
      </c>
      <c r="D215" s="86" t="n"/>
      <c r="E215" s="1320" t="n"/>
      <c r="L215" s="90" t="n"/>
      <c r="M215" s="90" t="n"/>
      <c r="N215" s="90" t="n"/>
      <c r="O215" s="90" t="n"/>
      <c r="P215" s="90" t="n"/>
      <c r="Q215" s="90" t="n"/>
    </row>
    <row r="216">
      <c r="C216" s="72" t="inlineStr">
        <is>
          <t>Existing Capex</t>
        </is>
      </c>
      <c r="D216" s="86" t="n"/>
      <c r="J216" s="1302" t="n">
        <v>13000</v>
      </c>
      <c r="L216" s="90" t="n"/>
      <c r="M216" s="90" t="n"/>
      <c r="N216" s="90" t="n"/>
      <c r="O216" s="90" t="n"/>
      <c r="P216" s="90" t="n"/>
      <c r="Q216" s="90" t="n"/>
    </row>
    <row r="217">
      <c r="C217" s="72" t="inlineStr">
        <is>
          <t>Expansion Capex</t>
        </is>
      </c>
      <c r="D217" s="86" t="n"/>
      <c r="E217" s="90" t="n"/>
      <c r="K217" s="1337" t="n"/>
      <c r="L217" s="1302" t="n">
        <v>2000</v>
      </c>
      <c r="M217" s="1302" t="n">
        <v>2000</v>
      </c>
      <c r="N217" s="1302" t="n">
        <v>2000</v>
      </c>
      <c r="O217" s="1302" t="n">
        <v>2000</v>
      </c>
      <c r="P217" s="1302" t="n">
        <v>2000</v>
      </c>
      <c r="Q217" s="1302" t="n">
        <v>2000</v>
      </c>
    </row>
    <row r="218">
      <c r="C218" s="79" t="inlineStr">
        <is>
          <t>GROSS BLOCK C - 10 Years</t>
        </is>
      </c>
      <c r="D218" s="86" t="n"/>
      <c r="E218" s="1320" t="n"/>
    </row>
    <row r="219">
      <c r="C219" s="72" t="inlineStr">
        <is>
          <t>Existing Capex</t>
        </is>
      </c>
      <c r="D219" s="86" t="n"/>
      <c r="J219" s="1302" t="n">
        <v>20000</v>
      </c>
    </row>
    <row r="220">
      <c r="C220" s="72" t="inlineStr">
        <is>
          <t>Expansion Capex</t>
        </is>
      </c>
      <c r="D220" s="86" t="n"/>
      <c r="K220" s="1337" t="n"/>
      <c r="L220" s="1302" t="n">
        <v>10000</v>
      </c>
      <c r="M220" s="1302" t="n">
        <v>15000</v>
      </c>
      <c r="N220" s="1302" t="n">
        <v>15000</v>
      </c>
      <c r="O220" s="1302" t="n">
        <v>15000</v>
      </c>
      <c r="P220" s="1302" t="n">
        <v>15000</v>
      </c>
      <c r="Q220" s="1302" t="n">
        <v>15000</v>
      </c>
    </row>
    <row r="221">
      <c r="C221" s="79" t="inlineStr">
        <is>
          <t>GROSS BLOCK D - 5 Years</t>
        </is>
      </c>
      <c r="D221" s="86" t="n"/>
    </row>
    <row r="222">
      <c r="C222" s="72" t="inlineStr">
        <is>
          <t>Existing Capex</t>
        </is>
      </c>
      <c r="D222" s="86" t="n"/>
      <c r="J222" s="1302" t="n">
        <v>13000</v>
      </c>
    </row>
    <row r="223">
      <c r="C223" s="72" t="inlineStr">
        <is>
          <t>Expansion Capex</t>
        </is>
      </c>
      <c r="D223" s="86" t="n"/>
      <c r="E223" s="90" t="n"/>
      <c r="K223" s="1337" t="n"/>
      <c r="L223" s="1302" t="n">
        <v>2000</v>
      </c>
      <c r="M223" s="1302" t="n">
        <v>2000</v>
      </c>
      <c r="N223" s="1302" t="n">
        <v>2000</v>
      </c>
      <c r="O223" s="1302" t="n">
        <v>2000</v>
      </c>
      <c r="P223" s="1302" t="n">
        <v>2000</v>
      </c>
      <c r="Q223" s="1302" t="n">
        <v>2000</v>
      </c>
    </row>
    <row r="225">
      <c r="C225" s="1321" t="inlineStr">
        <is>
          <t>B. Total Annual Capex</t>
        </is>
      </c>
      <c r="D225" s="1322" t="n"/>
      <c r="E225" s="1887" t="n"/>
      <c r="F225" s="708" t="n"/>
      <c r="G225" s="708" t="n"/>
      <c r="H225" s="708" t="n"/>
      <c r="I225" s="708" t="n"/>
      <c r="J225" s="1289" t="n">
        <v>120000</v>
      </c>
      <c r="K225" s="708" t="n"/>
      <c r="L225" s="1302" t="n">
        <v>15000</v>
      </c>
      <c r="M225" s="1302" t="n">
        <v>50000</v>
      </c>
      <c r="N225" s="1302" t="n">
        <v>50000</v>
      </c>
      <c r="O225" s="1302" t="n">
        <v>50000</v>
      </c>
      <c r="P225" s="1302" t="n">
        <v>50000</v>
      </c>
      <c r="Q225" s="1302" t="n">
        <v>50000</v>
      </c>
    </row>
    <row r="226">
      <c r="M226" s="1888" t="n"/>
      <c r="N226" s="1888" t="n"/>
      <c r="O226" s="1888" t="n"/>
      <c r="P226" s="1888" t="n"/>
      <c r="Q226" s="1888" t="n"/>
    </row>
    <row r="227">
      <c r="C227" s="1321" t="inlineStr">
        <is>
          <t>C. Capex as a % of Revenue</t>
        </is>
      </c>
      <c r="D227" s="1322" t="n"/>
      <c r="E227" s="1887" t="n"/>
      <c r="F227" s="708" t="n"/>
      <c r="G227" s="708" t="n"/>
      <c r="H227" s="708" t="n"/>
      <c r="I227" s="708" t="n"/>
      <c r="J227" s="1315" t="n">
        <v>0.05</v>
      </c>
      <c r="K227" s="1338" t="n"/>
      <c r="L227" s="1315" t="n">
        <v>0.05</v>
      </c>
      <c r="M227" s="1315" t="n">
        <v>0.05</v>
      </c>
      <c r="N227" s="1315" t="n">
        <v>0.05</v>
      </c>
      <c r="O227" s="1315" t="n">
        <v>0.05</v>
      </c>
      <c r="P227" s="1315" t="n">
        <v>0.05</v>
      </c>
      <c r="Q227" s="1315" t="n">
        <v>0.05</v>
      </c>
    </row>
    <row r="228">
      <c r="M228" s="1888" t="n"/>
      <c r="N228" s="1888" t="n"/>
      <c r="O228" s="1888" t="n"/>
      <c r="P228" s="1888" t="n"/>
      <c r="Q228" s="1888" t="n"/>
    </row>
    <row r="229">
      <c r="C229" s="1873" t="inlineStr">
        <is>
          <t>Working Capital</t>
        </is>
      </c>
      <c r="D229" s="1873" t="n"/>
      <c r="E229" s="1885" t="n"/>
      <c r="F229" s="1885" t="n"/>
      <c r="G229" s="1885" t="n"/>
      <c r="H229" s="1885" t="n"/>
      <c r="I229" s="1885" t="n"/>
      <c r="J229" s="1885" t="n"/>
      <c r="K229" s="1885" t="n"/>
      <c r="L229" s="1885" t="n"/>
      <c r="M229" s="1885" t="n"/>
      <c r="N229" s="1885" t="n"/>
      <c r="O229" s="1885" t="n"/>
      <c r="P229" s="1885" t="n"/>
      <c r="Q229" s="1885" t="n"/>
    </row>
    <row r="230">
      <c r="M230" s="1888" t="n"/>
      <c r="N230" s="1888" t="n"/>
      <c r="O230" s="1888" t="n"/>
      <c r="P230" s="1888" t="n"/>
      <c r="Q230" s="1888" t="n"/>
    </row>
    <row r="231">
      <c r="C231" s="1330" t="inlineStr">
        <is>
          <t>Current Assets</t>
        </is>
      </c>
      <c r="E231" s="1289" t="inlineStr">
        <is>
          <t>Benchmark Rates</t>
        </is>
      </c>
      <c r="M231" s="1888" t="n"/>
      <c r="N231" s="1888" t="n"/>
      <c r="O231" s="1888" t="n"/>
      <c r="P231" s="1888" t="n"/>
      <c r="Q231" s="1888" t="n"/>
    </row>
    <row r="232">
      <c r="C232" s="1329" t="inlineStr">
        <is>
          <t>Trade Receivables Days</t>
        </is>
      </c>
      <c r="L232" s="1289">
        <f>Form!L300</f>
        <v/>
      </c>
      <c r="M232" s="1289">
        <f>Form!M300</f>
        <v/>
      </c>
      <c r="N232" s="1289">
        <f>Form!N300</f>
        <v/>
      </c>
      <c r="O232" s="1289">
        <f>Form!O300</f>
        <v/>
      </c>
      <c r="P232" s="1289">
        <f>Form!P300</f>
        <v/>
      </c>
      <c r="Q232" s="1289">
        <f>Form!Q300</f>
        <v/>
      </c>
    </row>
    <row r="233">
      <c r="C233" s="1329" t="inlineStr">
        <is>
          <t>Other Receivables Days</t>
        </is>
      </c>
      <c r="L233" s="1289" t="n">
        <v>40</v>
      </c>
      <c r="M233" s="1289" t="n">
        <v>40</v>
      </c>
      <c r="N233" s="1289" t="n">
        <v>40</v>
      </c>
      <c r="O233" s="1289" t="n">
        <v>40</v>
      </c>
      <c r="P233" s="1289" t="n">
        <v>40</v>
      </c>
      <c r="Q233" s="1289" t="n">
        <v>40</v>
      </c>
    </row>
    <row r="234">
      <c r="C234" s="1329" t="inlineStr">
        <is>
          <t xml:space="preserve">Inventory Days </t>
        </is>
      </c>
      <c r="L234" s="1289" t="n">
        <v>27</v>
      </c>
      <c r="M234" s="1289" t="n">
        <v>27</v>
      </c>
      <c r="N234" s="1289" t="n">
        <v>27</v>
      </c>
      <c r="O234" s="1289" t="n">
        <v>27</v>
      </c>
      <c r="P234" s="1289" t="n">
        <v>27</v>
      </c>
      <c r="Q234" s="1289" t="n">
        <v>27</v>
      </c>
    </row>
    <row r="235">
      <c r="C235" s="1329" t="inlineStr">
        <is>
          <t xml:space="preserve">Prepaid Expenses &amp; Other Days </t>
        </is>
      </c>
      <c r="L235" s="1289" t="n">
        <v>30</v>
      </c>
      <c r="M235" s="1289" t="n">
        <v>30</v>
      </c>
      <c r="N235" s="1289" t="n">
        <v>30</v>
      </c>
      <c r="O235" s="1289" t="n">
        <v>30</v>
      </c>
      <c r="P235" s="1289" t="n">
        <v>30</v>
      </c>
      <c r="Q235" s="1289" t="n">
        <v>30</v>
      </c>
    </row>
    <row r="236">
      <c r="C236" s="1330" t="inlineStr">
        <is>
          <t>Current Liabilities</t>
        </is>
      </c>
      <c r="M236" s="1888" t="n"/>
      <c r="N236" s="1888" t="n"/>
      <c r="O236" s="1888" t="n"/>
      <c r="P236" s="1888" t="n"/>
      <c r="Q236" s="1888" t="n"/>
    </row>
    <row r="237">
      <c r="C237" s="1329" t="inlineStr">
        <is>
          <t xml:space="preserve">Trade Payables Days </t>
        </is>
      </c>
      <c r="L237" s="1289">
        <f>Form!L306</f>
        <v/>
      </c>
      <c r="M237" s="1289">
        <f>Form!M306</f>
        <v/>
      </c>
      <c r="N237" s="1289">
        <f>Form!N306</f>
        <v/>
      </c>
      <c r="O237" s="1289">
        <f>Form!O306</f>
        <v/>
      </c>
      <c r="P237" s="1289">
        <f>Form!P306</f>
        <v/>
      </c>
      <c r="Q237" s="1289">
        <f>Form!Q306</f>
        <v/>
      </c>
    </row>
    <row r="238">
      <c r="C238" s="1329" t="inlineStr">
        <is>
          <t>Salaries Payable</t>
        </is>
      </c>
      <c r="L238" s="1289" t="n">
        <v>40</v>
      </c>
      <c r="M238" s="1289" t="n">
        <v>40</v>
      </c>
      <c r="N238" s="1289" t="n">
        <v>40</v>
      </c>
      <c r="O238" s="1289" t="n">
        <v>40</v>
      </c>
      <c r="P238" s="1289" t="n">
        <v>40</v>
      </c>
      <c r="Q238" s="1289" t="n">
        <v>40</v>
      </c>
    </row>
    <row r="239">
      <c r="C239" s="1329" t="inlineStr">
        <is>
          <t xml:space="preserve">Accrued Expenses Days </t>
        </is>
      </c>
      <c r="L239" s="1289" t="n">
        <v>27</v>
      </c>
      <c r="M239" s="1289" t="n">
        <v>27</v>
      </c>
      <c r="N239" s="1289" t="n">
        <v>27</v>
      </c>
      <c r="O239" s="1289" t="n">
        <v>27</v>
      </c>
      <c r="P239" s="1289" t="n">
        <v>27</v>
      </c>
      <c r="Q239" s="1289" t="n">
        <v>27</v>
      </c>
    </row>
    <row r="240">
      <c r="C240" s="1329" t="inlineStr">
        <is>
          <t xml:space="preserve">Tax Payables Days </t>
        </is>
      </c>
      <c r="L240" s="1289" t="n">
        <v>30</v>
      </c>
      <c r="M240" s="1289" t="n">
        <v>30</v>
      </c>
      <c r="N240" s="1289" t="n">
        <v>30</v>
      </c>
      <c r="O240" s="1289" t="n">
        <v>30</v>
      </c>
      <c r="P240" s="1289" t="n">
        <v>30</v>
      </c>
      <c r="Q240" s="1289" t="n">
        <v>30</v>
      </c>
    </row>
    <row r="241">
      <c r="C241" s="1329" t="inlineStr">
        <is>
          <t xml:space="preserve">Other Payables Days </t>
        </is>
      </c>
      <c r="L241" s="1289" t="n">
        <v>10</v>
      </c>
      <c r="M241" s="1289">
        <f>Form!M310</f>
        <v/>
      </c>
      <c r="N241" s="1289">
        <f>Form!N310</f>
        <v/>
      </c>
      <c r="O241" s="1289">
        <f>Form!O310</f>
        <v/>
      </c>
      <c r="P241" s="1289">
        <f>Form!P310</f>
        <v/>
      </c>
      <c r="Q241" s="1289">
        <f>Form!Q310</f>
        <v/>
      </c>
    </row>
    <row r="242">
      <c r="M242" s="1888" t="n"/>
      <c r="N242" s="1888" t="n"/>
      <c r="O242" s="1888" t="n"/>
      <c r="P242" s="1888" t="n"/>
      <c r="Q242" s="1888" t="n"/>
    </row>
    <row r="243">
      <c r="C243" s="1872" t="inlineStr">
        <is>
          <t>Valuation Assumptions</t>
        </is>
      </c>
      <c r="D243" s="1872" t="inlineStr">
        <is>
          <t>Named Cell</t>
        </is>
      </c>
      <c r="E243" s="1874" t="inlineStr">
        <is>
          <t>Inputs</t>
        </is>
      </c>
      <c r="M243" s="1888" t="n"/>
      <c r="N243" s="1888" t="n"/>
      <c r="O243" s="1888" t="n"/>
      <c r="P243" s="1888" t="n"/>
      <c r="Q243" s="1888" t="n"/>
    </row>
    <row r="244" ht="15.5" customHeight="1"/>
    <row r="245">
      <c r="C245" s="72" t="inlineStr">
        <is>
          <t>Long-term growth rate</t>
        </is>
      </c>
      <c r="D245" s="72" t="inlineStr">
        <is>
          <t>long.term.growth</t>
        </is>
      </c>
      <c r="E245" s="1889" t="n">
        <v>0.02</v>
      </c>
    </row>
    <row r="246">
      <c r="C246" s="72" t="inlineStr">
        <is>
          <t>Effective Tax rate</t>
        </is>
      </c>
      <c r="D246" s="72" t="inlineStr">
        <is>
          <t>tax.rate</t>
        </is>
      </c>
      <c r="E246" s="1890" t="n">
        <v>0.09</v>
      </c>
    </row>
    <row r="247">
      <c r="C247" s="72" t="inlineStr">
        <is>
          <t>Capex as a % of revenue</t>
        </is>
      </c>
      <c r="D247" s="72" t="inlineStr">
        <is>
          <t>capex.assumption</t>
        </is>
      </c>
      <c r="E247" s="1889" t="n">
        <v>0.03</v>
      </c>
    </row>
    <row r="248">
      <c r="C248" s="72" t="inlineStr">
        <is>
          <t>Depreciation as a % of revenue</t>
        </is>
      </c>
      <c r="D248" s="72" t="inlineStr">
        <is>
          <t>depreciation.assumption</t>
        </is>
      </c>
      <c r="E248" s="1891" t="n">
        <v>0</v>
      </c>
    </row>
    <row r="249">
      <c r="C249" s="72" t="inlineStr">
        <is>
          <t>NWC as a % of revenue</t>
        </is>
      </c>
      <c r="D249" s="72" t="inlineStr">
        <is>
          <t>nwc.assumption</t>
        </is>
      </c>
      <c r="E249" s="1891" t="n">
        <v>0</v>
      </c>
    </row>
    <row r="250">
      <c r="C250" s="72" t="inlineStr">
        <is>
          <t>NWC as at Valuation Date</t>
        </is>
      </c>
      <c r="D250" s="72" t="inlineStr">
        <is>
          <t>hist.nwc</t>
        </is>
      </c>
      <c r="E250" s="1891" t="n">
        <v>0</v>
      </c>
    </row>
    <row r="251">
      <c r="C251" s="72" t="inlineStr">
        <is>
          <t>WACC (high)</t>
        </is>
      </c>
      <c r="D251" s="72" t="inlineStr">
        <is>
          <t>wacc.high</t>
        </is>
      </c>
      <c r="E251" s="1892" t="n"/>
    </row>
    <row r="252">
      <c r="C252" s="72" t="inlineStr">
        <is>
          <t>WACC (mid-point)</t>
        </is>
      </c>
      <c r="D252" s="72" t="inlineStr">
        <is>
          <t>wacc.mid</t>
        </is>
      </c>
      <c r="E252" s="1892" t="n"/>
    </row>
    <row r="253">
      <c r="C253" s="72" t="inlineStr">
        <is>
          <t>WACC (low)</t>
        </is>
      </c>
      <c r="D253" s="72" t="inlineStr">
        <is>
          <t>wacc.low</t>
        </is>
      </c>
      <c r="E253" s="1892">
        <f>WACC!D25</f>
        <v/>
      </c>
    </row>
    <row r="254">
      <c r="C254" s="72" t="inlineStr">
        <is>
          <t>Synergy percentage</t>
        </is>
      </c>
      <c r="D254" s="72" t="inlineStr">
        <is>
          <t>synergy.percentage</t>
        </is>
      </c>
      <c r="E254" s="1889" t="n">
        <v>0.5</v>
      </c>
    </row>
    <row r="256">
      <c r="C256" s="82" t="inlineStr">
        <is>
          <t>Equity Adjustments</t>
        </is>
      </c>
    </row>
    <row r="257">
      <c r="C257" s="63" t="inlineStr">
        <is>
          <t>Cash as at Valuation Date</t>
        </is>
      </c>
      <c r="E257" s="1633">
        <f>Form!L330</f>
        <v/>
      </c>
    </row>
    <row r="258">
      <c r="C258" s="63" t="inlineStr">
        <is>
          <t>Net Debt as at Valuation Date</t>
        </is>
      </c>
      <c r="E258" s="1633">
        <f>Form!M333-Form!M334+Form!L336</f>
        <v/>
      </c>
    </row>
    <row r="260">
      <c r="C260" s="63" t="inlineStr">
        <is>
          <t>Multiples Valuation Approach - Discount Adjustment</t>
        </is>
      </c>
      <c r="E260" s="1889" t="n">
        <v>0.05</v>
      </c>
    </row>
    <row r="263">
      <c r="C263" s="1872" t="inlineStr">
        <is>
          <t>Currency Exchange Rates</t>
        </is>
      </c>
      <c r="D263" s="1872" t="n"/>
      <c r="E263" s="1874" t="n"/>
    </row>
    <row r="264">
      <c r="C264" s="63" t="inlineStr">
        <is>
          <t>Last Updated</t>
        </is>
      </c>
      <c r="E264" s="89" t="n">
        <v>45241</v>
      </c>
    </row>
    <row r="265">
      <c r="C265" s="63" t="inlineStr">
        <is>
          <t>USD</t>
        </is>
      </c>
      <c r="D265" s="90" t="inlineStr">
        <is>
          <t>&lt;&lt; Base Currency</t>
        </is>
      </c>
      <c r="E265" s="1893" t="n">
        <v>1</v>
      </c>
    </row>
    <row r="266">
      <c r="C266" s="63" t="inlineStr">
        <is>
          <t>AED</t>
        </is>
      </c>
      <c r="E266" s="1893" t="n">
        <v>3.675</v>
      </c>
    </row>
    <row r="267">
      <c r="C267" s="63" t="inlineStr">
        <is>
          <t>GBP</t>
        </is>
      </c>
      <c r="E267" s="1893" t="n">
        <v>0.79</v>
      </c>
    </row>
    <row r="268">
      <c r="C268" s="63" t="inlineStr">
        <is>
          <t>EUR</t>
        </is>
      </c>
      <c r="E268" s="1893" t="n">
        <v>0.91</v>
      </c>
    </row>
    <row r="269">
      <c r="C269" s="63" t="inlineStr">
        <is>
          <t>SAR</t>
        </is>
      </c>
      <c r="E269" s="1893" t="n">
        <v>3.75</v>
      </c>
    </row>
    <row r="270">
      <c r="C270" s="63" t="inlineStr">
        <is>
          <t>CAD</t>
        </is>
      </c>
      <c r="E270" s="1893" t="n">
        <v>1.37</v>
      </c>
    </row>
    <row r="271">
      <c r="C271" s="63" t="inlineStr">
        <is>
          <t>INR</t>
        </is>
      </c>
      <c r="E271" s="1893" t="n">
        <v>83.34</v>
      </c>
    </row>
    <row r="273">
      <c r="C273" s="1872" t="inlineStr">
        <is>
          <t>Risk Assumptions</t>
        </is>
      </c>
      <c r="D273" s="1872" t="inlineStr">
        <is>
          <t>Named Cell</t>
        </is>
      </c>
      <c r="E273" s="1874" t="inlineStr">
        <is>
          <t>Inputs</t>
        </is>
      </c>
    </row>
    <row r="274">
      <c r="C274" s="72" t="inlineStr">
        <is>
          <t>Niche Nature</t>
        </is>
      </c>
      <c r="D274" s="72" t="n"/>
      <c r="E274" s="1894">
        <f>Form!L340</f>
        <v/>
      </c>
    </row>
    <row r="275">
      <c r="C275" s="72" t="inlineStr">
        <is>
          <t>Penetration risk</t>
        </is>
      </c>
      <c r="D275" s="72" t="inlineStr">
        <is>
          <t>New venture, region or products</t>
        </is>
      </c>
      <c r="E275" s="1894">
        <f>Form!L341</f>
        <v/>
      </c>
    </row>
    <row r="276">
      <c r="C276" s="72" t="inlineStr">
        <is>
          <t>Risky contracts</t>
        </is>
      </c>
      <c r="D276" s="72" t="inlineStr">
        <is>
          <t>Large/long-term risky contracts?</t>
        </is>
      </c>
      <c r="E276" s="1894">
        <f>Form!L342</f>
        <v/>
      </c>
    </row>
    <row r="277">
      <c r="C277" s="72" t="inlineStr">
        <is>
          <t>Vendor Dependency</t>
        </is>
      </c>
      <c r="D277" s="72" t="inlineStr">
        <is>
          <t>if you have only 1 supplier</t>
        </is>
      </c>
      <c r="E277" s="1894">
        <f>Form!L343</f>
        <v/>
      </c>
    </row>
    <row r="278">
      <c r="C278" s="63" t="inlineStr">
        <is>
          <t>Key customer risk</t>
        </is>
      </c>
      <c r="D278" s="63" t="inlineStr">
        <is>
          <t>more than 50% business from 1 customer</t>
        </is>
      </c>
      <c r="E278" s="1894">
        <f>Form!L344</f>
        <v/>
      </c>
    </row>
    <row r="279">
      <c r="C279" s="63" t="inlineStr">
        <is>
          <t>Cyclicality</t>
        </is>
      </c>
      <c r="E279" s="1894">
        <f>Form!L345</f>
        <v/>
      </c>
    </row>
    <row r="280">
      <c r="C280" s="63" t="inlineStr">
        <is>
          <t>Forex Risk</t>
        </is>
      </c>
      <c r="E280" s="131">
        <f>IF(SUM(E59:E61,E71:E73,E68)=0,"No","Yes")</f>
        <v/>
      </c>
    </row>
    <row r="281">
      <c r="C281" s="63" t="inlineStr">
        <is>
          <t>Early growth/Pre-revenue</t>
        </is>
      </c>
      <c r="E281" s="131">
        <f>IF(E12="Yes","Yes","No")</f>
        <v/>
      </c>
    </row>
  </sheetData>
  <dataValidations count="5">
    <dataValidation sqref="E31" showDropDown="0" showInputMessage="1" showErrorMessage="1" allowBlank="1" type="list">
      <formula1>"Yes, No"</formula1>
    </dataValidation>
    <dataValidation sqref="D12:D14" showDropDown="0" showInputMessage="1" showErrorMessage="1" allowBlank="1" type="list">
      <formula1>$A$7:$A$8</formula1>
    </dataValidation>
    <dataValidation sqref="D11" showDropDown="0" showInputMessage="1" showErrorMessage="1" allowBlank="1" type="list">
      <formula1>$B$5:$B$8</formula1>
    </dataValidation>
    <dataValidation sqref="D15" showDropDown="0" showInputMessage="1" showErrorMessage="1" allowBlank="1" type="list">
      <formula1>$I$49:$I$54</formula1>
    </dataValidation>
    <dataValidation sqref="E231" showDropDown="0" showInputMessage="1" showErrorMessage="1" allowBlank="1" type="list">
      <formula1>"Benchmark Rates, Provided Rates"</formula1>
    </dataValidation>
  </dataValidations>
  <pageMargins left="0.7" right="0.7" top="0.75" bottom="0.75" header="0.3" footer="0.3"/>
  <pageSetup orientation="portrait"/>
  <legacyDrawing xmlns:r="http://schemas.openxmlformats.org/officeDocument/2006/relationships" r:id="anysvml"/>
</worksheet>
</file>

<file path=xl/worksheets/sheet5.xml><?xml version="1.0" encoding="utf-8"?>
<worksheet xmlns="http://schemas.openxmlformats.org/spreadsheetml/2006/main">
  <sheetPr>
    <outlinePr summaryBelow="1" summaryRight="1"/>
    <pageSetUpPr/>
  </sheetPr>
  <dimension ref="B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baseColWidth="8" defaultColWidth="0" defaultRowHeight="11.5"/>
  <cols>
    <col width="2.15234375" customWidth="1" style="63" min="1" max="3"/>
    <col width="18.07421875" bestFit="1" customWidth="1" style="63" min="4" max="4"/>
    <col hidden="1" width="8.69140625" customWidth="1" style="63" min="5" max="6"/>
    <col width="6.53515625" bestFit="1" customWidth="1" style="1346" min="7" max="7"/>
    <col width="8.69140625" customWidth="1" style="63" min="8" max="12"/>
    <col hidden="1" width="8.69140625" customWidth="1" style="63" min="13" max="16384"/>
  </cols>
  <sheetData>
    <row r="2">
      <c r="B2" s="62">
        <f>Inputs!B2</f>
        <v/>
      </c>
    </row>
    <row r="3">
      <c r="B3" s="64">
        <f>project.title</f>
        <v/>
      </c>
    </row>
    <row r="4">
      <c r="B4" s="65" t="inlineStr">
        <is>
          <t>Historical Financials Provided</t>
        </is>
      </c>
    </row>
    <row r="5" ht="5" customHeight="1" thickBot="1">
      <c r="B5" s="66" t="n"/>
      <c r="C5" s="66" t="n"/>
      <c r="D5" s="66" t="n"/>
      <c r="E5" s="66" t="n"/>
      <c r="F5" s="66" t="n"/>
      <c r="G5" s="1347" t="n"/>
      <c r="H5" s="66" t="n"/>
      <c r="I5" s="66" t="n"/>
      <c r="J5" s="66" t="n"/>
      <c r="K5" s="66" t="n"/>
      <c r="L5" s="66" t="n"/>
      <c r="M5" s="66" t="n"/>
      <c r="N5" s="66" t="n"/>
      <c r="O5" s="66" t="n"/>
      <c r="P5" s="66" t="n"/>
      <c r="Q5" s="66" t="n"/>
      <c r="R5" s="66" t="n"/>
      <c r="S5" s="66" t="n"/>
    </row>
    <row r="6" ht="12" customHeight="1" thickTop="1"/>
    <row r="7">
      <c r="H7" s="105" t="inlineStr">
        <is>
          <t>Year -3</t>
        </is>
      </c>
      <c r="I7" s="105" t="inlineStr">
        <is>
          <t>Year -2</t>
        </is>
      </c>
      <c r="J7" s="105" t="inlineStr">
        <is>
          <t>Year -1</t>
        </is>
      </c>
      <c r="K7" s="105" t="n"/>
    </row>
    <row r="8">
      <c r="H8" s="69" t="inlineStr">
        <is>
          <t>FY21</t>
        </is>
      </c>
      <c r="I8" s="69">
        <f>IS_Calcs!I7</f>
        <v/>
      </c>
      <c r="J8" s="69">
        <f>IS_Calcs!J7</f>
        <v/>
      </c>
      <c r="K8" s="69">
        <f>IS_Calcs!K7</f>
        <v/>
      </c>
    </row>
    <row r="9">
      <c r="G9" s="1345" t="inlineStr">
        <is>
          <t>Units</t>
        </is>
      </c>
      <c r="H9" s="69" t="inlineStr">
        <is>
          <t>Historical</t>
        </is>
      </c>
      <c r="I9" s="69" t="inlineStr">
        <is>
          <t>Historical</t>
        </is>
      </c>
      <c r="J9" s="69" t="inlineStr">
        <is>
          <t>Historical</t>
        </is>
      </c>
      <c r="K9" s="69">
        <f>IS_Calcs!K8</f>
        <v/>
      </c>
    </row>
    <row r="10">
      <c r="B10" s="1357" t="inlineStr">
        <is>
          <t>Income Statement</t>
        </is>
      </c>
      <c r="C10" s="1049" t="n"/>
      <c r="D10" s="1049" t="n"/>
      <c r="E10" s="1049" t="n"/>
      <c r="F10" s="1049" t="n"/>
      <c r="G10" s="1358" t="n"/>
      <c r="H10" s="94" t="n"/>
      <c r="I10" s="94" t="n"/>
      <c r="J10" s="94" t="n"/>
      <c r="K10" s="94" t="n"/>
    </row>
    <row r="11">
      <c r="C11" s="63">
        <f>IS!C23</f>
        <v/>
      </c>
    </row>
    <row r="12">
      <c r="C12" s="80">
        <f>IS_Calcs!C17</f>
        <v/>
      </c>
    </row>
    <row r="13">
      <c r="D13" s="63">
        <f>IS_Calcs!D18</f>
        <v/>
      </c>
      <c r="G13" s="1346">
        <f>currency.type</f>
        <v/>
      </c>
      <c r="H13" s="1237" t="n"/>
      <c r="I13" s="1237" t="n"/>
      <c r="J13" s="1237" t="n"/>
      <c r="K13" s="1237" t="n"/>
    </row>
    <row r="14">
      <c r="D14" s="63">
        <f>IS_Calcs!D19</f>
        <v/>
      </c>
      <c r="G14" s="1346">
        <f>currency.type</f>
        <v/>
      </c>
      <c r="H14" s="1237" t="n"/>
      <c r="I14" s="1237" t="n"/>
      <c r="J14" s="1237" t="n"/>
      <c r="K14" s="1237" t="n"/>
    </row>
    <row r="15">
      <c r="D15" s="63">
        <f>IS_Calcs!D20</f>
        <v/>
      </c>
      <c r="G15" s="1346">
        <f>currency.type</f>
        <v/>
      </c>
      <c r="H15" s="1237" t="n"/>
      <c r="I15" s="1237" t="n"/>
      <c r="J15" s="1237" t="n"/>
      <c r="K15" s="1237" t="n"/>
    </row>
    <row r="16">
      <c r="D16" s="63">
        <f>IS_Calcs!D21</f>
        <v/>
      </c>
      <c r="G16" s="1346">
        <f>currency.type</f>
        <v/>
      </c>
      <c r="H16" s="1237" t="n"/>
      <c r="I16" s="1237" t="n"/>
      <c r="J16" s="1237" t="n"/>
      <c r="K16" s="1237" t="n"/>
    </row>
    <row r="18">
      <c r="C18" s="80">
        <f>IS_Calcs!C31</f>
        <v/>
      </c>
    </row>
    <row r="19">
      <c r="D19" s="63">
        <f>IS_Calcs!D32</f>
        <v/>
      </c>
      <c r="G19" s="1346" t="inlineStr">
        <is>
          <t>#</t>
        </is>
      </c>
      <c r="H19" s="1237" t="n"/>
      <c r="I19" s="1237" t="n"/>
      <c r="J19" s="1237" t="n"/>
      <c r="K19" s="1237" t="n"/>
    </row>
    <row r="20">
      <c r="D20" s="63">
        <f>IS_Calcs!D33</f>
        <v/>
      </c>
      <c r="G20" s="1346" t="inlineStr">
        <is>
          <t>#</t>
        </is>
      </c>
      <c r="H20" s="1237" t="n"/>
      <c r="I20" s="1237" t="n"/>
      <c r="J20" s="1237" t="n"/>
      <c r="K20" s="1237" t="n"/>
    </row>
    <row r="21">
      <c r="D21" s="63">
        <f>IS_Calcs!D34</f>
        <v/>
      </c>
      <c r="G21" s="1346" t="inlineStr">
        <is>
          <t>#</t>
        </is>
      </c>
      <c r="H21" s="1237" t="n"/>
      <c r="I21" s="1237" t="n"/>
      <c r="J21" s="1237" t="n"/>
      <c r="K21" s="1237" t="n"/>
    </row>
    <row r="22">
      <c r="D22" s="63">
        <f>IS_Calcs!D35</f>
        <v/>
      </c>
      <c r="G22" s="1346" t="inlineStr">
        <is>
          <t>#</t>
        </is>
      </c>
      <c r="H22" s="1237" t="n"/>
      <c r="I22" s="1237" t="n"/>
      <c r="J22" s="1237" t="n"/>
      <c r="K22" s="1237" t="n"/>
    </row>
    <row r="24">
      <c r="C24" s="80">
        <f>IS_Calcs!C45</f>
        <v/>
      </c>
    </row>
    <row r="25">
      <c r="C25" s="63">
        <f>IS_Calcs!C46</f>
        <v/>
      </c>
      <c r="G25" s="1346">
        <f>currency.heading1</f>
        <v/>
      </c>
      <c r="H25" s="1237" t="n"/>
      <c r="I25" s="1237" t="n"/>
      <c r="J25" s="1237" t="n"/>
      <c r="K25" s="1237" t="n"/>
    </row>
    <row r="26">
      <c r="C26" s="63">
        <f>IS_Calcs!C47</f>
        <v/>
      </c>
      <c r="G26" s="1346">
        <f>currency.heading1</f>
        <v/>
      </c>
      <c r="H26" s="1237" t="n"/>
      <c r="I26" s="1237" t="n"/>
      <c r="J26" s="1237" t="n"/>
      <c r="K26" s="1237" t="n"/>
    </row>
    <row r="27">
      <c r="C27" s="63">
        <f>IS_Calcs!C48</f>
        <v/>
      </c>
      <c r="G27" s="1346">
        <f>currency.heading1</f>
        <v/>
      </c>
      <c r="H27" s="1237" t="n"/>
      <c r="I27" s="1237" t="n"/>
      <c r="J27" s="1237" t="n"/>
      <c r="K27" s="1237" t="n"/>
    </row>
    <row r="28">
      <c r="C28" s="63">
        <f>IS_Calcs!C49</f>
        <v/>
      </c>
      <c r="G28" s="1346">
        <f>currency.heading1</f>
        <v/>
      </c>
      <c r="H28" s="1237" t="n"/>
      <c r="I28" s="1237" t="n"/>
      <c r="J28" s="1237" t="n"/>
      <c r="K28" s="1237" t="n"/>
    </row>
    <row r="30">
      <c r="C30" s="63" t="inlineStr">
        <is>
          <t>Gross Margins</t>
        </is>
      </c>
    </row>
    <row r="31">
      <c r="D31" s="63">
        <f>IS!D26</f>
        <v/>
      </c>
      <c r="G31" s="1346" t="inlineStr">
        <is>
          <t>%</t>
        </is>
      </c>
      <c r="H31" s="1715" t="n">
        <v>0.3</v>
      </c>
      <c r="I31" s="1715" t="n">
        <v>0.3</v>
      </c>
      <c r="J31" s="1715" t="n">
        <v>0.3</v>
      </c>
      <c r="K31" s="1715" t="n">
        <v>0.3</v>
      </c>
    </row>
    <row r="32">
      <c r="D32" s="63">
        <f>IS!D27</f>
        <v/>
      </c>
      <c r="G32" s="1346" t="inlineStr">
        <is>
          <t>%</t>
        </is>
      </c>
      <c r="H32" s="1715" t="n">
        <v>0.3</v>
      </c>
      <c r="I32" s="1715" t="n">
        <v>0.3</v>
      </c>
      <c r="J32" s="1715" t="n">
        <v>0.3</v>
      </c>
      <c r="K32" s="1715" t="n">
        <v>0.3</v>
      </c>
    </row>
    <row r="33">
      <c r="D33" s="63">
        <f>IS!D28</f>
        <v/>
      </c>
      <c r="G33" s="1346" t="inlineStr">
        <is>
          <t>%</t>
        </is>
      </c>
      <c r="H33" s="1715" t="n">
        <v>0.3</v>
      </c>
      <c r="I33" s="1715" t="n">
        <v>0.3</v>
      </c>
      <c r="J33" s="1715" t="n">
        <v>0.3</v>
      </c>
      <c r="K33" s="1715" t="n">
        <v>0.3</v>
      </c>
    </row>
    <row r="34">
      <c r="D34" s="63">
        <f>IS!D29</f>
        <v/>
      </c>
      <c r="G34" s="1346" t="inlineStr">
        <is>
          <t>%</t>
        </is>
      </c>
      <c r="H34" s="1715" t="n">
        <v>0.3</v>
      </c>
      <c r="I34" s="1715" t="n">
        <v>0.3</v>
      </c>
      <c r="J34" s="1715" t="n">
        <v>0.3</v>
      </c>
      <c r="K34" s="1715" t="n">
        <v>0.3</v>
      </c>
    </row>
    <row r="36">
      <c r="C36" s="63">
        <f>IS!C42</f>
        <v/>
      </c>
    </row>
    <row r="37">
      <c r="D37" s="63">
        <f>Inputs!C182</f>
        <v/>
      </c>
      <c r="G37" s="1346">
        <f>currency.heading1</f>
        <v/>
      </c>
      <c r="H37" s="1237" t="n"/>
      <c r="I37" s="1237" t="n"/>
      <c r="J37" s="1237" t="n"/>
      <c r="K37" s="1237" t="n"/>
    </row>
    <row r="38">
      <c r="D38" s="63">
        <f>Inputs!C183</f>
        <v/>
      </c>
      <c r="G38" s="1346">
        <f>currency.heading1</f>
        <v/>
      </c>
      <c r="H38" s="1237" t="n"/>
      <c r="I38" s="1237" t="n"/>
      <c r="J38" s="1237" t="n"/>
      <c r="K38" s="1237" t="n"/>
    </row>
    <row r="39">
      <c r="D39" s="63">
        <f>Inputs!C184</f>
        <v/>
      </c>
      <c r="G39" s="1346">
        <f>currency.heading1</f>
        <v/>
      </c>
      <c r="H39" s="1237" t="n"/>
      <c r="I39" s="1237" t="n"/>
      <c r="J39" s="1237" t="n"/>
      <c r="K39" s="1237" t="n"/>
    </row>
    <row r="40">
      <c r="D40" s="63">
        <f>Inputs!C185</f>
        <v/>
      </c>
      <c r="G40" s="1346">
        <f>currency.heading1</f>
        <v/>
      </c>
      <c r="H40" s="1237" t="n"/>
      <c r="I40" s="1237" t="n"/>
      <c r="J40" s="1237" t="n"/>
      <c r="K40" s="1237" t="n"/>
    </row>
    <row r="41">
      <c r="D41" s="63">
        <f>Inputs!C186</f>
        <v/>
      </c>
      <c r="G41" s="1346">
        <f>currency.heading1</f>
        <v/>
      </c>
      <c r="H41" s="1237" t="n"/>
      <c r="I41" s="1237" t="n"/>
      <c r="J41" s="1237" t="n"/>
      <c r="K41" s="1237" t="n"/>
    </row>
    <row r="42">
      <c r="D42" s="63">
        <f>Inputs!C187</f>
        <v/>
      </c>
      <c r="H42" s="1237" t="n"/>
      <c r="I42" s="1237" t="n"/>
      <c r="J42" s="1237" t="n"/>
      <c r="K42" s="1237" t="n"/>
    </row>
    <row r="43">
      <c r="D43" s="63">
        <f>Inputs!C188</f>
        <v/>
      </c>
      <c r="H43" s="1237" t="n"/>
      <c r="I43" s="1237" t="n"/>
      <c r="J43" s="1237" t="n"/>
      <c r="K43" s="1237" t="n"/>
    </row>
    <row r="44">
      <c r="D44" s="63">
        <f>Inputs!C189</f>
        <v/>
      </c>
      <c r="G44" s="1346">
        <f>currency.heading1</f>
        <v/>
      </c>
      <c r="H44" s="1237" t="n"/>
      <c r="I44" s="1237" t="n"/>
      <c r="J44" s="1237" t="n"/>
      <c r="K44" s="1237" t="n"/>
    </row>
    <row r="45">
      <c r="D45" s="63">
        <f>Inputs!C190</f>
        <v/>
      </c>
      <c r="G45" s="1346">
        <f>currency.heading1</f>
        <v/>
      </c>
      <c r="H45" s="1237" t="n"/>
      <c r="I45" s="1237" t="n"/>
      <c r="J45" s="1237" t="n"/>
      <c r="K45" s="1237" t="n"/>
    </row>
    <row r="46">
      <c r="C46" s="684">
        <f>IS!C52</f>
        <v/>
      </c>
      <c r="D46" s="684" t="n"/>
      <c r="E46" s="684" t="n"/>
      <c r="F46" s="684" t="n"/>
      <c r="G46" s="1355" t="n"/>
      <c r="H46" s="1895" t="n"/>
      <c r="I46" s="1895">
        <f>SUM(I37:I45)</f>
        <v/>
      </c>
      <c r="J46" s="1895">
        <f>SUM(J37:J45)</f>
        <v/>
      </c>
      <c r="K46" s="1895">
        <f>SUM(K37:K45)</f>
        <v/>
      </c>
    </row>
    <row r="48">
      <c r="D48" s="63">
        <f>IS!#REF!</f>
        <v/>
      </c>
      <c r="G48" s="1346">
        <f>currency.heading1</f>
        <v/>
      </c>
      <c r="H48" s="1237" t="n"/>
      <c r="I48" s="1237" t="n"/>
      <c r="J48" s="1237" t="n"/>
      <c r="K48" s="1237" t="n"/>
    </row>
    <row r="49">
      <c r="D49" s="63">
        <f>IS!#REF!</f>
        <v/>
      </c>
      <c r="G49" s="1346">
        <f>currency.heading1</f>
        <v/>
      </c>
      <c r="H49" s="1237" t="n"/>
      <c r="I49" s="1237" t="n"/>
      <c r="J49" s="1237" t="n"/>
      <c r="K49" s="1237" t="n"/>
    </row>
    <row r="51">
      <c r="D51" s="63">
        <f>IS!D56</f>
        <v/>
      </c>
      <c r="G51" s="1346">
        <f>currency.heading1</f>
        <v/>
      </c>
      <c r="H51" s="1237" t="n"/>
      <c r="I51" s="1237" t="n"/>
      <c r="J51" s="1237" t="n"/>
      <c r="K51" s="1237" t="n"/>
    </row>
    <row r="52">
      <c r="D52" s="63" t="inlineStr">
        <is>
          <t>Finance Costs</t>
        </is>
      </c>
      <c r="G52" s="1346">
        <f>currency.heading1</f>
        <v/>
      </c>
      <c r="H52" s="1237" t="n"/>
      <c r="I52" s="1237" t="n"/>
      <c r="J52" s="1237" t="n"/>
      <c r="K52" s="1237" t="n"/>
    </row>
    <row r="53">
      <c r="D53" s="63" t="inlineStr">
        <is>
          <t>Bank Charges</t>
        </is>
      </c>
      <c r="G53" s="1346">
        <f>currency.heading1</f>
        <v/>
      </c>
      <c r="H53" s="1237" t="n"/>
      <c r="I53" s="1237" t="n"/>
      <c r="J53" s="1237" t="n"/>
      <c r="K53" s="1237" t="n"/>
    </row>
    <row r="54">
      <c r="D54" s="63">
        <f>IS!D62</f>
        <v/>
      </c>
      <c r="G54" s="1346">
        <f>currency.heading1</f>
        <v/>
      </c>
      <c r="H54" s="1237" t="n"/>
      <c r="I54" s="1237" t="n"/>
      <c r="J54" s="1237" t="n"/>
      <c r="K54" s="1237" t="n"/>
    </row>
    <row r="56">
      <c r="B56" s="1357" t="inlineStr">
        <is>
          <t>Balance Sheet</t>
        </is>
      </c>
      <c r="C56" s="1049" t="n"/>
      <c r="D56" s="1049" t="n"/>
      <c r="E56" s="1049" t="n"/>
      <c r="F56" s="1049" t="n"/>
      <c r="G56" s="1358" t="n"/>
      <c r="H56" s="94" t="n"/>
      <c r="I56" s="94" t="n"/>
      <c r="J56" s="94" t="n"/>
      <c r="K56" s="94" t="n"/>
    </row>
    <row r="58" ht="10.5" customHeight="1">
      <c r="B58" s="295" t="inlineStr">
        <is>
          <t>Working Capital Balances</t>
        </is>
      </c>
    </row>
    <row r="59" ht="10.5" customHeight="1">
      <c r="C59" s="82">
        <f>BS_Calc!C18</f>
        <v/>
      </c>
    </row>
    <row r="60" ht="10.5" customHeight="1">
      <c r="D60" s="638">
        <f>BS_Calc!C19</f>
        <v/>
      </c>
      <c r="G60" s="1346">
        <f>currency.heading1</f>
        <v/>
      </c>
      <c r="H60" s="1237" t="n"/>
      <c r="I60" s="1237" t="n"/>
      <c r="J60" s="1237" t="n"/>
      <c r="K60" s="1237" t="n"/>
    </row>
    <row r="61" ht="10.5" customHeight="1">
      <c r="D61" s="638">
        <f>BS_Calc!C20</f>
        <v/>
      </c>
      <c r="G61" s="1346">
        <f>currency.heading1</f>
        <v/>
      </c>
      <c r="H61" s="1237" t="n"/>
      <c r="I61" s="1237" t="n"/>
      <c r="J61" s="1237" t="n"/>
      <c r="K61" s="1237" t="n"/>
    </row>
    <row r="62" ht="10.5" customHeight="1">
      <c r="D62" s="638">
        <f>BS_Calc!C21</f>
        <v/>
      </c>
      <c r="G62" s="1346">
        <f>currency.heading1</f>
        <v/>
      </c>
      <c r="H62" s="1237" t="n"/>
      <c r="I62" s="1237" t="n"/>
      <c r="J62" s="1237" t="n"/>
      <c r="K62" s="1237" t="n"/>
    </row>
    <row r="63" ht="10.5" customHeight="1">
      <c r="D63" s="638">
        <f>BS_Calc!C22</f>
        <v/>
      </c>
      <c r="G63" s="1346">
        <f>currency.heading1</f>
        <v/>
      </c>
      <c r="H63" s="1237" t="n"/>
      <c r="I63" s="1237" t="n"/>
      <c r="J63" s="1237" t="n"/>
      <c r="K63" s="1237" t="n"/>
    </row>
    <row r="64" ht="10.5" customHeight="1">
      <c r="D64" s="638">
        <f>BS_Calc!C23</f>
        <v/>
      </c>
      <c r="G64" s="1346">
        <f>currency.heading1</f>
        <v/>
      </c>
      <c r="H64" s="1237" t="n"/>
      <c r="I64" s="1237" t="n"/>
      <c r="J64" s="1237" t="n"/>
      <c r="K64" s="1237" t="n"/>
    </row>
    <row r="65" ht="10.5" customHeight="1">
      <c r="C65" s="638" t="n"/>
    </row>
    <row r="66" ht="10.5" customHeight="1">
      <c r="C66" s="82">
        <f>BS_Calc!C25</f>
        <v/>
      </c>
    </row>
    <row r="67" ht="10.5" customHeight="1">
      <c r="D67" s="638">
        <f>BS_Calc!C26</f>
        <v/>
      </c>
      <c r="G67" s="1346">
        <f>currency.heading1</f>
        <v/>
      </c>
      <c r="H67" s="1237" t="n"/>
      <c r="I67" s="1237" t="n"/>
      <c r="J67" s="1237" t="n"/>
      <c r="K67" s="1237" t="n"/>
    </row>
    <row r="68" ht="10.5" customHeight="1">
      <c r="D68" s="638">
        <f>BS_Calc!C27</f>
        <v/>
      </c>
      <c r="G68" s="1346">
        <f>currency.heading1</f>
        <v/>
      </c>
      <c r="H68" s="1237" t="n"/>
      <c r="I68" s="1237" t="n"/>
      <c r="J68" s="1237" t="n"/>
      <c r="K68" s="1237" t="n"/>
    </row>
    <row r="69" ht="10.5" customHeight="1">
      <c r="D69" s="638">
        <f>BS_Calc!C28</f>
        <v/>
      </c>
      <c r="G69" s="1346">
        <f>currency.heading1</f>
        <v/>
      </c>
      <c r="H69" s="1237" t="n"/>
      <c r="I69" s="1237" t="n"/>
      <c r="J69" s="1237" t="n"/>
      <c r="K69" s="1237" t="n"/>
    </row>
    <row r="70" ht="10.5" customHeight="1">
      <c r="D70" s="638">
        <f>BS_Calc!C29</f>
        <v/>
      </c>
      <c r="G70" s="1346">
        <f>currency.heading1</f>
        <v/>
      </c>
      <c r="H70" s="1237" t="n"/>
      <c r="I70" s="1237" t="n"/>
      <c r="J70" s="1237" t="n"/>
      <c r="K70" s="1237" t="n"/>
    </row>
    <row r="71" ht="10.5" customHeight="1">
      <c r="D71" s="638">
        <f>BS_Calc!C30</f>
        <v/>
      </c>
      <c r="G71" s="1346">
        <f>currency.heading1</f>
        <v/>
      </c>
      <c r="H71" s="1237" t="n"/>
      <c r="I71" s="1237" t="n"/>
      <c r="J71" s="1237" t="n"/>
      <c r="K71" s="1237" t="n"/>
    </row>
    <row r="72" ht="10.5" customHeight="1">
      <c r="D72" s="638">
        <f>BS_Calc!C31</f>
        <v/>
      </c>
      <c r="G72" s="1346">
        <f>currency.heading1</f>
        <v/>
      </c>
      <c r="H72" s="1237" t="n"/>
      <c r="I72" s="1237" t="n"/>
      <c r="J72" s="1237" t="n"/>
      <c r="K72" s="1237" t="n"/>
    </row>
    <row r="74" ht="10.5" customHeight="1">
      <c r="B74" s="295" t="inlineStr">
        <is>
          <t>Capital Expenditure</t>
        </is>
      </c>
      <c r="G74" s="1346">
        <f>currency.heading1</f>
        <v/>
      </c>
      <c r="H74" s="1237" t="n"/>
      <c r="I74" s="1237" t="n"/>
      <c r="J74" s="1237" t="n"/>
      <c r="K74" s="1237" t="n"/>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B2:G31"/>
  <sheetViews>
    <sheetView topLeftCell="A18" workbookViewId="0">
      <selection activeCell="B32" sqref="B32"/>
    </sheetView>
  </sheetViews>
  <sheetFormatPr baseColWidth="8" defaultRowHeight="15.5"/>
  <cols>
    <col width="54.84375" bestFit="1" customWidth="1" min="2" max="2"/>
  </cols>
  <sheetData>
    <row r="2">
      <c r="B2" s="1233" t="inlineStr">
        <is>
          <t>Report Inputs</t>
        </is>
      </c>
      <c r="G2" s="1403" t="inlineStr">
        <is>
          <t>Excel Report Issues:</t>
        </is>
      </c>
    </row>
    <row r="3">
      <c r="G3" s="1233" t="inlineStr">
        <is>
          <t>Bold</t>
        </is>
      </c>
    </row>
    <row r="4">
      <c r="B4" s="1233" t="inlineStr">
        <is>
          <t>Valuer Type</t>
        </is>
      </c>
      <c r="G4" s="1233" t="inlineStr">
        <is>
          <t>Bullets</t>
        </is>
      </c>
    </row>
    <row r="5">
      <c r="B5" s="1233" t="inlineStr">
        <is>
          <t>Valuer Name</t>
        </is>
      </c>
      <c r="G5" s="1233" t="inlineStr">
        <is>
          <t>Character limits</t>
        </is>
      </c>
    </row>
    <row r="6">
      <c r="B6" s="1233" t="inlineStr">
        <is>
          <t>Purpose</t>
        </is>
      </c>
    </row>
    <row r="7" ht="16.5" customHeight="1">
      <c r="B7" s="1233" t="inlineStr">
        <is>
          <t>Purpose Detail</t>
        </is>
      </c>
      <c r="D7" s="1651" t="inlineStr">
        <is>
          <t>Stage</t>
        </is>
      </c>
      <c r="E7" s="1651" t="inlineStr">
        <is>
          <t>Questions</t>
        </is>
      </c>
      <c r="F7" s="1652" t="inlineStr">
        <is>
          <t>%</t>
        </is>
      </c>
      <c r="G7" s="1651" t="inlineStr">
        <is>
          <t>Progress %</t>
        </is>
      </c>
    </row>
    <row r="8" ht="16.5" customHeight="1">
      <c r="D8" s="1653" t="inlineStr">
        <is>
          <t>0-Val Approach</t>
        </is>
      </c>
      <c r="E8" s="1654" t="n">
        <v>3</v>
      </c>
      <c r="F8" s="1896">
        <f>MROUND(E8/$F$20,0.01)</f>
        <v/>
      </c>
      <c r="G8" s="1897">
        <f>F8</f>
        <v/>
      </c>
    </row>
    <row r="9" ht="16.5" customHeight="1">
      <c r="B9" s="1233" t="inlineStr">
        <is>
          <t>Subject Company short name</t>
        </is>
      </c>
      <c r="D9" s="1653" t="inlineStr">
        <is>
          <t>1-General</t>
        </is>
      </c>
      <c r="E9" s="1654" t="n">
        <v>30</v>
      </c>
      <c r="F9" s="1896">
        <f>MROUND(E9/$F$20,0.01)</f>
        <v/>
      </c>
      <c r="G9" s="1897">
        <f>G8+F9</f>
        <v/>
      </c>
    </row>
    <row r="10" ht="16.5" customHeight="1">
      <c r="D10" s="1653" t="inlineStr">
        <is>
          <t>2- Revenue</t>
        </is>
      </c>
      <c r="E10" s="1654" t="n">
        <v>13</v>
      </c>
      <c r="F10" s="1896">
        <f>MROUND(E10/$F$20,0.01)</f>
        <v/>
      </c>
      <c r="G10" s="1897">
        <f>G9+F10</f>
        <v/>
      </c>
    </row>
    <row r="11" ht="16.5" customHeight="1">
      <c r="B11" s="1233" t="inlineStr">
        <is>
          <t>If Operational currency is diff from information currency - forex risk</t>
        </is>
      </c>
      <c r="D11" s="1653" t="inlineStr">
        <is>
          <t>3-Gross Margin</t>
        </is>
      </c>
      <c r="E11" s="1654" t="n">
        <v>1</v>
      </c>
      <c r="F11" s="1896">
        <f>MROUND(E11/$F$20,0.01)</f>
        <v/>
      </c>
      <c r="G11" s="1897">
        <f>G10+F11</f>
        <v/>
      </c>
    </row>
    <row r="12" ht="16.5" customHeight="1">
      <c r="D12" s="1898" t="inlineStr">
        <is>
          <t>4-Opex</t>
        </is>
      </c>
      <c r="E12" s="1654" t="n">
        <v>2</v>
      </c>
      <c r="F12" s="1896">
        <f>MROUND(E12/$F$20,0.01)</f>
        <v/>
      </c>
      <c r="G12" s="1897">
        <f>G11+F12</f>
        <v/>
      </c>
    </row>
    <row r="13" ht="16.5" customHeight="1">
      <c r="D13" s="1658" t="inlineStr">
        <is>
          <t>5-Assets</t>
        </is>
      </c>
      <c r="E13" s="1654" t="n">
        <v>2</v>
      </c>
      <c r="F13" s="1896">
        <f>MROUND(E13/$F$20,0.01)</f>
        <v/>
      </c>
      <c r="G13" s="1897">
        <f>G12+F13</f>
        <v/>
      </c>
    </row>
    <row r="14" ht="16.5" customHeight="1">
      <c r="B14" s="1403" t="inlineStr">
        <is>
          <t>Notes:</t>
        </is>
      </c>
      <c r="D14" s="1658" t="inlineStr">
        <is>
          <t>6-NWC</t>
        </is>
      </c>
      <c r="E14" s="1654" t="n">
        <v>2</v>
      </c>
      <c r="F14" s="1896">
        <f>MROUND(E14/$F$20,0.01)</f>
        <v/>
      </c>
      <c r="G14" s="1897">
        <f>G13+F14</f>
        <v/>
      </c>
    </row>
    <row r="15" ht="48" customHeight="1">
      <c r="B15" s="1233" t="inlineStr">
        <is>
          <t>Partial period discounting factor - check</t>
        </is>
      </c>
      <c r="D15" s="1658" t="inlineStr">
        <is>
          <t>7-Val Assumptions</t>
        </is>
      </c>
      <c r="E15" s="1654" t="n">
        <v>3</v>
      </c>
      <c r="F15" s="1896">
        <f>MROUND(E15/$F$20,0.01)</f>
        <v/>
      </c>
      <c r="G15" s="1897">
        <f>G14+F15</f>
        <v/>
      </c>
    </row>
    <row r="16" ht="16.5" customHeight="1">
      <c r="D16" s="1653" t="inlineStr">
        <is>
          <t>8-Risk Assumptions</t>
        </is>
      </c>
      <c r="E16" s="1654" t="n">
        <v>6</v>
      </c>
      <c r="F16" s="1896">
        <f>MROUND(E16/$F$20,0.01)</f>
        <v/>
      </c>
      <c r="G16" s="1897">
        <f>G15+F16</f>
        <v/>
      </c>
    </row>
    <row r="17" ht="16.5" customHeight="1">
      <c r="B17" s="1403" t="inlineStr">
        <is>
          <t>Notes to Farooq:</t>
        </is>
      </c>
      <c r="D17" s="1659" t="n"/>
      <c r="E17" s="1660">
        <f>SUM(E8:E16)</f>
        <v/>
      </c>
      <c r="F17" s="1661">
        <f>SUM(F8:F16)</f>
        <v/>
      </c>
      <c r="G17" s="1659" t="n"/>
    </row>
    <row r="18">
      <c r="B18" s="1233" t="inlineStr">
        <is>
          <t>Make disclaimer visible throughout as a button</t>
        </is>
      </c>
    </row>
    <row r="19">
      <c r="B19" s="1233" t="inlineStr">
        <is>
          <t>Move row 23 as part of disclaimer</t>
        </is>
      </c>
    </row>
    <row r="20">
      <c r="B20" s="1233" t="inlineStr">
        <is>
          <t>Date boxes are not looking good</t>
        </is>
      </c>
    </row>
    <row r="21">
      <c r="B21" s="1233" t="inlineStr">
        <is>
          <t>First question in figma 1.1 is horizantal but website is vertical MCQs</t>
        </is>
      </c>
    </row>
    <row r="22">
      <c r="B22" s="1233" t="inlineStr">
        <is>
          <t>Not on figma design - other operating regions rev contribution\</t>
        </is>
      </c>
    </row>
    <row r="23">
      <c r="B23" s="1233" t="inlineStr">
        <is>
          <t>To add average annual rev and development phase for primary business</t>
        </is>
      </c>
    </row>
    <row r="24">
      <c r="B24" s="1233" t="inlineStr">
        <is>
          <t>Check linking</t>
        </is>
      </c>
    </row>
    <row r="27">
      <c r="B27" s="1233" t="inlineStr">
        <is>
          <t>Add marketing, Office &amp; sundry expenses and printing &amp; stationery to opex toform &amp; hist.fin</t>
        </is>
      </c>
    </row>
    <row r="28">
      <c r="B28" s="1233" t="inlineStr">
        <is>
          <t>Think about tax regional modeling with other operating regions</t>
        </is>
      </c>
    </row>
    <row r="29">
      <c r="B29" s="1233" t="inlineStr">
        <is>
          <t>Salaries payable is different from other staff cost payable</t>
        </is>
      </c>
    </row>
    <row r="30">
      <c r="B30" s="1233" t="inlineStr">
        <is>
          <t>Update WACC footnotes</t>
        </is>
      </c>
    </row>
    <row r="31">
      <c r="B31" s="1233" t="inlineStr">
        <is>
          <t>Make equity risk premuim weighted based on operating regions - currently only on primary region</t>
        </is>
      </c>
    </row>
  </sheetData>
  <pageMargins left="0.7" right="0.7" top="0.75" bottom="0.75" header="0.3" footer="0.3"/>
  <pageSetup orientation="portrait"/>
</worksheet>
</file>

<file path=xl/worksheets/sheet7.xml><?xml version="1.0" encoding="utf-8"?>
<worksheet xmlns="http://schemas.openxmlformats.org/spreadsheetml/2006/main">
  <sheetPr>
    <tabColor rgb="FFD7EEF1"/>
    <outlinePr summaryBelow="1" summaryRight="1"/>
    <pageSetUpPr/>
  </sheetPr>
  <dimension ref="B2:I7"/>
  <sheetViews>
    <sheetView showGridLines="0" workbookViewId="0">
      <selection activeCell="D7" sqref="D7"/>
    </sheetView>
  </sheetViews>
  <sheetFormatPr baseColWidth="8" defaultColWidth="0" defaultRowHeight="0" customHeight="1" zeroHeight="1"/>
  <cols>
    <col width="2.23046875" customWidth="1" style="71" min="1" max="1"/>
    <col width="1.61328125" customWidth="1" style="71" min="2" max="3"/>
    <col width="8.69140625" customWidth="1" style="71" min="4" max="9"/>
    <col hidden="1" width="8.69140625" customWidth="1" style="71" min="10" max="16384"/>
  </cols>
  <sheetData>
    <row r="1" ht="15" customHeight="1"/>
    <row r="2" ht="17.5" customHeight="1">
      <c r="B2" s="62" t="inlineStr">
        <is>
          <t>Valify - Valuation Services</t>
        </is>
      </c>
      <c r="C2" s="63" t="n"/>
      <c r="D2" s="63" t="n"/>
      <c r="E2" s="63" t="n"/>
    </row>
    <row r="3" ht="17.5" customHeight="1">
      <c r="B3" s="64">
        <f>Inputs!B3</f>
        <v/>
      </c>
      <c r="C3" s="63" t="n"/>
      <c r="D3" s="63" t="n"/>
      <c r="E3" s="63" t="n"/>
    </row>
    <row r="4" ht="17.5" customHeight="1">
      <c r="B4" s="101" t="inlineStr">
        <is>
          <t>Section Divider - Model Summary</t>
        </is>
      </c>
      <c r="C4" s="63" t="n"/>
      <c r="D4" s="63" t="n"/>
      <c r="E4" s="63" t="n"/>
    </row>
    <row r="5" ht="5" customHeight="1" thickBot="1">
      <c r="B5" s="99" t="n"/>
      <c r="C5" s="66" t="n"/>
      <c r="D5" s="66" t="n"/>
      <c r="E5" s="66" t="n"/>
      <c r="F5" s="100" t="n"/>
      <c r="G5" s="100" t="n"/>
      <c r="H5" s="100" t="n"/>
      <c r="I5" s="100" t="n"/>
    </row>
    <row r="6" ht="18" customHeight="1" thickTop="1">
      <c r="B6" s="63" t="n"/>
      <c r="C6" s="63" t="n"/>
      <c r="D6" s="63" t="n"/>
      <c r="E6" s="63" t="n"/>
    </row>
    <row r="7" ht="17.5" customHeight="1">
      <c r="B7" s="63" t="n"/>
      <c r="C7" s="63" t="n"/>
      <c r="D7" s="62" t="inlineStr">
        <is>
          <t>Model Summary &gt;&gt;</t>
        </is>
      </c>
      <c r="E7" s="63" t="n"/>
    </row>
    <row r="8" ht="17.5" customHeight="1"/>
    <row r="9" ht="17.5" customHeight="1"/>
    <row r="10" ht="17.5" customHeight="1"/>
    <row r="11" ht="17.5" customHeight="1"/>
    <row r="12" ht="17.5" customHeight="1"/>
    <row r="13" ht="17.5" customHeight="1"/>
    <row r="14" ht="17.5" customHeight="1"/>
    <row r="15" ht="17.5" customHeight="1"/>
    <row r="16" ht="17.5" customHeight="1"/>
    <row r="18" hidden="1" ht="17.5" customHeight="1"/>
    <row r="19" hidden="1" ht="17.5" customHeight="1"/>
    <row r="20" hidden="1" ht="17.5" customHeight="1"/>
    <row r="21" hidden="1" ht="17.5" customHeight="1"/>
    <row r="22" hidden="1" ht="17.5" customHeight="1"/>
    <row r="23" hidden="1" ht="17.5" customHeight="1"/>
    <row r="24" hidden="1" ht="17.5" customHeight="1"/>
    <row r="25" hidden="1" ht="17.5" customHeight="1"/>
    <row r="26" hidden="1" ht="17.5" customHeight="1"/>
    <row r="27" hidden="1" ht="17.5" customHeight="1"/>
    <row r="28" hidden="1" ht="17.5" customHeight="1"/>
    <row r="29" hidden="1" ht="17.5" customHeight="1"/>
    <row r="30" hidden="1" ht="17.5" customHeight="1"/>
    <row r="31" hidden="1" ht="17.5" customHeight="1"/>
    <row r="32" ht="15" customHeight="1"/>
  </sheetData>
  <pageMargins left="0.7" right="0.7" top="0.75" bottom="0.75" header="0.3" footer="0.3"/>
</worksheet>
</file>

<file path=xl/worksheets/sheet8.xml><?xml version="1.0" encoding="utf-8"?>
<worksheet xmlns="http://schemas.openxmlformats.org/spreadsheetml/2006/main">
  <sheetPr>
    <tabColor rgb="FFD7EEF1"/>
    <outlinePr summaryBelow="1" summaryRight="1"/>
    <pageSetUpPr/>
  </sheetPr>
  <dimension ref="B2:R34"/>
  <sheetViews>
    <sheetView showGridLines="0" view="pageBreakPreview" zoomScaleNormal="100" zoomScaleSheetLayoutView="100" workbookViewId="0">
      <selection activeCell="J23" sqref="J23"/>
    </sheetView>
  </sheetViews>
  <sheetFormatPr baseColWidth="8" defaultColWidth="8.69140625" defaultRowHeight="11.5"/>
  <cols>
    <col width="2.61328125" customWidth="1" style="63" min="1" max="2"/>
    <col width="8.69140625" customWidth="1" style="63" min="3" max="14"/>
    <col width="5.53515625" bestFit="1" customWidth="1" style="63" min="15" max="15"/>
    <col width="8.69140625" customWidth="1" style="63" min="16" max="17"/>
    <col width="2.61328125" customWidth="1" style="63" min="18" max="18"/>
    <col width="8.69140625" customWidth="1" style="63" min="19" max="16384"/>
  </cols>
  <sheetData>
    <row r="2">
      <c r="B2" s="62" t="inlineStr">
        <is>
          <t>Valify - Valuation Services</t>
        </is>
      </c>
    </row>
    <row r="3">
      <c r="B3" s="64">
        <f>Inputs!$B$3</f>
        <v/>
      </c>
    </row>
    <row r="4">
      <c r="B4" s="65" t="inlineStr">
        <is>
          <t>Summary Forecast Outputs</t>
        </is>
      </c>
    </row>
    <row r="5" ht="5" customHeight="1" thickBot="1">
      <c r="B5" s="66" t="n"/>
      <c r="C5" s="66" t="n"/>
      <c r="D5" s="66" t="n"/>
      <c r="E5" s="66" t="n"/>
      <c r="F5" s="66" t="n"/>
      <c r="G5" s="66" t="n"/>
      <c r="H5" s="66" t="n"/>
      <c r="I5" s="66" t="n"/>
      <c r="J5" s="66" t="n"/>
      <c r="K5" s="66" t="n"/>
      <c r="L5" s="66" t="n"/>
      <c r="M5" s="66" t="n"/>
      <c r="N5" s="66" t="n"/>
      <c r="O5" s="66" t="n"/>
      <c r="P5" s="66" t="n"/>
      <c r="Q5" s="66" t="n"/>
      <c r="R5" s="66" t="n"/>
    </row>
    <row r="6" ht="12" customHeight="1" thickTop="1"/>
    <row r="19">
      <c r="C19" s="102" t="n"/>
      <c r="D19" s="102" t="n"/>
      <c r="E19" s="102" t="n"/>
      <c r="F19" s="102" t="n"/>
      <c r="G19" s="103" t="inlineStr">
        <is>
          <t>Financial Period</t>
        </is>
      </c>
      <c r="H19" s="104">
        <f>IS_Calcs!I7</f>
        <v/>
      </c>
      <c r="I19" s="104">
        <f>IS_Calcs!J7</f>
        <v/>
      </c>
      <c r="J19" s="104">
        <f>IS_Calcs!K7</f>
        <v/>
      </c>
      <c r="K19" s="104">
        <f>IS_Calcs!L7</f>
        <v/>
      </c>
      <c r="L19" s="104">
        <f>IS_Calcs!M7</f>
        <v/>
      </c>
      <c r="M19" s="104">
        <f>IS_Calcs!N7</f>
        <v/>
      </c>
      <c r="N19" s="104">
        <f>IS_Calcs!O7</f>
        <v/>
      </c>
      <c r="O19" s="104">
        <f>IS_Calcs!P7</f>
        <v/>
      </c>
      <c r="P19" s="104">
        <f>IS_Calcs!Q7</f>
        <v/>
      </c>
      <c r="Q19" s="104">
        <f>IS_Calcs!R7</f>
        <v/>
      </c>
    </row>
    <row r="20">
      <c r="H20" s="105" t="n"/>
      <c r="I20" s="105" t="n"/>
      <c r="J20" s="105" t="n"/>
      <c r="K20" s="105" t="n"/>
      <c r="L20" s="105" t="n"/>
      <c r="M20" s="105" t="n"/>
      <c r="N20" s="105" t="n"/>
      <c r="O20" s="105" t="n"/>
      <c r="P20" s="105" t="n"/>
      <c r="Q20" s="105" t="n"/>
    </row>
    <row r="21">
      <c r="C21" s="63" t="inlineStr">
        <is>
          <t>Revenue</t>
        </is>
      </c>
      <c r="H21" s="1899">
        <f>IS_Calcs!I69</f>
        <v/>
      </c>
      <c r="I21" s="1899">
        <f>IS_Calcs!J69</f>
        <v/>
      </c>
      <c r="J21" s="1899">
        <f>IS_Calcs!K69</f>
        <v/>
      </c>
      <c r="K21" s="1899">
        <f>IS_Calcs!L69</f>
        <v/>
      </c>
      <c r="L21" s="1899">
        <f>IS_Calcs!M69</f>
        <v/>
      </c>
      <c r="M21" s="1899">
        <f>IS_Calcs!N69</f>
        <v/>
      </c>
      <c r="N21" s="1899">
        <f>IS_Calcs!O69</f>
        <v/>
      </c>
      <c r="O21" s="1899">
        <f>IS_Calcs!P69</f>
        <v/>
      </c>
      <c r="P21" s="1899">
        <f>IS_Calcs!Q69</f>
        <v/>
      </c>
      <c r="Q21" s="1899">
        <f>IS_Calcs!R69</f>
        <v/>
      </c>
    </row>
    <row r="22">
      <c r="C22" s="63" t="inlineStr">
        <is>
          <t>Direct Costs</t>
        </is>
      </c>
      <c r="H22" s="1899">
        <f>IS_Calcs!I114</f>
        <v/>
      </c>
      <c r="I22" s="1899">
        <f>IS_Calcs!J114</f>
        <v/>
      </c>
      <c r="J22" s="1899">
        <f>IS_Calcs!K114</f>
        <v/>
      </c>
      <c r="K22" s="1899">
        <f>IS_Calcs!L114</f>
        <v/>
      </c>
      <c r="L22" s="1899">
        <f>IS_Calcs!M114</f>
        <v/>
      </c>
      <c r="M22" s="1899">
        <f>IS_Calcs!N114</f>
        <v/>
      </c>
      <c r="N22" s="1899">
        <f>IS_Calcs!O114</f>
        <v/>
      </c>
      <c r="O22" s="1899">
        <f>IS_Calcs!P114</f>
        <v/>
      </c>
      <c r="P22" s="1899">
        <f>IS_Calcs!Q114</f>
        <v/>
      </c>
      <c r="Q22" s="1899">
        <f>IS_Calcs!R114</f>
        <v/>
      </c>
    </row>
    <row r="23">
      <c r="C23" s="63" t="inlineStr">
        <is>
          <t>Gross Margin</t>
        </is>
      </c>
      <c r="H23" s="1900">
        <f>H21-H22</f>
        <v/>
      </c>
      <c r="I23" s="1900">
        <f>I21-I22</f>
        <v/>
      </c>
      <c r="J23" s="1900">
        <f>J21-J22</f>
        <v/>
      </c>
      <c r="K23" s="1900">
        <f>K21-K22</f>
        <v/>
      </c>
      <c r="L23" s="1900">
        <f>L21-L22</f>
        <v/>
      </c>
      <c r="M23" s="1900">
        <f>M21-M22</f>
        <v/>
      </c>
      <c r="N23" s="1900">
        <f>N21-N22</f>
        <v/>
      </c>
      <c r="O23" s="1900">
        <f>O21-O22</f>
        <v/>
      </c>
      <c r="P23" s="1900">
        <f>P21-P22</f>
        <v/>
      </c>
      <c r="Q23" s="1900">
        <f>Q21-Q22</f>
        <v/>
      </c>
    </row>
    <row r="24">
      <c r="C24" s="63" t="inlineStr">
        <is>
          <t>Net Margin</t>
        </is>
      </c>
      <c r="H24" s="105" t="n"/>
      <c r="I24" s="105" t="n"/>
      <c r="J24" s="105" t="n"/>
      <c r="K24" s="105" t="n"/>
      <c r="L24" s="105" t="n"/>
      <c r="M24" s="105" t="n"/>
      <c r="N24" s="105" t="n"/>
      <c r="O24" s="105" t="n"/>
      <c r="P24" s="105" t="n"/>
      <c r="Q24" s="105" t="n"/>
    </row>
    <row r="25">
      <c r="H25" s="105" t="n"/>
      <c r="I25" s="105" t="n"/>
      <c r="J25" s="105" t="n"/>
      <c r="K25" s="105" t="n"/>
      <c r="L25" s="105" t="n"/>
      <c r="M25" s="105" t="n"/>
      <c r="N25" s="105" t="n"/>
      <c r="O25" s="105" t="n"/>
      <c r="P25" s="105" t="n"/>
      <c r="Q25" s="105" t="n"/>
    </row>
    <row r="26">
      <c r="C26" s="63" t="inlineStr">
        <is>
          <t>Capex</t>
        </is>
      </c>
      <c r="H26" s="108" t="n"/>
      <c r="I26" s="108" t="n"/>
      <c r="J26" s="108" t="n"/>
      <c r="K26" s="105">
        <f>-BS_Calc!L61</f>
        <v/>
      </c>
      <c r="L26" s="105">
        <f>-BS_Calc!M61</f>
        <v/>
      </c>
      <c r="M26" s="105">
        <f>-BS_Calc!N61</f>
        <v/>
      </c>
      <c r="N26" s="105">
        <f>-BS_Calc!O61</f>
        <v/>
      </c>
      <c r="O26" s="105">
        <f>-BS_Calc!P61</f>
        <v/>
      </c>
      <c r="P26" s="105">
        <f>-BS_Calc!Q61</f>
        <v/>
      </c>
      <c r="Q26" s="105">
        <f>-BS_Calc!R61</f>
        <v/>
      </c>
    </row>
    <row r="27">
      <c r="C27" s="109" t="n"/>
      <c r="D27" s="109" t="n"/>
      <c r="E27" s="109" t="n"/>
      <c r="F27" s="109" t="n"/>
      <c r="G27" s="1901" t="n"/>
      <c r="H27" s="111" t="n"/>
      <c r="I27" s="1902" t="n"/>
      <c r="J27" s="1902" t="n"/>
      <c r="K27" s="1902" t="n"/>
      <c r="L27" s="1902" t="n"/>
      <c r="M27" s="1902" t="n"/>
      <c r="N27" s="1902" t="n"/>
      <c r="O27" s="105" t="n"/>
      <c r="P27" s="105" t="n"/>
      <c r="Q27" s="105" t="n"/>
    </row>
    <row r="28">
      <c r="C28" s="113" t="inlineStr">
        <is>
          <t>KPIs</t>
        </is>
      </c>
      <c r="D28" s="114" t="n"/>
      <c r="E28" s="114" t="n"/>
      <c r="F28" s="114" t="n"/>
      <c r="G28" s="115" t="n"/>
      <c r="H28" s="115">
        <f>IS!I7</f>
        <v/>
      </c>
      <c r="I28" s="115">
        <f>IS!J7</f>
        <v/>
      </c>
      <c r="J28" s="115">
        <f>IS!K7</f>
        <v/>
      </c>
      <c r="K28" s="115">
        <f>IS!L7</f>
        <v/>
      </c>
      <c r="L28" s="115">
        <f>IS!M7</f>
        <v/>
      </c>
      <c r="M28" s="115">
        <f>IS!N7</f>
        <v/>
      </c>
      <c r="N28" s="115">
        <f>IS!O7</f>
        <v/>
      </c>
      <c r="O28" s="115">
        <f>IS!P7</f>
        <v/>
      </c>
      <c r="P28" s="115">
        <f>IS!Q7</f>
        <v/>
      </c>
      <c r="Q28" s="116">
        <f>IS!R7</f>
        <v/>
      </c>
    </row>
    <row r="29">
      <c r="C29" s="117">
        <f>IS!C67</f>
        <v/>
      </c>
      <c r="D29" s="109" t="n"/>
      <c r="E29" s="109" t="n"/>
      <c r="F29" s="109" t="n"/>
      <c r="G29" s="1903" t="n"/>
      <c r="H29" s="1904" t="n"/>
      <c r="I29" s="1905">
        <f>IS!J67</f>
        <v/>
      </c>
      <c r="J29" s="1905">
        <f>IS!K67</f>
        <v/>
      </c>
      <c r="K29" s="1905">
        <f>IS!L67</f>
        <v/>
      </c>
      <c r="L29" s="1905">
        <f>IS!M67</f>
        <v/>
      </c>
      <c r="M29" s="1905">
        <f>IS!N67</f>
        <v/>
      </c>
      <c r="N29" s="1905">
        <f>IS!O67</f>
        <v/>
      </c>
      <c r="O29" s="1905">
        <f>IS!P67</f>
        <v/>
      </c>
      <c r="P29" s="1905">
        <f>IS!Q67</f>
        <v/>
      </c>
      <c r="Q29" s="1906">
        <f>IS!R67</f>
        <v/>
      </c>
    </row>
    <row r="30">
      <c r="C30" s="117">
        <f>IS!C69</f>
        <v/>
      </c>
      <c r="D30" s="109" t="n"/>
      <c r="E30" s="109" t="n"/>
      <c r="F30" s="109" t="n"/>
      <c r="G30" s="1903" t="n"/>
      <c r="H30" s="1903">
        <f>IS!I69</f>
        <v/>
      </c>
      <c r="I30" s="1905">
        <f>IS!J69</f>
        <v/>
      </c>
      <c r="J30" s="1905">
        <f>IS!K69</f>
        <v/>
      </c>
      <c r="K30" s="1905">
        <f>IS!L69</f>
        <v/>
      </c>
      <c r="L30" s="1905">
        <f>IS!M69</f>
        <v/>
      </c>
      <c r="M30" s="1905">
        <f>IS!N69</f>
        <v/>
      </c>
      <c r="N30" s="1905">
        <f>IS!O69</f>
        <v/>
      </c>
      <c r="O30" s="1905">
        <f>IS!P69</f>
        <v/>
      </c>
      <c r="P30" s="1905">
        <f>IS!Q69</f>
        <v/>
      </c>
      <c r="Q30" s="1906">
        <f>IS!R69</f>
        <v/>
      </c>
    </row>
    <row r="31">
      <c r="C31" s="117">
        <f>IS!C70</f>
        <v/>
      </c>
      <c r="D31" s="109" t="n"/>
      <c r="E31" s="109" t="n"/>
      <c r="F31" s="109" t="n"/>
      <c r="G31" s="1907" t="n"/>
      <c r="H31" s="1903">
        <f>IS!I70</f>
        <v/>
      </c>
      <c r="I31" s="1903">
        <f>IS!J70</f>
        <v/>
      </c>
      <c r="J31" s="1903">
        <f>IS!K70</f>
        <v/>
      </c>
      <c r="K31" s="1903">
        <f>IS!L70</f>
        <v/>
      </c>
      <c r="L31" s="1903">
        <f>IS!M70</f>
        <v/>
      </c>
      <c r="M31" s="1903">
        <f>IS!N70</f>
        <v/>
      </c>
      <c r="N31" s="1903">
        <f>IS!O70</f>
        <v/>
      </c>
      <c r="O31" s="1903">
        <f>IS!P70</f>
        <v/>
      </c>
      <c r="P31" s="1903">
        <f>IS!Q70</f>
        <v/>
      </c>
      <c r="Q31" s="1908">
        <f>IS!R70</f>
        <v/>
      </c>
    </row>
    <row r="32">
      <c r="C32" s="117">
        <f>IS!C71</f>
        <v/>
      </c>
      <c r="D32" s="109" t="n"/>
      <c r="E32" s="109" t="n"/>
      <c r="F32" s="109" t="n"/>
      <c r="G32" s="1907" t="n"/>
      <c r="H32" s="1903">
        <f>IS!I71</f>
        <v/>
      </c>
      <c r="I32" s="1903">
        <f>IS!J71</f>
        <v/>
      </c>
      <c r="J32" s="1903">
        <f>IS!K71</f>
        <v/>
      </c>
      <c r="K32" s="1903">
        <f>IS!L71</f>
        <v/>
      </c>
      <c r="L32" s="1903">
        <f>IS!M71</f>
        <v/>
      </c>
      <c r="M32" s="1903">
        <f>IS!N71</f>
        <v/>
      </c>
      <c r="N32" s="1903">
        <f>IS!O71</f>
        <v/>
      </c>
      <c r="O32" s="1903">
        <f>IS!P71</f>
        <v/>
      </c>
      <c r="P32" s="1903">
        <f>IS!Q71</f>
        <v/>
      </c>
      <c r="Q32" s="1908">
        <f>IS!R71</f>
        <v/>
      </c>
    </row>
    <row r="33">
      <c r="C33" s="117">
        <f>IS!C72</f>
        <v/>
      </c>
      <c r="D33" s="109" t="n"/>
      <c r="E33" s="109" t="n"/>
      <c r="F33" s="109" t="n"/>
      <c r="G33" s="1903" t="n"/>
      <c r="H33" s="1903">
        <f>IS!I72</f>
        <v/>
      </c>
      <c r="I33" s="1905">
        <f>IS!J72</f>
        <v/>
      </c>
      <c r="J33" s="1905">
        <f>IS!K72</f>
        <v/>
      </c>
      <c r="K33" s="1905">
        <f>IS!L72</f>
        <v/>
      </c>
      <c r="L33" s="1905">
        <f>IS!M72</f>
        <v/>
      </c>
      <c r="M33" s="1905">
        <f>IS!N72</f>
        <v/>
      </c>
      <c r="N33" s="1905">
        <f>IS!O72</f>
        <v/>
      </c>
      <c r="O33" s="1905">
        <f>IS!P72</f>
        <v/>
      </c>
      <c r="P33" s="1905">
        <f>IS!Q72</f>
        <v/>
      </c>
      <c r="Q33" s="1906">
        <f>IS!R72</f>
        <v/>
      </c>
    </row>
    <row r="34">
      <c r="C34" s="125">
        <f>IS!C73</f>
        <v/>
      </c>
      <c r="D34" s="126" t="n"/>
      <c r="E34" s="126" t="n"/>
      <c r="F34" s="126" t="n"/>
      <c r="G34" s="1909" t="n"/>
      <c r="H34" s="1909">
        <f>IS!I73</f>
        <v/>
      </c>
      <c r="I34" s="1909">
        <f>IS!J73</f>
        <v/>
      </c>
      <c r="J34" s="1910">
        <f>IS!K73</f>
        <v/>
      </c>
      <c r="K34" s="1910">
        <f>IS!L73</f>
        <v/>
      </c>
      <c r="L34" s="1910">
        <f>IS!M73</f>
        <v/>
      </c>
      <c r="M34" s="1910">
        <f>IS!N73</f>
        <v/>
      </c>
      <c r="N34" s="1910">
        <f>IS!O73</f>
        <v/>
      </c>
      <c r="O34" s="1910">
        <f>IS!P73</f>
        <v/>
      </c>
      <c r="P34" s="1910">
        <f>IS!Q73</f>
        <v/>
      </c>
      <c r="Q34" s="1911">
        <f>IS!R73</f>
        <v/>
      </c>
    </row>
  </sheetData>
  <pageMargins left="0.7" right="0.7" top="0.75" bottom="0.75" header="0.3" footer="0.3"/>
  <pageSetup orientation="portrait" scale="57"/>
  <drawing xmlns:r="http://schemas.openxmlformats.org/officeDocument/2006/relationships" r:id="rId1"/>
</worksheet>
</file>

<file path=xl/worksheets/sheet9.xml><?xml version="1.0" encoding="utf-8"?>
<worksheet xmlns="http://schemas.openxmlformats.org/spreadsheetml/2006/main">
  <sheetPr>
    <tabColor rgb="FFD7EEF1"/>
    <outlinePr summaryBelow="1" summaryRight="1"/>
    <pageSetUpPr/>
  </sheetPr>
  <dimension ref="B2:AJ107"/>
  <sheetViews>
    <sheetView showGridLines="0" zoomScale="80" workbookViewId="0">
      <selection activeCell="U16" sqref="U16"/>
    </sheetView>
  </sheetViews>
  <sheetFormatPr baseColWidth="8" defaultColWidth="0" defaultRowHeight="17.5"/>
  <cols>
    <col width="1.61328125" customWidth="1" style="71" min="1" max="1"/>
    <col width="8.69140625" customWidth="1" style="71" min="2" max="14"/>
    <col width="25.84375" bestFit="1" customWidth="1" style="1824" min="15" max="15"/>
    <col width="9.3828125" bestFit="1" customWidth="1" style="168" min="16" max="16"/>
    <col width="8.4609375" bestFit="1" customWidth="1" style="168" min="17" max="17"/>
    <col width="9.3828125" bestFit="1" customWidth="1" style="168" min="18" max="18"/>
    <col width="10.61328125" bestFit="1" customWidth="1" style="168" min="19" max="19"/>
    <col width="8.4609375" bestFit="1" customWidth="1" style="168" min="20" max="20"/>
    <col width="9.15234375" bestFit="1" customWidth="1" style="168" min="21" max="26"/>
    <col width="8.69140625" customWidth="1" style="71" min="27" max="27"/>
    <col hidden="1" style="71" min="28" max="37"/>
    <col hidden="1" width="8.69140625" customWidth="1" style="71" min="38" max="16384"/>
  </cols>
  <sheetData>
    <row r="2">
      <c r="B2" s="165" t="inlineStr">
        <is>
          <t>Valify - UAE Valuation Services</t>
        </is>
      </c>
      <c r="C2" s="166" t="n"/>
    </row>
    <row r="3">
      <c r="B3" s="169" t="inlineStr">
        <is>
          <t>Sample Client Company - Valuation of Sample Target Ltd as at December 31, 2022</t>
        </is>
      </c>
      <c r="C3" s="174" t="n"/>
    </row>
    <row r="4">
      <c r="B4" s="171" t="inlineStr">
        <is>
          <t>Report-Use Summary</t>
        </is>
      </c>
      <c r="C4" s="172" t="n"/>
      <c r="D4" s="172" t="n"/>
      <c r="E4" s="172" t="n"/>
      <c r="F4" s="172" t="n"/>
      <c r="G4" s="172" t="n"/>
      <c r="H4" s="172" t="n"/>
      <c r="I4" s="172" t="n"/>
      <c r="J4" s="172" t="n"/>
    </row>
    <row r="5">
      <c r="B5" s="173" t="n"/>
      <c r="C5" s="174" t="n"/>
    </row>
    <row r="6">
      <c r="B6" s="175" t="inlineStr">
        <is>
          <t>VALUATION SUMMARY</t>
        </is>
      </c>
      <c r="C6" s="176" t="n"/>
      <c r="D6" s="177" t="n"/>
      <c r="E6" s="177" t="n"/>
      <c r="F6" s="177" t="n"/>
      <c r="G6" s="177" t="n"/>
      <c r="H6" s="177" t="n"/>
      <c r="I6" s="177" t="n"/>
      <c r="J6" s="177" t="n"/>
      <c r="K6" s="177" t="n"/>
      <c r="L6" s="177" t="n"/>
      <c r="M6" s="177" t="n"/>
      <c r="N6" s="177" t="n"/>
      <c r="O6" s="178" t="n"/>
      <c r="P6" s="179" t="n"/>
      <c r="Q6" s="179" t="n"/>
      <c r="R6" s="179" t="n"/>
      <c r="S6" s="179" t="n"/>
      <c r="T6" s="179" t="n"/>
      <c r="U6" s="179" t="n"/>
      <c r="V6" s="179" t="n"/>
      <c r="W6" s="179" t="n"/>
      <c r="X6" s="179" t="n"/>
      <c r="Y6" s="179" t="n"/>
      <c r="Z6" s="179" t="n"/>
    </row>
    <row r="7">
      <c r="B7" s="173" t="n"/>
      <c r="C7" s="174" t="n"/>
    </row>
    <row r="8">
      <c r="B8" s="173" t="n"/>
      <c r="C8" s="174" t="n"/>
      <c r="O8" s="180" t="inlineStr">
        <is>
          <t>Enterprise Value</t>
        </is>
      </c>
      <c r="P8" s="181" t="inlineStr">
        <is>
          <t>Low</t>
        </is>
      </c>
      <c r="Q8" s="181" t="inlineStr">
        <is>
          <t>Difference</t>
        </is>
      </c>
      <c r="R8" s="182" t="inlineStr">
        <is>
          <t>High</t>
        </is>
      </c>
      <c r="T8" s="71" t="n"/>
      <c r="U8" s="168">
        <f>"Amounts in "&amp;currency.heading1</f>
        <v/>
      </c>
    </row>
    <row r="9">
      <c r="B9" s="173" t="n"/>
      <c r="C9" s="174" t="n"/>
      <c r="O9" s="1912" t="inlineStr">
        <is>
          <t>DCF Approach</t>
        </is>
      </c>
      <c r="P9" s="1913">
        <f>DCF!L32</f>
        <v/>
      </c>
      <c r="Q9" s="1914">
        <f>R9-P9</f>
        <v/>
      </c>
      <c r="R9" s="1915">
        <f>DCF!M32</f>
        <v/>
      </c>
      <c r="T9" s="71" t="n"/>
      <c r="U9" s="168">
        <f>"Revenues in "&amp;currency.heading1</f>
        <v/>
      </c>
    </row>
    <row r="10">
      <c r="B10" s="173" t="n"/>
      <c r="C10" s="174" t="n"/>
      <c r="O10" s="1912" t="inlineStr">
        <is>
          <t>Multiples Approach (EV/EBITDA)</t>
        </is>
      </c>
      <c r="P10" s="1913">
        <f>ValSum!D55</f>
        <v/>
      </c>
      <c r="Q10" s="1914">
        <f>R10-P10</f>
        <v/>
      </c>
      <c r="R10" s="1915">
        <f>ValSum!F55</f>
        <v/>
      </c>
      <c r="T10" s="71" t="n"/>
      <c r="U10" s="168">
        <f>"Direct Costs in "&amp;currency.heading1</f>
        <v/>
      </c>
    </row>
    <row r="11">
      <c r="B11" s="173" t="n"/>
      <c r="C11" s="174" t="n"/>
      <c r="O11" s="1916" t="inlineStr">
        <is>
          <t>Transactions Approach</t>
        </is>
      </c>
      <c r="P11" s="1917">
        <f>ValSum!D63</f>
        <v/>
      </c>
      <c r="Q11" s="1918">
        <f>R11-P11</f>
        <v/>
      </c>
      <c r="R11" s="1919">
        <f>ValSum!F63</f>
        <v/>
      </c>
      <c r="T11" s="71" t="n"/>
      <c r="U11" s="168">
        <f>"Working Capital Balance in "&amp;currency.heading1&amp;" &amp; as a % of Revenue"</f>
        <v/>
      </c>
    </row>
    <row r="12">
      <c r="B12" s="173" t="n"/>
      <c r="C12" s="174" t="n"/>
      <c r="T12" s="71" t="n"/>
      <c r="U12" s="168">
        <f>"Capital Expenditure in "&amp;currency.heading1</f>
        <v/>
      </c>
    </row>
    <row r="13">
      <c r="B13" s="173" t="n"/>
      <c r="C13" s="174" t="n"/>
      <c r="O13" s="180" t="inlineStr">
        <is>
          <t>Equity Value</t>
        </is>
      </c>
      <c r="P13" s="181" t="inlineStr">
        <is>
          <t>Low</t>
        </is>
      </c>
      <c r="Q13" s="181" t="inlineStr">
        <is>
          <t>Difference</t>
        </is>
      </c>
      <c r="R13" s="182" t="inlineStr">
        <is>
          <t>High</t>
        </is>
      </c>
      <c r="T13" s="71" t="n"/>
    </row>
    <row r="14">
      <c r="B14" s="173" t="n"/>
      <c r="C14" s="174" t="n"/>
      <c r="O14" s="1912" t="inlineStr">
        <is>
          <t>DCF Approach</t>
        </is>
      </c>
      <c r="P14" s="1913" t="n"/>
      <c r="Q14" s="1914">
        <f>R14-P14</f>
        <v/>
      </c>
      <c r="R14" s="1915" t="n"/>
      <c r="T14" s="71" t="n"/>
    </row>
    <row r="15">
      <c r="B15" s="173" t="n"/>
      <c r="C15" s="174" t="n"/>
      <c r="O15" s="1912" t="inlineStr">
        <is>
          <t>Multiples Approach (EV/EBITDA)</t>
        </is>
      </c>
      <c r="P15" s="1913" t="n"/>
      <c r="Q15" s="1914">
        <f>R15-P15</f>
        <v/>
      </c>
      <c r="R15" s="1915" t="n"/>
      <c r="T15" s="71" t="n"/>
    </row>
    <row r="16">
      <c r="B16" s="173" t="n"/>
      <c r="C16" s="174" t="n"/>
      <c r="O16" s="1916" t="inlineStr">
        <is>
          <t>Transactions Approach</t>
        </is>
      </c>
      <c r="P16" s="1917" t="n"/>
      <c r="Q16" s="1918">
        <f>R16-P16</f>
        <v/>
      </c>
      <c r="R16" s="1919" t="n"/>
      <c r="T16" s="71" t="n"/>
    </row>
    <row r="17">
      <c r="B17" s="173" t="n"/>
      <c r="C17" s="174" t="n"/>
      <c r="T17" s="71" t="n"/>
    </row>
    <row r="18">
      <c r="B18" s="173" t="n"/>
      <c r="C18" s="174" t="n"/>
      <c r="T18" s="71" t="n"/>
    </row>
    <row r="19">
      <c r="B19" s="173" t="n"/>
      <c r="C19" s="174" t="n"/>
      <c r="O19" s="180" t="inlineStr">
        <is>
          <t>Enterprise Value</t>
        </is>
      </c>
      <c r="P19" s="181" t="inlineStr">
        <is>
          <t>Low</t>
        </is>
      </c>
      <c r="Q19" s="181" t="inlineStr">
        <is>
          <t>Difference</t>
        </is>
      </c>
      <c r="R19" s="182" t="inlineStr">
        <is>
          <t>High</t>
        </is>
      </c>
      <c r="T19" s="71" t="n"/>
    </row>
    <row r="20">
      <c r="B20" s="173" t="n"/>
      <c r="C20" s="174" t="n"/>
      <c r="O20" s="1912" t="inlineStr">
        <is>
          <t>Management Case</t>
        </is>
      </c>
      <c r="P20" s="1913">
        <f>ValSum!#REF!</f>
        <v/>
      </c>
      <c r="Q20" s="1914">
        <f>R20-P20</f>
        <v/>
      </c>
      <c r="R20" s="1915">
        <f>ValSum!#REF!</f>
        <v/>
      </c>
      <c r="T20" s="71" t="n"/>
    </row>
    <row r="21">
      <c r="B21" s="173" t="n"/>
      <c r="C21" s="174" t="n"/>
      <c r="O21" s="1920" t="inlineStr">
        <is>
          <t>Valify Case</t>
        </is>
      </c>
      <c r="P21" s="1921" t="n"/>
      <c r="Q21" s="1921">
        <f>R21-P21</f>
        <v/>
      </c>
      <c r="R21" s="1922" t="n"/>
      <c r="T21" s="71" t="n"/>
    </row>
    <row r="22">
      <c r="B22" s="173" t="n"/>
      <c r="C22" s="174" t="n"/>
      <c r="T22" s="71" t="n"/>
    </row>
    <row r="23">
      <c r="B23" s="173" t="n"/>
      <c r="C23" s="174" t="n"/>
      <c r="O23" s="180" t="inlineStr">
        <is>
          <t>Equity Value</t>
        </is>
      </c>
      <c r="P23" s="181" t="inlineStr">
        <is>
          <t>Low</t>
        </is>
      </c>
      <c r="Q23" s="181" t="inlineStr">
        <is>
          <t>Difference</t>
        </is>
      </c>
      <c r="R23" s="182" t="inlineStr">
        <is>
          <t>High</t>
        </is>
      </c>
      <c r="T23" s="71" t="n"/>
    </row>
    <row r="24">
      <c r="B24" s="173" t="n"/>
      <c r="C24" s="174" t="n"/>
      <c r="O24" s="1912" t="inlineStr">
        <is>
          <t>DCF Approach</t>
        </is>
      </c>
      <c r="P24" s="1913" t="n"/>
      <c r="Q24" s="1914">
        <f>R24-P24</f>
        <v/>
      </c>
      <c r="R24" s="1915" t="n"/>
      <c r="T24" s="71" t="n"/>
    </row>
    <row r="25">
      <c r="B25" s="173" t="n"/>
      <c r="C25" s="174" t="n"/>
      <c r="O25" s="1920">
        <f>O21</f>
        <v/>
      </c>
      <c r="P25" s="1921" t="n"/>
      <c r="Q25" s="1921">
        <f>R25-P25</f>
        <v/>
      </c>
      <c r="R25" s="1922" t="n"/>
      <c r="T25" s="71" t="n"/>
    </row>
    <row r="26">
      <c r="B26" s="173" t="n"/>
      <c r="C26" s="174" t="n"/>
    </row>
    <row r="27">
      <c r="B27" s="173" t="n"/>
      <c r="C27" s="174" t="n"/>
    </row>
    <row r="28">
      <c r="B28" s="175" t="inlineStr">
        <is>
          <t>INCOME STATEMENT</t>
        </is>
      </c>
      <c r="C28" s="176" t="n"/>
      <c r="D28" s="177" t="n"/>
      <c r="E28" s="177" t="n"/>
      <c r="F28" s="177" t="n"/>
      <c r="G28" s="177" t="n"/>
      <c r="H28" s="177" t="n"/>
      <c r="I28" s="177" t="n"/>
      <c r="J28" s="177" t="n"/>
      <c r="K28" s="177" t="n"/>
      <c r="L28" s="177" t="n"/>
      <c r="M28" s="177" t="n"/>
      <c r="N28" s="177" t="n"/>
      <c r="O28" s="178" t="n"/>
      <c r="P28" s="179" t="n"/>
      <c r="Q28" s="179" t="n"/>
      <c r="R28" s="179" t="n"/>
      <c r="S28" s="179" t="n"/>
      <c r="T28" s="179" t="n"/>
      <c r="U28" s="179" t="n"/>
      <c r="V28" s="179" t="n"/>
      <c r="W28" s="179" t="n"/>
      <c r="X28" s="179" t="n"/>
      <c r="Y28" s="179" t="n"/>
      <c r="Z28" s="179" t="n"/>
    </row>
    <row r="29">
      <c r="B29" s="194" t="n"/>
      <c r="C29" s="174" t="n"/>
    </row>
    <row r="30">
      <c r="O30" s="180" t="inlineStr">
        <is>
          <t>Revenue Breakdown 1</t>
        </is>
      </c>
      <c r="P30" s="181">
        <f>IS!H7</f>
        <v/>
      </c>
      <c r="Q30" s="181">
        <f>IS!I7</f>
        <v/>
      </c>
      <c r="R30" s="181">
        <f>IS!J7</f>
        <v/>
      </c>
      <c r="S30" s="181">
        <f>IS!K7</f>
        <v/>
      </c>
      <c r="T30" s="181">
        <f>IS!L7</f>
        <v/>
      </c>
      <c r="U30" s="181">
        <f>IS!M7</f>
        <v/>
      </c>
      <c r="V30" s="181">
        <f>IS!N7</f>
        <v/>
      </c>
      <c r="W30" s="181">
        <f>IS!O7</f>
        <v/>
      </c>
      <c r="X30" s="181">
        <f>IS!P7</f>
        <v/>
      </c>
      <c r="Y30" s="181">
        <f>IS!Q7</f>
        <v/>
      </c>
      <c r="Z30" s="195">
        <f>IS!R7</f>
        <v/>
      </c>
    </row>
    <row r="31">
      <c r="O31" s="1912" t="inlineStr">
        <is>
          <t>Existing Business Revenues</t>
        </is>
      </c>
      <c r="P31" s="212">
        <f>IS_Calcs!H72</f>
        <v/>
      </c>
      <c r="Q31" s="212">
        <f>IS_Calcs!I72</f>
        <v/>
      </c>
      <c r="R31" s="212">
        <f>IS_Calcs!J72</f>
        <v/>
      </c>
      <c r="S31" s="212">
        <f>IS_Calcs!K72</f>
        <v/>
      </c>
      <c r="T31" s="212">
        <f>IS_Calcs!L72</f>
        <v/>
      </c>
      <c r="U31" s="212">
        <f>IS_Calcs!M72</f>
        <v/>
      </c>
      <c r="V31" s="212">
        <f>IS_Calcs!N72</f>
        <v/>
      </c>
      <c r="W31" s="212">
        <f>IS_Calcs!O72</f>
        <v/>
      </c>
      <c r="X31" s="212">
        <f>IS_Calcs!P72</f>
        <v/>
      </c>
      <c r="Y31" s="212">
        <f>IS_Calcs!Q72</f>
        <v/>
      </c>
      <c r="Z31" s="208">
        <f>IS_Calcs!R72</f>
        <v/>
      </c>
    </row>
    <row r="32">
      <c r="O32" s="1912" t="inlineStr">
        <is>
          <t>Pipeline Business Revenues</t>
        </is>
      </c>
      <c r="P32" s="212">
        <f>IS_Calcs!H73</f>
        <v/>
      </c>
      <c r="Q32" s="212">
        <f>IS_Calcs!I73</f>
        <v/>
      </c>
      <c r="R32" s="212">
        <f>IS_Calcs!J73</f>
        <v/>
      </c>
      <c r="S32" s="212">
        <f>IS_Calcs!K73</f>
        <v/>
      </c>
      <c r="T32" s="212">
        <f>IS_Calcs!L73</f>
        <v/>
      </c>
      <c r="U32" s="212">
        <f>IS_Calcs!M73</f>
        <v/>
      </c>
      <c r="V32" s="212">
        <f>IS_Calcs!N73</f>
        <v/>
      </c>
      <c r="W32" s="212">
        <f>IS_Calcs!O73</f>
        <v/>
      </c>
      <c r="X32" s="212">
        <f>IS_Calcs!P73</f>
        <v/>
      </c>
      <c r="Y32" s="212">
        <f>IS_Calcs!Q73</f>
        <v/>
      </c>
      <c r="Z32" s="208">
        <f>IS_Calcs!R73</f>
        <v/>
      </c>
    </row>
    <row r="33">
      <c r="O33" s="1916" t="inlineStr">
        <is>
          <t>Potential Business Revenues</t>
        </is>
      </c>
      <c r="P33" s="210">
        <f>IS_Calcs!H74</f>
        <v/>
      </c>
      <c r="Q33" s="210">
        <f>IS_Calcs!I74</f>
        <v/>
      </c>
      <c r="R33" s="210">
        <f>IS_Calcs!J74</f>
        <v/>
      </c>
      <c r="S33" s="210">
        <f>IS_Calcs!K74</f>
        <v/>
      </c>
      <c r="T33" s="210">
        <f>IS_Calcs!L74</f>
        <v/>
      </c>
      <c r="U33" s="210">
        <f>IS_Calcs!M74</f>
        <v/>
      </c>
      <c r="V33" s="210">
        <f>IS_Calcs!N74</f>
        <v/>
      </c>
      <c r="W33" s="210">
        <f>IS_Calcs!O74</f>
        <v/>
      </c>
      <c r="X33" s="210">
        <f>IS_Calcs!P74</f>
        <v/>
      </c>
      <c r="Y33" s="210">
        <f>IS_Calcs!Q74</f>
        <v/>
      </c>
      <c r="Z33" s="211">
        <f>IS_Calcs!R74</f>
        <v/>
      </c>
    </row>
    <row r="35">
      <c r="O35" s="180" t="inlineStr">
        <is>
          <t>Revenue Breakdown 2</t>
        </is>
      </c>
      <c r="P35" s="181">
        <f>P30</f>
        <v/>
      </c>
      <c r="Q35" s="181">
        <f>Q30</f>
        <v/>
      </c>
      <c r="R35" s="181">
        <f>R30</f>
        <v/>
      </c>
      <c r="S35" s="181">
        <f>S30</f>
        <v/>
      </c>
      <c r="T35" s="181">
        <f>T30</f>
        <v/>
      </c>
      <c r="U35" s="181">
        <f>U30</f>
        <v/>
      </c>
      <c r="V35" s="181">
        <f>V30</f>
        <v/>
      </c>
      <c r="W35" s="181">
        <f>W30</f>
        <v/>
      </c>
      <c r="X35" s="181">
        <f>X30</f>
        <v/>
      </c>
      <c r="Y35" s="181">
        <f>Y30</f>
        <v/>
      </c>
      <c r="Z35" s="182">
        <f>Z30</f>
        <v/>
      </c>
    </row>
    <row r="36">
      <c r="O36" s="1912">
        <f>IS_Calcs!C46</f>
        <v/>
      </c>
      <c r="P36" s="212">
        <f>IFERROR((IS_Calcs!H46/IS_Calcs!H$69),0)</f>
        <v/>
      </c>
      <c r="Q36" s="212">
        <f>IFERROR((IS_Calcs!I46/IS_Calcs!I$69),0)</f>
        <v/>
      </c>
      <c r="R36" s="212">
        <f>IFERROR((IS_Calcs!J46/IS_Calcs!J$69),0)</f>
        <v/>
      </c>
      <c r="S36" s="212">
        <f>IFERROR((IS_Calcs!K46/IS_Calcs!K$69),0)</f>
        <v/>
      </c>
      <c r="T36" s="212">
        <f>IFERROR((IS_Calcs!L46/IS_Calcs!L$69),0)</f>
        <v/>
      </c>
      <c r="U36" s="212">
        <f>IFERROR((IS_Calcs!M46/IS_Calcs!M$69),0)</f>
        <v/>
      </c>
      <c r="V36" s="212">
        <f>IFERROR((IS_Calcs!N46/IS_Calcs!N$69),0)</f>
        <v/>
      </c>
      <c r="W36" s="212">
        <f>IFERROR((IS_Calcs!O46/IS_Calcs!O$69),0)</f>
        <v/>
      </c>
      <c r="X36" s="212">
        <f>IFERROR((IS_Calcs!P46/IS_Calcs!P$69),0)</f>
        <v/>
      </c>
      <c r="Y36" s="212">
        <f>IFERROR((IS_Calcs!Q46/IS_Calcs!Q$69),0)</f>
        <v/>
      </c>
      <c r="Z36" s="208">
        <f>IFERROR((IS_Calcs!R46/IS_Calcs!R$69),0)</f>
        <v/>
      </c>
    </row>
    <row r="37">
      <c r="O37" s="1912">
        <f>IS_Calcs!C47</f>
        <v/>
      </c>
      <c r="P37" s="212">
        <f>IFERROR((IS_Calcs!H47/IS_Calcs!H$69),0)</f>
        <v/>
      </c>
      <c r="Q37" s="212">
        <f>IFERROR((IS_Calcs!I47/IS_Calcs!I$69),0)</f>
        <v/>
      </c>
      <c r="R37" s="212">
        <f>IFERROR((IS_Calcs!J47/IS_Calcs!J$69),0)</f>
        <v/>
      </c>
      <c r="S37" s="212">
        <f>IFERROR((IS_Calcs!K47/IS_Calcs!K$69),0)</f>
        <v/>
      </c>
      <c r="T37" s="212">
        <f>IFERROR((IS_Calcs!L47/IS_Calcs!L$69),0)</f>
        <v/>
      </c>
      <c r="U37" s="212">
        <f>IFERROR((IS_Calcs!M47/IS_Calcs!M$69),0)</f>
        <v/>
      </c>
      <c r="V37" s="212">
        <f>IFERROR((IS_Calcs!N47/IS_Calcs!N$69),0)</f>
        <v/>
      </c>
      <c r="W37" s="212">
        <f>IFERROR((IS_Calcs!O47/IS_Calcs!O$69),0)</f>
        <v/>
      </c>
      <c r="X37" s="212">
        <f>IFERROR((IS_Calcs!P47/IS_Calcs!P$69),0)</f>
        <v/>
      </c>
      <c r="Y37" s="212">
        <f>IFERROR((IS_Calcs!Q47/IS_Calcs!Q$69),0)</f>
        <v/>
      </c>
      <c r="Z37" s="208">
        <f>IFERROR((IS_Calcs!R47/IS_Calcs!R$69),0)</f>
        <v/>
      </c>
    </row>
    <row r="38">
      <c r="O38" s="1912">
        <f>IS_Calcs!C48</f>
        <v/>
      </c>
      <c r="P38" s="212">
        <f>IFERROR((IS_Calcs!H48/IS_Calcs!H$69),0)</f>
        <v/>
      </c>
      <c r="Q38" s="212">
        <f>IFERROR((IS_Calcs!I48/IS_Calcs!I$69),0)</f>
        <v/>
      </c>
      <c r="R38" s="212">
        <f>IFERROR((IS_Calcs!J48/IS_Calcs!J$69),0)</f>
        <v/>
      </c>
      <c r="S38" s="212">
        <f>IFERROR((IS_Calcs!K48/IS_Calcs!K$69),0)</f>
        <v/>
      </c>
      <c r="T38" s="212">
        <f>IFERROR((IS_Calcs!L48/IS_Calcs!L$69),0)</f>
        <v/>
      </c>
      <c r="U38" s="212">
        <f>IFERROR((IS_Calcs!M48/IS_Calcs!M$69),0)</f>
        <v/>
      </c>
      <c r="V38" s="212">
        <f>IFERROR((IS_Calcs!N48/IS_Calcs!N$69),0)</f>
        <v/>
      </c>
      <c r="W38" s="212">
        <f>IFERROR((IS_Calcs!O48/IS_Calcs!O$69),0)</f>
        <v/>
      </c>
      <c r="X38" s="212">
        <f>IFERROR((IS_Calcs!P48/IS_Calcs!P$69),0)</f>
        <v/>
      </c>
      <c r="Y38" s="212">
        <f>IFERROR((IS_Calcs!Q48/IS_Calcs!Q$69),0)</f>
        <v/>
      </c>
      <c r="Z38" s="208">
        <f>IFERROR((IS_Calcs!R48/IS_Calcs!R$69),0)</f>
        <v/>
      </c>
      <c r="AA38" s="1923" t="n"/>
      <c r="AB38" s="1924" t="n"/>
      <c r="AC38" s="1924" t="n"/>
      <c r="AD38" s="1924" t="n"/>
      <c r="AE38" s="1924" t="n"/>
      <c r="AF38" s="1924" t="n"/>
      <c r="AG38" s="1924" t="n"/>
      <c r="AH38" s="1924" t="n"/>
      <c r="AI38" s="1924" t="n"/>
      <c r="AJ38" s="1924" t="n"/>
    </row>
    <row r="39">
      <c r="O39" s="1912">
        <f>IS_Calcs!C49</f>
        <v/>
      </c>
      <c r="P39" s="212">
        <f>IFERROR((IS_Calcs!H49/IS_Calcs!H$69),0)</f>
        <v/>
      </c>
      <c r="Q39" s="212">
        <f>IFERROR((IS_Calcs!I49/IS_Calcs!I$69),0)</f>
        <v/>
      </c>
      <c r="R39" s="212">
        <f>IFERROR((IS_Calcs!J49/IS_Calcs!J$69),0)</f>
        <v/>
      </c>
      <c r="S39" s="212">
        <f>IFERROR((IS_Calcs!K49/IS_Calcs!K$69),0)</f>
        <v/>
      </c>
      <c r="T39" s="212">
        <f>IFERROR((IS_Calcs!L49/IS_Calcs!L$69),0)</f>
        <v/>
      </c>
      <c r="U39" s="212">
        <f>IFERROR((IS_Calcs!M49/IS_Calcs!M$69),0)</f>
        <v/>
      </c>
      <c r="V39" s="212">
        <f>IFERROR((IS_Calcs!N49/IS_Calcs!N$69),0)</f>
        <v/>
      </c>
      <c r="W39" s="212">
        <f>IFERROR((IS_Calcs!O49/IS_Calcs!O$69),0)</f>
        <v/>
      </c>
      <c r="X39" s="212">
        <f>IFERROR((IS_Calcs!P49/IS_Calcs!P$69),0)</f>
        <v/>
      </c>
      <c r="Y39" s="212">
        <f>IFERROR((IS_Calcs!Q49/IS_Calcs!Q$69),0)</f>
        <v/>
      </c>
      <c r="Z39" s="208">
        <f>IFERROR((IS_Calcs!R49/IS_Calcs!R$69),0)</f>
        <v/>
      </c>
    </row>
    <row r="40">
      <c r="O40" s="1912">
        <f>IS_Calcs!C54</f>
        <v/>
      </c>
      <c r="P40" s="212">
        <f>IFERROR((IS_Calcs!H50/IS_Calcs!H$69),0)</f>
        <v/>
      </c>
      <c r="Q40" s="212">
        <f>IFERROR((IS_Calcs!I50/IS_Calcs!I$69),0)</f>
        <v/>
      </c>
      <c r="R40" s="212">
        <f>IFERROR((IS_Calcs!J50/IS_Calcs!J$69),0)</f>
        <v/>
      </c>
      <c r="S40" s="212">
        <f>IFERROR((IS_Calcs!K50/IS_Calcs!K$69),0)</f>
        <v/>
      </c>
      <c r="T40" s="212">
        <f>IFERROR((IS_Calcs!L50/IS_Calcs!L$69),0)</f>
        <v/>
      </c>
      <c r="U40" s="212">
        <f>IFERROR((IS_Calcs!M50/IS_Calcs!M$69),0)</f>
        <v/>
      </c>
      <c r="V40" s="212">
        <f>IFERROR((IS_Calcs!N50/IS_Calcs!N$69),0)</f>
        <v/>
      </c>
      <c r="W40" s="212">
        <f>IFERROR((IS_Calcs!O50/IS_Calcs!O$69),0)</f>
        <v/>
      </c>
      <c r="X40" s="212">
        <f>IFERROR((IS_Calcs!P50/IS_Calcs!P$69),0)</f>
        <v/>
      </c>
      <c r="Y40" s="212">
        <f>IFERROR((IS_Calcs!Q50/IS_Calcs!Q$69),0)</f>
        <v/>
      </c>
      <c r="Z40" s="208">
        <f>IFERROR((IS_Calcs!R50/IS_Calcs!R$69),0)</f>
        <v/>
      </c>
    </row>
    <row r="41">
      <c r="O41" s="1912">
        <f>IS_Calcs!C55</f>
        <v/>
      </c>
      <c r="P41" s="212">
        <f>IFERROR((IS_Calcs!H51/IS_Calcs!H$69),0)</f>
        <v/>
      </c>
      <c r="Q41" s="212">
        <f>IFERROR((IS_Calcs!I51/IS_Calcs!I$69),0)</f>
        <v/>
      </c>
      <c r="R41" s="212">
        <f>IFERROR((IS_Calcs!J51/IS_Calcs!J$69),0)</f>
        <v/>
      </c>
      <c r="S41" s="212">
        <f>IFERROR((IS_Calcs!K51/IS_Calcs!K$69),0)</f>
        <v/>
      </c>
      <c r="T41" s="212">
        <f>IFERROR((IS_Calcs!L51/IS_Calcs!L$69),0)</f>
        <v/>
      </c>
      <c r="U41" s="212">
        <f>IFERROR((IS_Calcs!M51/IS_Calcs!M$69),0)</f>
        <v/>
      </c>
      <c r="V41" s="212">
        <f>IFERROR((IS_Calcs!N51/IS_Calcs!N$69),0)</f>
        <v/>
      </c>
      <c r="W41" s="212">
        <f>IFERROR((IS_Calcs!O51/IS_Calcs!O$69),0)</f>
        <v/>
      </c>
      <c r="X41" s="212">
        <f>IFERROR((IS_Calcs!P51/IS_Calcs!P$69),0)</f>
        <v/>
      </c>
      <c r="Y41" s="212">
        <f>IFERROR((IS_Calcs!Q51/IS_Calcs!Q$69),0)</f>
        <v/>
      </c>
      <c r="Z41" s="208">
        <f>IFERROR((IS_Calcs!R51/IS_Calcs!R$69),0)</f>
        <v/>
      </c>
    </row>
    <row r="42">
      <c r="O42" s="1912">
        <f>IS_Calcs!C56</f>
        <v/>
      </c>
      <c r="P42" s="212">
        <f>IFERROR((IS_Calcs!H52/IS_Calcs!H$69),0)</f>
        <v/>
      </c>
      <c r="Q42" s="212">
        <f>IFERROR((IS_Calcs!I52/IS_Calcs!I$69),0)</f>
        <v/>
      </c>
      <c r="R42" s="212">
        <f>IFERROR((IS_Calcs!J52/IS_Calcs!J$69),0)</f>
        <v/>
      </c>
      <c r="S42" s="212">
        <f>IFERROR((IS_Calcs!K52/IS_Calcs!K$69),0)</f>
        <v/>
      </c>
      <c r="T42" s="212">
        <f>IFERROR((IS_Calcs!L52/IS_Calcs!L$69),0)</f>
        <v/>
      </c>
      <c r="U42" s="212">
        <f>IFERROR((IS_Calcs!M52/IS_Calcs!M$69),0)</f>
        <v/>
      </c>
      <c r="V42" s="212">
        <f>IFERROR((IS_Calcs!N52/IS_Calcs!N$69),0)</f>
        <v/>
      </c>
      <c r="W42" s="212">
        <f>IFERROR((IS_Calcs!O52/IS_Calcs!O$69),0)</f>
        <v/>
      </c>
      <c r="X42" s="212">
        <f>IFERROR((IS_Calcs!P52/IS_Calcs!P$69),0)</f>
        <v/>
      </c>
      <c r="Y42" s="212">
        <f>IFERROR((IS_Calcs!Q52/IS_Calcs!Q$69),0)</f>
        <v/>
      </c>
      <c r="Z42" s="208">
        <f>IFERROR((IS_Calcs!R52/IS_Calcs!R$69),0)</f>
        <v/>
      </c>
    </row>
    <row r="43">
      <c r="O43" s="1912">
        <f>IS_Calcs!C57</f>
        <v/>
      </c>
      <c r="P43" s="212">
        <f>IFERROR((IS_Calcs!H53/IS_Calcs!H$69),0)</f>
        <v/>
      </c>
      <c r="Q43" s="212">
        <f>IFERROR((IS_Calcs!I53/IS_Calcs!I$69),0)</f>
        <v/>
      </c>
      <c r="R43" s="212">
        <f>IFERROR((IS_Calcs!J53/IS_Calcs!J$69),0)</f>
        <v/>
      </c>
      <c r="S43" s="212">
        <f>IFERROR((IS_Calcs!K53/IS_Calcs!K$69),0)</f>
        <v/>
      </c>
      <c r="T43" s="212">
        <f>IFERROR((IS_Calcs!L53/IS_Calcs!L$69),0)</f>
        <v/>
      </c>
      <c r="U43" s="212">
        <f>IFERROR((IS_Calcs!M53/IS_Calcs!M$69),0)</f>
        <v/>
      </c>
      <c r="V43" s="212">
        <f>IFERROR((IS_Calcs!N53/IS_Calcs!N$69),0)</f>
        <v/>
      </c>
      <c r="W43" s="212">
        <f>IFERROR((IS_Calcs!O53/IS_Calcs!O$69),0)</f>
        <v/>
      </c>
      <c r="X43" s="212">
        <f>IFERROR((IS_Calcs!P53/IS_Calcs!P$69),0)</f>
        <v/>
      </c>
      <c r="Y43" s="212">
        <f>IFERROR((IS_Calcs!Q53/IS_Calcs!Q$69),0)</f>
        <v/>
      </c>
      <c r="Z43" s="208">
        <f>IFERROR((IS_Calcs!R53/IS_Calcs!R$69),0)</f>
        <v/>
      </c>
    </row>
    <row r="44">
      <c r="O44" s="1912">
        <f>IS_Calcs!C62</f>
        <v/>
      </c>
      <c r="P44" s="212">
        <f>IFERROR((IS_Calcs!H62/IS_Calcs!H$69),0)</f>
        <v/>
      </c>
      <c r="Q44" s="212">
        <f>IFERROR((IS_Calcs!I62/IS_Calcs!I$69),0)</f>
        <v/>
      </c>
      <c r="R44" s="212">
        <f>IFERROR((IS_Calcs!J62/IS_Calcs!J$69),0)</f>
        <v/>
      </c>
      <c r="S44" s="212">
        <f>IFERROR((IS_Calcs!K62/IS_Calcs!K$69),0)</f>
        <v/>
      </c>
      <c r="T44" s="212">
        <f>IFERROR((IS_Calcs!L62/IS_Calcs!L$69),0)</f>
        <v/>
      </c>
      <c r="U44" s="212">
        <f>IFERROR((IS_Calcs!M62/IS_Calcs!M$69),0)</f>
        <v/>
      </c>
      <c r="V44" s="212">
        <f>IFERROR((IS_Calcs!N62/IS_Calcs!N$69),0)</f>
        <v/>
      </c>
      <c r="W44" s="212">
        <f>IFERROR((IS_Calcs!O62/IS_Calcs!O$69),0)</f>
        <v/>
      </c>
      <c r="X44" s="212">
        <f>IFERROR((IS_Calcs!P62/IS_Calcs!P$69),0)</f>
        <v/>
      </c>
      <c r="Y44" s="212">
        <f>IFERROR((IS_Calcs!Q62/IS_Calcs!Q$69),0)</f>
        <v/>
      </c>
      <c r="Z44" s="208">
        <f>IFERROR((IS_Calcs!R62/IS_Calcs!R$69),0)</f>
        <v/>
      </c>
    </row>
    <row r="45">
      <c r="O45" s="1912">
        <f>IS_Calcs!C63</f>
        <v/>
      </c>
      <c r="P45" s="212">
        <f>IFERROR((IS_Calcs!H63/IS_Calcs!H$69),0)</f>
        <v/>
      </c>
      <c r="Q45" s="212">
        <f>IFERROR((IS_Calcs!I63/IS_Calcs!I$69),0)</f>
        <v/>
      </c>
      <c r="R45" s="212">
        <f>IFERROR((IS_Calcs!J63/IS_Calcs!J$69),0)</f>
        <v/>
      </c>
      <c r="S45" s="212">
        <f>IFERROR((IS_Calcs!K63/IS_Calcs!K$69),0)</f>
        <v/>
      </c>
      <c r="T45" s="212">
        <f>IFERROR((IS_Calcs!L63/IS_Calcs!L$69),0)</f>
        <v/>
      </c>
      <c r="U45" s="212">
        <f>IFERROR((IS_Calcs!M63/IS_Calcs!M$69),0)</f>
        <v/>
      </c>
      <c r="V45" s="212">
        <f>IFERROR((IS_Calcs!N63/IS_Calcs!N$69),0)</f>
        <v/>
      </c>
      <c r="W45" s="212">
        <f>IFERROR((IS_Calcs!O63/IS_Calcs!O$69),0)</f>
        <v/>
      </c>
      <c r="X45" s="212">
        <f>IFERROR((IS_Calcs!P63/IS_Calcs!P$69),0)</f>
        <v/>
      </c>
      <c r="Y45" s="212">
        <f>IFERROR((IS_Calcs!Q63/IS_Calcs!Q$69),0)</f>
        <v/>
      </c>
      <c r="Z45" s="208">
        <f>IFERROR((IS_Calcs!R63/IS_Calcs!R$69),0)</f>
        <v/>
      </c>
    </row>
    <row r="46">
      <c r="O46" s="1912">
        <f>IS_Calcs!C64</f>
        <v/>
      </c>
      <c r="P46" s="212">
        <f>IFERROR((IS_Calcs!H64/IS_Calcs!H$69),0)</f>
        <v/>
      </c>
      <c r="Q46" s="212">
        <f>IFERROR((IS_Calcs!I64/IS_Calcs!I$69),0)</f>
        <v/>
      </c>
      <c r="R46" s="212">
        <f>IFERROR((IS_Calcs!J64/IS_Calcs!J$69),0)</f>
        <v/>
      </c>
      <c r="S46" s="212">
        <f>IFERROR((IS_Calcs!K64/IS_Calcs!K$69),0)</f>
        <v/>
      </c>
      <c r="T46" s="212">
        <f>IFERROR((IS_Calcs!L64/IS_Calcs!L$69),0)</f>
        <v/>
      </c>
      <c r="U46" s="212">
        <f>IFERROR((IS_Calcs!M64/IS_Calcs!M$69),0)</f>
        <v/>
      </c>
      <c r="V46" s="212">
        <f>IFERROR((IS_Calcs!N64/IS_Calcs!N$69),0)</f>
        <v/>
      </c>
      <c r="W46" s="212">
        <f>IFERROR((IS_Calcs!O64/IS_Calcs!O$69),0)</f>
        <v/>
      </c>
      <c r="X46" s="212">
        <f>IFERROR((IS_Calcs!P64/IS_Calcs!P$69),0)</f>
        <v/>
      </c>
      <c r="Y46" s="212">
        <f>IFERROR((IS_Calcs!Q64/IS_Calcs!Q$69),0)</f>
        <v/>
      </c>
      <c r="Z46" s="208">
        <f>IFERROR((IS_Calcs!R64/IS_Calcs!R$69),0)</f>
        <v/>
      </c>
    </row>
    <row r="47">
      <c r="O47" s="1912">
        <f>IS_Calcs!C65</f>
        <v/>
      </c>
      <c r="P47" s="210">
        <f>IFERROR((IS_Calcs!H65/IS_Calcs!H$69),0)</f>
        <v/>
      </c>
      <c r="Q47" s="210">
        <f>IFERROR((IS_Calcs!I65/IS_Calcs!I$69),0)</f>
        <v/>
      </c>
      <c r="R47" s="210">
        <f>IFERROR((IS_Calcs!J65/IS_Calcs!J$69),0)</f>
        <v/>
      </c>
      <c r="S47" s="210">
        <f>IFERROR((IS_Calcs!K65/IS_Calcs!K$69),0)</f>
        <v/>
      </c>
      <c r="T47" s="210">
        <f>IFERROR((IS_Calcs!L65/IS_Calcs!L$69),0)</f>
        <v/>
      </c>
      <c r="U47" s="210">
        <f>IFERROR((IS_Calcs!M65/IS_Calcs!M$69),0)</f>
        <v/>
      </c>
      <c r="V47" s="210">
        <f>IFERROR((IS_Calcs!N65/IS_Calcs!N$69),0)</f>
        <v/>
      </c>
      <c r="W47" s="210">
        <f>IFERROR((IS_Calcs!O65/IS_Calcs!O$69),0)</f>
        <v/>
      </c>
      <c r="X47" s="210">
        <f>IFERROR((IS_Calcs!P65/IS_Calcs!P$69),0)</f>
        <v/>
      </c>
      <c r="Y47" s="210">
        <f>IFERROR((IS_Calcs!Q65/IS_Calcs!Q$69),0)</f>
        <v/>
      </c>
      <c r="Z47" s="211">
        <f>IFERROR((IS_Calcs!R65/IS_Calcs!R$69),0)</f>
        <v/>
      </c>
    </row>
    <row r="48">
      <c r="O48" s="1925" t="inlineStr">
        <is>
          <t>Total Revenue</t>
        </is>
      </c>
      <c r="P48" s="1926">
        <f>SUM(P36:P47)</f>
        <v/>
      </c>
      <c r="Q48" s="1926">
        <f>SUM(Q36:Q47)</f>
        <v/>
      </c>
      <c r="R48" s="1385">
        <f>SUM(R36:R47)</f>
        <v/>
      </c>
      <c r="S48" s="1385">
        <f>SUM(S36:S47)</f>
        <v/>
      </c>
      <c r="T48" s="1385">
        <f>SUM(T36:T47)</f>
        <v/>
      </c>
      <c r="U48" s="1385">
        <f>SUM(U36:U47)</f>
        <v/>
      </c>
      <c r="V48" s="1385">
        <f>SUM(V36:V47)</f>
        <v/>
      </c>
      <c r="W48" s="1385">
        <f>SUM(W36:W47)</f>
        <v/>
      </c>
      <c r="X48" s="1385">
        <f>SUM(X36:X47)</f>
        <v/>
      </c>
      <c r="Y48" s="1385">
        <f>SUM(Y36:Y47)</f>
        <v/>
      </c>
      <c r="Z48" s="1386">
        <f>SUM(Z36:Z47)</f>
        <v/>
      </c>
    </row>
    <row r="50">
      <c r="O50" s="180" t="inlineStr">
        <is>
          <t>Revenue Cases</t>
        </is>
      </c>
      <c r="P50" s="181">
        <f>P54</f>
        <v/>
      </c>
      <c r="Q50" s="181">
        <f>Q54</f>
        <v/>
      </c>
      <c r="R50" s="181">
        <f>R54</f>
        <v/>
      </c>
      <c r="S50" s="181">
        <f>S54</f>
        <v/>
      </c>
      <c r="T50" s="181">
        <f>T54</f>
        <v/>
      </c>
      <c r="U50" s="181">
        <f>U54</f>
        <v/>
      </c>
      <c r="V50" s="181">
        <f>V54</f>
        <v/>
      </c>
      <c r="W50" s="181">
        <f>W54</f>
        <v/>
      </c>
      <c r="X50" s="181">
        <f>X54</f>
        <v/>
      </c>
      <c r="Y50" s="181">
        <f>Y54</f>
        <v/>
      </c>
      <c r="Z50" s="182">
        <f>Z54</f>
        <v/>
      </c>
    </row>
    <row r="51">
      <c r="O51" s="200" t="inlineStr">
        <is>
          <t>Revenue - Management</t>
        </is>
      </c>
      <c r="P51" s="1927">
        <f>IS!H23</f>
        <v/>
      </c>
      <c r="Q51" s="1927">
        <f>IS!I23</f>
        <v/>
      </c>
      <c r="R51" s="1927">
        <f>IS!J23</f>
        <v/>
      </c>
      <c r="S51" s="1927">
        <f>IS!K23</f>
        <v/>
      </c>
      <c r="T51" s="1927">
        <f>IS!L23</f>
        <v/>
      </c>
      <c r="U51" s="1927">
        <f>IS!M23</f>
        <v/>
      </c>
      <c r="V51" s="1927">
        <f>IS!N23</f>
        <v/>
      </c>
      <c r="W51" s="1927">
        <f>IS!O23</f>
        <v/>
      </c>
      <c r="X51" s="1927">
        <f>IS!P23</f>
        <v/>
      </c>
      <c r="Y51" s="1927">
        <f>IS!Q23</f>
        <v/>
      </c>
      <c r="Z51" s="1928">
        <f>IS!R23</f>
        <v/>
      </c>
    </row>
    <row r="52">
      <c r="O52" s="209" t="inlineStr">
        <is>
          <t>Revenue - Valify</t>
        </is>
      </c>
      <c r="P52" s="1929" t="n">
        <v>50000</v>
      </c>
      <c r="Q52" s="1929" t="n">
        <v>50000</v>
      </c>
      <c r="R52" s="1929" t="n">
        <v>50000</v>
      </c>
      <c r="S52" s="1929" t="n">
        <v>50000</v>
      </c>
      <c r="T52" s="1929" t="n">
        <v>50000</v>
      </c>
      <c r="U52" s="1929" t="n">
        <v>50000</v>
      </c>
      <c r="V52" s="1929" t="n">
        <v>50000</v>
      </c>
      <c r="W52" s="1929" t="n">
        <v>50000</v>
      </c>
      <c r="X52" s="1929" t="n">
        <v>50000</v>
      </c>
      <c r="Y52" s="1929" t="n">
        <v>50000</v>
      </c>
      <c r="Z52" s="1930" t="n">
        <v>50000</v>
      </c>
    </row>
    <row r="54">
      <c r="O54" s="180" t="inlineStr">
        <is>
          <t>Costs</t>
        </is>
      </c>
      <c r="P54" s="181">
        <f>P35</f>
        <v/>
      </c>
      <c r="Q54" s="181">
        <f>Q35</f>
        <v/>
      </c>
      <c r="R54" s="181">
        <f>R35</f>
        <v/>
      </c>
      <c r="S54" s="181">
        <f>S35</f>
        <v/>
      </c>
      <c r="T54" s="181">
        <f>T35</f>
        <v/>
      </c>
      <c r="U54" s="181">
        <f>U35</f>
        <v/>
      </c>
      <c r="V54" s="181">
        <f>V35</f>
        <v/>
      </c>
      <c r="W54" s="181">
        <f>W35</f>
        <v/>
      </c>
      <c r="X54" s="181">
        <f>X35</f>
        <v/>
      </c>
      <c r="Y54" s="181">
        <f>Y35</f>
        <v/>
      </c>
      <c r="Z54" s="182">
        <f>Z35</f>
        <v/>
      </c>
    </row>
    <row r="55">
      <c r="O55" s="200" t="inlineStr">
        <is>
          <t>Direct Costs</t>
        </is>
      </c>
      <c r="P55" s="1927">
        <f>IS_Calcs!H114</f>
        <v/>
      </c>
      <c r="Q55" s="1927">
        <f>IS_Calcs!I114</f>
        <v/>
      </c>
      <c r="R55" s="1927">
        <f>IS_Calcs!J114</f>
        <v/>
      </c>
      <c r="S55" s="1927">
        <f>IS_Calcs!K114</f>
        <v/>
      </c>
      <c r="T55" s="1927">
        <f>IS_Calcs!L114</f>
        <v/>
      </c>
      <c r="U55" s="1927">
        <f>IS_Calcs!M114</f>
        <v/>
      </c>
      <c r="V55" s="1927">
        <f>IS_Calcs!N114</f>
        <v/>
      </c>
      <c r="W55" s="1927">
        <f>IS_Calcs!O114</f>
        <v/>
      </c>
      <c r="X55" s="1927">
        <f>IS_Calcs!P114</f>
        <v/>
      </c>
      <c r="Y55" s="1927">
        <f>IS_Calcs!Q114</f>
        <v/>
      </c>
      <c r="Z55" s="1928">
        <f>IS_Calcs!R114</f>
        <v/>
      </c>
    </row>
    <row r="56">
      <c r="O56" s="200">
        <f>IS_Calcs!C146</f>
        <v/>
      </c>
      <c r="P56" s="1927">
        <f>IS_Calcs!H146</f>
        <v/>
      </c>
      <c r="Q56" s="1927">
        <f>IS_Calcs!I146</f>
        <v/>
      </c>
      <c r="R56" s="1927">
        <f>IS_Calcs!J146</f>
        <v/>
      </c>
      <c r="S56" s="1927">
        <f>IS_Calcs!K146</f>
        <v/>
      </c>
      <c r="T56" s="1927">
        <f>IS_Calcs!L146</f>
        <v/>
      </c>
      <c r="U56" s="1927">
        <f>IS_Calcs!M146</f>
        <v/>
      </c>
      <c r="V56" s="1927">
        <f>IS_Calcs!N146</f>
        <v/>
      </c>
      <c r="W56" s="1927">
        <f>IS_Calcs!O146</f>
        <v/>
      </c>
      <c r="X56" s="1927">
        <f>IS_Calcs!P146</f>
        <v/>
      </c>
      <c r="Y56" s="1927">
        <f>IS_Calcs!Q146</f>
        <v/>
      </c>
      <c r="Z56" s="1928">
        <f>IS_Calcs!R146</f>
        <v/>
      </c>
    </row>
    <row r="57">
      <c r="O57" s="200">
        <f>IS_Calcs!C147</f>
        <v/>
      </c>
      <c r="P57" s="1927">
        <f>IS_Calcs!H147</f>
        <v/>
      </c>
      <c r="Q57" s="1927">
        <f>IS_Calcs!I147</f>
        <v/>
      </c>
      <c r="R57" s="1927">
        <f>IS_Calcs!J147</f>
        <v/>
      </c>
      <c r="S57" s="1927">
        <f>IS_Calcs!K147</f>
        <v/>
      </c>
      <c r="T57" s="1927">
        <f>IS_Calcs!L147</f>
        <v/>
      </c>
      <c r="U57" s="1927">
        <f>IS_Calcs!M147</f>
        <v/>
      </c>
      <c r="V57" s="1927">
        <f>IS_Calcs!N147</f>
        <v/>
      </c>
      <c r="W57" s="1927">
        <f>IS_Calcs!O147</f>
        <v/>
      </c>
      <c r="X57" s="1927">
        <f>IS_Calcs!P147</f>
        <v/>
      </c>
      <c r="Y57" s="1927">
        <f>IS_Calcs!Q147</f>
        <v/>
      </c>
      <c r="Z57" s="1928">
        <f>IS_Calcs!R147</f>
        <v/>
      </c>
    </row>
    <row r="58">
      <c r="O58" s="200">
        <f>IS_Calcs!C148</f>
        <v/>
      </c>
      <c r="P58" s="1927">
        <f>IS_Calcs!H148</f>
        <v/>
      </c>
      <c r="Q58" s="1927">
        <f>IS_Calcs!I148</f>
        <v/>
      </c>
      <c r="R58" s="1927">
        <f>IS_Calcs!J148</f>
        <v/>
      </c>
      <c r="S58" s="1927">
        <f>IS_Calcs!K148</f>
        <v/>
      </c>
      <c r="T58" s="1927">
        <f>IS_Calcs!L148</f>
        <v/>
      </c>
      <c r="U58" s="1927">
        <f>IS_Calcs!M148</f>
        <v/>
      </c>
      <c r="V58" s="1927">
        <f>IS_Calcs!N148</f>
        <v/>
      </c>
      <c r="W58" s="1927">
        <f>IS_Calcs!O148</f>
        <v/>
      </c>
      <c r="X58" s="1927">
        <f>IS_Calcs!P148</f>
        <v/>
      </c>
      <c r="Y58" s="1927">
        <f>IS_Calcs!Q148</f>
        <v/>
      </c>
      <c r="Z58" s="1928">
        <f>IS_Calcs!R148</f>
        <v/>
      </c>
    </row>
    <row r="59">
      <c r="O59" s="200">
        <f>IS_Calcs!C149</f>
        <v/>
      </c>
      <c r="P59" s="1927">
        <f>IS_Calcs!H149</f>
        <v/>
      </c>
      <c r="Q59" s="1927">
        <f>IS_Calcs!I149</f>
        <v/>
      </c>
      <c r="R59" s="1927">
        <f>IS_Calcs!J149</f>
        <v/>
      </c>
      <c r="S59" s="1927">
        <f>IS_Calcs!K149</f>
        <v/>
      </c>
      <c r="T59" s="1927">
        <f>IS_Calcs!L149</f>
        <v/>
      </c>
      <c r="U59" s="1927">
        <f>IS_Calcs!M149</f>
        <v/>
      </c>
      <c r="V59" s="1927">
        <f>IS_Calcs!N149</f>
        <v/>
      </c>
      <c r="W59" s="1927">
        <f>IS_Calcs!O149</f>
        <v/>
      </c>
      <c r="X59" s="1927">
        <f>IS_Calcs!P149</f>
        <v/>
      </c>
      <c r="Y59" s="1927">
        <f>IS_Calcs!Q149</f>
        <v/>
      </c>
      <c r="Z59" s="1928">
        <f>IS_Calcs!R149</f>
        <v/>
      </c>
    </row>
    <row r="60">
      <c r="O60" s="200">
        <f>IS_Calcs!C150</f>
        <v/>
      </c>
      <c r="P60" s="1927">
        <f>IS_Calcs!H150</f>
        <v/>
      </c>
      <c r="Q60" s="1927">
        <f>IS_Calcs!I150</f>
        <v/>
      </c>
      <c r="R60" s="1927">
        <f>IS_Calcs!J150</f>
        <v/>
      </c>
      <c r="S60" s="1927">
        <f>IS_Calcs!K150</f>
        <v/>
      </c>
      <c r="T60" s="1927">
        <f>IS_Calcs!L150</f>
        <v/>
      </c>
      <c r="U60" s="1927">
        <f>IS_Calcs!M150</f>
        <v/>
      </c>
      <c r="V60" s="1927">
        <f>IS_Calcs!N150</f>
        <v/>
      </c>
      <c r="W60" s="1927">
        <f>IS_Calcs!O150</f>
        <v/>
      </c>
      <c r="X60" s="1927">
        <f>IS_Calcs!P150</f>
        <v/>
      </c>
      <c r="Y60" s="1927">
        <f>IS_Calcs!Q150</f>
        <v/>
      </c>
      <c r="Z60" s="1928">
        <f>IS_Calcs!R150</f>
        <v/>
      </c>
    </row>
    <row r="61">
      <c r="O61" s="200">
        <f>IS_Calcs!C153</f>
        <v/>
      </c>
      <c r="P61" s="1927">
        <f>IS_Calcs!H153</f>
        <v/>
      </c>
      <c r="Q61" s="1927">
        <f>IS_Calcs!I153</f>
        <v/>
      </c>
      <c r="R61" s="1927">
        <f>IS_Calcs!J153</f>
        <v/>
      </c>
      <c r="S61" s="1927">
        <f>IS_Calcs!K153</f>
        <v/>
      </c>
      <c r="T61" s="1927">
        <f>IS_Calcs!L153</f>
        <v/>
      </c>
      <c r="U61" s="1927">
        <f>IS_Calcs!M153</f>
        <v/>
      </c>
      <c r="V61" s="1927">
        <f>IS_Calcs!N153</f>
        <v/>
      </c>
      <c r="W61" s="1927">
        <f>IS_Calcs!O153</f>
        <v/>
      </c>
      <c r="X61" s="1927">
        <f>IS_Calcs!P153</f>
        <v/>
      </c>
      <c r="Y61" s="1927">
        <f>IS_Calcs!Q153</f>
        <v/>
      </c>
      <c r="Z61" s="1928">
        <f>IS_Calcs!R153</f>
        <v/>
      </c>
    </row>
    <row r="62">
      <c r="O62" s="200">
        <f>IS_Calcs!C154</f>
        <v/>
      </c>
      <c r="P62" s="1927">
        <f>IS_Calcs!H154</f>
        <v/>
      </c>
      <c r="Q62" s="1927">
        <f>IS_Calcs!I154</f>
        <v/>
      </c>
      <c r="R62" s="1927">
        <f>IS_Calcs!J154</f>
        <v/>
      </c>
      <c r="S62" s="1927">
        <f>IS_Calcs!K154</f>
        <v/>
      </c>
      <c r="T62" s="1927">
        <f>IS_Calcs!L154</f>
        <v/>
      </c>
      <c r="U62" s="1927">
        <f>IS_Calcs!M154</f>
        <v/>
      </c>
      <c r="V62" s="1927">
        <f>IS_Calcs!N154</f>
        <v/>
      </c>
      <c r="W62" s="1927">
        <f>IS_Calcs!O154</f>
        <v/>
      </c>
      <c r="X62" s="1927">
        <f>IS_Calcs!P154</f>
        <v/>
      </c>
      <c r="Y62" s="1927">
        <f>IS_Calcs!Q154</f>
        <v/>
      </c>
      <c r="Z62" s="1928">
        <f>IS_Calcs!R154</f>
        <v/>
      </c>
    </row>
    <row r="63">
      <c r="O63" s="1931" t="inlineStr">
        <is>
          <t>Total Costs</t>
        </is>
      </c>
      <c r="P63" s="1932">
        <f>SUM(P55:P62)</f>
        <v/>
      </c>
      <c r="Q63" s="1932">
        <f>SUM(Q55:Q62)</f>
        <v/>
      </c>
      <c r="R63" s="1932">
        <f>SUM(R55:R62)</f>
        <v/>
      </c>
      <c r="S63" s="1932">
        <f>SUM(S55:S62)</f>
        <v/>
      </c>
      <c r="T63" s="1932">
        <f>SUM(T55:T62)</f>
        <v/>
      </c>
      <c r="U63" s="1932">
        <f>SUM(U55:U62)</f>
        <v/>
      </c>
      <c r="V63" s="1932">
        <f>SUM(V55:V62)</f>
        <v/>
      </c>
      <c r="W63" s="1932">
        <f>SUM(W55:W62)</f>
        <v/>
      </c>
      <c r="X63" s="1932">
        <f>SUM(X55:X62)</f>
        <v/>
      </c>
      <c r="Y63" s="1932">
        <f>SUM(Y55:Y62)</f>
        <v/>
      </c>
      <c r="Z63" s="1933">
        <f>SUM(Z55:Z62)</f>
        <v/>
      </c>
    </row>
    <row r="64">
      <c r="P64" s="212" t="n"/>
      <c r="Q64" s="212" t="n"/>
      <c r="R64" s="212" t="n"/>
      <c r="S64" s="212" t="n"/>
      <c r="T64" s="212" t="n"/>
      <c r="U64" s="212" t="n"/>
      <c r="V64" s="212" t="n"/>
      <c r="W64" s="212" t="n"/>
      <c r="X64" s="212" t="n"/>
      <c r="Y64" s="212" t="n"/>
      <c r="Z64" s="212" t="n"/>
    </row>
    <row r="65">
      <c r="O65" s="180" t="inlineStr">
        <is>
          <t>Profitability</t>
        </is>
      </c>
      <c r="P65" s="181">
        <f>P54</f>
        <v/>
      </c>
      <c r="Q65" s="181">
        <f>Q54</f>
        <v/>
      </c>
      <c r="R65" s="181">
        <f>R54</f>
        <v/>
      </c>
      <c r="S65" s="181">
        <f>S54</f>
        <v/>
      </c>
      <c r="T65" s="181">
        <f>T54</f>
        <v/>
      </c>
      <c r="U65" s="181">
        <f>U54</f>
        <v/>
      </c>
      <c r="V65" s="181">
        <f>V54</f>
        <v/>
      </c>
      <c r="W65" s="181">
        <f>W54</f>
        <v/>
      </c>
      <c r="X65" s="181">
        <f>X54</f>
        <v/>
      </c>
      <c r="Y65" s="181">
        <f>Y54</f>
        <v/>
      </c>
      <c r="Z65" s="182">
        <f>Z54</f>
        <v/>
      </c>
    </row>
    <row r="66">
      <c r="O66" s="200" t="inlineStr">
        <is>
          <t>Gross Margin</t>
        </is>
      </c>
      <c r="P66" s="212">
        <f>IS!H69</f>
        <v/>
      </c>
      <c r="Q66" s="212">
        <f>IS!I69</f>
        <v/>
      </c>
      <c r="R66" s="212">
        <f>IS!J69</f>
        <v/>
      </c>
      <c r="S66" s="212">
        <f>IS!K69</f>
        <v/>
      </c>
      <c r="T66" s="212">
        <f>IS!L69</f>
        <v/>
      </c>
      <c r="U66" s="212">
        <f>IS!M69</f>
        <v/>
      </c>
      <c r="V66" s="212">
        <f>IS!N69</f>
        <v/>
      </c>
      <c r="W66" s="212">
        <f>IS!O69</f>
        <v/>
      </c>
      <c r="X66" s="212">
        <f>IS!P69</f>
        <v/>
      </c>
      <c r="Y66" s="212">
        <f>IS!Q69</f>
        <v/>
      </c>
      <c r="Z66" s="208">
        <f>IS!R69</f>
        <v/>
      </c>
    </row>
    <row r="67">
      <c r="O67" s="200" t="inlineStr">
        <is>
          <t>EBITDA Margin</t>
        </is>
      </c>
      <c r="P67" s="212">
        <f>IS!H71</f>
        <v/>
      </c>
      <c r="Q67" s="212">
        <f>IS!I71</f>
        <v/>
      </c>
      <c r="R67" s="212">
        <f>IS!J71</f>
        <v/>
      </c>
      <c r="S67" s="212">
        <f>IS!K71</f>
        <v/>
      </c>
      <c r="T67" s="212">
        <f>IS!L71</f>
        <v/>
      </c>
      <c r="U67" s="212">
        <f>IS!M71</f>
        <v/>
      </c>
      <c r="V67" s="212">
        <f>IS!N71</f>
        <v/>
      </c>
      <c r="W67" s="212">
        <f>IS!O71</f>
        <v/>
      </c>
      <c r="X67" s="212">
        <f>IS!P71</f>
        <v/>
      </c>
      <c r="Y67" s="212">
        <f>IS!Q71</f>
        <v/>
      </c>
      <c r="Z67" s="208">
        <f>IS!R71</f>
        <v/>
      </c>
    </row>
    <row r="68">
      <c r="O68" s="209" t="inlineStr">
        <is>
          <t>Net Margin</t>
        </is>
      </c>
      <c r="P68" s="210">
        <f>IS!H73</f>
        <v/>
      </c>
      <c r="Q68" s="210">
        <f>IS!I73</f>
        <v/>
      </c>
      <c r="R68" s="210">
        <f>IS!J73</f>
        <v/>
      </c>
      <c r="S68" s="210">
        <f>IS!K73</f>
        <v/>
      </c>
      <c r="T68" s="210">
        <f>IS!L73</f>
        <v/>
      </c>
      <c r="U68" s="210">
        <f>IS!M73</f>
        <v/>
      </c>
      <c r="V68" s="210">
        <f>IS!N73</f>
        <v/>
      </c>
      <c r="W68" s="210">
        <f>IS!O73</f>
        <v/>
      </c>
      <c r="X68" s="210">
        <f>IS!P73</f>
        <v/>
      </c>
      <c r="Y68" s="210">
        <f>IS!Q73</f>
        <v/>
      </c>
      <c r="Z68" s="211">
        <f>IS!R73</f>
        <v/>
      </c>
    </row>
    <row r="69">
      <c r="P69" s="212" t="n"/>
      <c r="Q69" s="212" t="n"/>
      <c r="R69" s="212" t="n"/>
      <c r="S69" s="212" t="n"/>
      <c r="T69" s="212" t="n"/>
      <c r="U69" s="212" t="n"/>
      <c r="V69" s="212" t="n"/>
      <c r="W69" s="212" t="n"/>
      <c r="X69" s="212" t="n"/>
      <c r="Y69" s="212" t="n"/>
      <c r="Z69" s="212" t="n"/>
    </row>
    <row r="70">
      <c r="B70" s="175" t="inlineStr">
        <is>
          <t>BALANCE SHEET</t>
        </is>
      </c>
      <c r="C70" s="176" t="n"/>
      <c r="D70" s="177" t="n"/>
      <c r="E70" s="177" t="n"/>
      <c r="F70" s="177" t="n"/>
      <c r="G70" s="177" t="n"/>
      <c r="H70" s="177" t="n"/>
      <c r="I70" s="177" t="n"/>
      <c r="J70" s="177" t="n"/>
      <c r="K70" s="177" t="n"/>
      <c r="L70" s="177" t="n"/>
      <c r="M70" s="177" t="n"/>
      <c r="N70" s="177" t="n"/>
      <c r="O70" s="178" t="n"/>
      <c r="P70" s="179" t="n"/>
      <c r="Q70" s="179" t="n"/>
      <c r="R70" s="179" t="n"/>
      <c r="S70" s="179" t="n"/>
      <c r="T70" s="179" t="n"/>
      <c r="U70" s="179" t="n"/>
      <c r="V70" s="179" t="n"/>
      <c r="W70" s="179" t="n"/>
      <c r="X70" s="179" t="n"/>
      <c r="Y70" s="179" t="n"/>
      <c r="Z70" s="179" t="n"/>
    </row>
    <row r="72">
      <c r="O72" s="180" t="inlineStr">
        <is>
          <t>Net Working Capital Days</t>
        </is>
      </c>
      <c r="P72" s="213">
        <f>P65</f>
        <v/>
      </c>
      <c r="Q72" s="213">
        <f>Q65</f>
        <v/>
      </c>
      <c r="R72" s="213">
        <f>R65</f>
        <v/>
      </c>
      <c r="S72" s="213">
        <f>S65</f>
        <v/>
      </c>
      <c r="T72" s="213">
        <f>T65</f>
        <v/>
      </c>
      <c r="U72" s="213">
        <f>U65</f>
        <v/>
      </c>
      <c r="V72" s="213">
        <f>V65</f>
        <v/>
      </c>
      <c r="W72" s="213">
        <f>W65</f>
        <v/>
      </c>
      <c r="X72" s="213">
        <f>X65</f>
        <v/>
      </c>
      <c r="Y72" s="213">
        <f>Y65</f>
        <v/>
      </c>
      <c r="Z72" s="214">
        <f>Z65</f>
        <v/>
      </c>
    </row>
    <row r="73">
      <c r="O73" s="200">
        <f>BS_Calc!C40</f>
        <v/>
      </c>
      <c r="P73" s="1934">
        <f>BS_Calc!H40</f>
        <v/>
      </c>
      <c r="Q73" s="1934">
        <f>BS_Calc!I40</f>
        <v/>
      </c>
      <c r="R73" s="1934">
        <f>BS_Calc!J40</f>
        <v/>
      </c>
      <c r="S73" s="1934">
        <f>BS_Calc!K40</f>
        <v/>
      </c>
      <c r="T73" s="1934">
        <f>BS_Calc!L40</f>
        <v/>
      </c>
      <c r="U73" s="1934">
        <f>BS_Calc!M40</f>
        <v/>
      </c>
      <c r="V73" s="1927">
        <f>BS_Calc!N40</f>
        <v/>
      </c>
      <c r="W73" s="1927">
        <f>BS_Calc!O40</f>
        <v/>
      </c>
      <c r="X73" s="1927">
        <f>BS_Calc!P40</f>
        <v/>
      </c>
      <c r="Y73" s="1927">
        <f>BS_Calc!Q40</f>
        <v/>
      </c>
      <c r="Z73" s="1928">
        <f>BS_Calc!R40</f>
        <v/>
      </c>
    </row>
    <row r="74">
      <c r="O74" s="200">
        <f>BS_Calc!C41</f>
        <v/>
      </c>
      <c r="P74" s="1934">
        <f>BS_Calc!H41</f>
        <v/>
      </c>
      <c r="Q74" s="1934">
        <f>BS_Calc!I41</f>
        <v/>
      </c>
      <c r="R74" s="1934">
        <f>BS_Calc!J41</f>
        <v/>
      </c>
      <c r="S74" s="1934">
        <f>BS_Calc!K41</f>
        <v/>
      </c>
      <c r="T74" s="1934">
        <f>BS_Calc!L41</f>
        <v/>
      </c>
      <c r="U74" s="1934">
        <f>BS_Calc!M41</f>
        <v/>
      </c>
      <c r="V74" s="1927">
        <f>BS_Calc!N41</f>
        <v/>
      </c>
      <c r="W74" s="1927">
        <f>BS_Calc!O41</f>
        <v/>
      </c>
      <c r="X74" s="1927">
        <f>BS_Calc!P41</f>
        <v/>
      </c>
      <c r="Y74" s="1927">
        <f>BS_Calc!Q41</f>
        <v/>
      </c>
      <c r="Z74" s="1928">
        <f>BS_Calc!R41</f>
        <v/>
      </c>
    </row>
    <row r="75">
      <c r="O75" s="200">
        <f>BS_Calc!C42</f>
        <v/>
      </c>
      <c r="P75" s="1934">
        <f>BS_Calc!H42</f>
        <v/>
      </c>
      <c r="Q75" s="1934">
        <f>BS_Calc!I42</f>
        <v/>
      </c>
      <c r="R75" s="1934">
        <f>BS_Calc!J42</f>
        <v/>
      </c>
      <c r="S75" s="1934">
        <f>BS_Calc!K42</f>
        <v/>
      </c>
      <c r="T75" s="1934">
        <f>BS_Calc!L42</f>
        <v/>
      </c>
      <c r="U75" s="1934">
        <f>BS_Calc!M42</f>
        <v/>
      </c>
      <c r="V75" s="1927">
        <f>BS_Calc!N42</f>
        <v/>
      </c>
      <c r="W75" s="1927">
        <f>BS_Calc!O42</f>
        <v/>
      </c>
      <c r="X75" s="1927">
        <f>BS_Calc!P42</f>
        <v/>
      </c>
      <c r="Y75" s="1927">
        <f>BS_Calc!Q42</f>
        <v/>
      </c>
      <c r="Z75" s="1928">
        <f>BS_Calc!R42</f>
        <v/>
      </c>
    </row>
    <row r="76">
      <c r="O76" s="200">
        <f>BS_Calc!C43</f>
        <v/>
      </c>
      <c r="P76" s="1934">
        <f>BS_Calc!H43</f>
        <v/>
      </c>
      <c r="Q76" s="1934">
        <f>BS_Calc!I43</f>
        <v/>
      </c>
      <c r="R76" s="1934">
        <f>BS_Calc!J43</f>
        <v/>
      </c>
      <c r="S76" s="1934">
        <f>BS_Calc!K43</f>
        <v/>
      </c>
      <c r="T76" s="1934">
        <f>BS_Calc!L43</f>
        <v/>
      </c>
      <c r="U76" s="1934">
        <f>BS_Calc!M43</f>
        <v/>
      </c>
      <c r="V76" s="1927">
        <f>BS_Calc!N43</f>
        <v/>
      </c>
      <c r="W76" s="1927">
        <f>BS_Calc!O43</f>
        <v/>
      </c>
      <c r="X76" s="1927">
        <f>BS_Calc!P43</f>
        <v/>
      </c>
      <c r="Y76" s="1927">
        <f>BS_Calc!Q43</f>
        <v/>
      </c>
      <c r="Z76" s="1928">
        <f>BS_Calc!R43</f>
        <v/>
      </c>
    </row>
    <row r="77">
      <c r="O77" s="200">
        <f>BS_Calc!C44</f>
        <v/>
      </c>
      <c r="P77" s="1934">
        <f>BS_Calc!H44</f>
        <v/>
      </c>
      <c r="Q77" s="1934">
        <f>BS_Calc!I44</f>
        <v/>
      </c>
      <c r="R77" s="1934">
        <f>BS_Calc!J44</f>
        <v/>
      </c>
      <c r="S77" s="1934">
        <f>BS_Calc!K44</f>
        <v/>
      </c>
      <c r="T77" s="1934">
        <f>BS_Calc!L44</f>
        <v/>
      </c>
      <c r="U77" s="1934">
        <f>BS_Calc!M44</f>
        <v/>
      </c>
      <c r="V77" s="1927">
        <f>BS_Calc!N44</f>
        <v/>
      </c>
      <c r="W77" s="1927">
        <f>BS_Calc!O44</f>
        <v/>
      </c>
      <c r="X77" s="1927">
        <f>BS_Calc!P44</f>
        <v/>
      </c>
      <c r="Y77" s="1927">
        <f>BS_Calc!Q44</f>
        <v/>
      </c>
      <c r="Z77" s="1928">
        <f>BS_Calc!R44</f>
        <v/>
      </c>
    </row>
    <row r="78">
      <c r="O78" s="200" t="n"/>
      <c r="P78" s="1934" t="n"/>
      <c r="Q78" s="1934" t="n"/>
      <c r="R78" s="1934" t="n"/>
      <c r="S78" s="1934" t="n"/>
      <c r="T78" s="1934" t="n"/>
      <c r="U78" s="1934" t="n"/>
      <c r="V78" s="1927" t="n"/>
      <c r="W78" s="1927" t="n"/>
      <c r="X78" s="1927" t="n"/>
      <c r="Y78" s="1927" t="n"/>
      <c r="Z78" s="1928" t="n"/>
    </row>
    <row r="79">
      <c r="O79" s="200">
        <f>BS_Calc!C47</f>
        <v/>
      </c>
      <c r="P79" s="1934">
        <f>BS_Calc!H47</f>
        <v/>
      </c>
      <c r="Q79" s="1934">
        <f>BS_Calc!I47</f>
        <v/>
      </c>
      <c r="R79" s="1934">
        <f>BS_Calc!J47</f>
        <v/>
      </c>
      <c r="S79" s="1934">
        <f>BS_Calc!K47</f>
        <v/>
      </c>
      <c r="T79" s="1934">
        <f>BS_Calc!L47</f>
        <v/>
      </c>
      <c r="U79" s="1934">
        <f>BS_Calc!M47</f>
        <v/>
      </c>
      <c r="V79" s="1927">
        <f>BS_Calc!N47</f>
        <v/>
      </c>
      <c r="W79" s="1927">
        <f>BS_Calc!O47</f>
        <v/>
      </c>
      <c r="X79" s="1927">
        <f>BS_Calc!P47</f>
        <v/>
      </c>
      <c r="Y79" s="1927">
        <f>BS_Calc!Q47</f>
        <v/>
      </c>
      <c r="Z79" s="1928">
        <f>BS_Calc!R47</f>
        <v/>
      </c>
    </row>
    <row r="80">
      <c r="O80" s="200">
        <f>BS_Calc!C48</f>
        <v/>
      </c>
      <c r="P80" s="1934">
        <f>BS_Calc!H48</f>
        <v/>
      </c>
      <c r="Q80" s="1934">
        <f>BS_Calc!I48</f>
        <v/>
      </c>
      <c r="R80" s="1934">
        <f>BS_Calc!J48</f>
        <v/>
      </c>
      <c r="S80" s="1934">
        <f>BS_Calc!K48</f>
        <v/>
      </c>
      <c r="T80" s="1934">
        <f>BS_Calc!L48</f>
        <v/>
      </c>
      <c r="U80" s="1934">
        <f>BS_Calc!M48</f>
        <v/>
      </c>
      <c r="V80" s="1927">
        <f>BS_Calc!N48</f>
        <v/>
      </c>
      <c r="W80" s="1927">
        <f>BS_Calc!O48</f>
        <v/>
      </c>
      <c r="X80" s="1927">
        <f>BS_Calc!P48</f>
        <v/>
      </c>
      <c r="Y80" s="1927">
        <f>BS_Calc!Q48</f>
        <v/>
      </c>
      <c r="Z80" s="1928">
        <f>BS_Calc!R48</f>
        <v/>
      </c>
    </row>
    <row r="81">
      <c r="O81" s="200">
        <f>BS_Calc!C49</f>
        <v/>
      </c>
      <c r="P81" s="1934">
        <f>BS_Calc!H49</f>
        <v/>
      </c>
      <c r="Q81" s="1934">
        <f>BS_Calc!I49</f>
        <v/>
      </c>
      <c r="R81" s="1934">
        <f>BS_Calc!J49</f>
        <v/>
      </c>
      <c r="S81" s="1934">
        <f>BS_Calc!K49</f>
        <v/>
      </c>
      <c r="T81" s="1934">
        <f>BS_Calc!L49</f>
        <v/>
      </c>
      <c r="U81" s="1934">
        <f>BS_Calc!M49</f>
        <v/>
      </c>
      <c r="V81" s="1927">
        <f>BS_Calc!N49</f>
        <v/>
      </c>
      <c r="W81" s="1927">
        <f>BS_Calc!O49</f>
        <v/>
      </c>
      <c r="X81" s="1927">
        <f>BS_Calc!P49</f>
        <v/>
      </c>
      <c r="Y81" s="1927">
        <f>BS_Calc!Q49</f>
        <v/>
      </c>
      <c r="Z81" s="1928">
        <f>BS_Calc!R49</f>
        <v/>
      </c>
    </row>
    <row r="82">
      <c r="O82" s="200">
        <f>BS_Calc!C50</f>
        <v/>
      </c>
      <c r="P82" s="1934">
        <f>BS_Calc!H50</f>
        <v/>
      </c>
      <c r="Q82" s="1934">
        <f>BS_Calc!I50</f>
        <v/>
      </c>
      <c r="R82" s="1934">
        <f>BS_Calc!J50</f>
        <v/>
      </c>
      <c r="S82" s="1934">
        <f>BS_Calc!K50</f>
        <v/>
      </c>
      <c r="T82" s="1934">
        <f>BS_Calc!L50</f>
        <v/>
      </c>
      <c r="U82" s="1934">
        <f>BS_Calc!M50</f>
        <v/>
      </c>
      <c r="V82" s="1927">
        <f>BS_Calc!N50</f>
        <v/>
      </c>
      <c r="W82" s="1927">
        <f>BS_Calc!O50</f>
        <v/>
      </c>
      <c r="X82" s="1927">
        <f>BS_Calc!P50</f>
        <v/>
      </c>
      <c r="Y82" s="1927">
        <f>BS_Calc!Q50</f>
        <v/>
      </c>
      <c r="Z82" s="1928">
        <f>BS_Calc!R50</f>
        <v/>
      </c>
    </row>
    <row r="83">
      <c r="O83" s="200">
        <f>BS_Calc!C51</f>
        <v/>
      </c>
      <c r="P83" s="1934">
        <f>BS_Calc!H51</f>
        <v/>
      </c>
      <c r="Q83" s="1934">
        <f>BS_Calc!I51</f>
        <v/>
      </c>
      <c r="R83" s="1934">
        <f>BS_Calc!J51</f>
        <v/>
      </c>
      <c r="S83" s="1934">
        <f>BS_Calc!K51</f>
        <v/>
      </c>
      <c r="T83" s="1934">
        <f>BS_Calc!L51</f>
        <v/>
      </c>
      <c r="U83" s="1934">
        <f>BS_Calc!M51</f>
        <v/>
      </c>
      <c r="V83" s="1927">
        <f>BS_Calc!N51</f>
        <v/>
      </c>
      <c r="W83" s="1927">
        <f>BS_Calc!O51</f>
        <v/>
      </c>
      <c r="X83" s="1927">
        <f>BS_Calc!P51</f>
        <v/>
      </c>
      <c r="Y83" s="1927">
        <f>BS_Calc!Q51</f>
        <v/>
      </c>
      <c r="Z83" s="1928">
        <f>BS_Calc!R51</f>
        <v/>
      </c>
    </row>
    <row r="84">
      <c r="O84" s="200">
        <f>BS_Calc!C52</f>
        <v/>
      </c>
      <c r="P84" s="1934">
        <f>BS_Calc!H52</f>
        <v/>
      </c>
      <c r="Q84" s="1934">
        <f>BS_Calc!I52</f>
        <v/>
      </c>
      <c r="R84" s="1934">
        <f>BS_Calc!J52</f>
        <v/>
      </c>
      <c r="S84" s="1934">
        <f>BS_Calc!K52</f>
        <v/>
      </c>
      <c r="T84" s="1934">
        <f>BS_Calc!L52</f>
        <v/>
      </c>
      <c r="U84" s="1934">
        <f>BS_Calc!M52</f>
        <v/>
      </c>
      <c r="V84" s="1927">
        <f>BS_Calc!N52</f>
        <v/>
      </c>
      <c r="W84" s="1927">
        <f>BS_Calc!O52</f>
        <v/>
      </c>
      <c r="X84" s="1927">
        <f>BS_Calc!P52</f>
        <v/>
      </c>
      <c r="Y84" s="1927">
        <f>BS_Calc!Q52</f>
        <v/>
      </c>
      <c r="Z84" s="1928">
        <f>BS_Calc!R52</f>
        <v/>
      </c>
    </row>
    <row r="85">
      <c r="O85" s="1931" t="inlineStr">
        <is>
          <t>NWC Days</t>
        </is>
      </c>
      <c r="P85" s="1935">
        <f>SUM(P73:P78)-SUM(P79:P84)</f>
        <v/>
      </c>
      <c r="Q85" s="1935">
        <f>SUM(Q73:Q78)-SUM(Q79:Q84)</f>
        <v/>
      </c>
      <c r="R85" s="1935">
        <f>SUM(R73:R78)-SUM(R79:R84)</f>
        <v/>
      </c>
      <c r="S85" s="1935">
        <f>SUM(S73:S78)-SUM(S79:S84)</f>
        <v/>
      </c>
      <c r="T85" s="1935">
        <f>SUM(T73:T78)-SUM(T79:T84)</f>
        <v/>
      </c>
      <c r="U85" s="1935">
        <f>SUM(U73:U78)-SUM(U79:U84)</f>
        <v/>
      </c>
      <c r="V85" s="1935">
        <f>SUM(V73:V78)-SUM(V79:V84)</f>
        <v/>
      </c>
      <c r="W85" s="1935">
        <f>SUM(W73:W78)-SUM(W79:W84)</f>
        <v/>
      </c>
      <c r="X85" s="1935">
        <f>SUM(X73:X78)-SUM(X79:X84)</f>
        <v/>
      </c>
      <c r="Y85" s="1935">
        <f>SUM(Y73:Y78)-SUM(Y79:Y84)</f>
        <v/>
      </c>
      <c r="Z85" s="1936">
        <f>SUM(Z73:Z78)-SUM(Z79:Z84)</f>
        <v/>
      </c>
    </row>
    <row r="87">
      <c r="O87" s="180" t="inlineStr">
        <is>
          <t>Net Working Capital Balance</t>
        </is>
      </c>
      <c r="P87" s="213">
        <f>P72</f>
        <v/>
      </c>
      <c r="Q87" s="213">
        <f>Q72</f>
        <v/>
      </c>
      <c r="R87" s="213">
        <f>R72</f>
        <v/>
      </c>
      <c r="S87" s="213">
        <f>S72</f>
        <v/>
      </c>
      <c r="T87" s="213">
        <f>T72</f>
        <v/>
      </c>
      <c r="U87" s="213">
        <f>U72</f>
        <v/>
      </c>
      <c r="V87" s="213">
        <f>V72</f>
        <v/>
      </c>
      <c r="W87" s="213">
        <f>W72</f>
        <v/>
      </c>
      <c r="X87" s="213">
        <f>X72</f>
        <v/>
      </c>
      <c r="Y87" s="213">
        <f>Y72</f>
        <v/>
      </c>
      <c r="Z87" s="214">
        <f>Z72</f>
        <v/>
      </c>
    </row>
    <row r="88">
      <c r="O88" s="220" t="inlineStr">
        <is>
          <t>AED</t>
        </is>
      </c>
      <c r="P88" s="1387" t="n"/>
      <c r="Q88" s="1387" t="n"/>
      <c r="R88" s="1387" t="n"/>
      <c r="S88" s="1387" t="n"/>
      <c r="T88" s="1387" t="n"/>
      <c r="U88" s="1387" t="n"/>
      <c r="V88" s="1387" t="n"/>
      <c r="W88" s="1387" t="n"/>
      <c r="X88" s="1387" t="n"/>
      <c r="Y88" s="1387" t="n"/>
      <c r="Z88" s="221" t="n"/>
    </row>
    <row r="89">
      <c r="O89" s="200">
        <f>O73</f>
        <v/>
      </c>
      <c r="P89" s="1927">
        <f>BS_Calc!H19</f>
        <v/>
      </c>
      <c r="Q89" s="1927">
        <f>BS_Calc!I19</f>
        <v/>
      </c>
      <c r="R89" s="1927">
        <f>BS_Calc!J19</f>
        <v/>
      </c>
      <c r="S89" s="1927">
        <f>BS_Calc!K19</f>
        <v/>
      </c>
      <c r="T89" s="1927">
        <f>BS_Calc!L19</f>
        <v/>
      </c>
      <c r="U89" s="1927">
        <f>BS_Calc!M19</f>
        <v/>
      </c>
      <c r="V89" s="1927">
        <f>BS_Calc!N19</f>
        <v/>
      </c>
      <c r="W89" s="1927">
        <f>BS_Calc!O19</f>
        <v/>
      </c>
      <c r="X89" s="1927">
        <f>BS_Calc!P19</f>
        <v/>
      </c>
      <c r="Y89" s="1927">
        <f>BS_Calc!Q19</f>
        <v/>
      </c>
      <c r="Z89" s="1928">
        <f>BS_Calc!R19</f>
        <v/>
      </c>
    </row>
    <row r="90">
      <c r="O90" s="200">
        <f>O74</f>
        <v/>
      </c>
      <c r="P90" s="1927">
        <f>BS_Calc!H20</f>
        <v/>
      </c>
      <c r="Q90" s="1927">
        <f>BS_Calc!I20</f>
        <v/>
      </c>
      <c r="R90" s="1927">
        <f>BS_Calc!J20</f>
        <v/>
      </c>
      <c r="S90" s="1927">
        <f>BS_Calc!K20</f>
        <v/>
      </c>
      <c r="T90" s="1927">
        <f>BS_Calc!L20</f>
        <v/>
      </c>
      <c r="U90" s="1927">
        <f>BS_Calc!M20</f>
        <v/>
      </c>
      <c r="V90" s="1927">
        <f>BS_Calc!N20</f>
        <v/>
      </c>
      <c r="W90" s="1927">
        <f>BS_Calc!O20</f>
        <v/>
      </c>
      <c r="X90" s="1927">
        <f>BS_Calc!P20</f>
        <v/>
      </c>
      <c r="Y90" s="1927">
        <f>BS_Calc!Q20</f>
        <v/>
      </c>
      <c r="Z90" s="1928">
        <f>BS_Calc!R20</f>
        <v/>
      </c>
    </row>
    <row r="91">
      <c r="O91" s="200">
        <f>O75</f>
        <v/>
      </c>
      <c r="P91" s="1927">
        <f>BS_Calc!H21</f>
        <v/>
      </c>
      <c r="Q91" s="1927">
        <f>BS_Calc!I21</f>
        <v/>
      </c>
      <c r="R91" s="1927">
        <f>BS_Calc!J21</f>
        <v/>
      </c>
      <c r="S91" s="1927">
        <f>BS_Calc!K21</f>
        <v/>
      </c>
      <c r="T91" s="1927">
        <f>BS_Calc!L21</f>
        <v/>
      </c>
      <c r="U91" s="1927">
        <f>BS_Calc!M21</f>
        <v/>
      </c>
      <c r="V91" s="1927">
        <f>BS_Calc!N21</f>
        <v/>
      </c>
      <c r="W91" s="1927">
        <f>BS_Calc!O21</f>
        <v/>
      </c>
      <c r="X91" s="1927">
        <f>BS_Calc!P21</f>
        <v/>
      </c>
      <c r="Y91" s="1927">
        <f>BS_Calc!Q21</f>
        <v/>
      </c>
      <c r="Z91" s="1928">
        <f>BS_Calc!R21</f>
        <v/>
      </c>
    </row>
    <row r="92">
      <c r="O92" s="200">
        <f>O76</f>
        <v/>
      </c>
      <c r="P92" s="1927">
        <f>BS_Calc!H22</f>
        <v/>
      </c>
      <c r="Q92" s="1927">
        <f>BS_Calc!I22</f>
        <v/>
      </c>
      <c r="R92" s="1927">
        <f>BS_Calc!J22</f>
        <v/>
      </c>
      <c r="S92" s="1927">
        <f>BS_Calc!K22</f>
        <v/>
      </c>
      <c r="T92" s="1927">
        <f>BS_Calc!L22</f>
        <v/>
      </c>
      <c r="U92" s="1927">
        <f>BS_Calc!M22</f>
        <v/>
      </c>
      <c r="V92" s="1927">
        <f>BS_Calc!N22</f>
        <v/>
      </c>
      <c r="W92" s="1927">
        <f>BS_Calc!O22</f>
        <v/>
      </c>
      <c r="X92" s="1927">
        <f>BS_Calc!P22</f>
        <v/>
      </c>
      <c r="Y92" s="1927">
        <f>BS_Calc!Q22</f>
        <v/>
      </c>
      <c r="Z92" s="1928">
        <f>BS_Calc!R22</f>
        <v/>
      </c>
    </row>
    <row r="93">
      <c r="O93" s="200">
        <f>O77</f>
        <v/>
      </c>
      <c r="P93" s="1927">
        <f>BS_Calc!H23</f>
        <v/>
      </c>
      <c r="Q93" s="1927">
        <f>BS_Calc!I23</f>
        <v/>
      </c>
      <c r="R93" s="1927">
        <f>BS_Calc!J23</f>
        <v/>
      </c>
      <c r="S93" s="1927">
        <f>BS_Calc!K23</f>
        <v/>
      </c>
      <c r="T93" s="1927">
        <f>BS_Calc!L23</f>
        <v/>
      </c>
      <c r="U93" s="1927">
        <f>BS_Calc!M23</f>
        <v/>
      </c>
      <c r="V93" s="1927">
        <f>BS_Calc!N23</f>
        <v/>
      </c>
      <c r="W93" s="1927">
        <f>BS_Calc!O23</f>
        <v/>
      </c>
      <c r="X93" s="1927">
        <f>BS_Calc!P23</f>
        <v/>
      </c>
      <c r="Y93" s="1927">
        <f>BS_Calc!Q23</f>
        <v/>
      </c>
      <c r="Z93" s="1928">
        <f>BS_Calc!R23</f>
        <v/>
      </c>
    </row>
    <row r="94">
      <c r="O94" s="200" t="n"/>
      <c r="P94" s="1927" t="n"/>
      <c r="Q94" s="1927" t="n"/>
      <c r="R94" s="1927" t="n"/>
      <c r="S94" s="1927" t="n"/>
      <c r="T94" s="1927" t="n"/>
      <c r="U94" s="1927" t="n"/>
      <c r="V94" s="1927" t="n"/>
      <c r="W94" s="1927" t="n"/>
      <c r="X94" s="1927" t="n"/>
      <c r="Y94" s="1927" t="n"/>
      <c r="Z94" s="1928" t="n"/>
    </row>
    <row r="95">
      <c r="O95" s="200">
        <f>O79</f>
        <v/>
      </c>
      <c r="P95" s="1927">
        <f>BS_Calc!H26</f>
        <v/>
      </c>
      <c r="Q95" s="1927">
        <f>BS_Calc!I26</f>
        <v/>
      </c>
      <c r="R95" s="1927">
        <f>BS_Calc!J26</f>
        <v/>
      </c>
      <c r="S95" s="1927">
        <f>BS_Calc!K26</f>
        <v/>
      </c>
      <c r="T95" s="1927">
        <f>BS_Calc!L26</f>
        <v/>
      </c>
      <c r="U95" s="1927">
        <f>BS_Calc!M26</f>
        <v/>
      </c>
      <c r="V95" s="1927">
        <f>BS_Calc!N26</f>
        <v/>
      </c>
      <c r="W95" s="1927">
        <f>BS_Calc!O26</f>
        <v/>
      </c>
      <c r="X95" s="1927">
        <f>BS_Calc!P26</f>
        <v/>
      </c>
      <c r="Y95" s="1927">
        <f>BS_Calc!Q26</f>
        <v/>
      </c>
      <c r="Z95" s="1928">
        <f>BS_Calc!R26</f>
        <v/>
      </c>
    </row>
    <row r="96">
      <c r="O96" s="200">
        <f>O80</f>
        <v/>
      </c>
      <c r="P96" s="1927">
        <f>BS_Calc!H27</f>
        <v/>
      </c>
      <c r="Q96" s="1927">
        <f>BS_Calc!I27</f>
        <v/>
      </c>
      <c r="R96" s="1927">
        <f>BS_Calc!J27</f>
        <v/>
      </c>
      <c r="S96" s="1927">
        <f>BS_Calc!K27</f>
        <v/>
      </c>
      <c r="T96" s="1927">
        <f>BS_Calc!L27</f>
        <v/>
      </c>
      <c r="U96" s="1927">
        <f>BS_Calc!M27</f>
        <v/>
      </c>
      <c r="V96" s="1927">
        <f>BS_Calc!N27</f>
        <v/>
      </c>
      <c r="W96" s="1927">
        <f>BS_Calc!O27</f>
        <v/>
      </c>
      <c r="X96" s="1927">
        <f>BS_Calc!P27</f>
        <v/>
      </c>
      <c r="Y96" s="1927">
        <f>BS_Calc!Q27</f>
        <v/>
      </c>
      <c r="Z96" s="1928">
        <f>BS_Calc!R27</f>
        <v/>
      </c>
    </row>
    <row r="97">
      <c r="O97" s="200">
        <f>O81</f>
        <v/>
      </c>
      <c r="P97" s="1927">
        <f>BS_Calc!H28</f>
        <v/>
      </c>
      <c r="Q97" s="1927">
        <f>BS_Calc!I28</f>
        <v/>
      </c>
      <c r="R97" s="1927">
        <f>BS_Calc!J28</f>
        <v/>
      </c>
      <c r="S97" s="1927">
        <f>BS_Calc!K28</f>
        <v/>
      </c>
      <c r="T97" s="1927">
        <f>BS_Calc!L28</f>
        <v/>
      </c>
      <c r="U97" s="1927">
        <f>BS_Calc!M28</f>
        <v/>
      </c>
      <c r="V97" s="1927">
        <f>BS_Calc!N28</f>
        <v/>
      </c>
      <c r="W97" s="1927">
        <f>BS_Calc!O28</f>
        <v/>
      </c>
      <c r="X97" s="1927">
        <f>BS_Calc!P28</f>
        <v/>
      </c>
      <c r="Y97" s="1927">
        <f>BS_Calc!Q28</f>
        <v/>
      </c>
      <c r="Z97" s="1928">
        <f>BS_Calc!R28</f>
        <v/>
      </c>
    </row>
    <row r="98">
      <c r="O98" s="200">
        <f>O82</f>
        <v/>
      </c>
      <c r="P98" s="1927">
        <f>BS_Calc!H29</f>
        <v/>
      </c>
      <c r="Q98" s="1927">
        <f>BS_Calc!I29</f>
        <v/>
      </c>
      <c r="R98" s="1927">
        <f>BS_Calc!J29</f>
        <v/>
      </c>
      <c r="S98" s="1927">
        <f>BS_Calc!K29</f>
        <v/>
      </c>
      <c r="T98" s="1927">
        <f>BS_Calc!L29</f>
        <v/>
      </c>
      <c r="U98" s="1927">
        <f>BS_Calc!M29</f>
        <v/>
      </c>
      <c r="V98" s="1927">
        <f>BS_Calc!N29</f>
        <v/>
      </c>
      <c r="W98" s="1927">
        <f>BS_Calc!O29</f>
        <v/>
      </c>
      <c r="X98" s="1927">
        <f>BS_Calc!P29</f>
        <v/>
      </c>
      <c r="Y98" s="1927">
        <f>BS_Calc!Q29</f>
        <v/>
      </c>
      <c r="Z98" s="1928">
        <f>BS_Calc!R29</f>
        <v/>
      </c>
    </row>
    <row r="99">
      <c r="O99" s="200">
        <f>O83</f>
        <v/>
      </c>
      <c r="P99" s="1927">
        <f>BS_Calc!H30</f>
        <v/>
      </c>
      <c r="Q99" s="1927">
        <f>BS_Calc!I30</f>
        <v/>
      </c>
      <c r="R99" s="1927">
        <f>BS_Calc!J30</f>
        <v/>
      </c>
      <c r="S99" s="1927">
        <f>BS_Calc!K30</f>
        <v/>
      </c>
      <c r="T99" s="1927">
        <f>BS_Calc!L30</f>
        <v/>
      </c>
      <c r="U99" s="1927">
        <f>BS_Calc!M30</f>
        <v/>
      </c>
      <c r="V99" s="1927">
        <f>BS_Calc!N30</f>
        <v/>
      </c>
      <c r="W99" s="1927">
        <f>BS_Calc!O30</f>
        <v/>
      </c>
      <c r="X99" s="1927">
        <f>BS_Calc!P30</f>
        <v/>
      </c>
      <c r="Y99" s="1927">
        <f>BS_Calc!Q30</f>
        <v/>
      </c>
      <c r="Z99" s="1928">
        <f>BS_Calc!R30</f>
        <v/>
      </c>
    </row>
    <row r="100">
      <c r="O100" s="200">
        <f>O84</f>
        <v/>
      </c>
      <c r="P100" s="1927">
        <f>BS_Calc!H31</f>
        <v/>
      </c>
      <c r="Q100" s="1927">
        <f>BS_Calc!I31</f>
        <v/>
      </c>
      <c r="R100" s="1927">
        <f>BS_Calc!J31</f>
        <v/>
      </c>
      <c r="S100" s="1927">
        <f>BS_Calc!K31</f>
        <v/>
      </c>
      <c r="T100" s="1927">
        <f>BS_Calc!L31</f>
        <v/>
      </c>
      <c r="U100" s="1927">
        <f>BS_Calc!M31</f>
        <v/>
      </c>
      <c r="V100" s="1927">
        <f>BS_Calc!N31</f>
        <v/>
      </c>
      <c r="W100" s="1927">
        <f>BS_Calc!O31</f>
        <v/>
      </c>
      <c r="X100" s="1927">
        <f>BS_Calc!P31</f>
        <v/>
      </c>
      <c r="Y100" s="1927">
        <f>BS_Calc!Q31</f>
        <v/>
      </c>
      <c r="Z100" s="1928">
        <f>BS_Calc!R31</f>
        <v/>
      </c>
    </row>
    <row r="101">
      <c r="O101" s="1931" t="inlineStr">
        <is>
          <t>NWC Balance</t>
        </is>
      </c>
      <c r="P101" s="1935">
        <f>SUM(P89:P94)-SUM(P95:P100)</f>
        <v/>
      </c>
      <c r="Q101" s="1935">
        <f>SUM(Q89:Q94)-SUM(Q95:Q100)</f>
        <v/>
      </c>
      <c r="R101" s="1935">
        <f>SUM(R89:R94)-SUM(R95:R100)</f>
        <v/>
      </c>
      <c r="S101" s="1935">
        <f>SUM(S89:S94)-SUM(S95:S100)</f>
        <v/>
      </c>
      <c r="T101" s="1935">
        <f>SUM(T89:T94)-SUM(T95:T100)</f>
        <v/>
      </c>
      <c r="U101" s="1935">
        <f>SUM(U89:U94)-SUM(U95:U100)</f>
        <v/>
      </c>
      <c r="V101" s="1935">
        <f>SUM(V89:V94)-SUM(V95:V100)</f>
        <v/>
      </c>
      <c r="W101" s="1935">
        <f>SUM(W89:W94)-SUM(W95:W100)</f>
        <v/>
      </c>
      <c r="X101" s="1935">
        <f>SUM(X89:X94)-SUM(X95:X100)</f>
        <v/>
      </c>
      <c r="Y101" s="1935">
        <f>SUM(Y89:Y94)-SUM(Y95:Y100)</f>
        <v/>
      </c>
      <c r="Z101" s="1936">
        <f>SUM(Z89:Z94)-SUM(Z95:Z100)</f>
        <v/>
      </c>
    </row>
    <row r="102">
      <c r="O102" s="209" t="inlineStr">
        <is>
          <t>NWC as a % of sales</t>
        </is>
      </c>
      <c r="P102" s="210">
        <f>IFERROR(P101/SUM(P31:P33),0)</f>
        <v/>
      </c>
      <c r="Q102" s="210">
        <f>IFERROR(Q101/SUM(Q31:Q33),0)</f>
        <v/>
      </c>
      <c r="R102" s="210">
        <f>IFERROR(R101/SUM(R31:R33),0)</f>
        <v/>
      </c>
      <c r="S102" s="210">
        <f>IFERROR(S101/SUM(S31:S33),0)</f>
        <v/>
      </c>
      <c r="T102" s="210">
        <f>IFERROR(T101/SUM(T31:T33),0)</f>
        <v/>
      </c>
      <c r="U102" s="210">
        <f>IFERROR(U101/SUM(U31:U33),0)</f>
        <v/>
      </c>
      <c r="V102" s="210">
        <f>IFERROR(V101/SUM(V31:V33),0)</f>
        <v/>
      </c>
      <c r="W102" s="210">
        <f>IFERROR(W101/SUM(W31:W33),0)</f>
        <v/>
      </c>
      <c r="X102" s="210">
        <f>IFERROR(X101/SUM(X31:X33),0)</f>
        <v/>
      </c>
      <c r="Y102" s="210">
        <f>IFERROR(Y101/SUM(Y31:Y33),0)</f>
        <v/>
      </c>
      <c r="Z102" s="211">
        <f>IFERROR(Z101/SUM(Z31:Z33),0)</f>
        <v/>
      </c>
    </row>
    <row r="104">
      <c r="O104" s="180" t="inlineStr">
        <is>
          <t>Capex</t>
        </is>
      </c>
      <c r="P104" s="213">
        <f>P87</f>
        <v/>
      </c>
      <c r="Q104" s="213">
        <f>Q87</f>
        <v/>
      </c>
      <c r="R104" s="213">
        <f>R87</f>
        <v/>
      </c>
      <c r="S104" s="213">
        <f>S87</f>
        <v/>
      </c>
      <c r="T104" s="213">
        <f>T87</f>
        <v/>
      </c>
      <c r="U104" s="213">
        <f>U87</f>
        <v/>
      </c>
      <c r="V104" s="213">
        <f>V87</f>
        <v/>
      </c>
      <c r="W104" s="213">
        <f>W87</f>
        <v/>
      </c>
      <c r="X104" s="213">
        <f>X87</f>
        <v/>
      </c>
      <c r="Y104" s="213">
        <f>Y87</f>
        <v/>
      </c>
      <c r="Z104" s="214">
        <f>Z87</f>
        <v/>
      </c>
    </row>
    <row r="105">
      <c r="O105" s="200" t="inlineStr">
        <is>
          <t>Expansion Capex</t>
        </is>
      </c>
      <c r="P105" s="222" t="n"/>
      <c r="Q105" s="222" t="n"/>
      <c r="R105" s="222" t="n"/>
      <c r="S105" s="222" t="n"/>
      <c r="T105" s="222" t="n"/>
      <c r="U105" s="222" t="n"/>
      <c r="V105" s="168">
        <f>-BS_Calc!N61/K</f>
        <v/>
      </c>
      <c r="W105" s="168">
        <f>-BS_Calc!O61/K</f>
        <v/>
      </c>
      <c r="X105" s="168">
        <f>-BS_Calc!P61/K</f>
        <v/>
      </c>
      <c r="Y105" s="168">
        <f>-BS_Calc!Q61/K</f>
        <v/>
      </c>
      <c r="Z105" s="201">
        <f>-BS_Calc!R61/K</f>
        <v/>
      </c>
    </row>
    <row r="106">
      <c r="O106" s="200" t="inlineStr">
        <is>
          <t>Maintenance Capex</t>
        </is>
      </c>
      <c r="P106" s="1937" t="n"/>
      <c r="Q106" s="1937" t="n"/>
      <c r="R106" s="1937" t="n"/>
      <c r="S106" s="1937" t="n"/>
      <c r="T106" s="1937" t="n"/>
      <c r="U106" s="1937" t="n"/>
      <c r="V106" s="1938" t="n"/>
      <c r="W106" s="1938" t="n"/>
      <c r="X106" s="1938" t="n"/>
      <c r="Y106" s="1938" t="n"/>
      <c r="Z106" s="1939" t="n"/>
      <c r="AA106" s="224" t="n"/>
    </row>
    <row r="107">
      <c r="O107" s="1931" t="inlineStr">
        <is>
          <t>Total Capex</t>
        </is>
      </c>
      <c r="P107" s="1932">
        <f>SUM(P105:P106)</f>
        <v/>
      </c>
      <c r="Q107" s="1932">
        <f>SUM(Q105:Q106)</f>
        <v/>
      </c>
      <c r="R107" s="1932">
        <f>SUM(R105:R106)</f>
        <v/>
      </c>
      <c r="S107" s="1932">
        <f>SUM(S105:S106)</f>
        <v/>
      </c>
      <c r="T107" s="1932">
        <f>SUM(T105:T106)</f>
        <v/>
      </c>
      <c r="U107" s="1932">
        <f>SUM(U105:U106)</f>
        <v/>
      </c>
      <c r="V107" s="1932">
        <f>SUM(V105:V106)</f>
        <v/>
      </c>
      <c r="W107" s="1932">
        <f>SUM(W105:W106)</f>
        <v/>
      </c>
      <c r="X107" s="1932">
        <f>SUM(X105:X106)</f>
        <v/>
      </c>
      <c r="Y107" s="1932">
        <f>SUM(Y105:Y106)</f>
        <v/>
      </c>
      <c r="Z107" s="1933">
        <f>SUM(Z105:Z106)</f>
        <v/>
      </c>
    </row>
  </sheetData>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I58"/>
  <sheetViews>
    <sheetView showGridLines="0" workbookViewId="0">
      <selection activeCell="I1" sqref="I1"/>
    </sheetView>
  </sheetViews>
  <sheetFormatPr baseColWidth="8" defaultColWidth="8.69140625" defaultRowHeight="16"/>
  <cols>
    <col width="2.23046875" customWidth="1" style="168" min="1" max="2"/>
    <col width="25.69140625" bestFit="1" customWidth="1" style="168" min="3" max="3"/>
    <col width="19.84375" customWidth="1" style="1824" min="4" max="4"/>
    <col width="23.69140625" customWidth="1" style="168" min="5" max="5"/>
    <col width="8" bestFit="1" customWidth="1" style="168" min="6" max="6"/>
    <col width="8.69140625" customWidth="1" style="168" min="7" max="8"/>
    <col width="8.69140625" customWidth="1" style="168" min="9" max="9"/>
    <col width="8.69140625" customWidth="1" style="168" min="10" max="16384"/>
  </cols>
  <sheetData>
    <row r="1">
      <c r="E1" s="168" t="inlineStr">
        <is>
          <t>*</t>
        </is>
      </c>
      <c r="H1" s="1433" t="inlineStr">
        <is>
          <t>Cover</t>
        </is>
      </c>
      <c r="I1" s="168">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
      </c>
    </row>
    <row r="2">
      <c r="H2" s="1433" t="n"/>
    </row>
    <row r="3">
      <c r="H3" s="1433" t="n"/>
    </row>
    <row r="4">
      <c r="H4" s="1433" t="n"/>
    </row>
    <row r="5">
      <c r="B5" s="1390" t="inlineStr">
        <is>
          <t>Names &amp; Dates</t>
        </is>
      </c>
      <c r="E5" s="168" t="inlineStr">
        <is>
          <t>*</t>
        </is>
      </c>
      <c r="H5" s="1492" t="inlineStr">
        <is>
          <t>Page 1</t>
        </is>
      </c>
      <c r="I5" s="168">
        <f>"Valuation of "&amp;D6</f>
        <v/>
      </c>
    </row>
    <row r="6">
      <c r="C6" s="168" t="inlineStr">
        <is>
          <t>Subject Company Name</t>
        </is>
      </c>
      <c r="D6" s="1399">
        <f>subject.name</f>
        <v/>
      </c>
      <c r="E6" s="168" t="inlineStr">
        <is>
          <t>*</t>
        </is>
      </c>
      <c r="I6" s="168">
        <f>"for "&amp;C12</f>
        <v/>
      </c>
    </row>
    <row r="7">
      <c r="C7" s="168" t="inlineStr">
        <is>
          <t>Valuation Date</t>
        </is>
      </c>
      <c r="D7" s="1940">
        <f>valuation.date</f>
        <v/>
      </c>
      <c r="E7" s="168" t="inlineStr">
        <is>
          <t>*</t>
        </is>
      </c>
      <c r="I7" s="168">
        <f>"Valuation as at "&amp;TEXT(D7,"dd mmmmmmm yyy")</f>
        <v/>
      </c>
    </row>
    <row r="8">
      <c r="C8" s="168" t="inlineStr">
        <is>
          <t>Current Date</t>
        </is>
      </c>
      <c r="D8" s="1940">
        <f>TODAY()</f>
        <v/>
      </c>
      <c r="E8" s="168" t="inlineStr">
        <is>
          <t>*</t>
        </is>
      </c>
      <c r="I8" s="1493">
        <f>TEXT(TODAY(),"dd mmmmmmm yyyy")</f>
        <v/>
      </c>
    </row>
    <row r="9">
      <c r="C9" s="168" t="inlineStr">
        <is>
          <t>Agreement Date</t>
        </is>
      </c>
      <c r="D9" s="1941">
        <f>TODAY()</f>
        <v/>
      </c>
      <c r="E9" s="168" t="inlineStr">
        <is>
          <t>*</t>
        </is>
      </c>
      <c r="H9" s="1492" t="inlineStr">
        <is>
          <t>Page 2</t>
        </is>
      </c>
    </row>
    <row r="10">
      <c r="C10" s="168" t="inlineStr">
        <is>
          <t>Valuer Name</t>
        </is>
      </c>
      <c r="D10" s="1399">
        <f>Inputs!E20</f>
        <v/>
      </c>
      <c r="E10" s="168" t="inlineStr">
        <is>
          <t>*</t>
        </is>
      </c>
    </row>
    <row r="11">
      <c r="C11" s="168" t="inlineStr">
        <is>
          <t>Valuer First Name</t>
        </is>
      </c>
      <c r="D11" s="1399">
        <f>D10</f>
        <v/>
      </c>
      <c r="E11" s="168" t="inlineStr">
        <is>
          <t>*</t>
        </is>
      </c>
      <c r="H11" s="1492" t="inlineStr">
        <is>
          <t>Page 6</t>
        </is>
      </c>
    </row>
    <row r="12">
      <c r="C12" s="168" t="inlineStr">
        <is>
          <t>Client Company Name</t>
        </is>
      </c>
      <c r="D12" s="1399">
        <f>client.name.long</f>
        <v/>
      </c>
      <c r="E12" s="168" t="inlineStr">
        <is>
          <t>*</t>
        </is>
      </c>
      <c r="H12" s="168" t="inlineStr">
        <is>
          <t>Scope of Work</t>
        </is>
      </c>
      <c r="I12" s="168">
        <f>"Valify has been engaged by "&amp;Log!D12&amp;" ('Client') to run a valuation of "&amp;subject.name&amp;" ('Subject Company' or '"&amp;Inputs!G24&amp;"'), based on the provided Management forecasts, as at "&amp;TEXT(Log!D7,"mmmm dd, yyyy")&amp;" ('Valuation Date')."</f>
        <v/>
      </c>
    </row>
    <row r="13">
      <c r="C13" s="168" t="inlineStr">
        <is>
          <t>Client Company Short Name</t>
        </is>
      </c>
      <c r="D13" s="1399">
        <f>Inputs!G19</f>
        <v/>
      </c>
      <c r="E13" s="168" t="inlineStr">
        <is>
          <t>*</t>
        </is>
      </c>
      <c r="H13" s="168" t="inlineStr">
        <is>
          <t>Information we relied on</t>
        </is>
      </c>
      <c r="I13" s="168">
        <f>"To carry out the valuation of "&amp;Log!D13&amp;", we have relied on financial &amp; non-financialinformation provided by the Valuer including, but not limited to; "</f>
        <v/>
      </c>
    </row>
    <row r="14">
      <c r="C14" s="168" t="inlineStr">
        <is>
          <t>Purpose</t>
        </is>
      </c>
      <c r="D14" s="1399">
        <f>Inputs!E21</f>
        <v/>
      </c>
      <c r="E14" s="168" t="inlineStr">
        <is>
          <t>*</t>
        </is>
      </c>
      <c r="H14" s="168" t="inlineStr">
        <is>
          <t>Methodology</t>
        </is>
      </c>
      <c r="I14" s="168">
        <f>"We have corroborated our analysis using the Market approach, which considers market multiples (EV/EBITDA) of a set of publicly listed companies comparable to "&amp;D6&amp;"."</f>
        <v/>
      </c>
    </row>
    <row r="15">
      <c r="C15" s="168" t="inlineStr">
        <is>
          <t>Last fiscal year end</t>
        </is>
      </c>
      <c r="D15" s="1941">
        <f>projected.year1.end</f>
        <v/>
      </c>
      <c r="E15" s="168" t="inlineStr">
        <is>
          <t>*</t>
        </is>
      </c>
      <c r="H15" s="168" t="inlineStr">
        <is>
          <t>Valuation Conclusion</t>
        </is>
      </c>
      <c r="I15" s="168">
        <f>"Based on the sensitivities reflected under Valify Case, we arrived at the aggregate EV range of "&amp;currency.type&amp;" "&amp;MROUND(ValSum!#REF!,1)&amp;" "&amp;Inputs!$F$45&amp;" to "&amp;currency.type&amp;" "&amp;MROUND(ValSum!#REF!,1)&amp;" "&amp;Inputs!$F$45&amp;"."</f>
        <v/>
      </c>
    </row>
    <row r="16">
      <c r="E16" s="168" t="inlineStr">
        <is>
          <t>*</t>
        </is>
      </c>
      <c r="H16" s="1492" t="inlineStr">
        <is>
          <t>Page 8</t>
        </is>
      </c>
      <c r="I16" s="1927" t="n"/>
    </row>
    <row r="17">
      <c r="B17" s="1390" t="inlineStr">
        <is>
          <t>Output</t>
        </is>
      </c>
      <c r="E17" s="168" t="inlineStr">
        <is>
          <t>*</t>
        </is>
      </c>
      <c r="H17" s="168" t="inlineStr">
        <is>
          <t>Business Description</t>
        </is>
      </c>
      <c r="I17" s="168">
        <f>D27</f>
        <v/>
      </c>
    </row>
    <row r="18">
      <c r="C18" s="168" t="inlineStr">
        <is>
          <t>Management Case EV - Low</t>
        </is>
      </c>
      <c r="D18" s="1399">
        <f>ReportData!$P$20</f>
        <v/>
      </c>
      <c r="E18" s="168" t="inlineStr">
        <is>
          <t>*</t>
        </is>
      </c>
      <c r="H18" s="168" t="inlineStr">
        <is>
          <t>Existing Revenue</t>
        </is>
      </c>
      <c r="I18" s="168">
        <f>D13&amp;"'s existing business includes "&amp;D29</f>
        <v/>
      </c>
    </row>
    <row r="19" ht="13" customHeight="1">
      <c r="C19" s="168" t="inlineStr">
        <is>
          <t>Management Case EV - High</t>
        </is>
      </c>
      <c r="D19" s="1399">
        <f>ReportData!$R$20</f>
        <v/>
      </c>
      <c r="E19" s="168" t="inlineStr">
        <is>
          <t>*</t>
        </is>
      </c>
      <c r="H19" s="168" t="inlineStr">
        <is>
          <t>Pipeline</t>
        </is>
      </c>
      <c r="I19" s="168">
        <f>"Further, as per provided information, "&amp;D33&amp;" are in confirmed pipeline during the next 5 years."</f>
        <v/>
      </c>
    </row>
    <row r="20" ht="13" customHeight="1">
      <c r="C20" s="168" t="inlineStr">
        <is>
          <t>Valify Case EV - Low</t>
        </is>
      </c>
      <c r="D20" s="1399">
        <f>ReportData!$P$21</f>
        <v/>
      </c>
      <c r="E20" s="168" t="inlineStr">
        <is>
          <t>*</t>
        </is>
      </c>
      <c r="H20" s="168" t="inlineStr">
        <is>
          <t>Potential</t>
        </is>
      </c>
      <c r="I20" s="168">
        <f>"Lastly, as per the provided information, the Company aims to develop business into "&amp;D34&amp;" over the next 5 years."</f>
        <v/>
      </c>
    </row>
    <row r="21" ht="13" customHeight="1">
      <c r="C21" s="168" t="inlineStr">
        <is>
          <t>Valify Case EV - High</t>
        </is>
      </c>
      <c r="D21" s="1399">
        <f>ReportData!$R$21</f>
        <v/>
      </c>
      <c r="E21" s="168" t="inlineStr">
        <is>
          <t>*</t>
        </is>
      </c>
      <c r="H21" s="168" t="inlineStr">
        <is>
          <t>Primarily Geography</t>
        </is>
      </c>
      <c r="I21" s="168">
        <f>"The Company primarily operates in "&amp;Log!D31&amp;". "</f>
        <v/>
      </c>
    </row>
    <row r="22" ht="13" customHeight="1">
      <c r="C22" s="168" t="inlineStr">
        <is>
          <t>Management Case implied multiple</t>
        </is>
      </c>
      <c r="D22" s="1399" t="n"/>
      <c r="E22" s="168" t="inlineStr">
        <is>
          <t>*</t>
        </is>
      </c>
      <c r="H22" s="168" t="inlineStr">
        <is>
          <t>Secondary business</t>
        </is>
      </c>
      <c r="I22" s="168">
        <f>Log!D13&amp;" has a secondary business as a "&amp;Inputs!E65&amp;" in "&amp;Inputs!E63&amp;" which contributes "&amp;TEXT(Inputs!E68,"0%")&amp;" to Company revenues."</f>
        <v/>
      </c>
    </row>
    <row r="23" ht="13" customHeight="1">
      <c r="C23" s="168" t="inlineStr">
        <is>
          <t>Valify Case implied multiple</t>
        </is>
      </c>
      <c r="D23" s="1399" t="n"/>
      <c r="E23" s="168" t="inlineStr">
        <is>
          <t>*</t>
        </is>
      </c>
    </row>
    <row r="24" ht="13" customHeight="1">
      <c r="C24" s="168" t="inlineStr">
        <is>
          <t>Market Multiple</t>
        </is>
      </c>
      <c r="D24" s="1942">
        <f>ValSum!D54</f>
        <v/>
      </c>
      <c r="E24" s="168" t="inlineStr">
        <is>
          <t>*</t>
        </is>
      </c>
      <c r="H24" s="1492" t="inlineStr">
        <is>
          <t>Page 11: Revenues</t>
        </is>
      </c>
    </row>
    <row r="25" ht="13" customHeight="1">
      <c r="E25" s="168" t="inlineStr">
        <is>
          <t>*</t>
        </is>
      </c>
      <c r="H25" s="168" t="inlineStr">
        <is>
          <t>Historic Revenue</t>
        </is>
      </c>
      <c r="I25" s="168">
        <f>"Historically, majority of "&amp;D13&amp;"'s revenues have sourced from "&amp;D42&amp;", which has contributed "&amp;D43&amp;" of the Company's revenues. The Company's historical revenues have grown at a CAGR of "&amp;D39&amp;" from "&amp;D40&amp;" to "&amp;D41&amp;"."</f>
        <v/>
      </c>
    </row>
    <row r="26" ht="13" customHeight="1">
      <c r="B26" s="1390" t="inlineStr">
        <is>
          <t>Business Overview</t>
        </is>
      </c>
      <c r="E26" s="168" t="inlineStr">
        <is>
          <t>*</t>
        </is>
      </c>
      <c r="H26" s="168" t="inlineStr">
        <is>
          <t>YTD Revenues</t>
        </is>
      </c>
      <c r="I26" s="168">
        <f>"As of "&amp;TEXT(D46,"dd mmmmmmm yyyy")&amp;", "&amp;D13&amp;"'s revenues stood at "&amp;D47&amp;", which is "&amp;D48&amp;" than the management target."</f>
        <v/>
      </c>
    </row>
    <row r="27" ht="13" customHeight="1">
      <c r="C27" s="168" t="inlineStr">
        <is>
          <t>Short Business Description</t>
        </is>
      </c>
      <c r="D27" s="1399">
        <f>D6&amp;"is a "&amp;Inputs!H49&amp;" "&amp;Inputs!E54&amp;" in the "&amp;Inputs!E52&amp;" industry in "&amp;Inputs!E56&amp;"."</f>
        <v/>
      </c>
      <c r="E27" s="168" t="inlineStr">
        <is>
          <t>*</t>
        </is>
      </c>
      <c r="H27" s="168" t="inlineStr">
        <is>
          <t>Projected revenues</t>
        </is>
      </c>
      <c r="I27" s="168">
        <f>"Over the forecast period, majority of "&amp;D13&amp;"'s revenues are projected to source from "&amp;D44&amp;", contributing "&amp;D45&amp;" of the Company's revenues."</f>
        <v/>
      </c>
    </row>
    <row r="28" ht="13" customHeight="1">
      <c r="C28" s="168" t="inlineStr">
        <is>
          <t>Business model description</t>
        </is>
      </c>
      <c r="D28" s="1399" t="n"/>
      <c r="E28" s="168" t="inlineStr">
        <is>
          <t>*</t>
        </is>
      </c>
      <c r="H28" s="168" t="inlineStr">
        <is>
          <t>Projected Revenue support</t>
        </is>
      </c>
    </row>
    <row r="29" ht="13" customHeight="1">
      <c r="C29" s="168" t="inlineStr">
        <is>
          <t>Revenue stream names</t>
        </is>
      </c>
      <c r="D29" s="1399">
        <f>Inputs!E77&amp;", "&amp;Inputs!E78&amp;", "&amp;Inputs!E79&amp;" and  "&amp;Inputs!E80</f>
        <v/>
      </c>
      <c r="E29" s="168" t="inlineStr">
        <is>
          <t>*</t>
        </is>
      </c>
    </row>
    <row r="30" ht="13" customHeight="1">
      <c r="C30" s="168" t="inlineStr">
        <is>
          <t>Last FYE Revenues</t>
        </is>
      </c>
      <c r="D30" s="1399">
        <f>IS!J23&amp;" ("&amp;currency.heading1&amp;")"</f>
        <v/>
      </c>
      <c r="E30" s="168" t="inlineStr">
        <is>
          <t>*</t>
        </is>
      </c>
    </row>
    <row r="31" ht="13" customHeight="1">
      <c r="C31" s="168" t="inlineStr">
        <is>
          <t>Operating Regions</t>
        </is>
      </c>
      <c r="D31" s="1399">
        <f>Inputs!E56&amp;" and "&amp;Inputs!E67</f>
        <v/>
      </c>
      <c r="E31" s="168" t="inlineStr">
        <is>
          <t>*</t>
        </is>
      </c>
      <c r="H31" s="1492" t="inlineStr">
        <is>
          <t>Page 12: Profits</t>
        </is>
      </c>
    </row>
    <row r="32" ht="13" customHeight="1">
      <c r="C32" s="168" t="inlineStr">
        <is>
          <t>Expansion plans</t>
        </is>
      </c>
      <c r="D32" s="1399" t="n"/>
      <c r="E32" s="168" t="inlineStr">
        <is>
          <t>*</t>
        </is>
      </c>
    </row>
    <row r="33" ht="13" customHeight="1">
      <c r="C33" s="168" t="inlineStr">
        <is>
          <t>Pipelines contracts</t>
        </is>
      </c>
      <c r="D33" s="1399">
        <f>Inputs!E82&amp;", "&amp;Inputs!E83&amp;", "&amp;Inputs!E84&amp;", "&amp;Inputs!E85</f>
        <v/>
      </c>
      <c r="E33" s="168" t="inlineStr">
        <is>
          <t>*</t>
        </is>
      </c>
    </row>
    <row r="34" ht="13" customHeight="1">
      <c r="C34" s="168" t="inlineStr">
        <is>
          <t>Potential Business</t>
        </is>
      </c>
      <c r="D34" s="1399">
        <f>Inputs!E87&amp;", "&amp;Inputs!E88&amp;", "&amp;Inputs!E89&amp;" and "&amp;Inputs!E90</f>
        <v/>
      </c>
    </row>
    <row r="35" ht="13" customHeight="1">
      <c r="E35" s="168" t="inlineStr">
        <is>
          <t>*</t>
        </is>
      </c>
    </row>
    <row r="36" ht="13" customHeight="1">
      <c r="B36" s="1390" t="inlineStr">
        <is>
          <t>Sensitivity Analysis</t>
        </is>
      </c>
      <c r="E36" s="168" t="inlineStr">
        <is>
          <t>*</t>
        </is>
      </c>
    </row>
    <row r="37" ht="13" customHeight="1">
      <c r="E37" s="168" t="inlineStr">
        <is>
          <t>*</t>
        </is>
      </c>
    </row>
    <row r="38" ht="13" customHeight="1">
      <c r="B38" s="1390" t="inlineStr">
        <is>
          <t>Revenue Analysis</t>
        </is>
      </c>
      <c r="E38" s="168" t="inlineStr">
        <is>
          <t>*</t>
        </is>
      </c>
    </row>
    <row r="39" ht="13" customHeight="1">
      <c r="C39" s="168" t="inlineStr">
        <is>
          <t>Historical Revenue CAGR</t>
        </is>
      </c>
      <c r="D39" s="1419">
        <f>IFERROR((IS!J23/IS!H23)^(1/3)-1,"NA")</f>
        <v/>
      </c>
      <c r="E39" s="168" t="inlineStr">
        <is>
          <t>*</t>
        </is>
      </c>
    </row>
    <row r="40" ht="13" customHeight="1">
      <c r="C40" s="168" t="inlineStr">
        <is>
          <t>Historical Revenue  Yr-3</t>
        </is>
      </c>
      <c r="D40" s="1399">
        <f>currency.type&amp;" "&amp;IS!J23&amp;" "&amp;Inputs!F45</f>
        <v/>
      </c>
      <c r="E40" s="168" t="inlineStr">
        <is>
          <t>*</t>
        </is>
      </c>
    </row>
    <row r="41" ht="13" customHeight="1">
      <c r="C41" s="168" t="inlineStr">
        <is>
          <t>Historical Revenue Year -1</t>
        </is>
      </c>
      <c r="D41" s="1399">
        <f>currency.type&amp;" "&amp;IS!H23&amp;" "&amp;Inputs!F45</f>
        <v/>
      </c>
      <c r="E41" s="168" t="inlineStr">
        <is>
          <t>*</t>
        </is>
      </c>
    </row>
    <row r="42" ht="13" customHeight="1">
      <c r="C42" s="168" t="inlineStr">
        <is>
          <t>Historical Dominant Revenue Stream</t>
        </is>
      </c>
      <c r="D42" s="1399" t="n"/>
      <c r="E42" s="168" t="inlineStr">
        <is>
          <t>*</t>
        </is>
      </c>
    </row>
    <row r="43" ht="13" customHeight="1">
      <c r="C43" s="168" t="inlineStr">
        <is>
          <t>Historical Dominant Revenue stream share</t>
        </is>
      </c>
      <c r="D43" s="1399" t="n"/>
      <c r="E43" s="168" t="inlineStr">
        <is>
          <t>*</t>
        </is>
      </c>
    </row>
    <row r="44" ht="13" customHeight="1">
      <c r="C44" s="168" t="inlineStr">
        <is>
          <t>Projected Dominant Revenue Stream</t>
        </is>
      </c>
      <c r="D44" s="1399">
        <f>IS_Calcs!F90</f>
        <v/>
      </c>
      <c r="E44" s="168" t="inlineStr">
        <is>
          <t>*</t>
        </is>
      </c>
    </row>
    <row r="45" ht="13" customHeight="1">
      <c r="C45" s="168" t="inlineStr">
        <is>
          <t>Projected Dominant Revenue stream share</t>
        </is>
      </c>
      <c r="D45" s="1419">
        <f>IS_Calcs!G90</f>
        <v/>
      </c>
      <c r="E45" s="168" t="inlineStr">
        <is>
          <t>*</t>
        </is>
      </c>
    </row>
    <row r="46" ht="13" customHeight="1">
      <c r="C46" s="168" t="inlineStr">
        <is>
          <t>YTD Date</t>
        </is>
      </c>
      <c r="D46" s="1940">
        <f>valuation.date</f>
        <v/>
      </c>
      <c r="E46" s="168" t="inlineStr">
        <is>
          <t>*</t>
        </is>
      </c>
    </row>
    <row r="47" ht="13" customHeight="1">
      <c r="C47" s="168" t="inlineStr">
        <is>
          <t>YTD Revenues</t>
        </is>
      </c>
      <c r="D47" s="1399">
        <f>IS!K23&amp;" ("&amp;currency.heading1&amp;")"</f>
        <v/>
      </c>
      <c r="E47" s="168" t="inlineStr">
        <is>
          <t>*</t>
        </is>
      </c>
      <c r="G47" s="1421" t="n"/>
    </row>
    <row r="48" ht="13" customHeight="1">
      <c r="C48" s="168" t="inlineStr">
        <is>
          <t>YTD Revenue status</t>
        </is>
      </c>
      <c r="D48" s="1399">
        <f>IF(IS!V23-IS!M23&gt;=0,IF(IS!V23/IS!M23-1&lt;=Log!F50,E50,E49),IF(IS!V23/IS!M23-1&gt;=F51,E51,E52))</f>
        <v/>
      </c>
      <c r="E48" s="1426" t="inlineStr">
        <is>
          <t>YTD Status Labels</t>
        </is>
      </c>
      <c r="F48" s="1427" t="inlineStr">
        <is>
          <t>Threshold</t>
        </is>
      </c>
    </row>
    <row r="49" ht="13" customHeight="1">
      <c r="C49" s="168" t="inlineStr">
        <is>
          <t>Projected Revenue CAGR</t>
        </is>
      </c>
      <c r="D49" s="1419">
        <f>IS!T23</f>
        <v/>
      </c>
      <c r="E49" s="1422" t="inlineStr">
        <is>
          <t>Significantly Exceeded</t>
        </is>
      </c>
      <c r="F49" s="1423" t="n"/>
    </row>
    <row r="50" ht="13" customHeight="1">
      <c r="C50" s="168" t="inlineStr">
        <is>
          <t>Current Date</t>
        </is>
      </c>
      <c r="D50" s="1940">
        <f>valuation.date</f>
        <v/>
      </c>
      <c r="E50" s="1422" t="inlineStr">
        <is>
          <t>Slightly Exceeded</t>
        </is>
      </c>
      <c r="F50" s="1423" t="n">
        <v>0.1</v>
      </c>
    </row>
    <row r="51" ht="13" customHeight="1">
      <c r="C51" s="168" t="inlineStr">
        <is>
          <t>Last Projected Year</t>
        </is>
      </c>
      <c r="D51" s="1399">
        <f>IS!R7</f>
        <v/>
      </c>
      <c r="E51" s="1422" t="inlineStr">
        <is>
          <t>Slightly Lower</t>
        </is>
      </c>
      <c r="F51" s="1423" t="n">
        <v>0.1</v>
      </c>
    </row>
    <row r="52" ht="13" customHeight="1">
      <c r="C52" s="168" t="inlineStr">
        <is>
          <t>Projected Existing Revenue share</t>
        </is>
      </c>
      <c r="D52" s="1419">
        <f>AVERAGE(IS_Calcs!N72:R72)</f>
        <v/>
      </c>
      <c r="E52" s="1424" t="inlineStr">
        <is>
          <t>Significantly Lower</t>
        </is>
      </c>
      <c r="F52" s="1425" t="n"/>
    </row>
    <row r="53" ht="13" customHeight="1">
      <c r="C53" s="168" t="inlineStr">
        <is>
          <t>Projected Pipeline Revenue share</t>
        </is>
      </c>
      <c r="D53" s="1419">
        <f>AVERAGE(IS_Calcs!N73:R73)</f>
        <v/>
      </c>
    </row>
    <row r="54" ht="13" customHeight="1">
      <c r="C54" s="168" t="inlineStr">
        <is>
          <t>Projected Potential Revenue share</t>
        </is>
      </c>
      <c r="D54" s="1419">
        <f>AVERAGE(IS_Calcs!N74:R74)</f>
        <v/>
      </c>
      <c r="E54" s="1428" t="inlineStr">
        <is>
          <t>Base Stayer</t>
        </is>
      </c>
      <c r="F54" s="1429" t="inlineStr">
        <is>
          <t>Existing</t>
        </is>
      </c>
    </row>
    <row r="55" ht="13" customHeight="1">
      <c r="C55" s="168" t="inlineStr">
        <is>
          <t>Business Forecast Profile</t>
        </is>
      </c>
      <c r="D55" s="1399">
        <f>_xlfn.XLOOKUP(MAX(D52:D54),D52:D54,E54:E56)</f>
        <v/>
      </c>
      <c r="E55" s="1430" t="inlineStr">
        <is>
          <t>Change Maker</t>
        </is>
      </c>
      <c r="F55" s="1431" t="inlineStr">
        <is>
          <t>Pipeline</t>
        </is>
      </c>
    </row>
    <row r="56" ht="13" customHeight="1">
      <c r="C56" s="168" t="inlineStr">
        <is>
          <t>Profile description</t>
        </is>
      </c>
      <c r="D56" s="1399">
        <f>_xlfn.XLOOKUP(D55,E54:E56,F54:F56)</f>
        <v/>
      </c>
      <c r="E56" s="1432" t="inlineStr">
        <is>
          <t>Hope Leaner</t>
        </is>
      </c>
      <c r="F56" s="1425" t="inlineStr">
        <is>
          <t>Potential</t>
        </is>
      </c>
    </row>
    <row r="58" ht="13" customHeight="1">
      <c r="B58" s="1390" t="inlineStr">
        <is>
          <t>Profitiability Analysis</t>
        </is>
      </c>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fitToPage="1"/>
  </sheetPr>
  <dimension ref="A1:F517"/>
  <sheetViews>
    <sheetView showGridLines="0" topLeftCell="A73" zoomScale="54" zoomScaleNormal="54" workbookViewId="0">
      <selection activeCell="E194" sqref="E194"/>
    </sheetView>
  </sheetViews>
  <sheetFormatPr baseColWidth="8" defaultColWidth="0" defaultRowHeight="16"/>
  <cols>
    <col width="5.69140625" bestFit="1" customWidth="1" style="168" min="1" max="1"/>
    <col width="1.61328125" customWidth="1" style="168" min="2" max="2"/>
    <col width="67.4609375" customWidth="1" style="168" min="3" max="3"/>
    <col width="2.23046875" customWidth="1" style="168" min="4" max="4"/>
    <col width="67.4609375" customWidth="1" style="168" min="5" max="5"/>
    <col width="1.61328125" customWidth="1" style="168" min="6" max="6"/>
    <col width="8.69140625" customWidth="1" style="168" min="7" max="7"/>
    <col hidden="1" width="8.69140625" customWidth="1" style="168" min="8" max="16384"/>
  </cols>
  <sheetData>
    <row r="1">
      <c r="A1" s="1402" t="inlineStr">
        <is>
          <t>Page 1: Cover</t>
        </is>
      </c>
      <c r="B1" s="1402" t="n"/>
    </row>
    <row r="2">
      <c r="A2" s="1402" t="n"/>
      <c r="B2" s="1402" t="n"/>
    </row>
    <row r="3">
      <c r="A3" s="1472" t="n">
        <v>1</v>
      </c>
      <c r="B3" s="1436" t="n"/>
      <c r="C3" s="1437" t="n"/>
      <c r="D3" s="1437" t="n"/>
      <c r="E3" s="1437" t="n"/>
      <c r="F3" s="1450" t="n"/>
    </row>
    <row r="4">
      <c r="A4" s="1472">
        <f>A3+1</f>
        <v/>
      </c>
      <c r="B4" s="1441" t="n"/>
      <c r="F4" s="1451" t="n"/>
    </row>
    <row r="5">
      <c r="A5" s="1472">
        <f>A4+1</f>
        <v/>
      </c>
      <c r="B5" s="1441" t="n"/>
      <c r="D5" s="1471" t="inlineStr">
        <is>
          <t>.</t>
        </is>
      </c>
      <c r="F5" s="1451" t="n"/>
    </row>
    <row r="6">
      <c r="A6" s="1472">
        <f>A5+1</f>
        <v/>
      </c>
      <c r="B6" s="1441" t="n"/>
      <c r="D6" s="1471" t="inlineStr">
        <is>
          <t>.</t>
        </is>
      </c>
      <c r="F6" s="1451" t="n"/>
    </row>
    <row r="7" ht="51" customHeight="1">
      <c r="A7" s="1472">
        <f>A6+1</f>
        <v/>
      </c>
      <c r="B7" s="1441" t="n"/>
      <c r="C7" s="1491" t="n"/>
      <c r="D7" s="1471" t="inlineStr">
        <is>
          <t>.</t>
        </is>
      </c>
      <c r="F7" s="1451" t="n"/>
    </row>
    <row r="8">
      <c r="A8" s="1472">
        <f>A7+1</f>
        <v/>
      </c>
      <c r="B8" s="1438" t="n"/>
      <c r="C8" s="1433" t="n"/>
      <c r="D8" s="1471" t="n"/>
      <c r="F8" s="1451" t="n"/>
    </row>
    <row r="9">
      <c r="A9" s="1472">
        <f>A8+1</f>
        <v/>
      </c>
      <c r="B9" s="1438" t="n"/>
      <c r="D9" s="1471" t="n"/>
      <c r="F9" s="1451" t="n"/>
    </row>
    <row r="10">
      <c r="A10" s="1472">
        <f>A9+1</f>
        <v/>
      </c>
      <c r="B10" s="1438" t="n"/>
      <c r="C10" s="1943" t="n"/>
      <c r="D10" s="1471" t="n"/>
      <c r="F10" s="1451" t="n"/>
    </row>
    <row r="11">
      <c r="A11" s="1472">
        <f>A10+1</f>
        <v/>
      </c>
      <c r="B11" s="1438" t="n"/>
      <c r="D11" s="1471" t="n"/>
      <c r="F11" s="1451" t="n"/>
    </row>
    <row r="12">
      <c r="A12" s="1472">
        <f>A11+1</f>
        <v/>
      </c>
      <c r="B12" s="1438" t="n"/>
      <c r="D12" s="1471" t="n"/>
      <c r="F12" s="1451" t="n"/>
    </row>
    <row r="13">
      <c r="A13" s="1472">
        <f>A12+1</f>
        <v/>
      </c>
      <c r="B13" s="1438" t="n"/>
      <c r="D13" s="1471" t="n"/>
      <c r="F13" s="1451" t="n"/>
    </row>
    <row r="14">
      <c r="A14" s="1472">
        <f>A13+1</f>
        <v/>
      </c>
      <c r="B14" s="1438" t="n"/>
      <c r="D14" s="1471" t="n"/>
      <c r="F14" s="1451" t="n"/>
    </row>
    <row r="15">
      <c r="A15" s="1472">
        <f>A14+1</f>
        <v/>
      </c>
      <c r="B15" s="1438" t="n"/>
      <c r="D15" s="1471" t="n"/>
      <c r="F15" s="1451" t="n"/>
    </row>
    <row r="16">
      <c r="A16" s="1472">
        <f>A15+1</f>
        <v/>
      </c>
      <c r="B16" s="1438" t="n"/>
      <c r="C16" s="1824" t="n"/>
      <c r="D16" s="1471" t="n"/>
      <c r="E16" s="1435" t="n"/>
      <c r="F16" s="1451" t="n"/>
    </row>
    <row r="17">
      <c r="A17" s="1472">
        <f>A16+1</f>
        <v/>
      </c>
      <c r="B17" s="1438" t="n"/>
      <c r="C17" s="1824" t="n"/>
      <c r="D17" s="1471" t="n"/>
      <c r="F17" s="1451" t="n"/>
    </row>
    <row r="18">
      <c r="A18" s="1472">
        <f>A17+1</f>
        <v/>
      </c>
      <c r="B18" s="1438" t="n"/>
      <c r="C18" s="1824" t="n"/>
      <c r="D18" s="1471" t="n"/>
      <c r="F18" s="1451" t="n"/>
    </row>
    <row r="19">
      <c r="A19" s="1472">
        <f>A18+1</f>
        <v/>
      </c>
      <c r="B19" s="1438" t="n"/>
      <c r="C19" s="1824" t="n"/>
      <c r="D19" s="1471" t="n"/>
      <c r="F19" s="1451" t="n"/>
    </row>
    <row r="20">
      <c r="A20" s="1472">
        <f>A19+1</f>
        <v/>
      </c>
      <c r="B20" s="1438" t="n"/>
      <c r="C20" s="1824" t="n"/>
      <c r="D20" s="1471" t="n"/>
      <c r="F20" s="1451" t="n"/>
    </row>
    <row r="21">
      <c r="A21" s="1472">
        <f>A20+1</f>
        <v/>
      </c>
      <c r="B21" s="1438" t="n"/>
      <c r="C21" s="1824" t="n"/>
      <c r="D21" s="1471" t="n"/>
      <c r="F21" s="1451" t="n"/>
    </row>
    <row r="22">
      <c r="A22" s="1472">
        <f>A21+1</f>
        <v/>
      </c>
      <c r="B22" s="1438" t="n"/>
      <c r="C22" s="1824" t="n"/>
      <c r="D22" s="1471" t="n"/>
      <c r="F22" s="1451" t="n"/>
    </row>
    <row r="23">
      <c r="A23" s="1472">
        <f>A22+1</f>
        <v/>
      </c>
      <c r="B23" s="1438" t="n"/>
      <c r="C23" s="1824" t="n"/>
      <c r="D23" s="1471" t="n"/>
      <c r="F23" s="1451" t="n"/>
    </row>
    <row r="24">
      <c r="A24" s="1472">
        <f>A23+1</f>
        <v/>
      </c>
      <c r="B24" s="1438" t="n"/>
      <c r="C24" s="1824" t="n"/>
      <c r="D24" s="1471" t="n"/>
      <c r="E24" s="1442" t="n"/>
      <c r="F24" s="1451" t="n"/>
    </row>
    <row r="25">
      <c r="A25" s="1472">
        <f>A24+1</f>
        <v/>
      </c>
      <c r="B25" s="1438" t="n"/>
      <c r="C25" s="1824" t="n"/>
      <c r="D25" s="1471" t="n"/>
      <c r="F25" s="1451" t="n"/>
    </row>
    <row r="26">
      <c r="A26" s="1472">
        <f>A25+1</f>
        <v/>
      </c>
      <c r="B26" s="1438" t="n"/>
      <c r="C26" s="1824" t="n"/>
      <c r="D26" s="1471" t="n"/>
      <c r="F26" s="1451" t="n"/>
    </row>
    <row r="27">
      <c r="A27" s="1472">
        <f>A26+1</f>
        <v/>
      </c>
      <c r="B27" s="1438" t="n"/>
      <c r="D27" s="1471" t="n"/>
      <c r="F27" s="1451" t="n"/>
    </row>
    <row r="28">
      <c r="A28" s="1472">
        <f>A27+1</f>
        <v/>
      </c>
      <c r="B28" s="1438" t="n"/>
      <c r="D28" s="1471" t="n"/>
      <c r="F28" s="1451" t="n"/>
    </row>
    <row r="29">
      <c r="A29" s="1472">
        <f>A28+1</f>
        <v/>
      </c>
      <c r="B29" s="1438" t="n"/>
      <c r="D29" s="1471" t="n"/>
      <c r="F29" s="1451" t="n"/>
    </row>
    <row r="30">
      <c r="A30" s="1472">
        <f>A29+1</f>
        <v/>
      </c>
      <c r="B30" s="1438" t="n"/>
      <c r="C30" s="1435" t="n"/>
      <c r="D30" s="1471" t="n"/>
      <c r="F30" s="1451" t="n"/>
    </row>
    <row r="31">
      <c r="A31" s="1472">
        <f>A30+1</f>
        <v/>
      </c>
      <c r="B31" s="1438" t="n"/>
      <c r="D31" s="1471" t="n"/>
      <c r="F31" s="1451" t="n"/>
    </row>
    <row r="32">
      <c r="A32" s="1472">
        <f>A31+1</f>
        <v/>
      </c>
      <c r="B32" s="1438" t="n"/>
      <c r="D32" s="1471" t="n"/>
      <c r="F32" s="1451" t="n"/>
    </row>
    <row r="33">
      <c r="A33" s="1472">
        <f>A32+1</f>
        <v/>
      </c>
      <c r="B33" s="1438" t="n"/>
      <c r="D33" s="1471" t="n"/>
      <c r="F33" s="1451" t="n"/>
    </row>
    <row r="34">
      <c r="A34" s="1472">
        <f>A33+1</f>
        <v/>
      </c>
      <c r="B34" s="1438" t="n"/>
      <c r="D34" s="1471" t="n"/>
      <c r="F34" s="1451" t="n"/>
    </row>
    <row r="35">
      <c r="A35" s="1472">
        <f>A34+1</f>
        <v/>
      </c>
      <c r="B35" s="1438" t="n"/>
      <c r="D35" s="1471" t="n"/>
      <c r="F35" s="1451" t="n"/>
    </row>
    <row r="36">
      <c r="A36" s="1472">
        <f>A35+1</f>
        <v/>
      </c>
      <c r="B36" s="1438" t="n"/>
      <c r="D36" s="1471" t="n"/>
      <c r="F36" s="1451" t="n"/>
    </row>
    <row r="37">
      <c r="A37" s="1472">
        <f>A36+1</f>
        <v/>
      </c>
      <c r="B37" s="1438" t="n"/>
      <c r="D37" s="1471" t="n"/>
      <c r="F37" s="1451" t="n"/>
    </row>
    <row r="38">
      <c r="A38" s="1472">
        <f>A37+1</f>
        <v/>
      </c>
      <c r="B38" s="1438" t="n"/>
      <c r="D38" s="1471" t="n"/>
      <c r="F38" s="1451" t="n"/>
    </row>
    <row r="39">
      <c r="A39" s="1472">
        <f>A38+1</f>
        <v/>
      </c>
      <c r="B39" s="1438" t="n"/>
      <c r="D39" s="1471" t="inlineStr">
        <is>
          <t>.</t>
        </is>
      </c>
      <c r="F39" s="1451" t="n"/>
    </row>
    <row r="40">
      <c r="A40" s="1472">
        <f>A39+1</f>
        <v/>
      </c>
      <c r="B40" s="1438" t="n"/>
      <c r="D40" s="1471" t="n"/>
      <c r="F40" s="1451" t="n"/>
    </row>
    <row r="41">
      <c r="A41" s="1472">
        <f>A40+1</f>
        <v/>
      </c>
      <c r="B41" s="1438" t="n"/>
      <c r="D41" s="1471" t="n"/>
      <c r="F41" s="1451" t="n"/>
    </row>
    <row r="42">
      <c r="A42" s="1472">
        <f>A41+1</f>
        <v/>
      </c>
      <c r="B42" s="1438" t="n"/>
      <c r="D42" s="1471" t="n"/>
      <c r="F42" s="1451" t="n"/>
    </row>
    <row r="43">
      <c r="A43" s="1472">
        <f>A42+1</f>
        <v/>
      </c>
      <c r="B43" s="1438" t="n"/>
      <c r="D43" s="1471" t="n"/>
      <c r="F43" s="1451" t="n"/>
    </row>
    <row r="44">
      <c r="A44" s="1472">
        <f>A43+1</f>
        <v/>
      </c>
      <c r="B44" s="1438" t="n"/>
      <c r="D44" s="1471" t="n"/>
      <c r="F44" s="1451" t="n"/>
    </row>
    <row r="45">
      <c r="A45" s="1472">
        <f>A44+1</f>
        <v/>
      </c>
      <c r="B45" s="1438" t="n"/>
      <c r="D45" s="1471" t="n"/>
      <c r="F45" s="1451" t="n"/>
    </row>
    <row r="46">
      <c r="A46" s="1472">
        <f>A45+1</f>
        <v/>
      </c>
      <c r="B46" s="1439" t="n"/>
      <c r="C46" s="1440" t="n"/>
      <c r="D46" s="1440" t="n"/>
      <c r="E46" s="1440" t="n"/>
      <c r="F46" s="1456" t="n"/>
    </row>
    <row r="48">
      <c r="A48" s="1402" t="inlineStr">
        <is>
          <t>Page 2: Message from your advisory partner</t>
        </is>
      </c>
      <c r="B48" s="1402" t="n"/>
    </row>
    <row r="49">
      <c r="A49" s="1402" t="n"/>
      <c r="B49" s="1402" t="n"/>
    </row>
    <row r="50">
      <c r="A50" s="1472" t="n">
        <v>1</v>
      </c>
      <c r="B50" s="1436" t="n"/>
      <c r="C50" s="1437" t="n"/>
      <c r="D50" s="1437" t="n"/>
      <c r="E50" s="1437" t="n"/>
      <c r="F50" s="1450" t="n"/>
    </row>
    <row r="51" ht="51" customHeight="1">
      <c r="A51" s="1472">
        <f>A50+1</f>
        <v/>
      </c>
      <c r="B51" s="1441" t="n"/>
      <c r="D51" s="1443" t="inlineStr">
        <is>
          <t>A message from your advisory partner</t>
        </is>
      </c>
      <c r="F51" s="1451" t="n"/>
    </row>
    <row r="52">
      <c r="A52" s="1472">
        <f>A51+1</f>
        <v/>
      </c>
      <c r="B52" s="1441" t="n"/>
      <c r="D52" s="1471" t="inlineStr">
        <is>
          <t>.</t>
        </is>
      </c>
      <c r="F52" s="1451" t="n"/>
    </row>
    <row r="53">
      <c r="A53" s="1472">
        <f>A52+1</f>
        <v/>
      </c>
      <c r="B53" s="1441" t="n"/>
      <c r="D53" s="1471" t="inlineStr">
        <is>
          <t>.</t>
        </is>
      </c>
      <c r="F53" s="1451" t="n"/>
    </row>
    <row r="54">
      <c r="A54" s="1472">
        <f>A53+1</f>
        <v/>
      </c>
      <c r="B54" s="1441" t="n"/>
      <c r="D54" s="1471" t="inlineStr">
        <is>
          <t>.</t>
        </is>
      </c>
      <c r="F54" s="1451" t="n"/>
    </row>
    <row r="55" ht="14.25" customHeight="1">
      <c r="A55" s="1472">
        <f>A54+1</f>
        <v/>
      </c>
      <c r="B55" s="1438" t="n"/>
      <c r="C55" s="1433">
        <f>"Prepared for: "&amp;client.name.long</f>
        <v/>
      </c>
      <c r="D55" s="1471" t="inlineStr">
        <is>
          <t>.</t>
        </is>
      </c>
      <c r="F55" s="1451" t="n"/>
    </row>
    <row r="56" ht="14.25" customHeight="1">
      <c r="A56" s="1472">
        <f>A55+1</f>
        <v/>
      </c>
      <c r="B56" s="1438" t="n"/>
      <c r="D56" s="1471" t="inlineStr">
        <is>
          <t>.</t>
        </is>
      </c>
      <c r="F56" s="1451" t="n"/>
    </row>
    <row r="57" ht="14.25" customHeight="1">
      <c r="A57" s="1472">
        <f>A56+1</f>
        <v/>
      </c>
      <c r="B57" s="1438" t="n"/>
      <c r="C57" s="1943">
        <f>TODAY()</f>
        <v/>
      </c>
      <c r="D57" s="1471" t="inlineStr">
        <is>
          <t>.</t>
        </is>
      </c>
      <c r="F57" s="1451" t="n"/>
    </row>
    <row r="58" ht="14.25" customHeight="1">
      <c r="A58" s="1472">
        <f>A57+1</f>
        <v/>
      </c>
      <c r="B58" s="1438" t="n"/>
      <c r="D58" s="1471" t="inlineStr">
        <is>
          <t>.</t>
        </is>
      </c>
      <c r="F58" s="1451" t="n"/>
    </row>
    <row r="59" ht="14.25" customHeight="1">
      <c r="A59" s="1472">
        <f>A58+1</f>
        <v/>
      </c>
      <c r="B59" s="1438" t="n"/>
      <c r="D59" s="1471" t="inlineStr">
        <is>
          <t>.</t>
        </is>
      </c>
      <c r="F59" s="1451" t="n"/>
    </row>
    <row r="60" ht="14.25" customHeight="1">
      <c r="A60" s="1472">
        <f>A59+1</f>
        <v/>
      </c>
      <c r="B60" s="1438" t="n"/>
      <c r="D60" s="1471" t="inlineStr">
        <is>
          <t>.</t>
        </is>
      </c>
      <c r="F60" s="1451" t="n"/>
    </row>
    <row r="61" ht="14.25" customHeight="1">
      <c r="A61" s="1472">
        <f>A60+1</f>
        <v/>
      </c>
      <c r="B61" s="1438" t="n"/>
      <c r="C61" s="168">
        <f>"Dear "&amp;Inputs!E20&amp;","</f>
        <v/>
      </c>
      <c r="D61" s="1471" t="inlineStr">
        <is>
          <t>.</t>
        </is>
      </c>
      <c r="F61" s="1451" t="n"/>
    </row>
    <row r="62" ht="14.25" customHeight="1">
      <c r="A62" s="1472">
        <f>A61+1</f>
        <v/>
      </c>
      <c r="B62" s="1438" t="n"/>
      <c r="D62" s="1471" t="inlineStr">
        <is>
          <t>.</t>
        </is>
      </c>
      <c r="F62" s="1451" t="n"/>
    </row>
    <row r="63" ht="14.25" customHeight="1">
      <c r="A63" s="1472">
        <f>A62+1</f>
        <v/>
      </c>
      <c r="B63" s="1438" t="n"/>
      <c r="C63" s="1824">
        <f>"In accordance with our agreement dated "&amp;TEXT(Log!D9,"mmmmmm dd, yyyy")&amp;" (“Agreement”), a copy of which"</f>
        <v/>
      </c>
      <c r="D63" s="1471" t="inlineStr">
        <is>
          <t>.</t>
        </is>
      </c>
      <c r="E63" s="1435" t="n"/>
      <c r="F63" s="1461" t="n"/>
    </row>
    <row r="64" ht="14.25" customHeight="1">
      <c r="A64" s="1472">
        <f>A63+1</f>
        <v/>
      </c>
      <c r="B64" s="1438" t="n"/>
      <c r="C64" s="1824">
        <f>"provided in Appendix C of this report (“Report”), we have been engaged by "</f>
        <v/>
      </c>
      <c r="D64" s="1471" t="inlineStr">
        <is>
          <t>.</t>
        </is>
      </c>
      <c r="F64" s="1451" t="n"/>
    </row>
    <row r="65" ht="14.25" customHeight="1">
      <c r="A65" s="1472">
        <f>A64+1</f>
        <v/>
      </c>
      <c r="B65" s="1438" t="n"/>
      <c r="C65" s="1824">
        <f>client.name.long&amp;" ('Client', '"&amp;client.company.short&amp;"' or 'You') "</f>
        <v/>
      </c>
      <c r="D65" s="1471" t="inlineStr">
        <is>
          <t>.</t>
        </is>
      </c>
      <c r="F65" s="1451" t="n"/>
    </row>
    <row r="66" ht="14.25" customHeight="1">
      <c r="A66" s="1472">
        <f>A65+1</f>
        <v/>
      </c>
      <c r="B66" s="1438" t="n"/>
      <c r="C66" s="1824">
        <f>"in relation to the business valuation of "&amp;Log!D6</f>
        <v/>
      </c>
      <c r="D66" s="1471" t="inlineStr">
        <is>
          <t>.</t>
        </is>
      </c>
      <c r="F66" s="1451" t="n"/>
    </row>
    <row r="67" ht="14.25" customHeight="1">
      <c r="A67" s="1472">
        <f>A66+1</f>
        <v/>
      </c>
      <c r="B67" s="1438" t="n"/>
      <c r="C67" s="1824">
        <f>" ('Subject Company', '"&amp;Inputs!G24&amp;"' or 'Management') as at "&amp;TEXT(Log!D7,"mmmmmm dd, yyyy")&amp;", for the"</f>
        <v/>
      </c>
      <c r="D67" s="1471" t="inlineStr">
        <is>
          <t>.</t>
        </is>
      </c>
      <c r="F67" s="1451" t="n"/>
    </row>
    <row r="68" ht="14.25" customHeight="1">
      <c r="A68" s="1472">
        <f>A67+1</f>
        <v/>
      </c>
      <c r="B68" s="1438" t="n"/>
      <c r="C68" s="1824">
        <f>"purpose of "&amp;Inputs!E21&amp;Inputs!#REF!</f>
        <v/>
      </c>
      <c r="D68" s="1471" t="inlineStr">
        <is>
          <t>.</t>
        </is>
      </c>
      <c r="F68" s="1451" t="n"/>
    </row>
    <row r="69" ht="14.25" customHeight="1">
      <c r="A69" s="1472">
        <f>A68+1</f>
        <v/>
      </c>
      <c r="B69" s="1438" t="n"/>
      <c r="C69" s="1824">
        <f>"(the 'Purpose'). Details of the scope and process of our work are set out in the “Important"</f>
        <v/>
      </c>
      <c r="D69" s="1471" t="inlineStr">
        <is>
          <t>.</t>
        </is>
      </c>
      <c r="F69" s="1451" t="n"/>
    </row>
    <row r="70" ht="14.25" customHeight="1">
      <c r="A70" s="1472">
        <f>A69+1</f>
        <v/>
      </c>
      <c r="B70" s="1438" t="n"/>
      <c r="C70" s="1824">
        <f>"notice” section in Appendix B which should be read in conjunction with this letter."</f>
        <v/>
      </c>
      <c r="D70" s="1471" t="inlineStr">
        <is>
          <t>.</t>
        </is>
      </c>
      <c r="F70" s="1451" t="n"/>
    </row>
    <row r="71" ht="14.25" customHeight="1">
      <c r="A71" s="1472">
        <f>A70+1</f>
        <v/>
      </c>
      <c r="B71" s="1438" t="n"/>
      <c r="C71" s="1824" t="n"/>
      <c r="D71" s="1471" t="inlineStr">
        <is>
          <t>.</t>
        </is>
      </c>
      <c r="E71" s="1442" t="n"/>
      <c r="F71" s="1462" t="n"/>
    </row>
    <row r="72" ht="14.25" customHeight="1">
      <c r="A72" s="1472">
        <f>A71+1</f>
        <v/>
      </c>
      <c r="B72" s="1438" t="n"/>
      <c r="C72" s="1824" t="n"/>
      <c r="D72" s="1471" t="inlineStr">
        <is>
          <t>.</t>
        </is>
      </c>
      <c r="F72" s="1451" t="n"/>
    </row>
    <row r="73" ht="14.25" customHeight="1">
      <c r="A73" s="1472">
        <f>A72+1</f>
        <v/>
      </c>
      <c r="B73" s="1438" t="n"/>
      <c r="C73" s="1824" t="n"/>
      <c r="D73" s="1471" t="inlineStr">
        <is>
          <t>.</t>
        </is>
      </c>
      <c r="F73" s="1451" t="n"/>
    </row>
    <row r="74" ht="14.25" customHeight="1">
      <c r="A74" s="1472">
        <f>A73+1</f>
        <v/>
      </c>
      <c r="B74" s="1438" t="n"/>
      <c r="D74" s="1471" t="inlineStr">
        <is>
          <t>.</t>
        </is>
      </c>
      <c r="F74" s="1451" t="n"/>
    </row>
    <row r="75" ht="14.25" customHeight="1">
      <c r="A75" s="1472">
        <f>A74+1</f>
        <v/>
      </c>
      <c r="B75" s="1438" t="n"/>
      <c r="D75" s="1471" t="inlineStr">
        <is>
          <t>.</t>
        </is>
      </c>
      <c r="F75" s="1451" t="n"/>
    </row>
    <row r="76" ht="14.25" customHeight="1">
      <c r="A76" s="1472">
        <f>A75+1</f>
        <v/>
      </c>
      <c r="B76" s="1438" t="n"/>
      <c r="D76" s="1471" t="inlineStr">
        <is>
          <t>.</t>
        </is>
      </c>
      <c r="F76" s="1451" t="n"/>
    </row>
    <row r="77" ht="14.25" customHeight="1">
      <c r="A77" s="1472">
        <f>A76+1</f>
        <v/>
      </c>
      <c r="B77" s="1438" t="n"/>
      <c r="C77" s="1435" t="n"/>
      <c r="D77" s="1471" t="inlineStr">
        <is>
          <t>.</t>
        </is>
      </c>
      <c r="F77" s="1451" t="n"/>
    </row>
    <row r="78" ht="14.25" customHeight="1">
      <c r="A78" s="1472">
        <f>A77+1</f>
        <v/>
      </c>
      <c r="B78" s="1438" t="n"/>
      <c r="D78" s="1471" t="inlineStr">
        <is>
          <t>.</t>
        </is>
      </c>
      <c r="F78" s="1451" t="n"/>
    </row>
    <row r="79" ht="14.25" customHeight="1">
      <c r="A79" s="1472">
        <f>A78+1</f>
        <v/>
      </c>
      <c r="B79" s="1438" t="n"/>
      <c r="D79" s="1471" t="inlineStr">
        <is>
          <t>.</t>
        </is>
      </c>
      <c r="F79" s="1451" t="n"/>
    </row>
    <row r="80" ht="14.25" customHeight="1">
      <c r="A80" s="1472">
        <f>A79+1</f>
        <v/>
      </c>
      <c r="B80" s="1438" t="n"/>
      <c r="D80" s="1471" t="inlineStr">
        <is>
          <t>.</t>
        </is>
      </c>
      <c r="F80" s="1451" t="n"/>
    </row>
    <row r="81" ht="14.25" customHeight="1">
      <c r="A81" s="1472">
        <f>A80+1</f>
        <v/>
      </c>
      <c r="B81" s="1438" t="n"/>
      <c r="D81" s="1471" t="inlineStr">
        <is>
          <t>.</t>
        </is>
      </c>
      <c r="F81" s="1451" t="n"/>
    </row>
    <row r="82" ht="14.25" customHeight="1">
      <c r="A82" s="1472">
        <f>A81+1</f>
        <v/>
      </c>
      <c r="B82" s="1438" t="n"/>
      <c r="D82" s="1471" t="inlineStr">
        <is>
          <t>.</t>
        </is>
      </c>
      <c r="F82" s="1451" t="n"/>
    </row>
    <row r="83" ht="14.25" customHeight="1">
      <c r="A83" s="1472">
        <f>A82+1</f>
        <v/>
      </c>
      <c r="B83" s="1438" t="n"/>
      <c r="D83" s="1471" t="inlineStr">
        <is>
          <t>.</t>
        </is>
      </c>
      <c r="F83" s="1451" t="n"/>
    </row>
    <row r="84" ht="14.25" customHeight="1">
      <c r="A84" s="1472">
        <f>A83+1</f>
        <v/>
      </c>
      <c r="B84" s="1438" t="n"/>
      <c r="D84" s="1471" t="inlineStr">
        <is>
          <t>.</t>
        </is>
      </c>
      <c r="F84" s="1451" t="n"/>
    </row>
    <row r="85" ht="14.25" customHeight="1">
      <c r="A85" s="1472">
        <f>A84+1</f>
        <v/>
      </c>
      <c r="B85" s="1438" t="n"/>
      <c r="D85" s="1471" t="inlineStr">
        <is>
          <t>.</t>
        </is>
      </c>
      <c r="F85" s="1451" t="n"/>
    </row>
    <row r="86" ht="14.25" customHeight="1">
      <c r="A86" s="1472">
        <f>A85+1</f>
        <v/>
      </c>
      <c r="B86" s="1438" t="n"/>
      <c r="D86" s="1471" t="inlineStr">
        <is>
          <t>.</t>
        </is>
      </c>
      <c r="F86" s="1451" t="n"/>
    </row>
    <row r="87" ht="14.25" customHeight="1">
      <c r="A87" s="1472">
        <f>A86+1</f>
        <v/>
      </c>
      <c r="B87" s="1438" t="n"/>
      <c r="D87" s="1471" t="n"/>
      <c r="F87" s="1451" t="n"/>
    </row>
    <row r="88" ht="14.25" customHeight="1">
      <c r="A88" s="1472">
        <f>A87+1</f>
        <v/>
      </c>
      <c r="B88" s="1438" t="n"/>
      <c r="D88" s="1471" t="n"/>
      <c r="F88" s="1451" t="n"/>
    </row>
    <row r="89" ht="14.25" customHeight="1">
      <c r="A89" s="1472">
        <f>A88+1</f>
        <v/>
      </c>
      <c r="B89" s="1438" t="n"/>
      <c r="D89" s="1471" t="n"/>
      <c r="F89" s="1451" t="n"/>
    </row>
    <row r="90" ht="14.25" customHeight="1">
      <c r="A90" s="1472">
        <f>A89+1</f>
        <v/>
      </c>
      <c r="B90" s="1438" t="n"/>
      <c r="D90" s="1471" t="n"/>
      <c r="F90" s="1451" t="n"/>
    </row>
    <row r="91" ht="14.25" customHeight="1">
      <c r="A91" s="1472">
        <f>A90+1</f>
        <v/>
      </c>
      <c r="B91" s="1438" t="n"/>
      <c r="D91" s="1471" t="n"/>
      <c r="F91" s="1451" t="n"/>
    </row>
    <row r="92" ht="14.25" customHeight="1">
      <c r="A92" s="1472">
        <f>A91+1</f>
        <v/>
      </c>
      <c r="B92" s="1438" t="n"/>
      <c r="D92" s="1471" t="n"/>
      <c r="F92" s="1451" t="n"/>
    </row>
    <row r="93">
      <c r="A93" s="1472">
        <f>A92+1</f>
        <v/>
      </c>
      <c r="B93" s="1439" t="n"/>
      <c r="C93" s="1440" t="n"/>
      <c r="D93" s="1440" t="n"/>
      <c r="E93" s="1440" t="n"/>
      <c r="F93" s="1456" t="n"/>
    </row>
    <row r="95">
      <c r="A95" s="1402" t="inlineStr">
        <is>
          <t>Page 3: Message from your advisory partner</t>
        </is>
      </c>
      <c r="B95" s="1402" t="n"/>
    </row>
    <row r="96">
      <c r="A96" s="1402" t="n"/>
      <c r="B96" s="1402" t="n"/>
    </row>
    <row r="97" ht="14.25" customHeight="1">
      <c r="A97" s="1472" t="n">
        <v>1</v>
      </c>
      <c r="B97" s="1436" t="n"/>
      <c r="C97" s="1437" t="n"/>
      <c r="D97" s="1437" t="n"/>
      <c r="E97" s="1437" t="n"/>
      <c r="F97" s="1450" t="n"/>
    </row>
    <row r="98" ht="51" customHeight="1">
      <c r="A98" s="1472">
        <f>A97+1</f>
        <v/>
      </c>
      <c r="B98" s="1441" t="n"/>
      <c r="D98" s="1443" t="inlineStr">
        <is>
          <t>A message from your advisory partner</t>
        </is>
      </c>
      <c r="F98" s="1451" t="n"/>
    </row>
    <row r="99" ht="14.25" customHeight="1">
      <c r="A99" s="1472">
        <f>A98+1</f>
        <v/>
      </c>
      <c r="B99" s="1441" t="n"/>
      <c r="F99" s="1451" t="n"/>
    </row>
    <row r="100" ht="14.25" customHeight="1">
      <c r="A100" s="1472">
        <f>A99+1</f>
        <v/>
      </c>
      <c r="B100" s="1441" t="n"/>
      <c r="F100" s="1451" t="n"/>
    </row>
    <row r="101" ht="14.25" customHeight="1">
      <c r="A101" s="1472">
        <f>A100+1</f>
        <v/>
      </c>
      <c r="B101" s="1441" t="n"/>
      <c r="D101" s="1471" t="inlineStr">
        <is>
          <t>.</t>
        </is>
      </c>
      <c r="F101" s="1451" t="n"/>
    </row>
    <row r="102" ht="14.25" customHeight="1">
      <c r="A102" s="1472">
        <f>A101+1</f>
        <v/>
      </c>
      <c r="B102" s="1441" t="n"/>
      <c r="D102" s="1471" t="inlineStr">
        <is>
          <t>.</t>
        </is>
      </c>
      <c r="F102" s="1451" t="n"/>
    </row>
    <row r="103" ht="14.25" customHeight="1">
      <c r="A103" s="1472">
        <f>A102+1</f>
        <v/>
      </c>
      <c r="B103" s="1438" t="n"/>
      <c r="C103" s="1442" t="n"/>
      <c r="D103" s="1471" t="inlineStr">
        <is>
          <t>.</t>
        </is>
      </c>
      <c r="F103" s="1451" t="n"/>
    </row>
    <row r="104" ht="14.25" customHeight="1">
      <c r="A104" s="1472">
        <f>A103+1</f>
        <v/>
      </c>
      <c r="B104" s="1438" t="n"/>
      <c r="D104" s="1471" t="inlineStr">
        <is>
          <t>.</t>
        </is>
      </c>
      <c r="F104" s="1451" t="n"/>
    </row>
    <row r="105" ht="14.25" customHeight="1">
      <c r="A105" s="1472">
        <f>A104+1</f>
        <v/>
      </c>
      <c r="B105" s="1438" t="n"/>
      <c r="D105" s="1471" t="inlineStr">
        <is>
          <t>.</t>
        </is>
      </c>
      <c r="F105" s="1451" t="n"/>
    </row>
    <row r="106" ht="14.25" customHeight="1">
      <c r="A106" s="1472">
        <f>A105+1</f>
        <v/>
      </c>
      <c r="B106" s="1438" t="n"/>
      <c r="D106" s="1471" t="inlineStr">
        <is>
          <t>.</t>
        </is>
      </c>
      <c r="F106" s="1451" t="n"/>
    </row>
    <row r="107" ht="14.25" customHeight="1">
      <c r="A107" s="1472">
        <f>A106+1</f>
        <v/>
      </c>
      <c r="B107" s="1438" t="n"/>
      <c r="D107" s="1471" t="inlineStr">
        <is>
          <t>.</t>
        </is>
      </c>
      <c r="F107" s="1451" t="n"/>
    </row>
    <row r="108" ht="14.25" customHeight="1">
      <c r="A108" s="1472">
        <f>A107+1</f>
        <v/>
      </c>
      <c r="B108" s="1438" t="n"/>
      <c r="D108" s="1471" t="inlineStr">
        <is>
          <t>.</t>
        </is>
      </c>
      <c r="F108" s="1451" t="n"/>
    </row>
    <row r="109" ht="14.25" customHeight="1">
      <c r="A109" s="1472">
        <f>A108+1</f>
        <v/>
      </c>
      <c r="B109" s="1438" t="n"/>
      <c r="D109" s="1471" t="inlineStr">
        <is>
          <t>.</t>
        </is>
      </c>
      <c r="F109" s="1451" t="n"/>
    </row>
    <row r="110" ht="14.25" customHeight="1">
      <c r="A110" s="1472">
        <f>A109+1</f>
        <v/>
      </c>
      <c r="B110" s="1438" t="n"/>
      <c r="D110" s="1471" t="inlineStr">
        <is>
          <t>.</t>
        </is>
      </c>
      <c r="F110" s="1451" t="n"/>
    </row>
    <row r="111" ht="14.25" customHeight="1">
      <c r="A111" s="1472">
        <f>A110+1</f>
        <v/>
      </c>
      <c r="B111" s="1438" t="n"/>
      <c r="C111" s="168">
        <f>"This report is confidential and prepared exclusively for "&amp;Log!D12&amp;"."</f>
        <v/>
      </c>
      <c r="D111" s="1471" t="inlineStr">
        <is>
          <t>.</t>
        </is>
      </c>
      <c r="F111" s="1451" t="n"/>
    </row>
    <row r="112" ht="14.25" customHeight="1">
      <c r="A112" s="1472">
        <f>A111+1</f>
        <v/>
      </c>
      <c r="B112" s="1438" t="n"/>
      <c r="C112" s="168">
        <f>"To the full extent permitted by law, we do not accept or assume responsibility to anyone other "</f>
        <v/>
      </c>
      <c r="D112" s="1471" t="inlineStr">
        <is>
          <t>.</t>
        </is>
      </c>
      <c r="F112" s="1451" t="n"/>
    </row>
    <row r="113" ht="14.25" customHeight="1">
      <c r="A113" s="1472">
        <f>A112+1</f>
        <v/>
      </c>
      <c r="B113" s="1438" t="n"/>
      <c r="C113" s="168">
        <f>"than "&amp;client.company.short&amp;" for our work, our report and any other communications conducted "</f>
        <v/>
      </c>
      <c r="D113" s="1471" t="inlineStr">
        <is>
          <t>.</t>
        </is>
      </c>
      <c r="F113" s="1451" t="n"/>
    </row>
    <row r="114" ht="14.25" customHeight="1">
      <c r="A114" s="1472">
        <f>A113+1</f>
        <v/>
      </c>
      <c r="B114" s="1438" t="n"/>
      <c r="C114" s="168">
        <f>"under the premise of this exercise. We do not accept responsibility for any loss or damages"</f>
        <v/>
      </c>
      <c r="D114" s="1471" t="inlineStr">
        <is>
          <t>.</t>
        </is>
      </c>
      <c r="F114" s="1451" t="n"/>
    </row>
    <row r="115" ht="14.25" customHeight="1">
      <c r="A115" s="1472">
        <f>A114+1</f>
        <v/>
      </c>
      <c r="B115" s="1438" t="n"/>
      <c r="C115" s="168">
        <f>"arising out of the use of the report by the addressee(s) for any purpose other than that stated"</f>
        <v/>
      </c>
      <c r="D115" s="1471" t="inlineStr">
        <is>
          <t>.</t>
        </is>
      </c>
      <c r="F115" s="1451" t="n"/>
    </row>
    <row r="116" ht="14.25" customHeight="1">
      <c r="A116" s="1472">
        <f>A115+1</f>
        <v/>
      </c>
      <c r="B116" s="1438" t="n"/>
      <c r="C116" s="168">
        <f>" in our Agreement."</f>
        <v/>
      </c>
      <c r="D116" s="1471" t="inlineStr">
        <is>
          <t>.</t>
        </is>
      </c>
      <c r="F116" s="1451" t="n"/>
    </row>
    <row r="117" ht="14.25" customHeight="1">
      <c r="A117" s="1472">
        <f>A116+1</f>
        <v/>
      </c>
      <c r="B117" s="1438" t="n"/>
      <c r="D117" s="1471" t="inlineStr">
        <is>
          <t>.</t>
        </is>
      </c>
      <c r="F117" s="1451" t="n"/>
    </row>
    <row r="118" ht="14.25" customHeight="1">
      <c r="A118" s="1472">
        <f>A117+1</f>
        <v/>
      </c>
      <c r="B118" s="1438" t="n"/>
      <c r="D118" s="1471" t="inlineStr">
        <is>
          <t>.</t>
        </is>
      </c>
      <c r="F118" s="1451" t="n"/>
    </row>
    <row r="119" ht="14.25" customHeight="1">
      <c r="A119" s="1472">
        <f>A118+1</f>
        <v/>
      </c>
      <c r="B119" s="1438" t="n"/>
      <c r="D119" s="1471" t="inlineStr">
        <is>
          <t>.</t>
        </is>
      </c>
      <c r="F119" s="1451" t="n"/>
    </row>
    <row r="120" ht="14.25" customHeight="1">
      <c r="A120" s="1472">
        <f>A119+1</f>
        <v/>
      </c>
      <c r="B120" s="1438" t="n"/>
      <c r="D120" s="1471" t="inlineStr">
        <is>
          <t>.</t>
        </is>
      </c>
      <c r="F120" s="1451" t="n"/>
    </row>
    <row r="121" ht="14.25" customHeight="1">
      <c r="A121" s="1472">
        <f>A120+1</f>
        <v/>
      </c>
      <c r="B121" s="1438" t="n"/>
      <c r="D121" s="1471" t="inlineStr">
        <is>
          <t>.</t>
        </is>
      </c>
      <c r="F121" s="1451" t="n"/>
    </row>
    <row r="122" ht="14.25" customHeight="1">
      <c r="A122" s="1472">
        <f>A121+1</f>
        <v/>
      </c>
      <c r="B122" s="1438" t="n"/>
      <c r="D122" s="1471" t="inlineStr">
        <is>
          <t>.</t>
        </is>
      </c>
      <c r="F122" s="1451" t="n"/>
    </row>
    <row r="123" ht="14.25" customHeight="1">
      <c r="A123" s="1472">
        <f>A122+1</f>
        <v/>
      </c>
      <c r="B123" s="1438" t="n"/>
      <c r="D123" s="1471" t="inlineStr">
        <is>
          <t>.</t>
        </is>
      </c>
      <c r="F123" s="1451" t="n"/>
    </row>
    <row r="124" ht="14.25" customHeight="1">
      <c r="A124" s="1472">
        <f>A123+1</f>
        <v/>
      </c>
      <c r="B124" s="1438" t="n"/>
      <c r="D124" s="1471" t="inlineStr">
        <is>
          <t>.</t>
        </is>
      </c>
      <c r="F124" s="1451" t="n"/>
    </row>
    <row r="125" ht="14.25" customHeight="1">
      <c r="A125" s="1472">
        <f>A124+1</f>
        <v/>
      </c>
      <c r="B125" s="1438" t="n"/>
      <c r="D125" s="1471" t="inlineStr">
        <is>
          <t>.</t>
        </is>
      </c>
      <c r="F125" s="1451" t="n"/>
    </row>
    <row r="126" ht="14.25" customHeight="1">
      <c r="A126" s="1472">
        <f>A125+1</f>
        <v/>
      </c>
      <c r="B126" s="1438" t="n"/>
      <c r="D126" s="1471" t="inlineStr">
        <is>
          <t>.</t>
        </is>
      </c>
      <c r="F126" s="1451" t="n"/>
    </row>
    <row r="127" ht="14.25" customHeight="1">
      <c r="A127" s="1472">
        <f>A126+1</f>
        <v/>
      </c>
      <c r="B127" s="1438" t="n"/>
      <c r="D127" s="1471" t="inlineStr">
        <is>
          <t>.</t>
        </is>
      </c>
      <c r="F127" s="1451" t="n"/>
    </row>
    <row r="128" ht="14.25" customHeight="1">
      <c r="A128" s="1472">
        <f>A127+1</f>
        <v/>
      </c>
      <c r="B128" s="1438" t="n"/>
      <c r="D128" s="1471" t="inlineStr">
        <is>
          <t>.</t>
        </is>
      </c>
      <c r="F128" s="1451" t="n"/>
    </row>
    <row r="129" ht="14.25" customHeight="1">
      <c r="A129" s="1472">
        <f>A128+1</f>
        <v/>
      </c>
      <c r="B129" s="1438" t="n"/>
      <c r="D129" s="1471" t="inlineStr">
        <is>
          <t>.</t>
        </is>
      </c>
      <c r="F129" s="1451" t="n"/>
    </row>
    <row r="130" ht="14.25" customHeight="1">
      <c r="A130" s="1472">
        <f>A129+1</f>
        <v/>
      </c>
      <c r="B130" s="1438" t="n"/>
      <c r="D130" s="1471" t="inlineStr">
        <is>
          <t>.</t>
        </is>
      </c>
      <c r="F130" s="1451" t="n"/>
    </row>
    <row r="131" ht="14.25" customHeight="1">
      <c r="A131" s="1472">
        <f>A130+1</f>
        <v/>
      </c>
      <c r="B131" s="1438" t="n"/>
      <c r="D131" s="1471" t="inlineStr">
        <is>
          <t>.</t>
        </is>
      </c>
      <c r="F131" s="1451" t="n"/>
    </row>
    <row r="132" ht="14.25" customHeight="1">
      <c r="A132" s="1472">
        <f>A131+1</f>
        <v/>
      </c>
      <c r="B132" s="1438" t="n"/>
      <c r="D132" s="1471" t="inlineStr">
        <is>
          <t>.</t>
        </is>
      </c>
      <c r="F132" s="1451" t="n"/>
    </row>
    <row r="133" ht="14.25" customHeight="1">
      <c r="A133" s="1472">
        <f>A132+1</f>
        <v/>
      </c>
      <c r="B133" s="1438" t="n"/>
      <c r="D133" s="1471" t="inlineStr">
        <is>
          <t>.</t>
        </is>
      </c>
      <c r="F133" s="1451" t="n"/>
    </row>
    <row r="134" ht="14.25" customHeight="1">
      <c r="A134" s="1472">
        <f>A133+1</f>
        <v/>
      </c>
      <c r="B134" s="1438" t="n"/>
      <c r="D134" s="1471" t="inlineStr">
        <is>
          <t>.</t>
        </is>
      </c>
      <c r="F134" s="1451" t="n"/>
    </row>
    <row r="135" ht="14.25" customHeight="1">
      <c r="A135" s="1472">
        <f>A134+1</f>
        <v/>
      </c>
      <c r="B135" s="1438" t="n"/>
      <c r="D135" s="1471" t="inlineStr">
        <is>
          <t>.</t>
        </is>
      </c>
      <c r="F135" s="1451" t="n"/>
    </row>
    <row r="136" ht="14.25" customHeight="1">
      <c r="A136" s="1472">
        <f>A135+1</f>
        <v/>
      </c>
      <c r="B136" s="1438" t="n"/>
      <c r="D136" s="1471" t="n"/>
      <c r="F136" s="1451" t="n"/>
    </row>
    <row r="137" ht="14.25" customHeight="1">
      <c r="A137" s="1472">
        <f>A136+1</f>
        <v/>
      </c>
      <c r="B137" s="1438" t="n"/>
      <c r="D137" s="1471" t="n"/>
      <c r="F137" s="1451" t="n"/>
    </row>
    <row r="138" ht="14.25" customHeight="1">
      <c r="A138" s="1472">
        <f>A137+1</f>
        <v/>
      </c>
      <c r="B138" s="1438" t="n"/>
      <c r="D138" s="1471" t="n"/>
      <c r="F138" s="1451" t="n"/>
    </row>
    <row r="139" ht="14.25" customHeight="1">
      <c r="A139" s="1472">
        <f>A138+1</f>
        <v/>
      </c>
      <c r="B139" s="1438" t="n"/>
      <c r="D139" s="1471" t="n"/>
      <c r="F139" s="1451" t="n"/>
    </row>
    <row r="140" ht="14.25" customHeight="1">
      <c r="A140" s="1472">
        <f>A139+1</f>
        <v/>
      </c>
      <c r="B140" s="1439" t="n"/>
      <c r="C140" s="1440" t="n"/>
      <c r="D140" s="1440" t="n"/>
      <c r="E140" s="1440" t="n"/>
      <c r="F140" s="1456" t="n"/>
    </row>
    <row r="141" ht="14.25" customHeight="1"/>
    <row r="142" ht="14.25" customHeight="1">
      <c r="A142" s="1402" t="inlineStr">
        <is>
          <t>Page 6: Executive Summary</t>
        </is>
      </c>
      <c r="B142" s="1402" t="n"/>
    </row>
    <row r="143" ht="14.25" customHeight="1">
      <c r="A143" s="1402" t="n"/>
      <c r="B143" s="1402" t="n"/>
    </row>
    <row r="144" ht="14.25" customHeight="1">
      <c r="A144" s="1472" t="n">
        <v>1</v>
      </c>
      <c r="B144" s="1436" t="n"/>
      <c r="C144" s="1437" t="n"/>
      <c r="D144" s="1437" t="n"/>
      <c r="E144" s="1437" t="n"/>
      <c r="F144" s="1450" t="n"/>
    </row>
    <row r="145" ht="51" customHeight="1">
      <c r="A145" s="1472">
        <f>A144+1</f>
        <v/>
      </c>
      <c r="B145" s="1441" t="n"/>
      <c r="C145" s="1460" t="inlineStr">
        <is>
          <t>Executive Summary</t>
        </is>
      </c>
      <c r="F145" s="1451" t="n"/>
    </row>
    <row r="146" ht="14.25" customHeight="1">
      <c r="A146" s="1472">
        <f>A145+1</f>
        <v/>
      </c>
      <c r="B146" s="1441" t="n"/>
      <c r="F146" s="1451" t="n"/>
    </row>
    <row r="147" ht="15" customHeight="1">
      <c r="A147" s="1472">
        <f>A146+1</f>
        <v/>
      </c>
      <c r="B147" s="1441" t="n"/>
      <c r="C147" s="1444" t="inlineStr">
        <is>
          <t>Exercise Background</t>
        </is>
      </c>
      <c r="E147" s="1447" t="inlineStr">
        <is>
          <t>Valuation Conclusion</t>
        </is>
      </c>
      <c r="F147" s="1452" t="n"/>
    </row>
    <row r="148" ht="14.25" customHeight="1">
      <c r="A148" s="1472">
        <f>A147+1</f>
        <v/>
      </c>
      <c r="B148" s="1438" t="n"/>
      <c r="C148" s="1445" t="inlineStr">
        <is>
          <t>Scope of work</t>
        </is>
      </c>
      <c r="D148" s="1471" t="inlineStr">
        <is>
          <t>.</t>
        </is>
      </c>
      <c r="E148" s="1402">
        <f>"Enterprise Value in "&amp;currency.heading1</f>
        <v/>
      </c>
      <c r="F148" s="1453" t="n"/>
    </row>
    <row r="149" ht="14.25" customHeight="1">
      <c r="A149" s="1472">
        <f>A148+1</f>
        <v/>
      </c>
      <c r="B149" s="1438" t="n"/>
      <c r="C149" s="168">
        <f>"Valify has been engaged by "&amp;Log!D12&amp;" ('Client') to run a valuation of "</f>
        <v/>
      </c>
      <c r="D149" s="1471" t="inlineStr">
        <is>
          <t>.</t>
        </is>
      </c>
      <c r="F149" s="1451" t="n"/>
    </row>
    <row r="150" ht="14.25" customHeight="1">
      <c r="A150" s="1472">
        <f>A149+1</f>
        <v/>
      </c>
      <c r="B150" s="1438" t="n"/>
      <c r="C150" s="168">
        <f>subject.name&amp;" ('Subject Company' or '"&amp;Inputs!G24&amp;"'), based on "</f>
        <v/>
      </c>
      <c r="D150" s="1471" t="inlineStr">
        <is>
          <t>.</t>
        </is>
      </c>
      <c r="F150" s="1451" t="n"/>
    </row>
    <row r="151" ht="14.25" customHeight="1">
      <c r="A151" s="1472">
        <f>A150+1</f>
        <v/>
      </c>
      <c r="B151" s="1438" t="n"/>
      <c r="C151" s="168">
        <f>"the provided Management forecasts, as at "&amp;TEXT(Log!D7,"mmmm dd, yyyy")&amp;" ('Valuation Date')."</f>
        <v/>
      </c>
      <c r="D151" s="1471" t="inlineStr">
        <is>
          <t>.</t>
        </is>
      </c>
      <c r="F151" s="1451" t="n"/>
    </row>
    <row r="152" ht="14.25" customHeight="1">
      <c r="A152" s="1472">
        <f>A151+1</f>
        <v/>
      </c>
      <c r="B152" s="1438" t="n"/>
      <c r="D152" s="1471" t="inlineStr">
        <is>
          <t>.</t>
        </is>
      </c>
      <c r="F152" s="1451" t="n"/>
    </row>
    <row r="153" ht="14.25" customHeight="1">
      <c r="A153" s="1472">
        <f>A152+1</f>
        <v/>
      </c>
      <c r="B153" s="1438" t="n"/>
      <c r="C153" s="168">
        <f>"Our valuation exercise has been conducted in accordance with international valuation standards "</f>
        <v/>
      </c>
      <c r="D153" s="1471" t="inlineStr">
        <is>
          <t>.</t>
        </is>
      </c>
      <c r="F153" s="1451" t="n"/>
    </row>
    <row r="154" ht="14.25" customHeight="1">
      <c r="A154" s="1472">
        <f>A153+1</f>
        <v/>
      </c>
      <c r="B154" s="1438" t="n"/>
      <c r="C154" s="168">
        <f>"and best practices."</f>
        <v/>
      </c>
      <c r="D154" s="1471" t="inlineStr">
        <is>
          <t>.</t>
        </is>
      </c>
      <c r="F154" s="1451" t="n"/>
    </row>
    <row r="155" ht="14.25" customHeight="1">
      <c r="A155" s="1472">
        <f>A154+1</f>
        <v/>
      </c>
      <c r="B155" s="1438" t="n"/>
      <c r="D155" s="1471" t="inlineStr">
        <is>
          <t>.</t>
        </is>
      </c>
      <c r="F155" s="1451" t="n"/>
    </row>
    <row r="156" ht="14.25" customHeight="1">
      <c r="A156" s="1472">
        <f>A155+1</f>
        <v/>
      </c>
      <c r="B156" s="1438" t="n"/>
      <c r="C156" s="1445" t="inlineStr">
        <is>
          <t>Information we relied on</t>
        </is>
      </c>
      <c r="D156" s="1471" t="inlineStr">
        <is>
          <t>.</t>
        </is>
      </c>
      <c r="F156" s="1451" t="n"/>
    </row>
    <row r="157" ht="14.25" customHeight="1">
      <c r="A157" s="1472">
        <f>A156+1</f>
        <v/>
      </c>
      <c r="B157" s="1438" t="n"/>
      <c r="D157" s="1471" t="inlineStr">
        <is>
          <t>.</t>
        </is>
      </c>
      <c r="F157" s="1451" t="n"/>
    </row>
    <row r="158" ht="14.25" customHeight="1">
      <c r="A158" s="1472">
        <f>A157+1</f>
        <v/>
      </c>
      <c r="B158" s="1438" t="n"/>
      <c r="D158" s="1471" t="inlineStr">
        <is>
          <t>.</t>
        </is>
      </c>
      <c r="F158" s="1451" t="n"/>
    </row>
    <row r="159" ht="14.25" customHeight="1">
      <c r="A159" s="1472">
        <f>A158+1</f>
        <v/>
      </c>
      <c r="B159" s="1438" t="n"/>
      <c r="C159" s="168">
        <f>"a.   historical financial statements &amp; management accounts"</f>
        <v/>
      </c>
      <c r="D159" s="1471" t="inlineStr">
        <is>
          <t>.</t>
        </is>
      </c>
      <c r="F159" s="1451" t="n"/>
    </row>
    <row r="160" ht="14.25" customHeight="1">
      <c r="A160" s="1472">
        <f>A159+1</f>
        <v/>
      </c>
      <c r="B160" s="1438" t="n"/>
      <c r="C160" s="168">
        <f>"b.   Management forecasts provided by the Valuer."</f>
        <v/>
      </c>
      <c r="D160" s="1471" t="inlineStr">
        <is>
          <t>.</t>
        </is>
      </c>
      <c r="F160" s="1451" t="n"/>
    </row>
    <row r="161" ht="14.25" customHeight="1">
      <c r="A161" s="1472">
        <f>A160+1</f>
        <v/>
      </c>
      <c r="B161" s="1438" t="n"/>
      <c r="C161" s="168">
        <f>"c.   Market data relevant to the business from reputed &amp; verified data providers."</f>
        <v/>
      </c>
      <c r="D161" s="1471" t="inlineStr">
        <is>
          <t>.</t>
        </is>
      </c>
      <c r="E161" s="1448" t="inlineStr">
        <is>
          <t>Peer Multiples Analysis</t>
        </is>
      </c>
      <c r="F161" s="1454" t="n"/>
    </row>
    <row r="162" ht="14.25" customHeight="1">
      <c r="A162" s="1472">
        <f>A161+1</f>
        <v/>
      </c>
      <c r="B162" s="1438" t="n"/>
      <c r="D162" s="1471" t="inlineStr">
        <is>
          <t>.</t>
        </is>
      </c>
      <c r="F162" s="1451" t="n"/>
    </row>
    <row r="163" ht="14.25" customHeight="1">
      <c r="A163" s="1472">
        <f>A162+1</f>
        <v/>
      </c>
      <c r="B163" s="1438" t="n"/>
      <c r="C163" s="1445" t="inlineStr">
        <is>
          <t xml:space="preserve">Disclaimer </t>
        </is>
      </c>
      <c r="D163" s="1471" t="inlineStr">
        <is>
          <t>.</t>
        </is>
      </c>
      <c r="F163" s="1451" t="n"/>
    </row>
    <row r="164" ht="14.25" customHeight="1">
      <c r="A164" s="1472">
        <f>A163+1</f>
        <v/>
      </c>
      <c r="B164" s="1438" t="n"/>
      <c r="D164" s="1471" t="inlineStr">
        <is>
          <t>.</t>
        </is>
      </c>
      <c r="F164" s="1451" t="n"/>
    </row>
    <row r="165" ht="14.25" customHeight="1">
      <c r="A165" s="1472">
        <f>A164+1</f>
        <v/>
      </c>
      <c r="B165" s="1438" t="n"/>
      <c r="D165" s="1471" t="inlineStr">
        <is>
          <t>.</t>
        </is>
      </c>
      <c r="F165" s="1451" t="n"/>
    </row>
    <row r="166" ht="14.25" customHeight="1">
      <c r="A166" s="1472">
        <f>A165+1</f>
        <v/>
      </c>
      <c r="B166" s="1438" t="n"/>
      <c r="D166" s="1471" t="inlineStr">
        <is>
          <t>.</t>
        </is>
      </c>
      <c r="F166" s="1451" t="n"/>
    </row>
    <row r="167" ht="14.25" customHeight="1">
      <c r="A167" s="1472">
        <f>A166+1</f>
        <v/>
      </c>
      <c r="B167" s="1438" t="n"/>
      <c r="D167" s="1471" t="inlineStr">
        <is>
          <t>.</t>
        </is>
      </c>
      <c r="F167" s="1451" t="n"/>
    </row>
    <row r="168" ht="14.25" customHeight="1">
      <c r="A168" s="1472">
        <f>A167+1</f>
        <v/>
      </c>
      <c r="B168" s="1438" t="n"/>
      <c r="D168" s="1471" t="inlineStr">
        <is>
          <t>.</t>
        </is>
      </c>
      <c r="F168" s="1451" t="n"/>
    </row>
    <row r="169" ht="14.25" customHeight="1">
      <c r="A169" s="1472">
        <f>A168+1</f>
        <v/>
      </c>
      <c r="B169" s="1438" t="n"/>
      <c r="D169" s="1471" t="inlineStr">
        <is>
          <t>.</t>
        </is>
      </c>
      <c r="F169" s="1451" t="n"/>
    </row>
    <row r="170" ht="14.25" customHeight="1">
      <c r="A170" s="1472">
        <f>A169+1</f>
        <v/>
      </c>
      <c r="B170" s="1438" t="n"/>
      <c r="C170" s="168">
        <f>" "</f>
        <v/>
      </c>
      <c r="D170" s="1471" t="inlineStr">
        <is>
          <t>.</t>
        </is>
      </c>
      <c r="F170" s="1451" t="n"/>
    </row>
    <row r="171" ht="14.25" customHeight="1">
      <c r="A171" s="1472">
        <f>A170+1</f>
        <v/>
      </c>
      <c r="B171" s="1438" t="n"/>
      <c r="D171" s="1471" t="inlineStr">
        <is>
          <t>.</t>
        </is>
      </c>
      <c r="F171" s="1451" t="n"/>
    </row>
    <row r="172" ht="15" customHeight="1">
      <c r="A172" s="1472">
        <f>A171+1</f>
        <v/>
      </c>
      <c r="B172" s="1438" t="n"/>
      <c r="C172" s="1446" t="inlineStr">
        <is>
          <t>Valuation Methodology</t>
        </is>
      </c>
      <c r="D172" s="1471" t="inlineStr">
        <is>
          <t>.</t>
        </is>
      </c>
      <c r="F172" s="1451" t="n"/>
    </row>
    <row r="173" ht="14.25" customHeight="1">
      <c r="A173" s="1472">
        <f>A172+1</f>
        <v/>
      </c>
      <c r="B173" s="1438" t="n"/>
      <c r="D173" s="1471" t="inlineStr">
        <is>
          <t>.</t>
        </is>
      </c>
      <c r="E173" s="168">
        <f>"Based on the above, we arrived at Enterprise Value (“EV”) as at the Valuation Date as follows:"</f>
        <v/>
      </c>
      <c r="F173" s="1451" t="n"/>
    </row>
    <row r="174" ht="14.25" customHeight="1">
      <c r="A174" s="1472">
        <f>A173+1</f>
        <v/>
      </c>
      <c r="B174" s="1438" t="n"/>
      <c r="D174" s="1471" t="inlineStr">
        <is>
          <t>.</t>
        </is>
      </c>
      <c r="E174" s="168">
        <f>"a. Management Case – between "&amp;currency.type&amp;" "&amp;MROUND(ReportData!P20,1)&amp;" "&amp;Inputs!F45&amp;" and "&amp;currency.type&amp;" "&amp;MROUND(ReportData!R20,1)&amp;" "&amp;Inputs!F45&amp;";"</f>
        <v/>
      </c>
      <c r="F174" s="1455" t="n"/>
    </row>
    <row r="175" ht="14.25" customHeight="1">
      <c r="A175" s="1472">
        <f>A174+1</f>
        <v/>
      </c>
      <c r="B175" s="1438" t="n"/>
      <c r="D175" s="1471" t="inlineStr">
        <is>
          <t>.</t>
        </is>
      </c>
      <c r="E175" s="168">
        <f>"a. Valify Case – between "&amp;currency.type&amp;" "&amp;MROUND(ReportData!P21,1)&amp;" "&amp;Inputs!F45&amp;" and "&amp;currency.type&amp;" "&amp;MROUND(ReportData!R21,1)&amp;" "&amp;Inputs!F45&amp;";"</f>
        <v/>
      </c>
      <c r="F175" s="1455" t="n"/>
    </row>
    <row r="176" ht="14.25" customHeight="1">
      <c r="A176" s="1472">
        <f>A175+1</f>
        <v/>
      </c>
      <c r="B176" s="1438" t="n"/>
      <c r="D176" s="1471" t="inlineStr">
        <is>
          <t>.</t>
        </is>
      </c>
      <c r="F176" s="1451" t="n"/>
    </row>
    <row r="177" ht="14.25" customHeight="1">
      <c r="A177" s="1472">
        <f>A176+1</f>
        <v/>
      </c>
      <c r="B177" s="1438" t="n"/>
      <c r="C177" s="168">
        <f>"-&gt; "&amp;Inputs!G26&amp;"."</f>
        <v/>
      </c>
      <c r="D177" s="1471" t="inlineStr">
        <is>
          <t>.</t>
        </is>
      </c>
      <c r="F177" s="1451" t="n"/>
    </row>
    <row r="178" ht="14.25" customHeight="1">
      <c r="A178" s="1472">
        <f>A177+1</f>
        <v/>
      </c>
      <c r="B178" s="1438" t="n"/>
      <c r="D178" s="1471" t="inlineStr">
        <is>
          <t>.</t>
        </is>
      </c>
      <c r="E178" s="1449" t="n"/>
      <c r="F178" s="1455" t="n"/>
    </row>
    <row r="179" ht="14.25" customHeight="1">
      <c r="A179" s="1472">
        <f>A178+1</f>
        <v/>
      </c>
      <c r="B179" s="1438" t="n"/>
      <c r="D179" s="1471" t="inlineStr">
        <is>
          <t>.</t>
        </is>
      </c>
      <c r="F179" s="1451" t="n"/>
    </row>
    <row r="180" ht="14.25" customHeight="1">
      <c r="A180" s="1472">
        <f>A179+1</f>
        <v/>
      </c>
      <c r="B180" s="1438" t="n"/>
      <c r="D180" s="1471" t="inlineStr">
        <is>
          <t>.</t>
        </is>
      </c>
      <c r="E180" s="168">
        <f>"We have corroborated our implied EV/EBITDA with the market and we noted the implied "</f>
        <v/>
      </c>
      <c r="F180" s="1455" t="n"/>
    </row>
    <row r="181" ht="14.25" customHeight="1">
      <c r="A181" s="1472">
        <f>A180+1</f>
        <v/>
      </c>
      <c r="B181" s="1438" t="n"/>
      <c r="D181" s="1471" t="inlineStr">
        <is>
          <t>.</t>
        </is>
      </c>
      <c r="E181" s="168">
        <f>"multiple ranges between "&amp;ValSum!D76&amp;"x to "&amp;ValSum!F76&amp;"x, which corroborates with market multiple of "&amp;ValSum!D67&amp;"x to "&amp;ValSum!G67&amp;"x"</f>
        <v/>
      </c>
      <c r="F181" s="1451" t="n"/>
    </row>
    <row r="182" ht="14.25" customHeight="1">
      <c r="A182" s="1472">
        <f>A181+1</f>
        <v/>
      </c>
      <c r="B182" s="1438" t="n"/>
      <c r="D182" s="1471" t="inlineStr">
        <is>
          <t>.</t>
        </is>
      </c>
      <c r="E182" s="168">
        <f>"obtained from available data of comparable companies."</f>
        <v/>
      </c>
      <c r="F182" s="1451" t="n"/>
    </row>
    <row r="183" ht="14.25" customHeight="1">
      <c r="A183" s="1472">
        <f>A182+1</f>
        <v/>
      </c>
      <c r="B183" s="1438" t="n"/>
      <c r="D183" s="1471" t="n"/>
      <c r="F183" s="1451" t="n"/>
    </row>
    <row r="184" ht="14.25" customHeight="1">
      <c r="A184" s="1472">
        <f>A183+1</f>
        <v/>
      </c>
      <c r="B184" s="1438" t="n"/>
      <c r="D184" s="1471" t="n"/>
      <c r="F184" s="1451" t="n"/>
    </row>
    <row r="185" ht="14.25" customHeight="1">
      <c r="A185" s="1472">
        <f>A184+1</f>
        <v/>
      </c>
      <c r="B185" s="1438" t="n"/>
      <c r="D185" s="1471" t="n"/>
      <c r="F185" s="1451" t="n"/>
    </row>
    <row r="186" ht="14.25" customHeight="1">
      <c r="A186" s="1472">
        <f>A185+1</f>
        <v/>
      </c>
      <c r="B186" s="1438" t="n"/>
      <c r="D186" s="1471" t="n"/>
      <c r="F186" s="1451" t="n"/>
    </row>
    <row r="187" ht="14.25" customHeight="1">
      <c r="A187" s="1472">
        <f>A186+1</f>
        <v/>
      </c>
      <c r="B187" s="1439" t="n"/>
      <c r="C187" s="1440" t="n"/>
      <c r="D187" s="1440" t="n"/>
      <c r="E187" s="1440" t="n"/>
      <c r="F187" s="1456" t="n"/>
    </row>
    <row r="188" ht="14.25" customHeight="1"/>
    <row r="189" ht="14.25" customHeight="1">
      <c r="A189" s="1402" t="inlineStr">
        <is>
          <t>Page 8: Company Overview</t>
        </is>
      </c>
      <c r="B189" s="1402" t="n"/>
      <c r="E189" s="1494" t="n"/>
    </row>
    <row r="190" ht="14.25" customHeight="1">
      <c r="A190" s="1402" t="n"/>
      <c r="B190" s="1402" t="n"/>
    </row>
    <row r="191" ht="14.25" customHeight="1">
      <c r="A191" s="1473" t="n">
        <v>1</v>
      </c>
      <c r="B191" s="1436" t="n"/>
      <c r="C191" s="1437" t="n"/>
      <c r="D191" s="1437" t="n"/>
      <c r="E191" s="1437" t="n"/>
      <c r="F191" s="1450" t="n"/>
    </row>
    <row r="192" ht="51" customHeight="1">
      <c r="A192" s="1473" t="n">
        <v>2</v>
      </c>
      <c r="B192" s="1441" t="n"/>
      <c r="C192" s="1460" t="inlineStr">
        <is>
          <t>Company Overview</t>
        </is>
      </c>
      <c r="F192" s="1451" t="n"/>
    </row>
    <row r="193" ht="14.25" customHeight="1">
      <c r="A193" s="1473" t="n">
        <v>3</v>
      </c>
      <c r="B193" s="1441" t="n"/>
      <c r="F193" s="1451" t="n"/>
    </row>
    <row r="194" ht="14.25" customHeight="1">
      <c r="A194" s="1473" t="n">
        <v>4</v>
      </c>
      <c r="B194" s="1438" t="n"/>
      <c r="F194" s="1452" t="n"/>
    </row>
    <row r="195" ht="15" customHeight="1">
      <c r="A195" s="1473" t="n">
        <v>5</v>
      </c>
      <c r="B195" s="1438" t="n"/>
      <c r="C195" s="1444" t="inlineStr">
        <is>
          <t>About the Company</t>
        </is>
      </c>
      <c r="E195" s="1457" t="inlineStr">
        <is>
          <t>Company Revenue &amp; Profits</t>
        </is>
      </c>
      <c r="F195" s="1451" t="n"/>
    </row>
    <row r="196" ht="14.25" customHeight="1">
      <c r="A196" s="1473" t="n">
        <v>6</v>
      </c>
      <c r="B196" s="1438" t="n"/>
      <c r="D196" s="1471" t="inlineStr">
        <is>
          <t>.</t>
        </is>
      </c>
      <c r="F196" s="1451" t="n"/>
    </row>
    <row r="197" ht="14.25" customHeight="1">
      <c r="A197" s="1473">
        <f>A196+1</f>
        <v/>
      </c>
      <c r="B197" s="1438" t="n"/>
      <c r="D197" s="1471" t="inlineStr">
        <is>
          <t>.</t>
        </is>
      </c>
      <c r="F197" s="1451" t="n"/>
    </row>
    <row r="198" ht="14.25" customHeight="1">
      <c r="A198" s="1473">
        <f>A197+1</f>
        <v/>
      </c>
      <c r="B198" s="1438" t="n"/>
      <c r="D198" s="1471" t="inlineStr">
        <is>
          <t>.</t>
        </is>
      </c>
      <c r="F198" s="1451" t="n"/>
    </row>
    <row r="199" ht="14.25" customHeight="1">
      <c r="A199" s="1473">
        <f>A198+1</f>
        <v/>
      </c>
      <c r="B199" s="1438" t="n"/>
      <c r="D199" s="1471" t="inlineStr">
        <is>
          <t>.</t>
        </is>
      </c>
      <c r="F199" s="1451" t="n"/>
    </row>
    <row r="200" ht="14.25" customHeight="1">
      <c r="A200" s="1473">
        <f>A199+1</f>
        <v/>
      </c>
      <c r="B200" s="1438" t="n"/>
      <c r="C200" s="1492" t="inlineStr">
        <is>
          <t>Business Divisions:</t>
        </is>
      </c>
      <c r="D200" s="1471" t="inlineStr">
        <is>
          <t>.</t>
        </is>
      </c>
      <c r="F200" s="1451" t="n"/>
    </row>
    <row r="201" ht="14.25" customHeight="1">
      <c r="A201" s="1473">
        <f>A200+1</f>
        <v/>
      </c>
      <c r="B201" s="1438" t="n"/>
      <c r="D201" s="1471" t="inlineStr">
        <is>
          <t>.</t>
        </is>
      </c>
      <c r="F201" s="1451" t="n"/>
    </row>
    <row r="202" ht="14.25" customHeight="1">
      <c r="A202" s="1473">
        <f>A201+1</f>
        <v/>
      </c>
      <c r="B202" s="1438" t="n"/>
      <c r="D202" s="1471" t="inlineStr">
        <is>
          <t>.</t>
        </is>
      </c>
      <c r="F202" s="1451" t="n"/>
    </row>
    <row r="203" ht="14.25" customHeight="1">
      <c r="A203" s="1473">
        <f>A202+1</f>
        <v/>
      </c>
      <c r="B203" s="1438" t="n"/>
      <c r="D203" s="1471" t="inlineStr">
        <is>
          <t>.</t>
        </is>
      </c>
      <c r="F203" s="1451" t="n"/>
    </row>
    <row r="204" ht="14.25" customHeight="1">
      <c r="A204" s="1473">
        <f>A203+1</f>
        <v/>
      </c>
      <c r="B204" s="1438" t="n"/>
      <c r="D204" s="1471" t="inlineStr">
        <is>
          <t>.</t>
        </is>
      </c>
      <c r="F204" s="1451" t="n"/>
    </row>
    <row r="205" ht="14.25" customHeight="1">
      <c r="A205" s="1473">
        <f>A204+1</f>
        <v/>
      </c>
      <c r="B205" s="1438" t="n"/>
      <c r="D205" s="1471" t="inlineStr">
        <is>
          <t>.</t>
        </is>
      </c>
      <c r="F205" s="1451" t="n"/>
    </row>
    <row r="206" ht="14.25" customHeight="1">
      <c r="A206" s="1473">
        <f>A205+1</f>
        <v/>
      </c>
      <c r="B206" s="1438" t="n"/>
      <c r="D206" s="1471" t="inlineStr">
        <is>
          <t>.</t>
        </is>
      </c>
      <c r="F206" s="1451" t="n"/>
    </row>
    <row r="207" ht="14.25" customHeight="1">
      <c r="A207" s="1473">
        <f>A206+1</f>
        <v/>
      </c>
      <c r="B207" s="1438" t="n"/>
      <c r="D207" s="1471" t="inlineStr">
        <is>
          <t>.</t>
        </is>
      </c>
      <c r="F207" s="1451" t="n"/>
    </row>
    <row r="208" ht="14.25" customHeight="1">
      <c r="A208" s="1473">
        <f>A207+1</f>
        <v/>
      </c>
      <c r="B208" s="1438" t="n"/>
      <c r="D208" s="1471" t="inlineStr">
        <is>
          <t>.</t>
        </is>
      </c>
      <c r="F208" s="1451" t="n"/>
    </row>
    <row r="209" ht="14.25" customHeight="1">
      <c r="A209" s="1473">
        <f>A208+1</f>
        <v/>
      </c>
      <c r="B209" s="1438" t="n"/>
      <c r="D209" s="1471" t="inlineStr">
        <is>
          <t>.</t>
        </is>
      </c>
      <c r="F209" s="1451" t="n"/>
    </row>
    <row r="210" ht="14.25" customHeight="1">
      <c r="A210" s="1473">
        <f>A209+1</f>
        <v/>
      </c>
      <c r="B210" s="1438" t="n"/>
      <c r="D210" s="1471" t="inlineStr">
        <is>
          <t>.</t>
        </is>
      </c>
      <c r="F210" s="1451" t="n"/>
    </row>
    <row r="211" ht="14.25" customHeight="1">
      <c r="A211" s="1473">
        <f>A210+1</f>
        <v/>
      </c>
      <c r="B211" s="1438" t="n"/>
      <c r="D211" s="1471" t="inlineStr">
        <is>
          <t>.</t>
        </is>
      </c>
      <c r="F211" s="1451" t="n"/>
    </row>
    <row r="212" ht="12" customHeight="1">
      <c r="A212" s="1473">
        <f>A211+1</f>
        <v/>
      </c>
      <c r="B212" s="1438" t="n"/>
      <c r="F212" s="1452" t="n"/>
    </row>
    <row r="213" ht="15" customHeight="1">
      <c r="A213" s="1473">
        <f>A212+1</f>
        <v/>
      </c>
      <c r="B213" s="1438" t="n"/>
      <c r="C213" s="1446" t="inlineStr">
        <is>
          <t>Key Facts</t>
        </is>
      </c>
      <c r="D213" s="1471" t="inlineStr">
        <is>
          <t>.</t>
        </is>
      </c>
      <c r="E213" s="1447" t="inlineStr">
        <is>
          <t>Key Recent Business Updates</t>
        </is>
      </c>
      <c r="F213" s="1459" t="n"/>
    </row>
    <row r="214" ht="14.25" customHeight="1">
      <c r="A214" s="1473">
        <f>A213+1</f>
        <v/>
      </c>
      <c r="B214" s="1438" t="n"/>
      <c r="D214" s="1471" t="inlineStr">
        <is>
          <t>.</t>
        </is>
      </c>
      <c r="E214" s="1458" t="inlineStr">
        <is>
          <t xml:space="preserve">Regional Exposure: </t>
        </is>
      </c>
      <c r="F214" s="1451" t="n"/>
    </row>
    <row r="215" ht="14.25" customHeight="1">
      <c r="A215" s="1473">
        <f>A214+1</f>
        <v/>
      </c>
      <c r="B215" s="1438" t="n"/>
      <c r="C215" s="1492" t="inlineStr">
        <is>
          <t>Industry Classification</t>
        </is>
      </c>
      <c r="D215" s="1471" t="inlineStr">
        <is>
          <t>.</t>
        </is>
      </c>
      <c r="F215" s="1451" t="n"/>
    </row>
    <row r="216" ht="14.25" customHeight="1">
      <c r="A216" s="1473">
        <f>A215+1</f>
        <v/>
      </c>
      <c r="B216" s="1438" t="n"/>
      <c r="D216" s="1471" t="inlineStr">
        <is>
          <t>.</t>
        </is>
      </c>
      <c r="F216" s="1451" t="n"/>
    </row>
    <row r="217" ht="14.25" customHeight="1">
      <c r="A217" s="1473">
        <f>A216+1</f>
        <v/>
      </c>
      <c r="B217" s="1438" t="n"/>
      <c r="D217" s="1471" t="inlineStr">
        <is>
          <t>.</t>
        </is>
      </c>
      <c r="F217" s="1451" t="n"/>
    </row>
    <row r="218" ht="14.25" customHeight="1">
      <c r="A218" s="1473">
        <f>A217+1</f>
        <v/>
      </c>
      <c r="B218" s="1438" t="n"/>
      <c r="C218" s="1492" t="inlineStr">
        <is>
          <t>Secondary business:</t>
        </is>
      </c>
      <c r="D218" s="1471" t="inlineStr">
        <is>
          <t>.</t>
        </is>
      </c>
      <c r="F218" s="1459" t="n"/>
    </row>
    <row r="219" ht="14.25" customHeight="1">
      <c r="A219" s="1473">
        <f>A218+1</f>
        <v/>
      </c>
      <c r="B219" s="1438" t="n"/>
      <c r="D219" s="1471" t="inlineStr">
        <is>
          <t>.</t>
        </is>
      </c>
      <c r="E219" s="1458" t="inlineStr">
        <is>
          <t xml:space="preserve">Business Development: </t>
        </is>
      </c>
      <c r="F219" s="1451" t="n"/>
    </row>
    <row r="220" ht="14.25" customHeight="1">
      <c r="A220" s="1473">
        <f>A219+1</f>
        <v/>
      </c>
      <c r="B220" s="1438" t="n"/>
      <c r="D220" s="1471" t="inlineStr">
        <is>
          <t>.</t>
        </is>
      </c>
      <c r="F220" s="1451" t="n"/>
    </row>
    <row r="221" ht="14.25" customHeight="1">
      <c r="A221" s="1473">
        <f>A220+1</f>
        <v/>
      </c>
      <c r="B221" s="1438" t="n"/>
      <c r="D221" s="1471" t="inlineStr">
        <is>
          <t>.</t>
        </is>
      </c>
      <c r="F221" s="1451" t="n"/>
    </row>
    <row r="222" ht="14.25" customHeight="1">
      <c r="A222" s="1473">
        <f>A221+1</f>
        <v/>
      </c>
      <c r="B222" s="1438" t="n"/>
      <c r="D222" s="1471" t="inlineStr">
        <is>
          <t>.</t>
        </is>
      </c>
      <c r="F222" s="1451" t="n"/>
    </row>
    <row r="223" ht="14.25" customHeight="1">
      <c r="A223" s="1473">
        <f>A222+1</f>
        <v/>
      </c>
      <c r="B223" s="1438" t="n"/>
      <c r="D223" s="1471" t="inlineStr">
        <is>
          <t>.</t>
        </is>
      </c>
      <c r="F223" s="1451" t="n"/>
    </row>
    <row r="224" ht="14.25" customHeight="1">
      <c r="A224" s="1473">
        <f>A223+1</f>
        <v/>
      </c>
      <c r="B224" s="1438" t="n"/>
      <c r="C224" s="1492" t="inlineStr">
        <is>
          <t>Operating Geographies:</t>
        </is>
      </c>
      <c r="D224" s="1471" t="inlineStr">
        <is>
          <t>.</t>
        </is>
      </c>
      <c r="F224" s="1451" t="n"/>
    </row>
    <row r="225" ht="14.25" customHeight="1">
      <c r="A225" s="1473">
        <f>A224+1</f>
        <v/>
      </c>
      <c r="B225" s="1438" t="n"/>
      <c r="C225" s="168">
        <f>Log!I21</f>
        <v/>
      </c>
      <c r="D225" s="1471" t="inlineStr">
        <is>
          <t>.</t>
        </is>
      </c>
      <c r="F225" s="1451" t="n"/>
    </row>
    <row r="226" ht="14.25" customHeight="1">
      <c r="A226" s="1473">
        <f>A225+1</f>
        <v/>
      </c>
      <c r="B226" s="1438" t="n"/>
      <c r="C226" s="168" t="inlineStr">
        <is>
          <t>Secondary</t>
        </is>
      </c>
      <c r="D226" s="1471" t="inlineStr">
        <is>
          <t>.</t>
        </is>
      </c>
      <c r="F226" s="1451" t="n"/>
    </row>
    <row r="227" ht="14.25" customHeight="1">
      <c r="A227" s="1473">
        <f>A226+1</f>
        <v/>
      </c>
      <c r="B227" s="1438" t="n"/>
      <c r="D227" s="1471" t="inlineStr">
        <is>
          <t>.</t>
        </is>
      </c>
      <c r="F227" s="1451" t="n"/>
    </row>
    <row r="228" ht="14.25" customHeight="1">
      <c r="A228" s="1473">
        <f>A227+1</f>
        <v/>
      </c>
      <c r="B228" s="1438" t="n"/>
      <c r="C228" s="1492" t="inlineStr">
        <is>
          <t>Operational Currency:</t>
        </is>
      </c>
      <c r="D228" s="1471" t="inlineStr">
        <is>
          <t>.</t>
        </is>
      </c>
      <c r="F228" s="1451" t="n"/>
    </row>
    <row r="229" ht="14.25" customHeight="1">
      <c r="A229" s="1473">
        <f>A228+1</f>
        <v/>
      </c>
      <c r="B229" s="1438" t="n"/>
      <c r="D229" s="1471" t="inlineStr">
        <is>
          <t>.</t>
        </is>
      </c>
      <c r="F229" s="1451" t="n"/>
    </row>
    <row r="230" ht="14.25" customHeight="1">
      <c r="A230" s="1473">
        <f>A229+1</f>
        <v/>
      </c>
      <c r="B230" s="1438" t="n"/>
      <c r="D230" s="1471" t="n"/>
      <c r="F230" s="1451" t="n"/>
    </row>
    <row r="231" ht="14.25" customHeight="1">
      <c r="A231" s="1473">
        <f>A230+1</f>
        <v/>
      </c>
      <c r="B231" s="1438" t="n"/>
      <c r="D231" s="1471" t="n"/>
      <c r="F231" s="1451" t="n"/>
    </row>
    <row r="232" ht="14.25" customHeight="1">
      <c r="A232" s="1473">
        <f>A231+1</f>
        <v/>
      </c>
      <c r="B232" s="1438" t="n"/>
      <c r="D232" s="1471" t="n"/>
      <c r="F232" s="1451" t="n"/>
    </row>
    <row r="233" ht="14.25" customHeight="1">
      <c r="A233" s="1473">
        <f>A232+1</f>
        <v/>
      </c>
      <c r="B233" s="1438" t="n"/>
      <c r="D233" s="1471" t="n"/>
      <c r="F233" s="1451" t="n"/>
    </row>
    <row r="234" ht="14.25" customHeight="1">
      <c r="A234" s="1473">
        <f>A233+1</f>
        <v/>
      </c>
      <c r="B234" s="1439" t="n"/>
      <c r="C234" s="1440" t="n"/>
      <c r="D234" s="1440" t="n"/>
      <c r="E234" s="1440" t="n"/>
      <c r="F234" s="1456" t="n"/>
    </row>
    <row r="235" ht="14.25" customHeight="1"/>
    <row r="236" ht="14.25" customHeight="1"/>
    <row r="237" ht="14.25" customHeight="1">
      <c r="A237" s="1402" t="inlineStr">
        <is>
          <t>Page 9: Valify Case Sensitivities</t>
        </is>
      </c>
    </row>
    <row r="238" ht="14.25" customHeight="1"/>
    <row r="239" ht="14.25" customHeight="1">
      <c r="A239" s="1473" t="n">
        <v>1</v>
      </c>
      <c r="B239" s="1463" t="n"/>
      <c r="C239" s="1437" t="n"/>
      <c r="D239" s="1437" t="n"/>
      <c r="E239" s="1437" t="n"/>
      <c r="F239" s="1450" t="n"/>
    </row>
    <row r="240" ht="51" customHeight="1">
      <c r="A240" s="1473" t="n">
        <v>2</v>
      </c>
      <c r="B240" s="1438" t="n"/>
      <c r="C240" s="1460" t="inlineStr">
        <is>
          <t>Valify Case Sensitivities</t>
        </is>
      </c>
      <c r="F240" s="1451" t="n"/>
    </row>
    <row r="241" ht="14.25" customHeight="1">
      <c r="A241" s="1473" t="n">
        <v>3</v>
      </c>
      <c r="B241" s="1438" t="n"/>
      <c r="F241" s="1451" t="n"/>
    </row>
    <row r="242" ht="14.25" customHeight="1">
      <c r="A242" s="1473" t="n">
        <v>4</v>
      </c>
      <c r="B242" s="1438" t="n"/>
      <c r="F242" s="1451" t="n"/>
    </row>
    <row r="243" ht="14.25" customHeight="1">
      <c r="A243" s="1473" t="n">
        <v>5</v>
      </c>
      <c r="B243" s="1438" t="n"/>
      <c r="C243" s="1464" t="n"/>
      <c r="D243" s="1465" t="inlineStr">
        <is>
          <t>Valuation Approach</t>
        </is>
      </c>
      <c r="E243" s="1464" t="n"/>
      <c r="F243" s="1451" t="n"/>
    </row>
    <row r="244" ht="14.25" customHeight="1">
      <c r="A244" s="1473" t="n">
        <v>6</v>
      </c>
      <c r="B244" s="1438" t="n"/>
      <c r="F244" s="1451" t="n"/>
    </row>
    <row r="245" ht="14.25" customHeight="1">
      <c r="A245" s="1473">
        <f>A244+1</f>
        <v/>
      </c>
      <c r="B245" s="1438" t="n"/>
      <c r="F245" s="1451" t="n"/>
    </row>
    <row r="246" ht="14.25" customHeight="1">
      <c r="A246" s="1473">
        <f>A245+1</f>
        <v/>
      </c>
      <c r="B246" s="1438" t="n"/>
      <c r="C246" s="1824" t="n"/>
      <c r="F246" s="1451" t="n"/>
    </row>
    <row r="247" ht="14.25" customHeight="1">
      <c r="A247" s="1473">
        <f>A246+1</f>
        <v/>
      </c>
      <c r="B247" s="1438" t="n"/>
      <c r="F247" s="1451" t="n"/>
    </row>
    <row r="248" ht="14.25" customHeight="1">
      <c r="A248" s="1473">
        <f>A247+1</f>
        <v/>
      </c>
      <c r="B248" s="1438" t="n"/>
      <c r="F248" s="1451" t="n"/>
    </row>
    <row r="249" ht="14.25" customHeight="1">
      <c r="A249" s="1473">
        <f>A248+1</f>
        <v/>
      </c>
      <c r="B249" s="1438" t="n"/>
      <c r="F249" s="1451" t="n"/>
    </row>
    <row r="250" ht="14.25" customHeight="1">
      <c r="A250" s="1473">
        <f>A249+1</f>
        <v/>
      </c>
      <c r="B250" s="1438" t="n"/>
      <c r="F250" s="1451" t="n"/>
    </row>
    <row r="251" ht="14.25" customHeight="1">
      <c r="A251" s="1473">
        <f>A250+1</f>
        <v/>
      </c>
      <c r="B251" s="1438" t="n"/>
      <c r="F251" s="1451" t="n"/>
    </row>
    <row r="252" ht="14.25" customHeight="1">
      <c r="A252" s="1473">
        <f>A251+1</f>
        <v/>
      </c>
      <c r="B252" s="1438" t="n"/>
      <c r="F252" s="1451" t="n"/>
    </row>
    <row r="253" ht="14.25" customHeight="1">
      <c r="A253" s="1473">
        <f>A252+1</f>
        <v/>
      </c>
      <c r="B253" s="1438" t="n"/>
      <c r="F253" s="1451" t="n"/>
    </row>
    <row r="254" ht="14.25" customHeight="1">
      <c r="A254" s="1473">
        <f>A253+1</f>
        <v/>
      </c>
      <c r="B254" s="1438" t="n"/>
      <c r="F254" s="1451" t="n"/>
    </row>
    <row r="255" ht="14.25" customHeight="1">
      <c r="A255" s="1473">
        <f>A254+1</f>
        <v/>
      </c>
      <c r="B255" s="1438" t="n"/>
      <c r="F255" s="1451" t="n"/>
    </row>
    <row r="256" ht="14.25" customHeight="1">
      <c r="A256" s="1473">
        <f>A255+1</f>
        <v/>
      </c>
      <c r="B256" s="1438" t="n"/>
      <c r="F256" s="1451" t="n"/>
    </row>
    <row r="257" ht="14.25" customHeight="1">
      <c r="A257" s="1473">
        <f>A256+1</f>
        <v/>
      </c>
      <c r="B257" s="1438" t="n"/>
      <c r="F257" s="1451" t="n"/>
    </row>
    <row r="258" ht="14.25" customHeight="1">
      <c r="A258" s="1473">
        <f>A257+1</f>
        <v/>
      </c>
      <c r="B258" s="1438" t="n"/>
      <c r="F258" s="1451" t="n"/>
    </row>
    <row r="259" ht="14.25" customHeight="1">
      <c r="A259" s="1473">
        <f>A258+1</f>
        <v/>
      </c>
      <c r="B259" s="1438" t="n"/>
      <c r="F259" s="1451" t="n"/>
    </row>
    <row r="260" ht="14.25" customHeight="1">
      <c r="A260" s="1473">
        <f>A259+1</f>
        <v/>
      </c>
      <c r="B260" s="1438" t="n"/>
      <c r="F260" s="1451" t="n"/>
    </row>
    <row r="261" ht="14.25" customHeight="1">
      <c r="A261" s="1473">
        <f>A260+1</f>
        <v/>
      </c>
      <c r="B261" s="1438" t="n"/>
      <c r="F261" s="1451" t="n"/>
    </row>
    <row r="262" ht="14.25" customHeight="1">
      <c r="A262" s="1473">
        <f>A261+1</f>
        <v/>
      </c>
      <c r="B262" s="1438" t="n"/>
      <c r="C262" s="168" t="inlineStr">
        <is>
          <t>XXX</t>
        </is>
      </c>
      <c r="F262" s="1451" t="n"/>
    </row>
    <row r="263" ht="14.25" customHeight="1">
      <c r="A263" s="1473">
        <f>A262+1</f>
        <v/>
      </c>
      <c r="B263" s="1438" t="n"/>
      <c r="F263" s="1451" t="n"/>
    </row>
    <row r="264" ht="14.25" customHeight="1">
      <c r="A264" s="1473">
        <f>A263+1</f>
        <v/>
      </c>
      <c r="B264" s="1438" t="n"/>
      <c r="F264" s="1451" t="n"/>
    </row>
    <row r="265" ht="14.25" customHeight="1">
      <c r="A265" s="1473">
        <f>A264+1</f>
        <v/>
      </c>
      <c r="B265" s="1438" t="n"/>
      <c r="F265" s="1451" t="n"/>
    </row>
    <row r="266" ht="14.25" customHeight="1">
      <c r="A266" s="1473">
        <f>A265+1</f>
        <v/>
      </c>
      <c r="B266" s="1438" t="n"/>
      <c r="F266" s="1451" t="n"/>
    </row>
    <row r="267" ht="14.25" customHeight="1">
      <c r="A267" s="1473">
        <f>A266+1</f>
        <v/>
      </c>
      <c r="B267" s="1438" t="n"/>
      <c r="F267" s="1451" t="n"/>
    </row>
    <row r="268" ht="14.25" customHeight="1">
      <c r="A268" s="1473">
        <f>A267+1</f>
        <v/>
      </c>
      <c r="B268" s="1438" t="n"/>
      <c r="F268" s="1451" t="n"/>
    </row>
    <row r="269" ht="14.25" customHeight="1">
      <c r="A269" s="1473">
        <f>A268+1</f>
        <v/>
      </c>
      <c r="B269" s="1438" t="n"/>
      <c r="F269" s="1451" t="n"/>
    </row>
    <row r="270" ht="14.25" customHeight="1">
      <c r="A270" s="1473">
        <f>A269+1</f>
        <v/>
      </c>
      <c r="B270" s="1438" t="n"/>
      <c r="F270" s="1451" t="n"/>
    </row>
    <row r="271" ht="14.25" customHeight="1">
      <c r="A271" s="1473">
        <f>A270+1</f>
        <v/>
      </c>
      <c r="B271" s="1438" t="n"/>
      <c r="F271" s="1451" t="n"/>
    </row>
    <row r="272" ht="14.25" customHeight="1">
      <c r="A272" s="1473">
        <f>A271+1</f>
        <v/>
      </c>
      <c r="B272" s="1438" t="n"/>
      <c r="F272" s="1451" t="n"/>
    </row>
    <row r="273" ht="14.25" customHeight="1">
      <c r="A273" s="1473">
        <f>A272+1</f>
        <v/>
      </c>
      <c r="B273" s="1438" t="n"/>
      <c r="F273" s="1451" t="n"/>
    </row>
    <row r="274" ht="14.25" customHeight="1">
      <c r="A274" s="1473">
        <f>A273+1</f>
        <v/>
      </c>
      <c r="B274" s="1438" t="n"/>
      <c r="F274" s="1451" t="n"/>
    </row>
    <row r="275" ht="14.25" customHeight="1">
      <c r="A275" s="1473">
        <f>A274+1</f>
        <v/>
      </c>
      <c r="B275" s="1438" t="n"/>
      <c r="F275" s="1451" t="n"/>
    </row>
    <row r="276" ht="14.25" customHeight="1">
      <c r="A276" s="1473">
        <f>A275+1</f>
        <v/>
      </c>
      <c r="B276" s="1438" t="n"/>
      <c r="F276" s="1451" t="n"/>
    </row>
    <row r="277" ht="14.25" customHeight="1">
      <c r="A277" s="1473">
        <f>A276+1</f>
        <v/>
      </c>
      <c r="B277" s="1438" t="n"/>
      <c r="F277" s="1451" t="n"/>
    </row>
    <row r="278" ht="14.25" customHeight="1">
      <c r="A278" s="1473">
        <f>A277+1</f>
        <v/>
      </c>
      <c r="B278" s="1438" t="n"/>
      <c r="F278" s="1451" t="n"/>
    </row>
    <row r="279" ht="14.25" customHeight="1">
      <c r="A279" s="1473">
        <f>A278+1</f>
        <v/>
      </c>
      <c r="B279" s="1438" t="n"/>
      <c r="F279" s="1451" t="n"/>
    </row>
    <row r="280" ht="14.25" customHeight="1">
      <c r="A280" s="1473">
        <f>A279+1</f>
        <v/>
      </c>
      <c r="B280" s="1438" t="n"/>
      <c r="F280" s="1451" t="n"/>
    </row>
    <row r="281" ht="14.25" customHeight="1">
      <c r="A281" s="1473">
        <f>A280+1</f>
        <v/>
      </c>
      <c r="B281" s="1438" t="n"/>
      <c r="F281" s="1451" t="n"/>
    </row>
    <row r="282" ht="14.25" customHeight="1">
      <c r="A282" s="1473">
        <f>A281+1</f>
        <v/>
      </c>
      <c r="B282" s="1439" t="n"/>
      <c r="C282" s="1440" t="n"/>
      <c r="D282" s="1440" t="n"/>
      <c r="E282" s="1440" t="n"/>
      <c r="F282" s="1456" t="n"/>
    </row>
    <row r="283" ht="14.25" customHeight="1"/>
    <row r="284" ht="14.25" customHeight="1">
      <c r="A284" s="1402" t="inlineStr">
        <is>
          <t>Page 11: Revenue Analysis</t>
        </is>
      </c>
    </row>
    <row r="285" ht="14.25" customHeight="1"/>
    <row r="286" ht="14.25" customHeight="1">
      <c r="A286" s="1473" t="n">
        <v>1</v>
      </c>
      <c r="B286" s="1463" t="n"/>
      <c r="C286" s="1437" t="n"/>
      <c r="D286" s="1437" t="n"/>
      <c r="E286" s="1437" t="n"/>
      <c r="F286" s="1450" t="n"/>
    </row>
    <row r="287" ht="51" customHeight="1">
      <c r="A287" s="1473" t="n">
        <v>2</v>
      </c>
      <c r="B287" s="1438" t="n"/>
      <c r="C287" s="1460" t="inlineStr">
        <is>
          <t>Revenue Analysis</t>
        </is>
      </c>
      <c r="F287" s="1451" t="n"/>
    </row>
    <row r="288" ht="14.25" customHeight="1">
      <c r="A288" s="1473" t="n">
        <v>3</v>
      </c>
      <c r="B288" s="1438" t="n"/>
      <c r="D288" s="1471" t="inlineStr">
        <is>
          <t>.</t>
        </is>
      </c>
      <c r="F288" s="1451" t="n"/>
    </row>
    <row r="289" ht="14.25" customHeight="1">
      <c r="A289" s="1473" t="n">
        <v>4</v>
      </c>
      <c r="B289" s="1438" t="n"/>
      <c r="D289" s="1471" t="inlineStr">
        <is>
          <t>.</t>
        </is>
      </c>
      <c r="F289" s="1451" t="n"/>
    </row>
    <row r="290" ht="14.25" customHeight="1">
      <c r="A290" s="1473" t="n">
        <v>5</v>
      </c>
      <c r="B290" s="1438" t="n"/>
      <c r="C290" s="1467" t="inlineStr">
        <is>
          <t>Revenue Contribution</t>
        </is>
      </c>
      <c r="D290" s="1471" t="inlineStr">
        <is>
          <t>.</t>
        </is>
      </c>
      <c r="E290" s="1468" t="inlineStr">
        <is>
          <t>Total Revenues</t>
        </is>
      </c>
      <c r="F290" s="1451" t="n"/>
    </row>
    <row r="291" ht="14.25" customHeight="1">
      <c r="A291" s="1473" t="n">
        <v>6</v>
      </c>
      <c r="B291" s="1438" t="n"/>
      <c r="D291" s="1471" t="inlineStr">
        <is>
          <t>.</t>
        </is>
      </c>
      <c r="F291" s="1451" t="n"/>
    </row>
    <row r="292" ht="14.25" customHeight="1">
      <c r="A292" s="1473">
        <f>A291+1</f>
        <v/>
      </c>
      <c r="B292" s="1438" t="n"/>
      <c r="D292" s="1471" t="inlineStr">
        <is>
          <t>.</t>
        </is>
      </c>
      <c r="F292" s="1451" t="n"/>
    </row>
    <row r="293" ht="14.25" customHeight="1">
      <c r="A293" s="1473">
        <f>A292+1</f>
        <v/>
      </c>
      <c r="B293" s="1438" t="n"/>
      <c r="D293" s="1471" t="inlineStr">
        <is>
          <t>.</t>
        </is>
      </c>
      <c r="F293" s="1451" t="n"/>
    </row>
    <row r="294" ht="14.25" customHeight="1">
      <c r="A294" s="1473">
        <f>A293+1</f>
        <v/>
      </c>
      <c r="B294" s="1438" t="n"/>
      <c r="D294" s="1471" t="inlineStr">
        <is>
          <t>.</t>
        </is>
      </c>
      <c r="F294" s="1451" t="n"/>
    </row>
    <row r="295" ht="14.25" customHeight="1">
      <c r="A295" s="1473">
        <f>A294+1</f>
        <v/>
      </c>
      <c r="B295" s="1438" t="n"/>
      <c r="D295" s="1471" t="inlineStr">
        <is>
          <t>.</t>
        </is>
      </c>
      <c r="F295" s="1451" t="n"/>
    </row>
    <row r="296" ht="14.25" customHeight="1">
      <c r="A296" s="1473">
        <f>A295+1</f>
        <v/>
      </c>
      <c r="B296" s="1438" t="n"/>
      <c r="D296" s="1471" t="inlineStr">
        <is>
          <t>.</t>
        </is>
      </c>
      <c r="F296" s="1451" t="n"/>
    </row>
    <row r="297" ht="14.25" customHeight="1">
      <c r="A297" s="1473">
        <f>A296+1</f>
        <v/>
      </c>
      <c r="B297" s="1438" t="n"/>
      <c r="D297" s="1471" t="inlineStr">
        <is>
          <t>.</t>
        </is>
      </c>
      <c r="F297" s="1451" t="n"/>
    </row>
    <row r="298" ht="14.25" customHeight="1">
      <c r="A298" s="1473">
        <f>A297+1</f>
        <v/>
      </c>
      <c r="B298" s="1438" t="n"/>
      <c r="D298" s="1471" t="inlineStr">
        <is>
          <t>.</t>
        </is>
      </c>
      <c r="F298" s="1451" t="n"/>
    </row>
    <row r="299" ht="14.25" customHeight="1">
      <c r="A299" s="1473">
        <f>A298+1</f>
        <v/>
      </c>
      <c r="B299" s="1438" t="n"/>
      <c r="D299" s="1471" t="inlineStr">
        <is>
          <t>.</t>
        </is>
      </c>
      <c r="F299" s="1451" t="n"/>
    </row>
    <row r="300" ht="14.25" customHeight="1">
      <c r="A300" s="1473">
        <f>A299+1</f>
        <v/>
      </c>
      <c r="B300" s="1438" t="n"/>
      <c r="D300" s="1471" t="inlineStr">
        <is>
          <t>.</t>
        </is>
      </c>
      <c r="F300" s="1451" t="n"/>
    </row>
    <row r="301" ht="14.25" customHeight="1">
      <c r="A301" s="1473">
        <f>A300+1</f>
        <v/>
      </c>
      <c r="B301" s="1438" t="n"/>
      <c r="D301" s="1471" t="inlineStr">
        <is>
          <t>.</t>
        </is>
      </c>
      <c r="F301" s="1451" t="n"/>
    </row>
    <row r="302" ht="14.25" customHeight="1">
      <c r="A302" s="1473">
        <f>A301+1</f>
        <v/>
      </c>
      <c r="B302" s="1438" t="n"/>
      <c r="D302" s="1471" t="inlineStr">
        <is>
          <t>.</t>
        </is>
      </c>
      <c r="F302" s="1451" t="n"/>
    </row>
    <row r="303" ht="14.25" customHeight="1">
      <c r="A303" s="1473">
        <f>A302+1</f>
        <v/>
      </c>
      <c r="B303" s="1438" t="n"/>
      <c r="D303" s="1471" t="inlineStr">
        <is>
          <t>.</t>
        </is>
      </c>
      <c r="F303" s="1451" t="n"/>
    </row>
    <row r="304" ht="14.25" customHeight="1">
      <c r="A304" s="1473">
        <f>A303+1</f>
        <v/>
      </c>
      <c r="B304" s="1438" t="n"/>
      <c r="D304" s="1471" t="inlineStr">
        <is>
          <t>.</t>
        </is>
      </c>
      <c r="F304" s="1451" t="n"/>
    </row>
    <row r="305" ht="14.25" customHeight="1">
      <c r="A305" s="1473">
        <f>A304+1</f>
        <v/>
      </c>
      <c r="B305" s="1438" t="n"/>
      <c r="D305" s="1471" t="inlineStr">
        <is>
          <t>.</t>
        </is>
      </c>
      <c r="F305" s="1451" t="n"/>
    </row>
    <row r="306" ht="14.25" customHeight="1">
      <c r="A306" s="1473">
        <f>A305+1</f>
        <v/>
      </c>
      <c r="B306" s="1438" t="n"/>
      <c r="D306" s="1471" t="inlineStr">
        <is>
          <t>.</t>
        </is>
      </c>
      <c r="F306" s="1451" t="n"/>
    </row>
    <row r="307" ht="14.25" customHeight="1">
      <c r="A307" s="1473">
        <f>A306+1</f>
        <v/>
      </c>
      <c r="B307" s="1438" t="n"/>
      <c r="D307" s="1471" t="inlineStr">
        <is>
          <t>.</t>
        </is>
      </c>
      <c r="F307" s="1451" t="n"/>
    </row>
    <row r="308" ht="14.25" customHeight="1">
      <c r="A308" s="1473">
        <f>A307+1</f>
        <v/>
      </c>
      <c r="B308" s="1438" t="n"/>
      <c r="D308" s="1471" t="inlineStr">
        <is>
          <t>.</t>
        </is>
      </c>
      <c r="F308" s="1451" t="n"/>
    </row>
    <row r="309" ht="14.25" customHeight="1">
      <c r="A309" s="1473">
        <f>A308+1</f>
        <v/>
      </c>
      <c r="B309" s="1438" t="n"/>
      <c r="D309" s="1471" t="inlineStr">
        <is>
          <t>.</t>
        </is>
      </c>
      <c r="F309" s="1451" t="n"/>
    </row>
    <row r="310" ht="14.25" customHeight="1">
      <c r="A310" s="1473">
        <f>A309+1</f>
        <v/>
      </c>
      <c r="B310" s="1438" t="n"/>
      <c r="D310" s="1471" t="inlineStr">
        <is>
          <t>.</t>
        </is>
      </c>
      <c r="F310" s="1451" t="n"/>
    </row>
    <row r="311" ht="14.25" customHeight="1">
      <c r="A311" s="1473">
        <f>A310+1</f>
        <v/>
      </c>
      <c r="B311" s="1438" t="n"/>
      <c r="C311" s="168" t="inlineStr">
        <is>
          <t>XXX</t>
        </is>
      </c>
      <c r="D311" s="1471" t="inlineStr">
        <is>
          <t>.</t>
        </is>
      </c>
      <c r="E311" s="168" t="inlineStr">
        <is>
          <t>XXX</t>
        </is>
      </c>
      <c r="F311" s="1451" t="n"/>
    </row>
    <row r="312" ht="14.25" customHeight="1">
      <c r="A312" s="1473">
        <f>A311+1</f>
        <v/>
      </c>
      <c r="B312" s="1438" t="n"/>
      <c r="D312" s="1471" t="inlineStr">
        <is>
          <t>.</t>
        </is>
      </c>
      <c r="F312" s="1451" t="n"/>
    </row>
    <row r="313" ht="14.25" customHeight="1">
      <c r="A313" s="1473">
        <f>A312+1</f>
        <v/>
      </c>
      <c r="B313" s="1438" t="n"/>
      <c r="D313" s="1471" t="inlineStr">
        <is>
          <t>.</t>
        </is>
      </c>
      <c r="F313" s="1451" t="n"/>
    </row>
    <row r="314" ht="14.25" customHeight="1">
      <c r="A314" s="1473">
        <f>A313+1</f>
        <v/>
      </c>
      <c r="B314" s="1438" t="n"/>
      <c r="D314" s="1471" t="inlineStr">
        <is>
          <t>.</t>
        </is>
      </c>
      <c r="F314" s="1451" t="n"/>
    </row>
    <row r="315" ht="14.25" customHeight="1">
      <c r="A315" s="1473">
        <f>A314+1</f>
        <v/>
      </c>
      <c r="B315" s="1438" t="n"/>
      <c r="D315" s="1471" t="inlineStr">
        <is>
          <t>.</t>
        </is>
      </c>
      <c r="F315" s="1451" t="n"/>
    </row>
    <row r="316" ht="14.25" customHeight="1">
      <c r="A316" s="1473">
        <f>A315+1</f>
        <v/>
      </c>
      <c r="B316" s="1438" t="n"/>
      <c r="D316" s="1471" t="inlineStr">
        <is>
          <t>.</t>
        </is>
      </c>
      <c r="F316" s="1451" t="n"/>
    </row>
    <row r="317" ht="14.25" customHeight="1">
      <c r="A317" s="1473">
        <f>A316+1</f>
        <v/>
      </c>
      <c r="B317" s="1438" t="n"/>
      <c r="D317" s="1471" t="inlineStr">
        <is>
          <t>.</t>
        </is>
      </c>
      <c r="F317" s="1451" t="n"/>
    </row>
    <row r="318" ht="14.25" customHeight="1">
      <c r="A318" s="1473">
        <f>A317+1</f>
        <v/>
      </c>
      <c r="B318" s="1438" t="n"/>
      <c r="D318" s="1471" t="inlineStr">
        <is>
          <t>.</t>
        </is>
      </c>
      <c r="F318" s="1451" t="n"/>
    </row>
    <row r="319" ht="14.25" customHeight="1">
      <c r="A319" s="1473">
        <f>A318+1</f>
        <v/>
      </c>
      <c r="B319" s="1438" t="n"/>
      <c r="D319" s="1471" t="inlineStr">
        <is>
          <t>.</t>
        </is>
      </c>
      <c r="F319" s="1451" t="n"/>
    </row>
    <row r="320" ht="14.25" customHeight="1">
      <c r="A320" s="1473">
        <f>A319+1</f>
        <v/>
      </c>
      <c r="B320" s="1438" t="n"/>
      <c r="D320" s="1471" t="inlineStr">
        <is>
          <t>.</t>
        </is>
      </c>
      <c r="F320" s="1451" t="n"/>
    </row>
    <row r="321" ht="14.25" customHeight="1">
      <c r="A321" s="1473">
        <f>A320+1</f>
        <v/>
      </c>
      <c r="B321" s="1438" t="n"/>
      <c r="D321" s="1471" t="inlineStr">
        <is>
          <t>.</t>
        </is>
      </c>
      <c r="F321" s="1451" t="n"/>
    </row>
    <row r="322" ht="14.25" customHeight="1">
      <c r="A322" s="1473">
        <f>A321+1</f>
        <v/>
      </c>
      <c r="B322" s="1438" t="n"/>
      <c r="D322" s="1471" t="inlineStr">
        <is>
          <t>.</t>
        </is>
      </c>
      <c r="F322" s="1451" t="n"/>
    </row>
    <row r="323" ht="14.25" customHeight="1">
      <c r="A323" s="1473">
        <f>A322+1</f>
        <v/>
      </c>
      <c r="B323" s="1438" t="n"/>
      <c r="F323" s="1451" t="n"/>
    </row>
    <row r="324" ht="14.25" customHeight="1">
      <c r="A324" s="1473">
        <f>A323+1</f>
        <v/>
      </c>
      <c r="B324" s="1438" t="n"/>
      <c r="F324" s="1451" t="n"/>
    </row>
    <row r="325" ht="14.25" customHeight="1">
      <c r="A325" s="1473">
        <f>A324+1</f>
        <v/>
      </c>
      <c r="B325" s="1438" t="n"/>
      <c r="F325" s="1451" t="n"/>
    </row>
    <row r="326" ht="14.25" customHeight="1">
      <c r="A326" s="1473">
        <f>A325+1</f>
        <v/>
      </c>
      <c r="B326" s="1438" t="n"/>
      <c r="F326" s="1451" t="n"/>
    </row>
    <row r="327" ht="14.25" customHeight="1">
      <c r="A327" s="1473">
        <f>A326+1</f>
        <v/>
      </c>
      <c r="B327" s="1438" t="n"/>
      <c r="F327" s="1451" t="n"/>
    </row>
    <row r="328" ht="14.25" customHeight="1">
      <c r="A328" s="1473">
        <f>A327+1</f>
        <v/>
      </c>
      <c r="B328" s="1438" t="n"/>
      <c r="F328" s="1451" t="n"/>
    </row>
    <row r="329" ht="13.75" customHeight="1">
      <c r="A329" s="1473">
        <f>A328+1</f>
        <v/>
      </c>
      <c r="B329" s="1439" t="n"/>
      <c r="C329" s="1440" t="n"/>
      <c r="D329" s="1440" t="n"/>
      <c r="E329" s="1440" t="n"/>
      <c r="F329" s="1456" t="n"/>
    </row>
    <row r="330" ht="14.25" customHeight="1"/>
    <row r="331" ht="14.25" customHeight="1">
      <c r="A331" s="1402" t="inlineStr">
        <is>
          <t>Page 12: Profitability Analysis</t>
        </is>
      </c>
    </row>
    <row r="332" ht="14.25" customHeight="1"/>
    <row r="333" ht="14.25" customHeight="1">
      <c r="A333" s="1473" t="n">
        <v>1</v>
      </c>
      <c r="B333" s="1463" t="n"/>
      <c r="C333" s="1437" t="n"/>
      <c r="D333" s="1437" t="n"/>
      <c r="E333" s="1437" t="n"/>
      <c r="F333" s="1450" t="n"/>
    </row>
    <row r="334" ht="51" customHeight="1">
      <c r="A334" s="1473" t="n">
        <v>2</v>
      </c>
      <c r="B334" s="1438" t="n"/>
      <c r="C334" s="1460" t="inlineStr">
        <is>
          <t>Profiability Analysis</t>
        </is>
      </c>
      <c r="F334" s="1451" t="n"/>
    </row>
    <row r="335" ht="14.25" customHeight="1">
      <c r="A335" s="1473" t="n">
        <v>3</v>
      </c>
      <c r="B335" s="1438" t="n"/>
      <c r="F335" s="1451" t="n"/>
    </row>
    <row r="336" ht="14.25" customHeight="1">
      <c r="A336" s="1473" t="n">
        <v>4</v>
      </c>
      <c r="B336" s="1438" t="n"/>
      <c r="F336" s="1451" t="n"/>
    </row>
    <row r="337" ht="14.25" customHeight="1">
      <c r="A337" s="1473" t="n">
        <v>5</v>
      </c>
      <c r="B337" s="1438" t="n"/>
      <c r="C337" s="1469" t="inlineStr">
        <is>
          <t>Costs</t>
        </is>
      </c>
      <c r="D337" s="1466" t="n"/>
      <c r="E337" s="1470" t="inlineStr">
        <is>
          <t>Margins</t>
        </is>
      </c>
      <c r="F337" s="1451" t="n"/>
    </row>
    <row r="338" ht="14.25" customHeight="1">
      <c r="A338" s="1473" t="n">
        <v>6</v>
      </c>
      <c r="B338" s="1438" t="n"/>
      <c r="F338" s="1451" t="n"/>
    </row>
    <row r="339" ht="14.25" customHeight="1">
      <c r="A339" s="1473">
        <f>A338+1</f>
        <v/>
      </c>
      <c r="B339" s="1438" t="n"/>
      <c r="F339" s="1451" t="n"/>
    </row>
    <row r="340" ht="14.25" customHeight="1">
      <c r="A340" s="1473">
        <f>A339+1</f>
        <v/>
      </c>
      <c r="B340" s="1438" t="n"/>
      <c r="F340" s="1451" t="n"/>
    </row>
    <row r="341" ht="14.25" customHeight="1">
      <c r="A341" s="1473">
        <f>A340+1</f>
        <v/>
      </c>
      <c r="B341" s="1438" t="n"/>
      <c r="F341" s="1451" t="n"/>
    </row>
    <row r="342" ht="14.25" customHeight="1">
      <c r="A342" s="1473">
        <f>A341+1</f>
        <v/>
      </c>
      <c r="B342" s="1438" t="n"/>
      <c r="F342" s="1451" t="n"/>
    </row>
    <row r="343" ht="14.25" customHeight="1">
      <c r="A343" s="1473">
        <f>A342+1</f>
        <v/>
      </c>
      <c r="B343" s="1438" t="n"/>
      <c r="F343" s="1451" t="n"/>
    </row>
    <row r="344" ht="14.25" customHeight="1">
      <c r="A344" s="1473">
        <f>A343+1</f>
        <v/>
      </c>
      <c r="B344" s="1438" t="n"/>
      <c r="F344" s="1451" t="n"/>
    </row>
    <row r="345" ht="14.25" customHeight="1">
      <c r="A345" s="1473">
        <f>A344+1</f>
        <v/>
      </c>
      <c r="B345" s="1438" t="n"/>
      <c r="F345" s="1451" t="n"/>
    </row>
    <row r="346" ht="14.25" customHeight="1">
      <c r="A346" s="1473">
        <f>A345+1</f>
        <v/>
      </c>
      <c r="B346" s="1438" t="n"/>
      <c r="F346" s="1451" t="n"/>
    </row>
    <row r="347" ht="14.25" customHeight="1">
      <c r="A347" s="1473">
        <f>A346+1</f>
        <v/>
      </c>
      <c r="B347" s="1438" t="n"/>
      <c r="F347" s="1451" t="n"/>
    </row>
    <row r="348" ht="14.25" customHeight="1">
      <c r="A348" s="1473">
        <f>A347+1</f>
        <v/>
      </c>
      <c r="B348" s="1438" t="n"/>
      <c r="F348" s="1451" t="n"/>
    </row>
    <row r="349" ht="14.25" customHeight="1">
      <c r="A349" s="1473">
        <f>A348+1</f>
        <v/>
      </c>
      <c r="B349" s="1438" t="n"/>
      <c r="F349" s="1451" t="n"/>
    </row>
    <row r="350" ht="14.25" customHeight="1">
      <c r="A350" s="1473">
        <f>A349+1</f>
        <v/>
      </c>
      <c r="B350" s="1438" t="n"/>
      <c r="F350" s="1451" t="n"/>
    </row>
    <row r="351" ht="14.25" customHeight="1">
      <c r="A351" s="1473">
        <f>A350+1</f>
        <v/>
      </c>
      <c r="B351" s="1438" t="n"/>
      <c r="F351" s="1451" t="n"/>
    </row>
    <row r="352" ht="14.25" customHeight="1">
      <c r="A352" s="1473">
        <f>A351+1</f>
        <v/>
      </c>
      <c r="B352" s="1438" t="n"/>
      <c r="F352" s="1451" t="n"/>
    </row>
    <row r="353" ht="14.25" customHeight="1">
      <c r="A353" s="1473">
        <f>A352+1</f>
        <v/>
      </c>
      <c r="B353" s="1438" t="n"/>
      <c r="F353" s="1451" t="n"/>
    </row>
    <row r="354" ht="14.25" customHeight="1">
      <c r="A354" s="1473">
        <f>A353+1</f>
        <v/>
      </c>
      <c r="B354" s="1438" t="n"/>
      <c r="F354" s="1451" t="n"/>
    </row>
    <row r="355" ht="14.25" customHeight="1">
      <c r="A355" s="1473">
        <f>A354+1</f>
        <v/>
      </c>
      <c r="B355" s="1438" t="n"/>
      <c r="F355" s="1451" t="n"/>
    </row>
    <row r="356" ht="14.25" customHeight="1">
      <c r="A356" s="1473">
        <f>A355+1</f>
        <v/>
      </c>
      <c r="B356" s="1438" t="n"/>
      <c r="F356" s="1451" t="n"/>
    </row>
    <row r="357" ht="14.25" customHeight="1">
      <c r="A357" s="1473">
        <f>A356+1</f>
        <v/>
      </c>
      <c r="B357" s="1438" t="n"/>
      <c r="F357" s="1451" t="n"/>
    </row>
    <row r="358" ht="14.25" customHeight="1">
      <c r="A358" s="1473">
        <f>A357+1</f>
        <v/>
      </c>
      <c r="B358" s="1438" t="n"/>
      <c r="C358" s="168" t="inlineStr">
        <is>
          <t>XXX</t>
        </is>
      </c>
      <c r="E358" s="168" t="inlineStr">
        <is>
          <t>XXX</t>
        </is>
      </c>
      <c r="F358" s="1451" t="n"/>
    </row>
    <row r="359" ht="14.25" customHeight="1">
      <c r="A359" s="1473">
        <f>A358+1</f>
        <v/>
      </c>
      <c r="B359" s="1438" t="n"/>
      <c r="F359" s="1451" t="n"/>
    </row>
    <row r="360" ht="14.25" customHeight="1">
      <c r="A360" s="1473">
        <f>A359+1</f>
        <v/>
      </c>
      <c r="B360" s="1438" t="n"/>
      <c r="F360" s="1451" t="n"/>
    </row>
    <row r="361" ht="14.25" customHeight="1">
      <c r="A361" s="1473">
        <f>A360+1</f>
        <v/>
      </c>
      <c r="B361" s="1438" t="n"/>
      <c r="F361" s="1451" t="n"/>
    </row>
    <row r="362" ht="14.25" customHeight="1">
      <c r="A362" s="1473">
        <f>A361+1</f>
        <v/>
      </c>
      <c r="B362" s="1438" t="n"/>
      <c r="F362" s="1451" t="n"/>
    </row>
    <row r="363" ht="14.25" customHeight="1">
      <c r="A363" s="1473">
        <f>A362+1</f>
        <v/>
      </c>
      <c r="B363" s="1438" t="n"/>
      <c r="F363" s="1451" t="n"/>
    </row>
    <row r="364" ht="14.25" customHeight="1">
      <c r="A364" s="1473">
        <f>A363+1</f>
        <v/>
      </c>
      <c r="B364" s="1438" t="n"/>
      <c r="F364" s="1451" t="n"/>
    </row>
    <row r="365" ht="14.25" customHeight="1">
      <c r="A365" s="1473">
        <f>A364+1</f>
        <v/>
      </c>
      <c r="B365" s="1438" t="n"/>
      <c r="F365" s="1451" t="n"/>
    </row>
    <row r="366" ht="14.25" customHeight="1">
      <c r="A366" s="1473">
        <f>A365+1</f>
        <v/>
      </c>
      <c r="B366" s="1438" t="n"/>
      <c r="F366" s="1451" t="n"/>
    </row>
    <row r="367" ht="14.25" customHeight="1">
      <c r="A367" s="1473">
        <f>A366+1</f>
        <v/>
      </c>
      <c r="B367" s="1438" t="n"/>
      <c r="F367" s="1451" t="n"/>
    </row>
    <row r="368" ht="14.25" customHeight="1">
      <c r="A368" s="1473">
        <f>A367+1</f>
        <v/>
      </c>
      <c r="B368" s="1438" t="n"/>
      <c r="F368" s="1451" t="n"/>
    </row>
    <row r="369" ht="14.25" customHeight="1">
      <c r="A369" s="1473">
        <f>A368+1</f>
        <v/>
      </c>
      <c r="B369" s="1438" t="n"/>
      <c r="F369" s="1451" t="n"/>
    </row>
    <row r="370" ht="14.25" customHeight="1">
      <c r="A370" s="1473">
        <f>A369+1</f>
        <v/>
      </c>
      <c r="B370" s="1438" t="n"/>
      <c r="F370" s="1451" t="n"/>
    </row>
    <row r="371" ht="14.25" customHeight="1">
      <c r="A371" s="1473">
        <f>A370+1</f>
        <v/>
      </c>
      <c r="B371" s="1438" t="n"/>
      <c r="F371" s="1451" t="n"/>
    </row>
    <row r="372" ht="14.25" customHeight="1">
      <c r="A372" s="1473">
        <f>A371+1</f>
        <v/>
      </c>
      <c r="B372" s="1438" t="n"/>
      <c r="F372" s="1451" t="n"/>
    </row>
    <row r="373" ht="14.25" customHeight="1">
      <c r="A373" s="1473">
        <f>A372+1</f>
        <v/>
      </c>
      <c r="B373" s="1438" t="n"/>
      <c r="F373" s="1451" t="n"/>
    </row>
    <row r="374" ht="14.25" customHeight="1">
      <c r="A374" s="1473">
        <f>A373+1</f>
        <v/>
      </c>
      <c r="B374" s="1438" t="n"/>
      <c r="F374" s="1451" t="n"/>
    </row>
    <row r="375" ht="13.75" customHeight="1">
      <c r="A375" s="1473">
        <f>A374+1</f>
        <v/>
      </c>
      <c r="B375" s="1438" t="n"/>
      <c r="F375" s="1451" t="n"/>
    </row>
    <row r="376" ht="14.25" customHeight="1">
      <c r="A376" s="1473">
        <f>A375+1</f>
        <v/>
      </c>
      <c r="B376" s="1439" t="n"/>
      <c r="C376" s="1440" t="n"/>
      <c r="D376" s="1440" t="n"/>
      <c r="E376" s="1440" t="n"/>
      <c r="F376" s="1456" t="n"/>
    </row>
    <row r="377" ht="14.25" customHeight="1"/>
    <row r="378" ht="14.25" customHeight="1">
      <c r="A378" s="1402" t="inlineStr">
        <is>
          <t>Page 13: Working Capital &amp; Capex</t>
        </is>
      </c>
    </row>
    <row r="379" ht="14.25" customHeight="1"/>
    <row r="380" ht="14.25" customHeight="1">
      <c r="A380" s="1473" t="n">
        <v>1</v>
      </c>
      <c r="B380" s="1463" t="n"/>
      <c r="C380" s="1437" t="n"/>
      <c r="D380" s="1437" t="n"/>
      <c r="E380" s="1437" t="n"/>
      <c r="F380" s="1450" t="n"/>
    </row>
    <row r="381" ht="51" customHeight="1">
      <c r="A381" s="1473" t="n">
        <v>2</v>
      </c>
      <c r="B381" s="1438" t="n"/>
      <c r="C381" s="1460" t="inlineStr">
        <is>
          <t>Working Capital &amp; Capex</t>
        </is>
      </c>
      <c r="F381" s="1451" t="n"/>
    </row>
    <row r="382" ht="14.25" customHeight="1">
      <c r="A382" s="1473" t="n">
        <v>3</v>
      </c>
      <c r="B382" s="1438" t="n"/>
      <c r="F382" s="1451" t="n"/>
    </row>
    <row r="383" ht="14.25" customHeight="1">
      <c r="A383" s="1473" t="n">
        <v>4</v>
      </c>
      <c r="B383" s="1438" t="n"/>
      <c r="F383" s="1451" t="n"/>
    </row>
    <row r="384" ht="14.25" customHeight="1">
      <c r="A384" s="1473" t="n">
        <v>5</v>
      </c>
      <c r="B384" s="1438" t="n"/>
      <c r="C384" s="1469" t="inlineStr">
        <is>
          <t>Working Capital</t>
        </is>
      </c>
      <c r="D384" s="1466" t="n"/>
      <c r="E384" s="1470" t="inlineStr">
        <is>
          <t>Capital Expenditure</t>
        </is>
      </c>
      <c r="F384" s="1451" t="n"/>
    </row>
    <row r="385" ht="14.25" customHeight="1">
      <c r="A385" s="1473" t="n">
        <v>6</v>
      </c>
      <c r="B385" s="1438" t="n"/>
      <c r="F385" s="1451" t="n"/>
    </row>
    <row r="386" ht="14.25" customHeight="1">
      <c r="A386" s="1473">
        <f>A385+1</f>
        <v/>
      </c>
      <c r="B386" s="1438" t="n"/>
      <c r="F386" s="1451" t="n"/>
    </row>
    <row r="387" ht="14.25" customHeight="1">
      <c r="A387" s="1473">
        <f>A386+1</f>
        <v/>
      </c>
      <c r="B387" s="1438" t="n"/>
      <c r="F387" s="1451" t="n"/>
    </row>
    <row r="388" ht="14.25" customHeight="1">
      <c r="A388" s="1473">
        <f>A387+1</f>
        <v/>
      </c>
      <c r="B388" s="1438" t="n"/>
      <c r="F388" s="1451" t="n"/>
    </row>
    <row r="389" ht="14.25" customHeight="1">
      <c r="A389" s="1473">
        <f>A388+1</f>
        <v/>
      </c>
      <c r="B389" s="1438" t="n"/>
      <c r="F389" s="1451" t="n"/>
    </row>
    <row r="390" ht="14.25" customHeight="1">
      <c r="A390" s="1473">
        <f>A389+1</f>
        <v/>
      </c>
      <c r="B390" s="1438" t="n"/>
      <c r="F390" s="1451" t="n"/>
    </row>
    <row r="391" ht="14.25" customHeight="1">
      <c r="A391" s="1473">
        <f>A390+1</f>
        <v/>
      </c>
      <c r="B391" s="1438" t="n"/>
      <c r="F391" s="1451" t="n"/>
    </row>
    <row r="392" ht="14.25" customHeight="1">
      <c r="A392" s="1473">
        <f>A391+1</f>
        <v/>
      </c>
      <c r="B392" s="1438" t="n"/>
      <c r="F392" s="1451" t="n"/>
    </row>
    <row r="393" ht="14.25" customHeight="1">
      <c r="A393" s="1473">
        <f>A392+1</f>
        <v/>
      </c>
      <c r="B393" s="1438" t="n"/>
      <c r="F393" s="1451" t="n"/>
    </row>
    <row r="394" ht="14.25" customHeight="1">
      <c r="A394" s="1473">
        <f>A393+1</f>
        <v/>
      </c>
      <c r="B394" s="1438" t="n"/>
      <c r="F394" s="1451" t="n"/>
    </row>
    <row r="395" ht="14.25" customHeight="1">
      <c r="A395" s="1473">
        <f>A394+1</f>
        <v/>
      </c>
      <c r="B395" s="1438" t="n"/>
      <c r="F395" s="1451" t="n"/>
    </row>
    <row r="396" ht="14.25" customHeight="1">
      <c r="A396" s="1473">
        <f>A395+1</f>
        <v/>
      </c>
      <c r="B396" s="1438" t="n"/>
      <c r="F396" s="1451" t="n"/>
    </row>
    <row r="397" ht="14.25" customHeight="1">
      <c r="A397" s="1473">
        <f>A396+1</f>
        <v/>
      </c>
      <c r="B397" s="1438" t="n"/>
      <c r="F397" s="1451" t="n"/>
    </row>
    <row r="398" ht="14.25" customHeight="1">
      <c r="A398" s="1473">
        <f>A397+1</f>
        <v/>
      </c>
      <c r="B398" s="1438" t="n"/>
      <c r="F398" s="1451" t="n"/>
    </row>
    <row r="399" ht="14.25" customHeight="1">
      <c r="A399" s="1473">
        <f>A398+1</f>
        <v/>
      </c>
      <c r="B399" s="1438" t="n"/>
      <c r="F399" s="1451" t="n"/>
    </row>
    <row r="400" ht="14.25" customHeight="1">
      <c r="A400" s="1473">
        <f>A399+1</f>
        <v/>
      </c>
      <c r="B400" s="1438" t="n"/>
      <c r="F400" s="1451" t="n"/>
    </row>
    <row r="401" ht="14.25" customHeight="1">
      <c r="A401" s="1473">
        <f>A400+1</f>
        <v/>
      </c>
      <c r="B401" s="1438" t="n"/>
      <c r="F401" s="1451" t="n"/>
    </row>
    <row r="402" ht="14.25" customHeight="1">
      <c r="A402" s="1473">
        <f>A401+1</f>
        <v/>
      </c>
      <c r="B402" s="1438" t="n"/>
      <c r="F402" s="1451" t="n"/>
    </row>
    <row r="403" ht="14.25" customHeight="1">
      <c r="A403" s="1473">
        <f>A402+1</f>
        <v/>
      </c>
      <c r="B403" s="1438" t="n"/>
      <c r="F403" s="1451" t="n"/>
    </row>
    <row r="404" ht="14.25" customHeight="1">
      <c r="A404" s="1473">
        <f>A403+1</f>
        <v/>
      </c>
      <c r="B404" s="1438" t="n"/>
      <c r="F404" s="1451" t="n"/>
    </row>
    <row r="405" ht="14.25" customHeight="1">
      <c r="A405" s="1473">
        <f>A404+1</f>
        <v/>
      </c>
      <c r="B405" s="1438" t="n"/>
      <c r="C405" s="168" t="inlineStr">
        <is>
          <t>XXX</t>
        </is>
      </c>
      <c r="E405" s="168" t="inlineStr">
        <is>
          <t>XXX</t>
        </is>
      </c>
      <c r="F405" s="1451" t="n"/>
    </row>
    <row r="406" ht="14.25" customHeight="1">
      <c r="A406" s="1473">
        <f>A405+1</f>
        <v/>
      </c>
      <c r="B406" s="1438" t="n"/>
      <c r="F406" s="1451" t="n"/>
    </row>
    <row r="407" ht="14.25" customHeight="1">
      <c r="A407" s="1473">
        <f>A406+1</f>
        <v/>
      </c>
      <c r="B407" s="1438" t="n"/>
      <c r="F407" s="1451" t="n"/>
    </row>
    <row r="408" ht="14.25" customHeight="1">
      <c r="A408" s="1473">
        <f>A407+1</f>
        <v/>
      </c>
      <c r="B408" s="1438" t="n"/>
      <c r="F408" s="1451" t="n"/>
    </row>
    <row r="409" ht="14.25" customHeight="1">
      <c r="A409" s="1473">
        <f>A408+1</f>
        <v/>
      </c>
      <c r="B409" s="1438" t="n"/>
      <c r="F409" s="1451" t="n"/>
    </row>
    <row r="410" ht="14.25" customHeight="1">
      <c r="A410" s="1473">
        <f>A409+1</f>
        <v/>
      </c>
      <c r="B410" s="1438" t="n"/>
      <c r="F410" s="1451" t="n"/>
    </row>
    <row r="411" ht="14.25" customHeight="1">
      <c r="A411" s="1473">
        <f>A410+1</f>
        <v/>
      </c>
      <c r="B411" s="1438" t="n"/>
      <c r="F411" s="1451" t="n"/>
    </row>
    <row r="412" ht="14.25" customHeight="1">
      <c r="A412" s="1473">
        <f>A411+1</f>
        <v/>
      </c>
      <c r="B412" s="1438" t="n"/>
      <c r="F412" s="1451" t="n"/>
    </row>
    <row r="413" ht="14.25" customHeight="1">
      <c r="A413" s="1473">
        <f>A412+1</f>
        <v/>
      </c>
      <c r="B413" s="1438" t="n"/>
      <c r="F413" s="1451" t="n"/>
    </row>
    <row r="414" ht="14.25" customHeight="1">
      <c r="A414" s="1473">
        <f>A413+1</f>
        <v/>
      </c>
      <c r="B414" s="1438" t="n"/>
      <c r="F414" s="1451" t="n"/>
    </row>
    <row r="415" ht="14.25" customHeight="1">
      <c r="A415" s="1473">
        <f>A414+1</f>
        <v/>
      </c>
      <c r="B415" s="1438" t="n"/>
      <c r="F415" s="1451" t="n"/>
    </row>
    <row r="416" ht="14.25" customHeight="1">
      <c r="A416" s="1473">
        <f>A415+1</f>
        <v/>
      </c>
      <c r="B416" s="1438" t="n"/>
      <c r="F416" s="1451" t="n"/>
    </row>
    <row r="417" ht="14.25" customHeight="1">
      <c r="A417" s="1473">
        <f>A416+1</f>
        <v/>
      </c>
      <c r="B417" s="1438" t="n"/>
      <c r="F417" s="1451" t="n"/>
    </row>
    <row r="418" ht="14.25" customHeight="1">
      <c r="A418" s="1473">
        <f>A417+1</f>
        <v/>
      </c>
      <c r="B418" s="1438" t="n"/>
      <c r="F418" s="1451" t="n"/>
    </row>
    <row r="419" ht="14.25" customHeight="1">
      <c r="A419" s="1473">
        <f>A418+1</f>
        <v/>
      </c>
      <c r="B419" s="1438" t="n"/>
      <c r="F419" s="1451" t="n"/>
    </row>
    <row r="420" ht="14.25" customHeight="1">
      <c r="A420" s="1473">
        <f>A419+1</f>
        <v/>
      </c>
      <c r="B420" s="1438" t="n"/>
      <c r="F420" s="1451" t="n"/>
    </row>
    <row r="421" ht="14.25" customHeight="1">
      <c r="A421" s="1473">
        <f>A420+1</f>
        <v/>
      </c>
      <c r="B421" s="1438" t="n"/>
      <c r="F421" s="1451" t="n"/>
    </row>
    <row r="422" ht="14.25" customHeight="1">
      <c r="A422" s="1473">
        <f>A421+1</f>
        <v/>
      </c>
      <c r="B422" s="1438" t="n"/>
      <c r="F422" s="1451" t="n"/>
    </row>
    <row r="423" ht="14.25" customHeight="1">
      <c r="A423" s="1473">
        <f>A422+1</f>
        <v/>
      </c>
      <c r="B423" s="1439" t="n"/>
      <c r="C423" s="1440" t="n"/>
      <c r="D423" s="1440" t="n"/>
      <c r="E423" s="1440" t="n"/>
      <c r="F423" s="1456" t="n"/>
    </row>
    <row r="424" ht="14.25" customHeight="1"/>
    <row r="425" ht="14.25" customHeight="1">
      <c r="A425" s="1402" t="inlineStr">
        <is>
          <t>Page 15: DCF Valuation</t>
        </is>
      </c>
    </row>
    <row r="426" ht="14.25" customHeight="1"/>
    <row r="427" ht="14.25" customHeight="1">
      <c r="A427" s="1473" t="n">
        <v>1</v>
      </c>
      <c r="B427" s="1463" t="n"/>
      <c r="C427" s="1437" t="n"/>
      <c r="D427" s="1437" t="n"/>
      <c r="E427" s="1437" t="n"/>
      <c r="F427" s="1450" t="n"/>
    </row>
    <row r="428" ht="51" customHeight="1">
      <c r="A428" s="1473" t="n">
        <v>2</v>
      </c>
      <c r="B428" s="1438" t="n"/>
      <c r="C428" s="1460" t="inlineStr">
        <is>
          <t>DCF Valuation</t>
        </is>
      </c>
      <c r="F428" s="1451" t="n"/>
    </row>
    <row r="429" ht="14.25" customHeight="1">
      <c r="A429" s="1473" t="n">
        <v>3</v>
      </c>
      <c r="B429" s="1438" t="n"/>
      <c r="F429" s="1451" t="n"/>
    </row>
    <row r="430" ht="14.25" customHeight="1">
      <c r="A430" s="1473" t="n">
        <v>4</v>
      </c>
      <c r="B430" s="1438" t="n"/>
      <c r="F430" s="1451" t="n"/>
    </row>
    <row r="431" ht="14.25" customHeight="1">
      <c r="A431" s="1473" t="n">
        <v>5</v>
      </c>
      <c r="B431" s="1438" t="n"/>
      <c r="C431" s="1469" t="inlineStr">
        <is>
          <t>Management Case</t>
        </is>
      </c>
      <c r="D431" s="1466" t="n"/>
      <c r="E431" s="1470" t="inlineStr">
        <is>
          <t>Valify Case</t>
        </is>
      </c>
      <c r="F431" s="1451" t="n"/>
    </row>
    <row r="432" ht="14.25" customHeight="1">
      <c r="A432" s="1473" t="n">
        <v>6</v>
      </c>
      <c r="B432" s="1438" t="n"/>
      <c r="F432" s="1451" t="n"/>
    </row>
    <row r="433" ht="14.25" customHeight="1">
      <c r="A433" s="1473">
        <f>A432+1</f>
        <v/>
      </c>
      <c r="B433" s="1438" t="n"/>
      <c r="F433" s="1451" t="n"/>
    </row>
    <row r="434" ht="14.25" customHeight="1">
      <c r="A434" s="1473">
        <f>A433+1</f>
        <v/>
      </c>
      <c r="B434" s="1438" t="n"/>
      <c r="F434" s="1451" t="n"/>
    </row>
    <row r="435" ht="14.25" customHeight="1">
      <c r="A435" s="1473">
        <f>A434+1</f>
        <v/>
      </c>
      <c r="B435" s="1438" t="n"/>
      <c r="F435" s="1451" t="n"/>
    </row>
    <row r="436" ht="14.25" customHeight="1">
      <c r="A436" s="1473">
        <f>A435+1</f>
        <v/>
      </c>
      <c r="B436" s="1438" t="n"/>
      <c r="F436" s="1451" t="n"/>
    </row>
    <row r="437" ht="14.25" customHeight="1">
      <c r="A437" s="1473">
        <f>A436+1</f>
        <v/>
      </c>
      <c r="B437" s="1438" t="n"/>
      <c r="F437" s="1451" t="n"/>
    </row>
    <row r="438" ht="14.25" customHeight="1">
      <c r="A438" s="1473">
        <f>A437+1</f>
        <v/>
      </c>
      <c r="B438" s="1438" t="n"/>
      <c r="F438" s="1451" t="n"/>
    </row>
    <row r="439" ht="14.25" customHeight="1">
      <c r="A439" s="1473">
        <f>A438+1</f>
        <v/>
      </c>
      <c r="B439" s="1438" t="n"/>
      <c r="F439" s="1451" t="n"/>
    </row>
    <row r="440" ht="14.25" customHeight="1">
      <c r="A440" s="1473">
        <f>A439+1</f>
        <v/>
      </c>
      <c r="B440" s="1438" t="n"/>
      <c r="F440" s="1451" t="n"/>
    </row>
    <row r="441" ht="14.25" customHeight="1">
      <c r="A441" s="1473">
        <f>A440+1</f>
        <v/>
      </c>
      <c r="B441" s="1438" t="n"/>
      <c r="F441" s="1451" t="n"/>
    </row>
    <row r="442" ht="14.25" customHeight="1">
      <c r="A442" s="1473">
        <f>A441+1</f>
        <v/>
      </c>
      <c r="B442" s="1438" t="n"/>
      <c r="F442" s="1451" t="n"/>
    </row>
    <row r="443" ht="14.25" customHeight="1">
      <c r="A443" s="1473">
        <f>A442+1</f>
        <v/>
      </c>
      <c r="B443" s="1438" t="n"/>
      <c r="F443" s="1451" t="n"/>
    </row>
    <row r="444" ht="14.25" customHeight="1">
      <c r="A444" s="1473">
        <f>A443+1</f>
        <v/>
      </c>
      <c r="B444" s="1438" t="n"/>
      <c r="F444" s="1451" t="n"/>
    </row>
    <row r="445" ht="14.25" customHeight="1">
      <c r="A445" s="1473">
        <f>A444+1</f>
        <v/>
      </c>
      <c r="B445" s="1438" t="n"/>
      <c r="F445" s="1451" t="n"/>
    </row>
    <row r="446" ht="14.25" customHeight="1">
      <c r="A446" s="1473">
        <f>A445+1</f>
        <v/>
      </c>
      <c r="B446" s="1438" t="n"/>
      <c r="F446" s="1451" t="n"/>
    </row>
    <row r="447" ht="14.25" customHeight="1">
      <c r="A447" s="1473">
        <f>A446+1</f>
        <v/>
      </c>
      <c r="B447" s="1438" t="n"/>
      <c r="F447" s="1451" t="n"/>
    </row>
    <row r="448" ht="14.25" customHeight="1">
      <c r="A448" s="1473">
        <f>A447+1</f>
        <v/>
      </c>
      <c r="B448" s="1438" t="n"/>
      <c r="F448" s="1451" t="n"/>
    </row>
    <row r="449" ht="14.25" customHeight="1">
      <c r="A449" s="1473">
        <f>A448+1</f>
        <v/>
      </c>
      <c r="B449" s="1438" t="n"/>
      <c r="F449" s="1451" t="n"/>
    </row>
    <row r="450" ht="14.25" customHeight="1">
      <c r="A450" s="1473">
        <f>A449+1</f>
        <v/>
      </c>
      <c r="B450" s="1438" t="n"/>
      <c r="F450" s="1451" t="n"/>
    </row>
    <row r="451" ht="14.25" customHeight="1">
      <c r="A451" s="1473">
        <f>A450+1</f>
        <v/>
      </c>
      <c r="B451" s="1438" t="n"/>
      <c r="F451" s="1451" t="n"/>
    </row>
    <row r="452" ht="14.25" customHeight="1">
      <c r="A452" s="1473">
        <f>A451+1</f>
        <v/>
      </c>
      <c r="B452" s="1438" t="n"/>
      <c r="C452" s="168" t="inlineStr">
        <is>
          <t>XXX</t>
        </is>
      </c>
      <c r="E452" s="168" t="inlineStr">
        <is>
          <t>XXX</t>
        </is>
      </c>
      <c r="F452" s="1451" t="n"/>
    </row>
    <row r="453" ht="14.25" customHeight="1">
      <c r="A453" s="1473">
        <f>A452+1</f>
        <v/>
      </c>
      <c r="B453" s="1438" t="n"/>
      <c r="F453" s="1451" t="n"/>
    </row>
    <row r="454" ht="14.25" customHeight="1">
      <c r="A454" s="1473">
        <f>A453+1</f>
        <v/>
      </c>
      <c r="B454" s="1438" t="n"/>
      <c r="F454" s="1451" t="n"/>
    </row>
    <row r="455" ht="14.25" customHeight="1">
      <c r="A455" s="1473">
        <f>A454+1</f>
        <v/>
      </c>
      <c r="B455" s="1438" t="n"/>
      <c r="F455" s="1451" t="n"/>
    </row>
    <row r="456" ht="14.25" customHeight="1">
      <c r="A456" s="1473">
        <f>A455+1</f>
        <v/>
      </c>
      <c r="B456" s="1438" t="n"/>
      <c r="F456" s="1451" t="n"/>
    </row>
    <row r="457" ht="14.25" customHeight="1">
      <c r="A457" s="1473">
        <f>A456+1</f>
        <v/>
      </c>
      <c r="B457" s="1438" t="n"/>
      <c r="F457" s="1451" t="n"/>
    </row>
    <row r="458" ht="14.25" customHeight="1">
      <c r="A458" s="1473">
        <f>A457+1</f>
        <v/>
      </c>
      <c r="B458" s="1438" t="n"/>
      <c r="F458" s="1451" t="n"/>
    </row>
    <row r="459" ht="14.25" customHeight="1">
      <c r="A459" s="1473">
        <f>A458+1</f>
        <v/>
      </c>
      <c r="B459" s="1438" t="n"/>
      <c r="F459" s="1451" t="n"/>
    </row>
    <row r="460" ht="14.25" customHeight="1">
      <c r="A460" s="1473">
        <f>A459+1</f>
        <v/>
      </c>
      <c r="B460" s="1438" t="n"/>
      <c r="F460" s="1451" t="n"/>
    </row>
    <row r="461" ht="14.25" customHeight="1">
      <c r="A461" s="1473">
        <f>A460+1</f>
        <v/>
      </c>
      <c r="B461" s="1438" t="n"/>
      <c r="F461" s="1451" t="n"/>
    </row>
    <row r="462" ht="14.25" customHeight="1">
      <c r="A462" s="1473">
        <f>A461+1</f>
        <v/>
      </c>
      <c r="B462" s="1438" t="n"/>
      <c r="F462" s="1451" t="n"/>
    </row>
    <row r="463" ht="14.25" customHeight="1">
      <c r="A463" s="1473">
        <f>A462+1</f>
        <v/>
      </c>
      <c r="B463" s="1438" t="n"/>
      <c r="F463" s="1451" t="n"/>
    </row>
    <row r="464" ht="14.25" customHeight="1">
      <c r="A464" s="1473">
        <f>A463+1</f>
        <v/>
      </c>
      <c r="B464" s="1438" t="n"/>
      <c r="F464" s="1451" t="n"/>
    </row>
    <row r="465" ht="14.25" customHeight="1">
      <c r="A465" s="1473">
        <f>A464+1</f>
        <v/>
      </c>
      <c r="B465" s="1438" t="n"/>
      <c r="F465" s="1451" t="n"/>
    </row>
    <row r="466" ht="14.25" customHeight="1">
      <c r="A466" s="1473">
        <f>A465+1</f>
        <v/>
      </c>
      <c r="B466" s="1438" t="n"/>
      <c r="F466" s="1451" t="n"/>
    </row>
    <row r="467" ht="14.25" customHeight="1">
      <c r="A467" s="1473">
        <f>A466+1</f>
        <v/>
      </c>
      <c r="B467" s="1438" t="n"/>
      <c r="F467" s="1451" t="n"/>
    </row>
    <row r="468" ht="14.25" customHeight="1">
      <c r="A468" s="1473">
        <f>A467+1</f>
        <v/>
      </c>
      <c r="B468" s="1438" t="n"/>
      <c r="F468" s="1451" t="n"/>
    </row>
    <row r="469" ht="14.25" customHeight="1">
      <c r="A469" s="1473">
        <f>A468+1</f>
        <v/>
      </c>
      <c r="B469" s="1438" t="n"/>
      <c r="F469" s="1451" t="n"/>
    </row>
    <row r="470" ht="14.25" customHeight="1">
      <c r="A470" s="1473">
        <f>A469+1</f>
        <v/>
      </c>
      <c r="B470" s="1439" t="n"/>
      <c r="C470" s="1440" t="n"/>
      <c r="D470" s="1440" t="n"/>
      <c r="E470" s="1440" t="n"/>
      <c r="F470" s="1456" t="n"/>
    </row>
    <row r="471" ht="14.25" customHeight="1"/>
    <row r="472" ht="14.25" customHeight="1">
      <c r="A472" s="1402" t="inlineStr">
        <is>
          <t>Page 16: DCF Valuation</t>
        </is>
      </c>
    </row>
    <row r="473" ht="14.25" customHeight="1"/>
    <row r="474" ht="14.25" customHeight="1">
      <c r="A474" s="1473" t="n">
        <v>1</v>
      </c>
      <c r="B474" s="1463" t="n"/>
      <c r="C474" s="1437" t="n"/>
      <c r="D474" s="1437" t="n"/>
      <c r="E474" s="1437" t="n"/>
      <c r="F474" s="1450" t="n"/>
    </row>
    <row r="475" ht="51" customHeight="1">
      <c r="A475" s="1473" t="n">
        <v>2</v>
      </c>
      <c r="B475" s="1438" t="n"/>
      <c r="C475" s="1460" t="inlineStr">
        <is>
          <t>Valuation Conclusion</t>
        </is>
      </c>
      <c r="F475" s="1451" t="n"/>
    </row>
    <row r="476" ht="14.25" customHeight="1">
      <c r="A476" s="1473" t="n">
        <v>3</v>
      </c>
      <c r="B476" s="1438" t="n"/>
      <c r="F476" s="1451" t="n"/>
    </row>
    <row r="477" ht="14.25" customHeight="1">
      <c r="A477" s="1473" t="n">
        <v>4</v>
      </c>
      <c r="B477" s="1438" t="n"/>
      <c r="F477" s="1451" t="n"/>
    </row>
    <row r="478" ht="14.25" customHeight="1">
      <c r="A478" s="1473" t="n">
        <v>5</v>
      </c>
      <c r="B478" s="1438" t="n"/>
      <c r="F478" s="1451" t="n"/>
    </row>
    <row r="479" ht="14.25" customHeight="1">
      <c r="A479" s="1473" t="n">
        <v>6</v>
      </c>
      <c r="B479" s="1438" t="n"/>
      <c r="F479" s="1451" t="n"/>
    </row>
    <row r="480" ht="14.25" customHeight="1">
      <c r="A480" s="1473">
        <f>A479+1</f>
        <v/>
      </c>
      <c r="B480" s="1438" t="n"/>
      <c r="F480" s="1451" t="n"/>
    </row>
    <row r="481" ht="14.25" customHeight="1">
      <c r="A481" s="1473">
        <f>A480+1</f>
        <v/>
      </c>
      <c r="B481" s="1438" t="n"/>
      <c r="F481" s="1451" t="n"/>
    </row>
    <row r="482" ht="14.25" customHeight="1">
      <c r="A482" s="1473">
        <f>A481+1</f>
        <v/>
      </c>
      <c r="B482" s="1438" t="n"/>
      <c r="F482" s="1451" t="n"/>
    </row>
    <row r="483" ht="14.25" customHeight="1">
      <c r="A483" s="1473">
        <f>A482+1</f>
        <v/>
      </c>
      <c r="B483" s="1438" t="n"/>
      <c r="F483" s="1451" t="n"/>
    </row>
    <row r="484" ht="14.25" customHeight="1">
      <c r="A484" s="1473">
        <f>A483+1</f>
        <v/>
      </c>
      <c r="B484" s="1438" t="n"/>
      <c r="F484" s="1451" t="n"/>
    </row>
    <row r="485" ht="14.25" customHeight="1">
      <c r="A485" s="1473">
        <f>A484+1</f>
        <v/>
      </c>
      <c r="B485" s="1438" t="n"/>
      <c r="F485" s="1451" t="n"/>
    </row>
    <row r="486" ht="14.25" customHeight="1">
      <c r="A486" s="1473">
        <f>A485+1</f>
        <v/>
      </c>
      <c r="B486" s="1438" t="n"/>
      <c r="F486" s="1451" t="n"/>
    </row>
    <row r="487" ht="14.25" customHeight="1">
      <c r="A487" s="1473">
        <f>A486+1</f>
        <v/>
      </c>
      <c r="B487" s="1438" t="n"/>
      <c r="F487" s="1451" t="n"/>
    </row>
    <row r="488" ht="14.25" customHeight="1">
      <c r="A488" s="1473">
        <f>A487+1</f>
        <v/>
      </c>
      <c r="B488" s="1438" t="n"/>
      <c r="F488" s="1451" t="n"/>
    </row>
    <row r="489" ht="14.25" customHeight="1">
      <c r="A489" s="1473">
        <f>A488+1</f>
        <v/>
      </c>
      <c r="B489" s="1438" t="n"/>
      <c r="F489" s="1451" t="n"/>
    </row>
    <row r="490" ht="14.25" customHeight="1">
      <c r="A490" s="1473">
        <f>A489+1</f>
        <v/>
      </c>
      <c r="B490" s="1438" t="n"/>
      <c r="C490" s="1474" t="inlineStr">
        <is>
          <t>Valuation Conclusion</t>
        </is>
      </c>
      <c r="F490" s="1451" t="n"/>
    </row>
    <row r="491" ht="14.25" customHeight="1">
      <c r="A491" s="1473">
        <f>A490+1</f>
        <v/>
      </c>
      <c r="B491" s="1438" t="n"/>
      <c r="C491" s="168" t="inlineStr">
        <is>
          <t>XXX</t>
        </is>
      </c>
      <c r="F491" s="1451" t="n"/>
    </row>
    <row r="492" ht="14.25" customHeight="1">
      <c r="A492" s="1473">
        <f>A491+1</f>
        <v/>
      </c>
      <c r="B492" s="1438" t="n"/>
      <c r="F492" s="1451" t="n"/>
    </row>
    <row r="493" ht="14.25" customHeight="1">
      <c r="A493" s="1473">
        <f>A492+1</f>
        <v/>
      </c>
      <c r="B493" s="1438" t="n"/>
      <c r="F493" s="1451" t="n"/>
    </row>
    <row r="494" ht="14.25" customHeight="1">
      <c r="A494" s="1473">
        <f>A493+1</f>
        <v/>
      </c>
      <c r="B494" s="1438" t="n"/>
      <c r="F494" s="1451" t="n"/>
    </row>
    <row r="495" ht="14.25" customHeight="1">
      <c r="A495" s="1473">
        <f>A494+1</f>
        <v/>
      </c>
      <c r="B495" s="1438" t="n"/>
      <c r="F495" s="1451" t="n"/>
    </row>
    <row r="496" ht="14.25" customHeight="1">
      <c r="A496" s="1473">
        <f>A495+1</f>
        <v/>
      </c>
      <c r="B496" s="1438" t="n"/>
      <c r="F496" s="1451" t="n"/>
    </row>
    <row r="497" ht="14.25" customHeight="1">
      <c r="A497" s="1473">
        <f>A496+1</f>
        <v/>
      </c>
      <c r="B497" s="1438" t="n"/>
      <c r="F497" s="1451" t="n"/>
    </row>
    <row r="498" ht="14.25" customHeight="1">
      <c r="A498" s="1473">
        <f>A497+1</f>
        <v/>
      </c>
      <c r="B498" s="1438" t="n"/>
      <c r="F498" s="1451" t="n"/>
    </row>
    <row r="499" ht="14.25" customHeight="1">
      <c r="A499" s="1473">
        <f>A498+1</f>
        <v/>
      </c>
      <c r="B499" s="1438" t="n"/>
      <c r="F499" s="1451" t="n"/>
    </row>
    <row r="500" ht="14.25" customHeight="1">
      <c r="A500" s="1473">
        <f>A499+1</f>
        <v/>
      </c>
      <c r="B500" s="1438" t="n"/>
      <c r="F500" s="1451" t="n"/>
    </row>
    <row r="501" ht="14.25" customHeight="1">
      <c r="A501" s="1473">
        <f>A500+1</f>
        <v/>
      </c>
      <c r="B501" s="1438" t="n"/>
      <c r="F501" s="1451" t="n"/>
    </row>
    <row r="502" ht="14.25" customHeight="1">
      <c r="A502" s="1473">
        <f>A501+1</f>
        <v/>
      </c>
      <c r="B502" s="1438" t="n"/>
      <c r="F502" s="1451" t="n"/>
    </row>
    <row r="503" ht="14.25" customHeight="1">
      <c r="A503" s="1473">
        <f>A502+1</f>
        <v/>
      </c>
      <c r="B503" s="1438" t="n"/>
      <c r="F503" s="1451" t="n"/>
    </row>
    <row r="504" ht="14.25" customHeight="1">
      <c r="A504" s="1473">
        <f>A503+1</f>
        <v/>
      </c>
      <c r="B504" s="1438" t="n"/>
      <c r="F504" s="1451" t="n"/>
    </row>
    <row r="505" ht="14.25" customHeight="1">
      <c r="A505" s="1473">
        <f>A504+1</f>
        <v/>
      </c>
      <c r="B505" s="1438" t="n"/>
      <c r="F505" s="1451" t="n"/>
    </row>
    <row r="506" ht="14.25" customHeight="1">
      <c r="A506" s="1473">
        <f>A505+1</f>
        <v/>
      </c>
      <c r="B506" s="1438" t="n"/>
      <c r="F506" s="1451" t="n"/>
    </row>
    <row r="507" ht="14.25" customHeight="1">
      <c r="A507" s="1473">
        <f>A506+1</f>
        <v/>
      </c>
      <c r="B507" s="1438" t="n"/>
      <c r="F507" s="1451" t="n"/>
    </row>
    <row r="508" ht="14.25" customHeight="1">
      <c r="A508" s="1473">
        <f>A507+1</f>
        <v/>
      </c>
      <c r="B508" s="1438" t="n"/>
      <c r="F508" s="1451" t="n"/>
    </row>
    <row r="509" ht="14.25" customHeight="1">
      <c r="A509" s="1473">
        <f>A508+1</f>
        <v/>
      </c>
      <c r="B509" s="1438" t="n"/>
      <c r="F509" s="1451" t="n"/>
    </row>
    <row r="510" ht="14.25" customHeight="1">
      <c r="A510" s="1473">
        <f>A509+1</f>
        <v/>
      </c>
      <c r="B510" s="1438" t="n"/>
      <c r="F510" s="1451" t="n"/>
    </row>
    <row r="511" ht="14.25" customHeight="1">
      <c r="A511" s="1473">
        <f>A510+1</f>
        <v/>
      </c>
      <c r="B511" s="1438" t="n"/>
      <c r="F511" s="1451" t="n"/>
    </row>
    <row r="512" ht="13.75" customHeight="1">
      <c r="A512" s="1473">
        <f>A511+1</f>
        <v/>
      </c>
      <c r="B512" s="1438" t="n"/>
      <c r="F512" s="1451" t="n"/>
    </row>
    <row r="513" ht="13.75" customHeight="1">
      <c r="A513" s="1473">
        <f>A512+1</f>
        <v/>
      </c>
      <c r="B513" s="1438" t="n"/>
      <c r="F513" s="1451" t="n"/>
    </row>
    <row r="514" ht="13.75" customHeight="1">
      <c r="A514" s="1473">
        <f>A513+1</f>
        <v/>
      </c>
      <c r="B514" s="1438" t="n"/>
      <c r="F514" s="1451" t="n"/>
    </row>
    <row r="515" ht="13.75" customHeight="1">
      <c r="A515" s="1473">
        <f>A514+1</f>
        <v/>
      </c>
      <c r="B515" s="1438" t="n"/>
      <c r="F515" s="1451" t="n"/>
    </row>
    <row r="516" ht="13.75" customHeight="1">
      <c r="A516" s="1473">
        <f>A515+1</f>
        <v/>
      </c>
      <c r="B516" s="1438" t="n"/>
      <c r="F516" s="1451" t="n"/>
    </row>
    <row r="517" ht="14.25" customHeight="1">
      <c r="A517" s="1473">
        <f>A516+1</f>
        <v/>
      </c>
      <c r="B517" s="1439" t="n"/>
      <c r="C517" s="1440" t="n"/>
      <c r="D517" s="1440" t="n"/>
      <c r="E517" s="1440" t="n"/>
      <c r="F517" s="1456" t="n"/>
    </row>
  </sheetData>
  <mergeCells count="1">
    <mergeCell ref="C246:E246"/>
  </mergeCells>
  <pageMargins left="0.07874015748031496" right="0.03937007874015748" top="0.2362204724409449" bottom="0.1181102362204725" header="0.1968503937007874" footer="0.1968503937007874"/>
  <pageSetup orientation="landscape" paperSize="9" scale="88"/>
  <rowBreaks count="3" manualBreakCount="3">
    <brk id="47" min="0" max="16383" man="1"/>
    <brk id="94" min="0" max="16383" man="1"/>
    <brk id="141" min="0" max="16383" man="1"/>
  </rowBreaks>
  <drawing xmlns:r="http://schemas.openxmlformats.org/officeDocument/2006/relationships" r:id="rId1"/>
  <legacyDrawing xmlns:r="http://schemas.openxmlformats.org/officeDocument/2006/relationships" r:id="anysvml"/>
</worksheet>
</file>

<file path=xl/worksheets/sheet12.xml><?xml version="1.0" encoding="utf-8"?>
<worksheet xmlns="http://schemas.openxmlformats.org/spreadsheetml/2006/main">
  <sheetPr>
    <outlinePr summaryBelow="1" summaryRight="1"/>
    <pageSetUpPr/>
  </sheetPr>
  <dimension ref="B2:X33"/>
  <sheetViews>
    <sheetView showGridLines="0" workbookViewId="0">
      <selection activeCell="C6" sqref="C6"/>
    </sheetView>
  </sheetViews>
  <sheetFormatPr baseColWidth="8" defaultColWidth="0" defaultRowHeight="12.5"/>
  <cols>
    <col width="3" customWidth="1" style="27" min="1" max="1"/>
    <col width="2.84375" customWidth="1" style="27" min="2" max="2"/>
    <col width="47.53515625" customWidth="1" style="27" min="3" max="3"/>
    <col width="10.15234375" customWidth="1" style="27" min="4" max="5"/>
    <col width="2.84375" customWidth="1" style="27" min="6" max="6"/>
    <col width="3.4609375" customWidth="1" style="27" min="7" max="7"/>
    <col width="5.84375" customWidth="1" style="27" min="8" max="9"/>
    <col width="8.84375" bestFit="1" customWidth="1" style="27" min="10" max="14"/>
    <col hidden="1" width="25.84375" customWidth="1" style="27" min="15" max="15"/>
    <col hidden="1" style="27" min="16" max="24"/>
    <col hidden="1" width="8.84375" customWidth="1" style="27" min="25" max="16384"/>
  </cols>
  <sheetData>
    <row r="1" customFormat="1" s="4"/>
    <row r="2" customFormat="1" s="6">
      <c r="B2" s="38" t="inlineStr">
        <is>
          <t>Grant Thornton - UAE Valuation Services</t>
        </is>
      </c>
      <c r="C2" s="35" t="n"/>
      <c r="D2" s="35" t="n"/>
      <c r="E2" s="35" t="n"/>
      <c r="F2" s="5" t="inlineStr">
        <is>
          <t>Internal Schedule</t>
        </is>
      </c>
    </row>
    <row r="3" customFormat="1" s="6">
      <c r="B3" s="39" t="inlineStr">
        <is>
          <t>Sample Client Company - Valuation of Sample Target Ltd as at December 31, 2022</t>
        </is>
      </c>
      <c r="C3" s="37" t="n"/>
      <c r="D3" s="37" t="n"/>
      <c r="E3" s="37" t="n"/>
      <c r="F3" s="7" t="inlineStr">
        <is>
          <t>DRAFT Analysis; Subject to Change</t>
        </is>
      </c>
    </row>
    <row r="4" customFormat="1" s="6">
      <c r="B4" s="40" t="inlineStr">
        <is>
          <t>Valuation Summary</t>
        </is>
      </c>
      <c r="C4" s="36" t="n"/>
      <c r="D4" s="36" t="n"/>
      <c r="E4" s="36" t="n"/>
      <c r="F4" s="8" t="inlineStr">
        <is>
          <t>Valuation Date:  December 31, 2019</t>
        </is>
      </c>
    </row>
    <row r="5" ht="15.5" customFormat="1" customHeight="1" s="6">
      <c r="B5" s="9" t="n"/>
      <c r="C5" s="9" t="n"/>
      <c r="D5" s="9" t="n"/>
      <c r="E5" s="9" t="n"/>
      <c r="F5" s="9" t="n"/>
    </row>
    <row r="6" ht="15.5" customFormat="1" customHeight="1" s="6">
      <c r="B6" s="9" t="n"/>
      <c r="C6" s="41">
        <f>client.name.long&amp;"- Indicative enterprise valuation range"</f>
        <v/>
      </c>
      <c r="D6" s="10" t="n"/>
      <c r="E6" s="11" t="n"/>
      <c r="F6" s="9" t="n"/>
      <c r="O6" s="12" t="n"/>
      <c r="P6" s="12" t="n"/>
      <c r="Q6" s="12" t="n"/>
      <c r="R6" s="12" t="n"/>
      <c r="S6" s="12" t="n"/>
      <c r="T6" s="12" t="n"/>
      <c r="U6" s="12" t="n"/>
      <c r="V6" s="13" t="n"/>
      <c r="W6" s="13" t="n"/>
      <c r="X6" s="13" t="n"/>
    </row>
    <row r="7" ht="15.5" customFormat="1" customHeight="1" s="6">
      <c r="B7" s="9" t="n"/>
      <c r="C7" s="42" t="inlineStr">
        <is>
          <t>AED '000s</t>
        </is>
      </c>
      <c r="D7" s="1944" t="inlineStr">
        <is>
          <t>Low</t>
        </is>
      </c>
      <c r="E7" s="1944" t="inlineStr">
        <is>
          <t>High</t>
        </is>
      </c>
      <c r="F7" s="9" t="n"/>
      <c r="O7" s="13" t="n"/>
      <c r="P7" s="14" t="n"/>
      <c r="Q7" s="14" t="n"/>
      <c r="R7" s="14" t="n"/>
      <c r="S7" s="14" t="n"/>
      <c r="T7" s="12" t="n"/>
      <c r="U7" s="12" t="n"/>
      <c r="V7" s="13" t="n"/>
      <c r="W7" s="13" t="n"/>
      <c r="X7" s="13" t="n"/>
    </row>
    <row r="8" ht="15.5" customFormat="1" customHeight="1" s="6">
      <c r="B8" s="9" t="n"/>
      <c r="C8" s="1945" t="inlineStr">
        <is>
          <t>Enterprise value</t>
        </is>
      </c>
      <c r="D8" s="1946" t="n"/>
      <c r="E8" s="1946" t="n"/>
      <c r="F8" s="9" t="n"/>
      <c r="I8" s="1947" t="n"/>
      <c r="J8" s="1947" t="n"/>
      <c r="O8" s="1948" t="n"/>
      <c r="P8" s="1948" t="n"/>
      <c r="Q8" s="1948" t="n"/>
      <c r="R8" s="1948" t="n"/>
      <c r="S8" s="1948" t="n"/>
      <c r="T8" s="12" t="n"/>
      <c r="U8" s="12" t="n"/>
      <c r="V8" s="13" t="n"/>
      <c r="W8" s="13" t="n"/>
      <c r="X8" s="13" t="n"/>
    </row>
    <row r="9" ht="15.5" customFormat="1" customHeight="1" s="6">
      <c r="B9" s="9" t="n"/>
      <c r="C9" s="1949" t="inlineStr">
        <is>
          <t>Discounted Cash Flow analysis</t>
        </is>
      </c>
      <c r="D9" s="1950">
        <f>DCF!L31</f>
        <v/>
      </c>
      <c r="E9" s="1950">
        <f>DCF!M31</f>
        <v/>
      </c>
      <c r="F9" s="1951" t="n">
        <v>50</v>
      </c>
      <c r="I9" s="1947" t="n"/>
      <c r="J9" s="1947" t="n"/>
      <c r="O9" s="1948" t="n"/>
      <c r="P9" s="1948" t="n"/>
      <c r="Q9" s="1948" t="n"/>
      <c r="R9" s="1948" t="n"/>
      <c r="S9" s="1948" t="n"/>
      <c r="T9" s="12" t="n"/>
      <c r="U9" s="12" t="n"/>
      <c r="V9" s="13" t="n"/>
      <c r="W9" s="13" t="n"/>
      <c r="X9" s="13" t="n"/>
    </row>
    <row r="10" ht="15.5" customFormat="1" customHeight="1" s="6">
      <c r="B10" s="9" t="n"/>
      <c r="C10" s="1949" t="inlineStr">
        <is>
          <t>Guideline Public Company Method</t>
        </is>
      </c>
      <c r="D10" s="1950">
        <f>DCF!K52</f>
        <v/>
      </c>
      <c r="E10" s="1950">
        <f>DCF!M52</f>
        <v/>
      </c>
      <c r="F10" s="1951" t="n">
        <v>70</v>
      </c>
      <c r="O10" s="1948" t="n"/>
      <c r="P10" s="1948" t="n"/>
      <c r="Q10" s="1948" t="n"/>
      <c r="R10" s="1948" t="n"/>
      <c r="S10" s="1948" t="n"/>
      <c r="T10" s="12" t="n"/>
      <c r="U10" s="12" t="n"/>
      <c r="V10" s="13" t="n"/>
      <c r="W10" s="13" t="n"/>
      <c r="X10" s="13" t="n"/>
    </row>
    <row r="11" ht="15.5" customFormat="1" customHeight="1" s="6">
      <c r="B11" s="9" t="n"/>
      <c r="C11" s="1949" t="inlineStr">
        <is>
          <t>Guideline Transaction Method</t>
        </is>
      </c>
      <c r="D11" s="1950" t="n"/>
      <c r="E11" s="1950" t="n"/>
      <c r="F11" s="1951" t="n">
        <v>30</v>
      </c>
      <c r="O11" s="1948" t="n"/>
      <c r="P11" s="1948" t="n"/>
      <c r="Q11" s="1948" t="n"/>
      <c r="R11" s="1948" t="n"/>
      <c r="S11" s="1948" t="n"/>
      <c r="T11" s="12" t="n"/>
      <c r="U11" s="12" t="n"/>
      <c r="V11" s="13" t="n"/>
      <c r="W11" s="13" t="n"/>
      <c r="X11" s="13" t="n"/>
    </row>
    <row r="12" ht="15.5" customFormat="1" customHeight="1" s="6">
      <c r="B12" s="9" t="n"/>
      <c r="C12" s="1952" t="inlineStr">
        <is>
          <t>Concluded value range</t>
        </is>
      </c>
      <c r="D12" s="1953" t="n"/>
      <c r="E12" s="1953" t="n"/>
      <c r="F12" s="1951" t="n">
        <v>20</v>
      </c>
      <c r="O12" s="13" t="n"/>
      <c r="P12" s="13" t="n"/>
      <c r="Q12" s="13" t="n"/>
      <c r="R12" s="13" t="n"/>
      <c r="S12" s="12" t="n"/>
      <c r="T12" s="12" t="n"/>
      <c r="U12" s="12" t="n"/>
      <c r="V12" s="13" t="n"/>
      <c r="W12" s="13" t="n"/>
      <c r="X12" s="13" t="n"/>
    </row>
    <row r="13" ht="15.5" customFormat="1" customHeight="1" s="6">
      <c r="B13" s="9" t="n"/>
      <c r="C13" s="1954" t="inlineStr">
        <is>
          <t>Less: Net debt</t>
        </is>
      </c>
      <c r="D13" s="1955" t="n"/>
      <c r="E13" s="1955" t="n"/>
      <c r="F13" s="9" t="n"/>
      <c r="O13" s="13" t="n"/>
      <c r="P13" s="13" t="n"/>
      <c r="Q13" s="13" t="n"/>
      <c r="R13" s="13" t="n"/>
      <c r="S13" s="12" t="n"/>
      <c r="T13" s="12" t="n"/>
      <c r="U13" s="12" t="n"/>
    </row>
    <row r="14" ht="15.5" customFormat="1" customHeight="1" s="6">
      <c r="B14" s="9" t="n"/>
      <c r="C14" s="1949" t="inlineStr">
        <is>
          <t>Plus: Cash</t>
        </is>
      </c>
      <c r="D14" s="1956" t="n"/>
      <c r="E14" s="1956" t="n"/>
      <c r="F14" s="9" t="n"/>
      <c r="O14" s="13" t="n"/>
      <c r="P14" s="13" t="n"/>
      <c r="Q14" s="13" t="n"/>
      <c r="R14" s="13" t="n"/>
    </row>
    <row r="15" ht="15.5" customFormat="1" customHeight="1" s="6">
      <c r="B15" s="9" t="n"/>
      <c r="C15" s="1957" t="inlineStr">
        <is>
          <t xml:space="preserve">Total Equity value </t>
        </is>
      </c>
      <c r="D15" s="1958" t="n"/>
      <c r="E15" s="1958" t="n"/>
      <c r="F15" s="9" t="n"/>
      <c r="O15" s="13" t="n"/>
      <c r="P15" s="13" t="n"/>
      <c r="Q15" s="13" t="n"/>
      <c r="R15" s="13" t="n"/>
    </row>
    <row r="16" ht="15.5" customFormat="1" customHeight="1" s="6">
      <c r="B16" s="9" t="n"/>
      <c r="C16" s="1949" t="inlineStr">
        <is>
          <t>Less: Preference share holding</t>
        </is>
      </c>
      <c r="D16" s="1956" t="n"/>
      <c r="E16" s="1956" t="n"/>
      <c r="F16" s="9" t="n"/>
      <c r="J16" s="1825" t="n"/>
    </row>
    <row r="17" ht="15.5" customFormat="1" customHeight="1" s="6">
      <c r="B17" s="9" t="n"/>
      <c r="C17" s="1959" t="inlineStr">
        <is>
          <t>Equity value of ordinary shares</t>
        </is>
      </c>
      <c r="D17" s="1960" t="n"/>
      <c r="E17" s="1960" t="n"/>
      <c r="F17" s="9" t="n"/>
    </row>
    <row r="18" ht="15.5" customFormat="1" customHeight="1" s="6">
      <c r="B18" s="9" t="n"/>
      <c r="C18" s="9" t="n"/>
      <c r="D18" s="9" t="n"/>
      <c r="E18" s="9" t="n"/>
      <c r="F18" s="9" t="n"/>
    </row>
    <row r="19" ht="15.5" customFormat="1" customHeight="1" s="6">
      <c r="B19" s="9" t="n"/>
      <c r="C19" s="41" t="inlineStr">
        <is>
          <t>'Client Name' - Guideline Public Company Method</t>
        </is>
      </c>
      <c r="D19" s="10" t="n"/>
      <c r="E19" s="11" t="n"/>
      <c r="F19" s="9" t="n"/>
    </row>
    <row r="20" ht="15.5" customFormat="1" customHeight="1" s="6">
      <c r="B20" s="9" t="n"/>
      <c r="C20" s="42" t="inlineStr">
        <is>
          <t>GBP</t>
        </is>
      </c>
      <c r="D20" s="1944" t="inlineStr">
        <is>
          <t>Low</t>
        </is>
      </c>
      <c r="E20" s="1944" t="inlineStr">
        <is>
          <t>High</t>
        </is>
      </c>
      <c r="F20" s="9" t="n"/>
      <c r="H20" s="27" t="n"/>
      <c r="I20" s="27" t="n"/>
    </row>
    <row r="21" ht="15.5" customFormat="1" customHeight="1" s="6">
      <c r="B21" s="9" t="n"/>
      <c r="C21" s="1949" t="inlineStr">
        <is>
          <t>FY2020 Forecast EBITDA</t>
        </is>
      </c>
      <c r="D21" s="1961" t="n"/>
      <c r="E21" s="1961" t="n"/>
      <c r="F21" s="9" t="n"/>
      <c r="H21" s="27" t="n"/>
      <c r="I21" s="27" t="n"/>
    </row>
    <row r="22" ht="15.5" customFormat="1" customHeight="1" s="6">
      <c r="B22" s="9" t="n"/>
      <c r="C22" s="1949" t="inlineStr">
        <is>
          <t>Selected multiple from GPC's (undiscounted)</t>
        </is>
      </c>
      <c r="D22" s="1962" t="n">
        <v>5</v>
      </c>
      <c r="E22" s="1962" t="n">
        <v>7</v>
      </c>
      <c r="F22" s="9" t="n"/>
      <c r="H22" s="27" t="n"/>
      <c r="I22" s="27" t="n"/>
    </row>
    <row r="23" ht="15.5" customFormat="1" customHeight="1" s="6">
      <c r="B23" s="9" t="n"/>
      <c r="C23" s="1949" t="inlineStr">
        <is>
          <t>Discount adjustment</t>
        </is>
      </c>
      <c r="D23" s="46" t="n">
        <v>0</v>
      </c>
      <c r="E23" s="46" t="n">
        <v>0</v>
      </c>
      <c r="F23" s="9" t="n"/>
    </row>
    <row r="24" ht="15.5" customFormat="1" customHeight="1" s="6">
      <c r="B24" s="9" t="n"/>
      <c r="C24" s="1963" t="inlineStr">
        <is>
          <t>Adjusted EBITDA multiple</t>
        </is>
      </c>
      <c r="D24" s="1964" t="n">
        <v>5</v>
      </c>
      <c r="E24" s="1964" t="n">
        <v>7</v>
      </c>
      <c r="F24" s="9" t="n"/>
    </row>
    <row r="25" ht="15.5" customFormat="1" customHeight="1" s="6">
      <c r="B25" s="9" t="n"/>
      <c r="C25" s="1965" t="inlineStr">
        <is>
          <t>Enterprise Value of 'Client Name'</t>
        </is>
      </c>
      <c r="D25" s="29" t="inlineStr"/>
      <c r="E25" s="30" t="inlineStr"/>
      <c r="F25" s="9" t="n"/>
    </row>
    <row r="27" ht="15.5" customHeight="1">
      <c r="C27" s="41" t="inlineStr">
        <is>
          <t>'Client Name' - Guideline Transaction Method</t>
        </is>
      </c>
      <c r="D27" s="10" t="n"/>
      <c r="E27" s="11" t="n"/>
    </row>
    <row r="28">
      <c r="C28" s="42" t="inlineStr">
        <is>
          <t>GBP</t>
        </is>
      </c>
      <c r="D28" s="1944" t="inlineStr">
        <is>
          <t>Low</t>
        </is>
      </c>
      <c r="E28" s="1944" t="inlineStr">
        <is>
          <t>High</t>
        </is>
      </c>
    </row>
    <row r="29">
      <c r="C29" s="1949" t="inlineStr">
        <is>
          <t>FY2020 Forecast EBITDA</t>
        </is>
      </c>
      <c r="D29" s="1961" t="n"/>
      <c r="E29" s="1961" t="n"/>
    </row>
    <row r="30">
      <c r="C30" s="1949" t="inlineStr">
        <is>
          <t>Selected multiple from comparable transactions (undiscounted)</t>
        </is>
      </c>
      <c r="D30" s="1962" t="n">
        <v>6</v>
      </c>
      <c r="E30" s="1962" t="n">
        <v>8</v>
      </c>
    </row>
    <row r="31">
      <c r="C31" s="1949" t="inlineStr">
        <is>
          <t>Discount adjustment</t>
        </is>
      </c>
      <c r="D31" s="46" t="n">
        <v>0</v>
      </c>
      <c r="E31" s="46" t="n">
        <v>0</v>
      </c>
    </row>
    <row r="32">
      <c r="C32" s="1963" t="inlineStr">
        <is>
          <t>Adjusted EBITDA multiple</t>
        </is>
      </c>
      <c r="D32" s="1964" t="n">
        <v>6</v>
      </c>
      <c r="E32" s="1964" t="n">
        <v>8</v>
      </c>
    </row>
    <row r="33">
      <c r="C33" s="1965" t="inlineStr">
        <is>
          <t>Enterprise Value of 'Client Name'</t>
        </is>
      </c>
      <c r="D33" s="29" t="inlineStr"/>
      <c r="E33" s="30" t="inlineStr"/>
    </row>
  </sheetData>
  <mergeCells count="1">
    <mergeCell ref="J16:L18"/>
  </mergeCells>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B3:S14"/>
  <sheetViews>
    <sheetView showGridLines="0" topLeftCell="A2" zoomScale="69" workbookViewId="0">
      <selection activeCell="R20" sqref="R20:S25"/>
    </sheetView>
  </sheetViews>
  <sheetFormatPr baseColWidth="8" defaultColWidth="0" defaultRowHeight="16"/>
  <cols>
    <col width="2.84375" customWidth="1" style="168" min="1" max="1"/>
    <col width="23.4609375" bestFit="1" customWidth="1" style="168" min="2" max="2"/>
    <col width="5.61328125" bestFit="1" customWidth="1" style="168" min="3" max="4"/>
    <col width="5.69140625" bestFit="1" customWidth="1" style="168" min="5" max="5"/>
    <col width="7.3828125" bestFit="1" customWidth="1" style="168" min="6" max="8"/>
    <col width="7.07421875" bestFit="1" customWidth="1" style="168" min="9" max="12"/>
    <col width="7.3828125" bestFit="1" customWidth="1" style="168" min="13" max="15"/>
    <col width="7.07421875" bestFit="1" customWidth="1" style="168" min="16" max="19"/>
    <col width="8.69140625" customWidth="1" style="168" min="20" max="20"/>
    <col hidden="1" width="8.69140625" customWidth="1" style="168" min="21" max="16384"/>
  </cols>
  <sheetData>
    <row r="3">
      <c r="B3" s="1373" t="n"/>
      <c r="C3" s="1826" t="inlineStr">
        <is>
          <t>Historical</t>
        </is>
      </c>
      <c r="D3" s="1966" t="n"/>
      <c r="E3" s="1966" t="n"/>
      <c r="F3" s="1827" t="inlineStr">
        <is>
          <t>Management Forecast</t>
        </is>
      </c>
      <c r="G3" s="1966" t="n"/>
      <c r="H3" s="1966" t="n"/>
      <c r="I3" s="1966" t="n"/>
      <c r="J3" s="1966" t="n"/>
      <c r="K3" s="1966" t="n"/>
      <c r="L3" s="1966" t="n"/>
      <c r="M3" s="1829" t="inlineStr">
        <is>
          <t>Valify Sensitivity</t>
        </is>
      </c>
      <c r="N3" s="1966" t="n"/>
      <c r="O3" s="1966" t="n"/>
      <c r="P3" s="1966" t="n"/>
      <c r="Q3" s="1966" t="n"/>
      <c r="R3" s="1966" t="n"/>
      <c r="S3" s="1967" t="n"/>
    </row>
    <row r="4">
      <c r="B4" s="1374" t="n"/>
      <c r="C4" s="1375">
        <f>IS!I7</f>
        <v/>
      </c>
      <c r="D4" s="1375">
        <f>IS!J7</f>
        <v/>
      </c>
      <c r="E4" s="1375">
        <f>IS!K7</f>
        <v/>
      </c>
      <c r="F4" s="1376">
        <f>IS!L7</f>
        <v/>
      </c>
      <c r="G4" s="1376">
        <f>IS!M7</f>
        <v/>
      </c>
      <c r="H4" s="1376">
        <f>IS!N7</f>
        <v/>
      </c>
      <c r="I4" s="1376">
        <f>IS!O7</f>
        <v/>
      </c>
      <c r="J4" s="1376">
        <f>IS!P7</f>
        <v/>
      </c>
      <c r="K4" s="1376">
        <f>IS!Q7</f>
        <v/>
      </c>
      <c r="L4" s="1376">
        <f>IS!R7</f>
        <v/>
      </c>
      <c r="M4" s="1377">
        <f>F4</f>
        <v/>
      </c>
      <c r="N4" s="1377">
        <f>G4</f>
        <v/>
      </c>
      <c r="O4" s="1377">
        <f>H4</f>
        <v/>
      </c>
      <c r="P4" s="1377">
        <f>I4</f>
        <v/>
      </c>
      <c r="Q4" s="1377">
        <f>J4</f>
        <v/>
      </c>
      <c r="R4" s="1377">
        <f>K4</f>
        <v/>
      </c>
      <c r="S4" s="1378">
        <f>L4</f>
        <v/>
      </c>
    </row>
    <row r="5">
      <c r="B5" s="1374" t="n"/>
      <c r="C5" s="1370">
        <f>IS!I8</f>
        <v/>
      </c>
      <c r="D5" s="1370">
        <f>IS!J8</f>
        <v/>
      </c>
      <c r="E5" s="1370">
        <f>IS!K8</f>
        <v/>
      </c>
      <c r="F5" s="1371">
        <f>IS!L8</f>
        <v/>
      </c>
      <c r="G5" s="1371">
        <f>IS!M8</f>
        <v/>
      </c>
      <c r="H5" s="1371">
        <f>IS!N8</f>
        <v/>
      </c>
      <c r="I5" s="1371">
        <f>IS!O8</f>
        <v/>
      </c>
      <c r="J5" s="1371">
        <f>IS!P8</f>
        <v/>
      </c>
      <c r="K5" s="1371">
        <f>IS!Q8</f>
        <v/>
      </c>
      <c r="L5" s="1371">
        <f>IS!R8</f>
        <v/>
      </c>
      <c r="M5" s="1372">
        <f>F5</f>
        <v/>
      </c>
      <c r="N5" s="1372">
        <f>G5</f>
        <v/>
      </c>
      <c r="O5" s="1372">
        <f>H5</f>
        <v/>
      </c>
      <c r="P5" s="1372">
        <f>I5</f>
        <v/>
      </c>
      <c r="Q5" s="1372">
        <f>J5</f>
        <v/>
      </c>
      <c r="R5" s="1372">
        <f>K5</f>
        <v/>
      </c>
      <c r="S5" s="1379">
        <f>L5</f>
        <v/>
      </c>
    </row>
    <row r="6">
      <c r="B6" s="1374" t="inlineStr">
        <is>
          <t>Revenue Growth</t>
        </is>
      </c>
      <c r="F6" s="1380" t="n"/>
      <c r="G6" s="1380" t="n"/>
      <c r="H6" s="1380" t="n"/>
      <c r="I6" s="1380" t="n"/>
      <c r="J6" s="1380" t="n"/>
      <c r="K6" s="1380" t="n"/>
      <c r="L6" s="1380" t="n"/>
      <c r="M6" s="1381" t="n"/>
      <c r="N6" s="1381" t="n"/>
      <c r="O6" s="1381" t="n"/>
      <c r="P6" s="1381" t="n"/>
      <c r="Q6" s="1381" t="n"/>
      <c r="R6" s="1381" t="n"/>
      <c r="S6" s="1382" t="n"/>
    </row>
    <row r="7">
      <c r="B7" s="1374" t="inlineStr">
        <is>
          <t>COGS as a % of Revenue</t>
        </is>
      </c>
      <c r="F7" s="1380" t="n"/>
      <c r="G7" s="1380" t="n"/>
      <c r="H7" s="1380" t="n"/>
      <c r="I7" s="1380" t="n"/>
      <c r="J7" s="1380" t="n"/>
      <c r="K7" s="1380" t="n"/>
      <c r="L7" s="1380" t="n"/>
      <c r="M7" s="1381" t="n"/>
      <c r="N7" s="1381" t="n"/>
      <c r="O7" s="1381" t="n"/>
      <c r="P7" s="1381" t="n"/>
      <c r="Q7" s="1381" t="n"/>
      <c r="R7" s="1381" t="n"/>
      <c r="S7" s="1382" t="n"/>
    </row>
    <row r="8">
      <c r="B8" s="1374" t="inlineStr">
        <is>
          <t>Salary growth</t>
        </is>
      </c>
      <c r="F8" s="1380" t="n"/>
      <c r="G8" s="1380" t="n"/>
      <c r="H8" s="1380" t="n"/>
      <c r="I8" s="1380" t="n"/>
      <c r="J8" s="1380" t="n"/>
      <c r="K8" s="1380" t="n"/>
      <c r="L8" s="1380" t="n"/>
      <c r="M8" s="1381" t="n"/>
      <c r="N8" s="1381" t="n"/>
      <c r="O8" s="1381" t="n"/>
      <c r="P8" s="1381" t="n"/>
      <c r="Q8" s="1381" t="n"/>
      <c r="R8" s="1381" t="n"/>
      <c r="S8" s="1382" t="n"/>
    </row>
    <row r="9">
      <c r="B9" s="1374" t="inlineStr">
        <is>
          <t>Depreciation as a % of Revenue</t>
        </is>
      </c>
      <c r="F9" s="1380" t="n"/>
      <c r="G9" s="1380" t="n"/>
      <c r="H9" s="1380" t="n"/>
      <c r="I9" s="1380" t="n"/>
      <c r="J9" s="1380" t="n"/>
      <c r="K9" s="1380" t="n"/>
      <c r="L9" s="1380" t="n"/>
      <c r="M9" s="1381" t="n"/>
      <c r="N9" s="1381" t="n"/>
      <c r="O9" s="1381" t="n"/>
      <c r="P9" s="1381" t="n"/>
      <c r="Q9" s="1381" t="n"/>
      <c r="R9" s="1381" t="n"/>
      <c r="S9" s="1382" t="n"/>
    </row>
    <row r="10">
      <c r="B10" s="1374" t="inlineStr">
        <is>
          <t>Finance Cost  as a % of Revenue</t>
        </is>
      </c>
      <c r="F10" s="1380" t="n"/>
      <c r="G10" s="1380" t="n"/>
      <c r="H10" s="1380" t="n"/>
      <c r="I10" s="1380" t="n"/>
      <c r="J10" s="1380" t="n"/>
      <c r="K10" s="1380" t="n"/>
      <c r="L10" s="1380" t="n"/>
      <c r="M10" s="1381" t="n"/>
      <c r="N10" s="1381" t="n"/>
      <c r="O10" s="1381" t="n"/>
      <c r="P10" s="1381" t="n"/>
      <c r="Q10" s="1381" t="n"/>
      <c r="R10" s="1381" t="n"/>
      <c r="S10" s="1382" t="n"/>
    </row>
    <row r="11">
      <c r="B11" s="1374" t="inlineStr">
        <is>
          <t>EBITDA Margin</t>
        </is>
      </c>
      <c r="F11" s="1380" t="n"/>
      <c r="G11" s="1380" t="n"/>
      <c r="H11" s="1380" t="n"/>
      <c r="I11" s="1380" t="n"/>
      <c r="J11" s="1380" t="n"/>
      <c r="K11" s="1380" t="n"/>
      <c r="L11" s="1380" t="n"/>
      <c r="M11" s="1381" t="n"/>
      <c r="N11" s="1381" t="n"/>
      <c r="O11" s="1381" t="n"/>
      <c r="P11" s="1381" t="n"/>
      <c r="Q11" s="1381" t="n"/>
      <c r="R11" s="1381" t="n"/>
      <c r="S11" s="1382" t="n"/>
    </row>
    <row r="12">
      <c r="B12" s="1374" t="inlineStr">
        <is>
          <t>NWC as a % of Sales</t>
        </is>
      </c>
      <c r="F12" s="1380" t="n"/>
      <c r="G12" s="1380" t="n"/>
      <c r="H12" s="1380" t="n"/>
      <c r="I12" s="1380" t="n"/>
      <c r="J12" s="1380" t="n"/>
      <c r="K12" s="1380" t="n"/>
      <c r="L12" s="1380" t="n"/>
      <c r="M12" s="1381" t="n"/>
      <c r="N12" s="1381" t="n"/>
      <c r="O12" s="1381" t="n"/>
      <c r="P12" s="1381" t="n"/>
      <c r="Q12" s="1381" t="n"/>
      <c r="R12" s="1381" t="n"/>
      <c r="S12" s="1382" t="n"/>
    </row>
    <row r="13">
      <c r="B13" s="1374" t="inlineStr">
        <is>
          <t>Capex as a % of Revenue</t>
        </is>
      </c>
      <c r="F13" s="1380" t="n"/>
      <c r="G13" s="1380" t="n"/>
      <c r="H13" s="1380" t="n"/>
      <c r="I13" s="1380" t="n"/>
      <c r="J13" s="1380" t="n"/>
      <c r="K13" s="1380" t="n"/>
      <c r="L13" s="1380" t="n"/>
      <c r="M13" s="1381" t="n"/>
      <c r="N13" s="1381" t="n"/>
      <c r="O13" s="1381" t="n"/>
      <c r="P13" s="1381" t="n"/>
      <c r="Q13" s="1381" t="n"/>
      <c r="R13" s="1381" t="n"/>
      <c r="S13" s="1382" t="n"/>
    </row>
    <row r="14">
      <c r="B14" s="1383" t="n"/>
      <c r="C14" s="1369" t="n"/>
      <c r="D14" s="1369" t="n"/>
      <c r="E14" s="1369" t="n"/>
      <c r="F14" s="1369" t="n"/>
      <c r="G14" s="1369" t="n"/>
      <c r="H14" s="1369" t="n"/>
      <c r="I14" s="1369" t="n"/>
      <c r="J14" s="1369" t="n"/>
      <c r="K14" s="1369" t="n"/>
      <c r="L14" s="1369" t="n"/>
      <c r="M14" s="1369" t="n"/>
      <c r="N14" s="1369" t="n"/>
      <c r="O14" s="1369" t="n"/>
      <c r="P14" s="1369" t="n"/>
      <c r="Q14" s="1369" t="n"/>
      <c r="R14" s="1369" t="n"/>
      <c r="S14" s="1384" t="n"/>
    </row>
  </sheetData>
  <mergeCells count="3">
    <mergeCell ref="C3:E3"/>
    <mergeCell ref="M3:S3"/>
    <mergeCell ref="F3:L3"/>
  </mergeCells>
  <pageMargins left="0.7" right="0.7" top="0.75" bottom="0.75" header="0.3" footer="0.3"/>
</worksheet>
</file>

<file path=xl/worksheets/sheet14.xml><?xml version="1.0" encoding="utf-8"?>
<worksheet xmlns="http://schemas.openxmlformats.org/spreadsheetml/2006/main">
  <sheetPr>
    <tabColor rgb="FF009B76"/>
    <outlinePr summaryBelow="1" summaryRight="1"/>
    <pageSetUpPr/>
  </sheetPr>
  <dimension ref="B2:H7"/>
  <sheetViews>
    <sheetView showGridLines="0" workbookViewId="0">
      <selection activeCell="A1" sqref="A1:XFD1048576"/>
    </sheetView>
  </sheetViews>
  <sheetFormatPr baseColWidth="8" defaultColWidth="0" defaultRowHeight="0" customHeight="1" zeroHeight="1"/>
  <cols>
    <col width="1.61328125" customWidth="1" style="63" min="1" max="1"/>
    <col width="8.69140625" customWidth="1" style="63" min="2" max="8"/>
    <col hidden="1" width="8.69140625" customWidth="1" style="63" min="9" max="16384"/>
  </cols>
  <sheetData>
    <row r="1" ht="11.5" customHeight="1"/>
    <row r="2" ht="11.5" customHeight="1">
      <c r="B2" s="98" t="inlineStr">
        <is>
          <t>Valify - UAE Valuation Services</t>
        </is>
      </c>
    </row>
    <row r="3" ht="11.5" customHeight="1">
      <c r="B3" s="225">
        <f>Inputs!$B$3</f>
        <v/>
      </c>
    </row>
    <row r="4" ht="11.5" customHeight="1">
      <c r="B4" s="98" t="inlineStr">
        <is>
          <t>Section Divider - Model Output</t>
        </is>
      </c>
    </row>
    <row r="5" ht="5" customHeight="1" thickBot="1">
      <c r="B5" s="226" t="n"/>
      <c r="C5" s="227" t="n"/>
      <c r="D5" s="227" t="n"/>
      <c r="E5" s="227" t="n"/>
      <c r="F5" s="227" t="n"/>
      <c r="G5" s="227" t="n"/>
      <c r="H5" s="227" t="n"/>
    </row>
    <row r="6" ht="12" customHeight="1" thickTop="1"/>
    <row r="7" ht="11.5" customHeight="1">
      <c r="B7" s="98" t="inlineStr">
        <is>
          <t>Model Output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S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baseColWidth="8" defaultColWidth="0" defaultRowHeight="11.5"/>
  <cols>
    <col width="2.3046875" customWidth="1" style="1690" min="1" max="1"/>
    <col width="2.23046875" customWidth="1" style="1690" min="2" max="2"/>
    <col width="13.07421875" customWidth="1" style="1690" min="3" max="3"/>
    <col width="9.23046875" customWidth="1" style="1690" min="4" max="4"/>
    <col width="31.4609375" customWidth="1" style="1696" min="5" max="5"/>
    <col width="15.765625" customWidth="1" style="1690" min="6" max="6"/>
    <col width="9.23046875" customWidth="1" style="1690" min="7" max="7"/>
    <col width="5.15234375" bestFit="1" customWidth="1" style="1690" min="8" max="11"/>
    <col width="5.84375" bestFit="1" customWidth="1" style="1690" min="12" max="14"/>
    <col width="5.765625" bestFit="1" customWidth="1" style="1690" min="15" max="16"/>
    <col width="5.61328125" bestFit="1" customWidth="1" style="1690" min="17" max="18"/>
    <col width="9.23046875" customWidth="1" style="1690" min="19" max="19"/>
    <col hidden="1" style="1690" min="20" max="20"/>
    <col hidden="1" width="9.23046875" customWidth="1" style="1690" min="21" max="16384"/>
  </cols>
  <sheetData>
    <row r="1" customFormat="1" s="63">
      <c r="E1" s="1692" t="n"/>
    </row>
    <row r="2" customFormat="1" s="63">
      <c r="B2" s="62" t="inlineStr">
        <is>
          <t>Valify - UAE Valuation Services</t>
        </is>
      </c>
      <c r="E2" s="1692" t="n"/>
    </row>
    <row r="3" customFormat="1" s="63">
      <c r="B3" s="64">
        <f>project.title&amp;" as at "&amp;TEXT(valuation.date,"mmmm d, yyy")</f>
        <v/>
      </c>
      <c r="E3" s="1692" t="n"/>
    </row>
    <row r="4" customFormat="1" s="63">
      <c r="B4" s="65" t="inlineStr">
        <is>
          <t>Model Inputs</t>
        </is>
      </c>
      <c r="E4" s="1692" t="n"/>
    </row>
    <row r="5" ht="5" customFormat="1" customHeight="1" s="63" thickBot="1">
      <c r="B5" s="66" t="n"/>
      <c r="C5" s="66" t="n"/>
      <c r="D5" s="66" t="n"/>
      <c r="E5" s="1693" t="n"/>
      <c r="F5" s="66" t="n"/>
      <c r="G5" s="66" t="n"/>
      <c r="H5" s="66" t="n"/>
      <c r="I5" s="66" t="n"/>
      <c r="J5" s="66" t="n"/>
      <c r="K5" s="66" t="n"/>
      <c r="L5" s="66" t="n"/>
      <c r="M5" s="66" t="n"/>
      <c r="N5" s="66" t="n"/>
      <c r="O5" s="66" t="n"/>
      <c r="P5" s="66" t="n"/>
      <c r="Q5" s="66" t="n"/>
      <c r="R5" s="66" t="n"/>
    </row>
    <row r="6" ht="5" customFormat="1" customHeight="1" s="63" thickTop="1">
      <c r="E6" s="1692" t="n"/>
    </row>
    <row r="7" customFormat="1" s="63">
      <c r="C7" s="67">
        <f>IS_Calcs!C7</f>
        <v/>
      </c>
      <c r="D7" s="68" t="n"/>
      <c r="E7" s="1694" t="n"/>
      <c r="F7" s="68" t="n"/>
      <c r="G7" s="69" t="inlineStr">
        <is>
          <t>Financial Period</t>
        </is>
      </c>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ht="17.5" customFormat="1" customHeight="1" s="63">
      <c r="C8" s="68" t="n"/>
      <c r="D8" s="68" t="n"/>
      <c r="E8" s="1709" t="inlineStr">
        <is>
          <t>Formula</t>
        </is>
      </c>
      <c r="F8" s="1709" t="inlineStr">
        <is>
          <t>Interpretation</t>
        </is>
      </c>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S8" s="71" t="n"/>
    </row>
    <row r="9" ht="15.5" customHeight="1">
      <c r="A9" s="1707" t="inlineStr">
        <is>
          <t>Financial Ratios</t>
        </is>
      </c>
      <c r="B9" s="1707" t="n"/>
      <c r="C9" s="1689" t="n"/>
      <c r="D9" s="1689" t="n"/>
      <c r="E9" s="1695" t="n"/>
      <c r="F9" s="1689" t="n"/>
      <c r="G9" s="1689" t="n"/>
      <c r="H9" s="1689" t="n"/>
      <c r="I9" s="1689" t="n"/>
      <c r="J9" s="1689" t="n"/>
      <c r="K9" s="1689" t="n"/>
      <c r="L9" s="1689" t="n"/>
      <c r="M9" s="1689" t="n"/>
      <c r="N9" s="1689" t="n"/>
      <c r="O9" s="1689" t="n"/>
      <c r="P9" s="1689" t="n"/>
      <c r="Q9" s="1689" t="n"/>
      <c r="R9" s="1689" t="n"/>
    </row>
    <row r="10">
      <c r="B10" s="1708" t="inlineStr">
        <is>
          <t>Profitability Ratios</t>
        </is>
      </c>
      <c r="C10" s="1705" t="n"/>
      <c r="D10" s="1705" t="n"/>
      <c r="E10" s="1706" t="n"/>
      <c r="F10" s="1705" t="n"/>
      <c r="G10" s="1705" t="n"/>
    </row>
    <row r="11">
      <c r="B11" s="1691" t="n"/>
      <c r="C11" s="1690" t="inlineStr">
        <is>
          <t>Gross Margin</t>
        </is>
      </c>
      <c r="E11" s="1696" t="inlineStr">
        <is>
          <t>=GP/Revenue</t>
        </is>
      </c>
      <c r="H11" s="1697">
        <f>IFERROR(IS!H40/IS!H23,"N/A")</f>
        <v/>
      </c>
      <c r="I11" s="1697">
        <f>IFERROR(IS!I40/IS!I23,"N/A")</f>
        <v/>
      </c>
      <c r="J11" s="1697">
        <f>IFERROR(IS!J40/IS!J23,"N/A")</f>
        <v/>
      </c>
      <c r="K11" s="1697">
        <f>IFERROR(IS!K40/IS!K23,"N/A")</f>
        <v/>
      </c>
      <c r="L11" s="1697">
        <f>IFERROR(IS!L40/IS!L23,"N/A")</f>
        <v/>
      </c>
      <c r="M11" s="1697">
        <f>IFERROR(IS!M40/IS!M23,"N/A")</f>
        <v/>
      </c>
      <c r="N11" s="1697">
        <f>IFERROR(IS!N40/IS!N23,"N/A")</f>
        <v/>
      </c>
      <c r="O11" s="1697">
        <f>IFERROR(IS!O40/IS!O23,"N/A")</f>
        <v/>
      </c>
      <c r="P11" s="1697">
        <f>IFERROR(IS!P40/IS!P23,"N/A")</f>
        <v/>
      </c>
      <c r="Q11" s="1697">
        <f>IFERROR(IS!Q40/IS!Q23,"N/A")</f>
        <v/>
      </c>
      <c r="R11" s="1697">
        <f>IFERROR(IS!R40/IS!R23,"N/A")</f>
        <v/>
      </c>
    </row>
    <row r="12">
      <c r="B12" s="1691" t="n"/>
      <c r="C12" s="1690" t="inlineStr">
        <is>
          <t>Operating Margin</t>
        </is>
      </c>
      <c r="E12" s="1696" t="inlineStr">
        <is>
          <t>=EBITDA/Revenue</t>
        </is>
      </c>
      <c r="H12" s="1690">
        <f>IFERROR(IS!H40/IS!H23,"N/A")</f>
        <v/>
      </c>
    </row>
    <row r="13">
      <c r="B13" s="1691" t="n"/>
      <c r="C13" s="1690" t="inlineStr">
        <is>
          <t>EBIT Margin</t>
        </is>
      </c>
      <c r="E13" s="1696" t="inlineStr">
        <is>
          <t>=EBIT/Revenue</t>
        </is>
      </c>
    </row>
    <row r="14">
      <c r="B14" s="1691" t="n"/>
      <c r="C14" s="1690" t="inlineStr">
        <is>
          <t>Pre-tax margin</t>
        </is>
      </c>
      <c r="E14" s="1696" t="inlineStr">
        <is>
          <t>=EBT/Revenue</t>
        </is>
      </c>
    </row>
    <row r="15">
      <c r="B15" s="1691" t="n"/>
      <c r="C15" s="1690" t="inlineStr">
        <is>
          <t>Net Margin</t>
        </is>
      </c>
      <c r="E15" s="1696" t="inlineStr">
        <is>
          <t>=NP/Revenue</t>
        </is>
      </c>
    </row>
    <row r="16">
      <c r="B16" s="1691" t="n"/>
      <c r="C16" s="1690" t="inlineStr">
        <is>
          <t>Return on Assets</t>
        </is>
      </c>
      <c r="E16" s="1696" t="inlineStr">
        <is>
          <t>=Net Income/Assets</t>
        </is>
      </c>
    </row>
    <row r="17">
      <c r="B17" s="1708" t="inlineStr">
        <is>
          <t>Expense Ratios</t>
        </is>
      </c>
      <c r="C17" s="1705" t="n"/>
      <c r="D17" s="1705" t="n"/>
      <c r="E17" s="1706" t="n"/>
      <c r="F17" s="1705" t="n"/>
      <c r="G17" s="1705" t="n"/>
    </row>
    <row r="18">
      <c r="B18" s="1691" t="n"/>
      <c r="C18" s="1690" t="inlineStr">
        <is>
          <t>Effective Interest Rate</t>
        </is>
      </c>
      <c r="E18" s="1696" t="inlineStr">
        <is>
          <t>=Interest Expense/Interest Bearing Liabilities</t>
        </is>
      </c>
    </row>
    <row r="19">
      <c r="B19" s="1691" t="n"/>
      <c r="C19" s="1690" t="inlineStr">
        <is>
          <t>Interest Burden</t>
        </is>
      </c>
      <c r="E19" s="1696" t="inlineStr">
        <is>
          <t>=EBT/EBIT</t>
        </is>
      </c>
    </row>
    <row r="20">
      <c r="B20" s="1691" t="n"/>
      <c r="C20" s="1690" t="inlineStr">
        <is>
          <t>Effective Tax Rate</t>
        </is>
      </c>
      <c r="E20" s="1696" t="inlineStr">
        <is>
          <t>=Total Tax/Earnings Before Tax</t>
        </is>
      </c>
    </row>
    <row r="21">
      <c r="B21" s="1691" t="n"/>
      <c r="C21" s="1690" t="inlineStr">
        <is>
          <t>Tax Burden</t>
        </is>
      </c>
      <c r="E21" s="1696" t="inlineStr">
        <is>
          <t>=Net Profit/EBT</t>
        </is>
      </c>
    </row>
    <row r="22">
      <c r="B22" s="1708" t="inlineStr">
        <is>
          <t>Investment Return Ratios</t>
        </is>
      </c>
      <c r="C22" s="1705" t="n"/>
      <c r="D22" s="1705" t="n"/>
      <c r="E22" s="1706" t="n"/>
      <c r="F22" s="1705" t="n"/>
      <c r="G22" s="1705" t="n"/>
    </row>
    <row r="23">
      <c r="B23" s="1691" t="n"/>
      <c r="C23" s="1690" t="inlineStr">
        <is>
          <t>Return on Equity</t>
        </is>
      </c>
      <c r="E23" s="1696" t="inlineStr">
        <is>
          <t>=Net Income/Equity</t>
        </is>
      </c>
    </row>
    <row r="24">
      <c r="B24" s="1691" t="n"/>
      <c r="C24" s="1690" t="inlineStr">
        <is>
          <t>Return on Invested Capital</t>
        </is>
      </c>
      <c r="E24" s="1696" t="inlineStr">
        <is>
          <t>=NOPAT/(Net Debt+Equity)</t>
        </is>
      </c>
      <c r="G24" s="1690" t="inlineStr">
        <is>
          <t>NOPAT= EBIT(1-tax)</t>
        </is>
      </c>
    </row>
    <row r="25">
      <c r="B25" s="1691" t="n"/>
      <c r="C25" s="1690" t="inlineStr">
        <is>
          <t>ROCE</t>
        </is>
      </c>
      <c r="E25" s="1696" t="inlineStr">
        <is>
          <t>=EBIT/(Net Debt+Equity)</t>
        </is>
      </c>
    </row>
    <row r="26">
      <c r="B26" s="1691" t="n"/>
      <c r="C26" s="1690" t="inlineStr">
        <is>
          <t>DuPont Analysis</t>
        </is>
      </c>
      <c r="E26" s="1696" t="inlineStr">
        <is>
          <t>=ROA x Financial Leverage</t>
        </is>
      </c>
      <c r="G26" s="1696" t="inlineStr">
        <is>
          <t>=NPM x Asset Turnover x Financial Leverage</t>
        </is>
      </c>
      <c r="H26" s="1696" t="n"/>
    </row>
    <row r="27">
      <c r="B27" s="1691" t="n"/>
      <c r="G27" s="1696" t="inlineStr">
        <is>
          <t>=NPM x Asset Turnover x Financial Leverage</t>
        </is>
      </c>
      <c r="H27" s="1696" t="n"/>
    </row>
    <row r="28" ht="10.5" customHeight="1">
      <c r="B28" s="1708" t="inlineStr">
        <is>
          <t>Efficiency Ratios</t>
        </is>
      </c>
      <c r="C28" s="1705" t="n"/>
      <c r="D28" s="1705" t="n"/>
      <c r="E28" s="1706" t="n"/>
      <c r="F28" s="1705" t="n"/>
      <c r="G28" s="1705" t="n"/>
    </row>
    <row r="29" ht="10.5" customHeight="1">
      <c r="B29" s="1691" t="n"/>
      <c r="C29" s="1690" t="inlineStr">
        <is>
          <t>Receivable Turnover Ratio</t>
        </is>
      </c>
      <c r="E29" s="1696" t="inlineStr">
        <is>
          <t>=Revenues/AR</t>
        </is>
      </c>
    </row>
    <row r="30" ht="10.5" customHeight="1">
      <c r="B30" s="1691" t="n"/>
      <c r="C30" s="1690" t="inlineStr">
        <is>
          <t>Inventory Turnover Ratio</t>
        </is>
      </c>
      <c r="E30" s="1696" t="inlineStr">
        <is>
          <t>=COGS/Inventory</t>
        </is>
      </c>
    </row>
    <row r="31" ht="10.5" customHeight="1">
      <c r="B31" s="1691" t="n"/>
      <c r="C31" s="1690" t="inlineStr">
        <is>
          <t>Payables Turnover Ratio</t>
        </is>
      </c>
      <c r="E31" s="1696" t="inlineStr">
        <is>
          <t>=COGS/AP</t>
        </is>
      </c>
    </row>
    <row r="32" ht="10.5" customHeight="1">
      <c r="B32" s="1691" t="n"/>
      <c r="C32" s="1690" t="inlineStr">
        <is>
          <t>Purchases</t>
        </is>
      </c>
      <c r="E32" s="1696" t="inlineStr">
        <is>
          <t>=COGS-Opening Inv +Closing Inv</t>
        </is>
      </c>
    </row>
    <row r="33" ht="10.5" customHeight="1">
      <c r="B33" s="1691" t="n"/>
      <c r="C33" s="1690" t="inlineStr">
        <is>
          <t>Operating Cycle (NWC Ratio)</t>
        </is>
      </c>
      <c r="E33" s="1696" t="inlineStr">
        <is>
          <t>=Receivables Days+ Inventory Days</t>
        </is>
      </c>
    </row>
    <row r="34" ht="10.5" customHeight="1">
      <c r="B34" s="1691" t="n"/>
      <c r="C34" s="1690" t="inlineStr">
        <is>
          <t>Cash Conversion Cycle</t>
        </is>
      </c>
      <c r="E34" s="1696" t="inlineStr">
        <is>
          <t>=Operating Cycle - Payable Days</t>
        </is>
      </c>
    </row>
    <row r="35" ht="10.5" customHeight="1">
      <c r="B35" s="1691" t="n"/>
      <c r="C35" s="1690" t="inlineStr">
        <is>
          <t>Cash Turnover</t>
        </is>
      </c>
      <c r="E35" s="1696" t="inlineStr">
        <is>
          <t>=Revenue/Cash</t>
        </is>
      </c>
    </row>
    <row r="36" ht="10.5" customHeight="1">
      <c r="B36" s="1691" t="n"/>
      <c r="C36" s="1690" t="inlineStr">
        <is>
          <t>Asset Turnover Ratio</t>
        </is>
      </c>
      <c r="E36" s="1696" t="inlineStr">
        <is>
          <t>=Revenues/Total Assets</t>
        </is>
      </c>
    </row>
    <row r="37" ht="10.5" customHeight="1">
      <c r="B37" s="1691" t="n"/>
      <c r="C37" s="1690" t="inlineStr">
        <is>
          <t>Fixed Asset Turnover Ratio</t>
        </is>
      </c>
      <c r="E37" s="1696" t="inlineStr">
        <is>
          <t>=Revenues/Fixed Assets</t>
        </is>
      </c>
    </row>
    <row r="38" ht="10.5" customHeight="1">
      <c r="B38" s="1691" t="n"/>
      <c r="C38" s="1690" t="inlineStr">
        <is>
          <t>Capital Turnover Ratio</t>
        </is>
      </c>
      <c r="E38" s="1696" t="inlineStr">
        <is>
          <t>=Revenues/Average Equity</t>
        </is>
      </c>
    </row>
    <row r="39" ht="10.5" customHeight="1">
      <c r="B39" s="1691" t="n"/>
      <c r="C39" s="1690" t="inlineStr">
        <is>
          <t>PPE Turnover</t>
        </is>
      </c>
      <c r="E39" s="1696" t="inlineStr">
        <is>
          <t>=Revenue/PPE</t>
        </is>
      </c>
    </row>
    <row r="40" ht="10.5" customHeight="1">
      <c r="B40" s="1691" t="n"/>
      <c r="C40" s="1690" t="inlineStr">
        <is>
          <t>COGS as a % of revenue</t>
        </is>
      </c>
      <c r="E40" s="1696" t="inlineStr">
        <is>
          <t>=COGS/Revenue</t>
        </is>
      </c>
    </row>
    <row r="41" ht="10.5" customHeight="1">
      <c r="B41" s="1691" t="n"/>
      <c r="C41" s="1690" t="inlineStr">
        <is>
          <t>Opex as a % of revenue</t>
        </is>
      </c>
      <c r="E41" s="1696" t="inlineStr">
        <is>
          <t>=Opex/Revenue</t>
        </is>
      </c>
    </row>
    <row r="42" ht="10.5" customHeight="1">
      <c r="B42" s="1691" t="n"/>
      <c r="C42" s="1690" t="inlineStr">
        <is>
          <t>Activity Ratio</t>
        </is>
      </c>
      <c r="E42" s="1696" t="inlineStr">
        <is>
          <t>=Revenues/Net PPE</t>
        </is>
      </c>
    </row>
    <row r="43" ht="10.5" customHeight="1">
      <c r="B43" s="1708" t="inlineStr">
        <is>
          <t>Liquidity Ratios</t>
        </is>
      </c>
      <c r="C43" s="1705" t="n"/>
      <c r="D43" s="1705" t="n"/>
      <c r="E43" s="1706" t="n"/>
      <c r="F43" s="1705" t="n"/>
      <c r="G43" s="1705" t="n"/>
    </row>
    <row r="44" ht="10.5" customHeight="1">
      <c r="B44" s="1691" t="n"/>
      <c r="C44" s="1690" t="inlineStr">
        <is>
          <t>Current Ratio</t>
        </is>
      </c>
      <c r="E44" s="1696" t="inlineStr">
        <is>
          <t>=CA/CL</t>
        </is>
      </c>
    </row>
    <row r="45" ht="10.5" customHeight="1">
      <c r="B45" s="1691" t="n"/>
      <c r="C45" s="1690" t="inlineStr">
        <is>
          <t>Quick Ratio</t>
        </is>
      </c>
      <c r="E45" s="1696" t="inlineStr">
        <is>
          <t>=CA - inventory/CL</t>
        </is>
      </c>
    </row>
    <row r="46" ht="10.5" customHeight="1">
      <c r="B46" s="1691" t="n"/>
      <c r="C46" s="1690" t="inlineStr">
        <is>
          <t>EBITDA to Interest</t>
        </is>
      </c>
      <c r="E46" s="1696" t="inlineStr">
        <is>
          <t>=EBITDA/Interest</t>
        </is>
      </c>
    </row>
    <row r="47" ht="10.5" customHeight="1">
      <c r="B47" s="1691" t="n"/>
      <c r="C47" s="1690" t="inlineStr">
        <is>
          <t>Cash Ratio</t>
        </is>
      </c>
      <c r="E47" s="1696" t="inlineStr">
        <is>
          <t>=Cash+Equivalents/CL</t>
        </is>
      </c>
    </row>
    <row r="48" ht="10.5" customHeight="1">
      <c r="B48" s="1708" t="inlineStr">
        <is>
          <t>Leverage Ratios</t>
        </is>
      </c>
      <c r="C48" s="1705" t="n"/>
      <c r="D48" s="1705" t="n"/>
      <c r="E48" s="1706" t="n"/>
      <c r="F48" s="1705" t="n"/>
      <c r="G48" s="1705" t="n"/>
    </row>
    <row r="49" ht="10.5" customHeight="1">
      <c r="B49" s="1691" t="n"/>
      <c r="C49" s="1690" t="inlineStr">
        <is>
          <t>Operating Leverage</t>
        </is>
      </c>
      <c r="E49" s="1696" t="inlineStr">
        <is>
          <t>=% change in EBITDA/% Change in Revenues</t>
        </is>
      </c>
    </row>
    <row r="50" ht="10.5" customHeight="1">
      <c r="B50" s="1691" t="n"/>
      <c r="C50" s="1690" t="inlineStr">
        <is>
          <t>Financial Leverage</t>
        </is>
      </c>
      <c r="E50" s="1696" t="inlineStr">
        <is>
          <t>=Average Assets/Average Equity</t>
        </is>
      </c>
    </row>
    <row r="51" ht="10.5" customHeight="1">
      <c r="B51" s="1691" t="n"/>
      <c r="C51" s="1690" t="inlineStr">
        <is>
          <t>Debt to Equity Ratio</t>
        </is>
      </c>
      <c r="E51" s="1696" t="inlineStr">
        <is>
          <t>=Debt/Equity</t>
        </is>
      </c>
    </row>
    <row r="52" ht="10.5" customHeight="1">
      <c r="B52" s="1691" t="n"/>
      <c r="C52" s="1690" t="inlineStr">
        <is>
          <t>Debt to Tangible Worth</t>
        </is>
      </c>
      <c r="E52" s="1696" t="inlineStr">
        <is>
          <t>=Debt/Equity-Intangibles</t>
        </is>
      </c>
    </row>
    <row r="53" ht="10.5" customHeight="1">
      <c r="B53" s="1691" t="n"/>
      <c r="C53" s="1690" t="inlineStr">
        <is>
          <t>Debt to Capital Ratio</t>
        </is>
      </c>
      <c r="E53" s="1696" t="inlineStr">
        <is>
          <t>=Debt/(Debt+Equity)</t>
        </is>
      </c>
    </row>
    <row r="54" ht="10.5" customHeight="1">
      <c r="B54" s="1708" t="inlineStr">
        <is>
          <t>Solvency Ratios</t>
        </is>
      </c>
      <c r="C54" s="1705" t="n"/>
      <c r="D54" s="1705" t="n"/>
      <c r="E54" s="1706" t="n"/>
      <c r="F54" s="1705" t="n"/>
      <c r="G54" s="1705" t="n"/>
    </row>
    <row r="55" ht="10.5" customHeight="1">
      <c r="B55" s="1691" t="n"/>
      <c r="C55" s="1690" t="inlineStr">
        <is>
          <t>Debt to EBITDA</t>
        </is>
      </c>
      <c r="E55" s="1696" t="inlineStr">
        <is>
          <t>=Debt/EBITDA</t>
        </is>
      </c>
    </row>
    <row r="56" ht="10.5" customHeight="1">
      <c r="B56" s="1691" t="n"/>
      <c r="C56" s="1690" t="inlineStr">
        <is>
          <t>Interest Coverage Ratio</t>
        </is>
      </c>
      <c r="E56" s="1696" t="inlineStr">
        <is>
          <t>=EBIT/Interest</t>
        </is>
      </c>
    </row>
    <row r="57" ht="10.5" customHeight="1">
      <c r="C57" s="1690" t="inlineStr">
        <is>
          <t>Debt Service Coverage Ratio (DSCR)</t>
        </is>
      </c>
      <c r="E57" s="1696" t="inlineStr">
        <is>
          <t>=(EBITDA-Capex)/(Interest+Principal)</t>
        </is>
      </c>
    </row>
    <row r="58" ht="10.5" customHeight="1">
      <c r="B58" s="1691" t="n"/>
      <c r="C58" s="1690" t="inlineStr">
        <is>
          <t>Fixed Interest Cover</t>
        </is>
      </c>
      <c r="E58" s="1696" t="inlineStr">
        <is>
          <t>=(EBITDA-Capex)/(Interest+Current Portion of LT Debt)</t>
        </is>
      </c>
    </row>
    <row r="59" ht="10.5" customHeight="1">
      <c r="B59" s="1691" t="n"/>
      <c r="C59" s="1690" t="inlineStr">
        <is>
          <t>Fixed Dividend Cover</t>
        </is>
      </c>
      <c r="E59" s="1696" t="inlineStr">
        <is>
          <t>=Net Income/Dividend Declared</t>
        </is>
      </c>
    </row>
    <row r="60" ht="10.5" customHeight="1">
      <c r="B60" s="1708" t="inlineStr">
        <is>
          <t>Stability Ratios</t>
        </is>
      </c>
      <c r="C60" s="1705" t="n"/>
      <c r="D60" s="1705" t="n"/>
      <c r="E60" s="1706" t="n"/>
      <c r="F60" s="1705" t="n"/>
      <c r="G60" s="1705" t="n"/>
    </row>
    <row r="61" ht="10.5" customHeight="1">
      <c r="C61" s="1690" t="inlineStr">
        <is>
          <t>Fixed Asset Ratio</t>
        </is>
      </c>
    </row>
    <row r="62" ht="10.5" customHeight="1">
      <c r="C62" s="1690" t="inlineStr">
        <is>
          <t>Ratio to current Assets to Fixed Assets</t>
        </is>
      </c>
      <c r="E62" s="1696" t="inlineStr">
        <is>
          <t>=Current Assets/Fixed Assets</t>
        </is>
      </c>
    </row>
    <row r="63" ht="10.5" customHeight="1">
      <c r="C63" s="1690" t="inlineStr">
        <is>
          <t>Propreitary Ratio</t>
        </is>
      </c>
      <c r="E63" s="1696" t="inlineStr">
        <is>
          <t>=Equity/Tangible Assets</t>
        </is>
      </c>
    </row>
    <row r="64" ht="10.5" customHeight="1">
      <c r="C64" s="1690" t="inlineStr">
        <is>
          <t>Net Operating Assets</t>
        </is>
      </c>
    </row>
    <row r="65" ht="10.5" customHeight="1">
      <c r="C65" s="1690" t="inlineStr">
        <is>
          <t>Aggregate Accruals (CFS)</t>
        </is>
      </c>
    </row>
    <row r="66" ht="10.5" customHeight="1">
      <c r="C66" s="1690" t="inlineStr">
        <is>
          <t>Accruals Ratio (CFS)</t>
        </is>
      </c>
      <c r="F66" s="1690" t="inlineStr">
        <is>
          <t>Earnings Quality</t>
        </is>
      </c>
    </row>
    <row r="67" ht="10.5" customHeight="1">
      <c r="B67" s="1691" t="n"/>
      <c r="C67" s="1690" t="inlineStr">
        <is>
          <t>Accruals Ratio (BS)</t>
        </is>
      </c>
      <c r="F67" s="1690" t="inlineStr">
        <is>
          <t>Earnings Quality</t>
        </is>
      </c>
    </row>
    <row r="69" ht="10.5" customHeight="1">
      <c r="C69" s="1698" t="inlineStr">
        <is>
          <t>FINANCIAL CHECKS:</t>
        </is>
      </c>
      <c r="D69" s="63" t="n"/>
      <c r="E69" s="63" t="n"/>
      <c r="F69" s="63" t="n"/>
      <c r="G69" s="63" t="n"/>
      <c r="H69" s="63" t="n"/>
      <c r="I69" s="63" t="n"/>
      <c r="J69" s="63" t="n"/>
      <c r="K69" s="63" t="n"/>
      <c r="L69" s="63" t="n"/>
      <c r="M69" s="63" t="n"/>
      <c r="N69" s="63" t="n"/>
      <c r="O69" s="63" t="n"/>
      <c r="P69" s="63" t="n"/>
      <c r="Q69" s="63" t="n"/>
    </row>
    <row r="70" ht="10.5" customHeight="1">
      <c r="C70" s="63" t="inlineStr">
        <is>
          <t>Interest Coverage</t>
        </is>
      </c>
      <c r="D70" s="228" t="n">
        <v>2</v>
      </c>
      <c r="E70" s="1968">
        <f>IF(SUM(F71:G71)=0,"OK",0)</f>
        <v/>
      </c>
      <c r="F70" s="1968">
        <f>IF(F71&gt;0,"CAUTION",0)</f>
        <v/>
      </c>
      <c r="G70" s="1968">
        <f>IF(G71&gt;0,"NOT OK",0)</f>
        <v/>
      </c>
      <c r="H70" s="63">
        <f>IF(H56&lt;1,"NOT OK",IF(H56&lt;$D$70,"CAUTION","OK"))</f>
        <v/>
      </c>
      <c r="I70" s="63">
        <f>IF(I56&lt;1,"NOT OK",IF(I56&lt;$D$70,"CAUTION","OK"))</f>
        <v/>
      </c>
      <c r="J70" s="63">
        <f>IF(J56&lt;1,"NOT OK",IF(J56&lt;$D$70,"CAUTION","OK"))</f>
        <v/>
      </c>
      <c r="K70" s="63">
        <f>IF(K56&lt;1,"NOT OK",IF(K56&lt;$D$70,"CAUTION","OK"))</f>
        <v/>
      </c>
      <c r="L70" s="63">
        <f>IF(L56&lt;1,"NOT OK",IF(L56&lt;$D$70,"CAUTION","OK"))</f>
        <v/>
      </c>
      <c r="M70" s="63">
        <f>IF(M56&lt;1,"NOT OK",IF(M56&lt;$D$70,"CAUTION","OK"))</f>
        <v/>
      </c>
      <c r="N70" s="63">
        <f>IF(N56&lt;1,"NOT OK",IF(N56&lt;$D$70,"CAUTION","OK"))</f>
        <v/>
      </c>
      <c r="O70" s="63">
        <f>IF(O56&lt;1,"NOT OK",IF(O56&lt;$D$70,"CAUTION","OK"))</f>
        <v/>
      </c>
      <c r="P70" s="63">
        <f>IF(P56&lt;1,"NOT OK",IF(P56&lt;$D$70,"CAUTION","OK"))</f>
        <v/>
      </c>
      <c r="Q70" s="63">
        <f>IF(Q56&lt;1,"NOT OK",IF(Q56&lt;$D$70,"CAUTION","OK"))</f>
        <v/>
      </c>
      <c r="R70" s="63">
        <f>IF(R56&lt;1,"NOT OK",IF(R56&lt;$D$70,"CAUTION","OK"))</f>
        <v/>
      </c>
    </row>
    <row r="71" ht="10.5" customHeight="1">
      <c r="C71" s="63" t="n"/>
      <c r="D71" s="63" t="n"/>
      <c r="E71" s="63" t="n"/>
      <c r="F71" s="1969">
        <f>COUNTIF($K$17:$O$17,"CAUTION")</f>
        <v/>
      </c>
      <c r="G71" s="1969">
        <f>COUNTIF($K$17:$O$17,"NOT OK")</f>
        <v/>
      </c>
      <c r="H71" s="63" t="n"/>
      <c r="I71" s="63" t="n"/>
      <c r="J71" s="63" t="n"/>
      <c r="K71" s="63" t="n"/>
      <c r="L71" s="63" t="n"/>
      <c r="M71" s="63" t="n"/>
      <c r="N71" s="63" t="n"/>
      <c r="O71" s="63" t="n"/>
      <c r="P71" s="63" t="n"/>
      <c r="Q71" s="63" t="n"/>
    </row>
    <row r="72" ht="10.5" customHeight="1">
      <c r="C72" s="63" t="inlineStr">
        <is>
          <t>Operating Cash Flows</t>
        </is>
      </c>
      <c r="D72" s="63" t="n"/>
      <c r="E72" s="1968">
        <f>IF(SUM(F73:G73)=0,"HEALTHY",0)</f>
        <v/>
      </c>
      <c r="F72" s="1968">
        <f>IF(F73&gt;0,"POSITIVE",0)</f>
        <v/>
      </c>
      <c r="G72" s="1968">
        <f>IF(G73&gt;0,"NEGATIVE",0)</f>
        <v/>
      </c>
      <c r="H72" s="63" t="n"/>
      <c r="I72" s="63" t="n"/>
      <c r="J72" s="63" t="n"/>
      <c r="K72" s="63" t="n"/>
      <c r="L72" s="63">
        <f>IF([6]Model!L114&gt;=-(IF(SUM([6]Model!L121,[6]Model!L133)&lt;0,SUM([6]Model!L121,[6]Model!L133),0)),"HEALTHY",IF([6]Model!L114&gt;0,"POSITIVE","NEGATIVE"))</f>
        <v/>
      </c>
      <c r="M72" s="63">
        <f>IF([6]Model!M114&gt;=-(IF(SUM([6]Model!M121,[6]Model!M133)&lt;0,SUM([6]Model!M121,[6]Model!M133),0)),"HEALTHY",IF([6]Model!M114&gt;0,"POSITIVE","NEGATIVE"))</f>
        <v/>
      </c>
      <c r="N72" s="63">
        <f>IF([6]Model!N114&gt;=-(IF(SUM([6]Model!N121,[6]Model!N133)&lt;0,SUM([6]Model!N121,[6]Model!N133),0)),"HEALTHY",IF([6]Model!N114&gt;0,"POSITIVE","NEGATIVE"))</f>
        <v/>
      </c>
      <c r="O72" s="63">
        <f>IF([6]Model!O114&gt;=-(IF(SUM([6]Model!O121,[6]Model!O133)&lt;0,SUM([6]Model!O121,[6]Model!O133),0)),"HEALTHY",IF([6]Model!O114&gt;0,"POSITIVE","NEGATIVE"))</f>
        <v/>
      </c>
      <c r="P72" s="63">
        <f>IF([6]Model!P114&gt;=-(IF(SUM([6]Model!P121,[6]Model!P133)&lt;0,SUM([6]Model!P121,[6]Model!P133),0)),"HEALTHY",IF([6]Model!P114&gt;0,"POSITIVE","NEGATIVE"))</f>
        <v/>
      </c>
      <c r="Q72" s="63" t="n"/>
    </row>
    <row r="73" ht="10.5" customHeight="1">
      <c r="C73" s="63" t="n"/>
      <c r="D73" s="63" t="n"/>
      <c r="E73" s="1701" t="n"/>
      <c r="F73" s="1970">
        <f>COUNTIF(L72:P72,"POSITIVE")</f>
        <v/>
      </c>
      <c r="G73" s="1970">
        <f>COUNTIF(L72:P72,"NEGATIVE")</f>
        <v/>
      </c>
      <c r="H73" s="63" t="n"/>
      <c r="I73" s="63" t="n"/>
      <c r="J73" s="63" t="n"/>
      <c r="K73" s="63" t="n"/>
      <c r="L73" s="63" t="n"/>
      <c r="M73" s="63" t="n"/>
      <c r="N73" s="63" t="n"/>
      <c r="O73" s="63" t="n"/>
      <c r="P73" s="63" t="n"/>
      <c r="Q73" s="63" t="n"/>
    </row>
    <row r="74" ht="10.5" customHeight="1">
      <c r="C74" s="63" t="inlineStr">
        <is>
          <t>Cash Conversion Cycle</t>
        </is>
      </c>
      <c r="D74" s="63" t="n"/>
      <c r="E74" s="1702">
        <f>IF(F75=0,"POSITIVE","NEGATIVE")</f>
        <v/>
      </c>
      <c r="F74" s="1970" t="n"/>
      <c r="G74" s="1970" t="n"/>
      <c r="H74" s="63" t="n"/>
      <c r="I74" s="63" t="n"/>
      <c r="J74" s="63" t="n"/>
      <c r="K74" s="63" t="n"/>
      <c r="L74" s="63">
        <f>IF([6]Ratios!G79&gt;0,"Positive",IF([6]Ratios!G79=0,"NIL","Negative"))</f>
        <v/>
      </c>
      <c r="M74" s="63">
        <f>IF([6]Ratios!H79&gt;0,"Positive",IF([6]Ratios!H79=0,"NIL","Negative"))</f>
        <v/>
      </c>
      <c r="N74" s="63">
        <f>IF([6]Ratios!I79&gt;0,"Positive",IF([6]Ratios!I79=0,"NIL","Negative"))</f>
        <v/>
      </c>
      <c r="O74" s="63">
        <f>IF([6]Ratios!J79&gt;0,"Positive",IF([6]Ratios!J79=0,"NIL","Negative"))</f>
        <v/>
      </c>
      <c r="P74" s="63">
        <f>IF([6]Ratios!K79&gt;0,"Positive",IF([6]Ratios!K79=0,"NIL","Negative"))</f>
        <v/>
      </c>
      <c r="Q74" s="63" t="n"/>
    </row>
    <row r="75" ht="10.5" customHeight="1">
      <c r="C75" s="63" t="n"/>
      <c r="D75" s="63" t="n"/>
      <c r="E75" s="1703">
        <f>COUNTIF(L74:P74,"Positive")</f>
        <v/>
      </c>
      <c r="F75" s="1970">
        <f>COUNTIF(L74:P74,"Negative")</f>
        <v/>
      </c>
      <c r="G75" s="1970" t="n"/>
      <c r="H75" s="63" t="n"/>
      <c r="I75" s="63" t="n"/>
      <c r="J75" s="63" t="n"/>
      <c r="K75" s="63" t="n"/>
      <c r="L75" s="63" t="n"/>
      <c r="M75" s="63" t="n"/>
      <c r="N75" s="63" t="n"/>
      <c r="O75" s="63" t="n"/>
      <c r="P75" s="63" t="n"/>
      <c r="Q75" s="63" t="n"/>
    </row>
  </sheetData>
  <conditionalFormatting sqref="H70:R70 K71:P75 L69:P69">
    <cfRule type="containsText" priority="17" operator="containsText" dxfId="25" text="Over-depreciated">
      <formula>NOT(ISERROR(SEARCH("Over-depreciated",H69)))</formula>
    </cfRule>
    <cfRule type="containsText" priority="18" operator="containsText" dxfId="22" text="ok">
      <formula>NOT(ISERROR(SEARCH("ok",H69)))</formula>
    </cfRule>
  </conditionalFormatting>
  <conditionalFormatting sqref="H70:R70">
    <cfRule type="containsText" priority="15" operator="containsText" dxfId="23" text="CAUTION">
      <formula>NOT(ISERROR(SEARCH("CAUTION",H70)))</formula>
    </cfRule>
    <cfRule type="containsText" priority="16" operator="containsText" dxfId="25" text="NOT OK">
      <formula>NOT(ISERROR(SEARCH("NOT OK",H70)))</formula>
    </cfRule>
  </conditionalFormatting>
  <conditionalFormatting sqref="E74">
    <cfRule type="containsText" priority="4" operator="containsText" dxfId="37" text="NEGATIVE">
      <formula>NOT(ISERROR(SEARCH("NEGATIVE",E74)))</formula>
    </cfRule>
    <cfRule type="containsText" priority="5" operator="containsText" dxfId="36" text="POSITIVE">
      <formula>NOT(ISERROR(SEARCH("POSITIVE",E74)))</formula>
    </cfRule>
  </conditionalFormatting>
  <conditionalFormatting sqref="L74:P74">
    <cfRule type="containsText" priority="1" operator="containsText" dxfId="23" text="NIL">
      <formula>NOT(ISERROR(SEARCH("NIL",L74)))</formula>
    </cfRule>
    <cfRule type="containsText" priority="2" operator="containsText" dxfId="25" text="Negative">
      <formula>NOT(ISERROR(SEARCH("Negative",L74)))</formula>
    </cfRule>
    <cfRule type="containsText" priority="3" operator="containsText" dxfId="22" text="Positive">
      <formula>NOT(ISERROR(SEARCH("Positive",L74)))</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B1:N52"/>
  <sheetViews>
    <sheetView showGridLines="0" zoomScale="76" workbookViewId="0">
      <pane ySplit="6" topLeftCell="A7" activePane="bottomLeft" state="frozen"/>
      <selection pane="bottomLeft" activeCell="G24" sqref="G24"/>
    </sheetView>
  </sheetViews>
  <sheetFormatPr baseColWidth="8" defaultColWidth="0" defaultRowHeight="16.5"/>
  <cols>
    <col width="2.23046875" customWidth="1" style="730" min="1" max="2"/>
    <col width="17.3828125" customWidth="1" style="730" min="3" max="3"/>
    <col width="26.921875" bestFit="1" customWidth="1" style="730" min="4" max="4"/>
    <col width="34.15234375" bestFit="1" customWidth="1" style="730" min="5" max="5"/>
    <col width="28.07421875" customWidth="1" style="730" min="6" max="6"/>
    <col width="16.3828125" customWidth="1" style="1202" min="7" max="7"/>
    <col width="14.921875" bestFit="1" customWidth="1" style="730" min="8" max="8"/>
    <col width="34" bestFit="1" customWidth="1" style="730" min="9" max="9"/>
    <col width="26.3828125" bestFit="1" customWidth="1" style="730" min="10" max="10"/>
    <col width="7.23046875" customWidth="1" style="730" min="11" max="15"/>
    <col hidden="1" style="730" min="16" max="21"/>
    <col hidden="1" width="7.23046875" customWidth="1" style="730" min="22" max="16384"/>
  </cols>
  <sheetData>
    <row r="1">
      <c r="I1" s="1971" t="n"/>
    </row>
    <row r="2">
      <c r="I2" s="1971" t="n"/>
    </row>
    <row r="3">
      <c r="I3" s="1971" t="n"/>
    </row>
    <row r="4">
      <c r="B4" s="1200" t="inlineStr">
        <is>
          <t>Valify Flags on Management Forecasts</t>
        </is>
      </c>
      <c r="C4" s="1201" t="n"/>
      <c r="D4" s="1201" t="n"/>
      <c r="E4" s="1201" t="n"/>
      <c r="F4" s="1201" t="n"/>
      <c r="G4" s="1203" t="n"/>
      <c r="H4" s="1201" t="n"/>
      <c r="I4" s="1201" t="n"/>
      <c r="J4" s="1201" t="n"/>
      <c r="K4" s="1201" t="n"/>
      <c r="L4" s="1201" t="n"/>
      <c r="M4" s="1201" t="n"/>
      <c r="N4" s="1201" t="n"/>
    </row>
    <row r="5" ht="15" customHeight="1">
      <c r="B5" s="732" t="n"/>
      <c r="C5" s="732" t="n"/>
      <c r="D5" s="733" t="inlineStr">
        <is>
          <t>Flag Label</t>
        </is>
      </c>
      <c r="E5" s="733" t="inlineStr">
        <is>
          <t>Screening Criteria</t>
        </is>
      </c>
      <c r="F5" s="1830" t="inlineStr">
        <is>
          <t>Screening Data</t>
        </is>
      </c>
      <c r="G5" s="1972" t="n"/>
      <c r="H5" s="1972" t="n"/>
      <c r="I5" s="733" t="inlineStr">
        <is>
          <t>Flag</t>
        </is>
      </c>
      <c r="J5" s="734" t="inlineStr">
        <is>
          <t>Action</t>
        </is>
      </c>
      <c r="K5" s="733" t="inlineStr">
        <is>
          <t>Suggested sensitivity</t>
        </is>
      </c>
      <c r="L5" s="732" t="n"/>
      <c r="M5" s="732" t="n"/>
      <c r="N5" s="732" t="n"/>
    </row>
    <row r="6">
      <c r="B6" s="732" t="n"/>
      <c r="C6" s="732" t="n"/>
      <c r="D6" s="733" t="n"/>
      <c r="E6" s="733" t="n"/>
      <c r="F6" s="1205" t="inlineStr">
        <is>
          <t>Unit Label</t>
        </is>
      </c>
      <c r="G6" s="1206" t="inlineStr">
        <is>
          <t>Market/Criteria</t>
        </is>
      </c>
      <c r="H6" s="1205" t="inlineStr">
        <is>
          <t>Subject Company</t>
        </is>
      </c>
      <c r="I6" s="733" t="n"/>
      <c r="J6" s="734" t="n"/>
      <c r="K6" s="733" t="n"/>
      <c r="L6" s="732" t="n"/>
      <c r="M6" s="732" t="n"/>
      <c r="N6" s="732" t="n"/>
    </row>
    <row r="7">
      <c r="B7" s="1198" t="inlineStr">
        <is>
          <t>Revenue sensitivities:</t>
        </is>
      </c>
      <c r="C7" s="1198" t="n"/>
      <c r="D7" s="1199" t="n"/>
      <c r="E7" s="1199" t="n"/>
      <c r="F7" s="1199" t="n"/>
      <c r="G7" s="1204" t="n"/>
      <c r="H7" s="1199" t="n"/>
      <c r="I7" s="1199" t="n"/>
      <c r="J7" s="1199" t="n"/>
      <c r="K7" s="1199" t="n"/>
      <c r="L7" s="1199" t="n"/>
      <c r="M7" s="1199" t="n"/>
      <c r="N7" s="1199" t="n"/>
    </row>
    <row r="8">
      <c r="C8" s="730" t="inlineStr">
        <is>
          <t>Revenue growth</t>
        </is>
      </c>
      <c r="D8" s="730" t="inlineStr">
        <is>
          <t>Aggressive revenue growth flag</t>
        </is>
      </c>
      <c r="E8" s="730" t="inlineStr">
        <is>
          <t>&gt;5% growth p.a.</t>
        </is>
      </c>
      <c r="F8" s="730" t="inlineStr">
        <is>
          <t>Average Annual Revenue Growth</t>
        </is>
      </c>
      <c r="G8" s="1230" t="n">
        <v>0.05</v>
      </c>
      <c r="H8" s="735">
        <f>MEDIAN(IS!M67:Q67)</f>
        <v/>
      </c>
      <c r="I8" s="736">
        <f>IF(H8&gt;G8,"Forecasted revenue growth is too aggressive","OK")</f>
        <v/>
      </c>
      <c r="K8" s="730" t="inlineStr">
        <is>
          <t>Cap to historical/market growth rate</t>
        </is>
      </c>
    </row>
    <row r="9">
      <c r="D9" s="730" t="inlineStr">
        <is>
          <t>Declining revenue growth flag</t>
        </is>
      </c>
      <c r="E9" s="730" t="inlineStr">
        <is>
          <t>&lt;0% growth p.a.</t>
        </is>
      </c>
      <c r="F9" s="730" t="inlineStr">
        <is>
          <t>Revenue across forecast</t>
        </is>
      </c>
      <c r="G9" s="1230" t="n">
        <v>0</v>
      </c>
      <c r="H9" s="730">
        <f>COUNTIF(IS!M75:Q75,1)</f>
        <v/>
      </c>
      <c r="J9" s="730" t="inlineStr">
        <is>
          <t>&lt;Add warning message on the report&gt;</t>
        </is>
      </c>
    </row>
    <row r="10">
      <c r="D10" s="730" t="inlineStr">
        <is>
          <t>Market revenue growth rate check</t>
        </is>
      </c>
      <c r="E10" s="730" t="inlineStr">
        <is>
          <t>More than 5% difference in growth rates</t>
        </is>
      </c>
      <c r="J10" s="736" t="n"/>
      <c r="K10" s="730" t="inlineStr">
        <is>
          <t>Adopt market growth rate</t>
        </is>
      </c>
    </row>
    <row r="11">
      <c r="J11" s="736" t="n"/>
    </row>
    <row r="12">
      <c r="C12" s="730" t="inlineStr">
        <is>
          <t>Revenue Dependency</t>
        </is>
      </c>
      <c r="D12" s="730" t="inlineStr">
        <is>
          <t>Base Stayer</t>
        </is>
      </c>
      <c r="E12" s="730" t="inlineStr">
        <is>
          <t>&gt;70% of revenue is existing business</t>
        </is>
      </c>
      <c r="F12" s="730" t="inlineStr">
        <is>
          <t>Revenue Contribution</t>
        </is>
      </c>
      <c r="G12" s="1230" t="n">
        <v>0.7</v>
      </c>
      <c r="H12" s="735">
        <f>AVERAGE(IS_Calcs!N72:R72)</f>
        <v/>
      </c>
      <c r="I12" s="730">
        <f>IF(H12&gt;G12,D12,"-")</f>
        <v/>
      </c>
      <c r="J12" s="730" t="inlineStr">
        <is>
          <t>&lt;Add warning message on the report&gt;</t>
        </is>
      </c>
    </row>
    <row r="13">
      <c r="D13" s="730" t="inlineStr">
        <is>
          <t>Change Maker</t>
        </is>
      </c>
      <c r="E13" s="730" t="inlineStr">
        <is>
          <t>&gt;70% of revenue is pipeline business</t>
        </is>
      </c>
      <c r="F13" s="730" t="inlineStr">
        <is>
          <t>Revenue Contribution</t>
        </is>
      </c>
      <c r="G13" s="1230" t="n">
        <v>0.7</v>
      </c>
      <c r="H13" s="735">
        <f>AVERAGE(IS_Calcs!N73:R73)</f>
        <v/>
      </c>
      <c r="I13" s="730">
        <f>IF(H13&gt;G13,D13,"-")</f>
        <v/>
      </c>
      <c r="J13" s="730" t="inlineStr">
        <is>
          <t>&lt;Add warning message on the report&gt;</t>
        </is>
      </c>
    </row>
    <row r="14">
      <c r="D14" s="730" t="inlineStr">
        <is>
          <t>Hope Leaner</t>
        </is>
      </c>
      <c r="E14" s="730" t="inlineStr">
        <is>
          <t>&gt;70% of revenue is potential business</t>
        </is>
      </c>
      <c r="F14" s="730" t="inlineStr">
        <is>
          <t>Revenue Contribution</t>
        </is>
      </c>
      <c r="G14" s="1230" t="n">
        <v>0.7</v>
      </c>
      <c r="H14" s="735">
        <f>AVERAGE(IS_Calcs!N74:R74)</f>
        <v/>
      </c>
      <c r="I14" s="730">
        <f>IF(H14&gt;G14,D14,"-")</f>
        <v/>
      </c>
      <c r="J14" s="730" t="inlineStr">
        <is>
          <t>&lt;Add warning message on the report&gt;</t>
        </is>
      </c>
    </row>
    <row r="15">
      <c r="J15" s="736" t="n"/>
    </row>
    <row r="16">
      <c r="B16" s="1198" t="inlineStr">
        <is>
          <t>Cost Sensitivities</t>
        </is>
      </c>
      <c r="C16" s="1198" t="n"/>
      <c r="D16" s="1199" t="n"/>
      <c r="E16" s="1199" t="n"/>
      <c r="F16" s="1199" t="n"/>
      <c r="G16" s="1204" t="n"/>
      <c r="H16" s="1199" t="n"/>
      <c r="I16" s="1199" t="n"/>
      <c r="J16" s="1199" t="n"/>
      <c r="K16" s="1199" t="n"/>
      <c r="L16" s="1199" t="n"/>
      <c r="M16" s="1199" t="n"/>
      <c r="N16" s="1199" t="n"/>
    </row>
    <row r="17">
      <c r="C17" s="730" t="inlineStr">
        <is>
          <t>Direct Costs</t>
        </is>
      </c>
      <c r="D17" s="730" t="inlineStr">
        <is>
          <t>COGS decline</t>
        </is>
      </c>
      <c r="E17" s="730" t="inlineStr">
        <is>
          <t>COGS as a % of revenue declining &gt;2%</t>
        </is>
      </c>
      <c r="F17" s="730" t="inlineStr">
        <is>
          <t>COGS as % of Revenue</t>
        </is>
      </c>
      <c r="G17" s="1230" t="n">
        <v>0.05</v>
      </c>
      <c r="H17" s="737">
        <f>IS!R68-IS!M68</f>
        <v/>
      </c>
      <c r="I17" s="730">
        <f>IF(H17&gt;G17,"Aggressive decline in COGS as a % of Revenue","-")</f>
        <v/>
      </c>
      <c r="J17" s="736" t="inlineStr">
        <is>
          <t>Rationale?</t>
        </is>
      </c>
      <c r="K17" s="730" t="inlineStr">
        <is>
          <t>If not, adopt historical/market</t>
        </is>
      </c>
    </row>
    <row r="18">
      <c r="D18" s="730" t="inlineStr">
        <is>
          <t>COGS Historical check</t>
        </is>
      </c>
      <c r="F18" s="730" t="inlineStr">
        <is>
          <t>COGS as % of Revenue</t>
        </is>
      </c>
      <c r="G18" s="1230" t="n">
        <v>-0.03</v>
      </c>
      <c r="H18" s="737">
        <f>IS!M68-IS!J68</f>
        <v/>
      </c>
      <c r="I18" s="730">
        <f>IF(H18&lt;=G18,"Forecasted COGS levels are distinctly lower than last historical year","-")</f>
        <v/>
      </c>
      <c r="J18" s="736" t="inlineStr">
        <is>
          <t>Rationale?</t>
        </is>
      </c>
      <c r="K18" s="730" t="inlineStr">
        <is>
          <t>If not, adopt historical/market</t>
        </is>
      </c>
    </row>
    <row r="19">
      <c r="D19" s="730" t="inlineStr">
        <is>
          <t>Market profitability check</t>
        </is>
      </c>
      <c r="E19" s="730" t="inlineStr">
        <is>
          <t>More than 5% difference in growth rates</t>
        </is>
      </c>
      <c r="G19" s="1230" t="inlineStr">
        <is>
          <t>5% corridor</t>
        </is>
      </c>
      <c r="J19" s="736" t="n"/>
      <c r="K19" s="730" t="inlineStr">
        <is>
          <t>Adopt market growth rate</t>
        </is>
      </c>
    </row>
    <row r="20">
      <c r="D20" s="730" t="inlineStr">
        <is>
          <t>COGS rising</t>
        </is>
      </c>
      <c r="E20" s="730" t="inlineStr">
        <is>
          <t>If COGS in Year 5 &gt; COGS in Year 1</t>
        </is>
      </c>
      <c r="F20" s="730" t="inlineStr">
        <is>
          <t>COGS as % of Revenue</t>
        </is>
      </c>
      <c r="G20" s="1230" t="n">
        <v>0.05</v>
      </c>
      <c r="H20" s="735">
        <f>IS!R68-IS!M68</f>
        <v/>
      </c>
      <c r="I20" s="730">
        <f>IF(H20&gt;G20,"Forecasted COGS levels are rising more than reasonable levels","-")</f>
        <v/>
      </c>
      <c r="J20" s="730" t="inlineStr">
        <is>
          <t>&lt;Add warning message on the report&gt;</t>
        </is>
      </c>
    </row>
    <row r="21">
      <c r="J21" s="736" t="n"/>
    </row>
    <row r="22">
      <c r="B22" s="1198" t="inlineStr">
        <is>
          <t>Operating Expenses</t>
        </is>
      </c>
      <c r="C22" s="1198" t="n"/>
      <c r="D22" s="1199" t="n"/>
      <c r="E22" s="1199" t="n"/>
      <c r="F22" s="1199" t="n"/>
      <c r="G22" s="1204" t="n"/>
      <c r="H22" s="1199" t="n"/>
      <c r="I22" s="1199" t="n"/>
      <c r="J22" s="1199" t="n"/>
      <c r="K22" s="1199" t="n"/>
      <c r="L22" s="1199" t="n"/>
      <c r="M22" s="1199" t="n"/>
      <c r="N22" s="1199" t="n"/>
    </row>
    <row r="23">
      <c r="C23" s="730" t="inlineStr">
        <is>
          <t>Employee Cost</t>
        </is>
      </c>
      <c r="D23" s="730" t="inlineStr">
        <is>
          <t>Staff utilization</t>
        </is>
      </c>
      <c r="E23" s="730" t="inlineStr">
        <is>
          <t>Constant staff vs aggressive revenue growth</t>
        </is>
      </c>
      <c r="G23" s="1231" t="n"/>
      <c r="H23" s="1232" t="n"/>
      <c r="I23" s="1232" t="n"/>
      <c r="J23" s="736" t="n"/>
    </row>
    <row r="24">
      <c r="D24" s="730" t="inlineStr">
        <is>
          <t>Salary increment check</t>
        </is>
      </c>
      <c r="F24" s="730" t="inlineStr">
        <is>
          <t>Average annual salary growth</t>
        </is>
      </c>
      <c r="G24" s="1230" t="n">
        <v>0.05</v>
      </c>
      <c r="I24" s="730">
        <f>IF(H24&lt;G24,"It is likely that the business is underestimating salary inflation over forecast period","-")</f>
        <v/>
      </c>
      <c r="J24" s="736" t="inlineStr">
        <is>
          <t>Rationale?</t>
        </is>
      </c>
      <c r="K24" s="730" t="inlineStr">
        <is>
          <t>Adopt market growth rate</t>
        </is>
      </c>
    </row>
    <row r="25" ht="14" customHeight="1">
      <c r="J25" s="736" t="n"/>
    </row>
    <row r="26" ht="14" customHeight="1">
      <c r="C26" s="730" t="inlineStr">
        <is>
          <t>Depreciation</t>
        </is>
      </c>
      <c r="D26" s="730" t="inlineStr">
        <is>
          <t>Depreciation Review</t>
        </is>
      </c>
      <c r="E26" s="730" t="inlineStr">
        <is>
          <t>&gt; 20% of the business</t>
        </is>
      </c>
      <c r="F26" s="730" t="inlineStr">
        <is>
          <t>Avg. Depreciation as a % of Revenue</t>
        </is>
      </c>
      <c r="G26" s="1230" t="n">
        <v>0.2</v>
      </c>
      <c r="H26" s="735">
        <f>-SUM(IS!M56:R56)/SUM(IS!M23:R23)</f>
        <v/>
      </c>
      <c r="I26" s="730">
        <f>IF(H26&gt;G26,"The business is writing off significant depreciation over forecast period","-")</f>
        <v/>
      </c>
      <c r="J26" s="736" t="inlineStr">
        <is>
          <t>Rationale?</t>
        </is>
      </c>
    </row>
    <row r="27" ht="14" customHeight="1">
      <c r="J27" s="736" t="n"/>
    </row>
    <row r="28" ht="14" customHeight="1">
      <c r="C28" s="730" t="inlineStr">
        <is>
          <t>Finance cost</t>
        </is>
      </c>
      <c r="D28" s="730" t="inlineStr">
        <is>
          <t>Finance Cost Review</t>
        </is>
      </c>
      <c r="E28" s="730" t="inlineStr">
        <is>
          <t>&gt; 20% of the business</t>
        </is>
      </c>
      <c r="F28" s="730" t="inlineStr">
        <is>
          <t>Avg. Finance Cost as a % of Revenue</t>
        </is>
      </c>
      <c r="G28" s="1230" t="n">
        <v>0.2</v>
      </c>
      <c r="H28" s="735">
        <f>-SUM(IS!M59:R59)/SUM(IS!M23:R23)</f>
        <v/>
      </c>
      <c r="I28" s="730">
        <f>IF(H28&gt;G28,"The business is is expected to bear significant finance costs over forecast period","-")</f>
        <v/>
      </c>
      <c r="J28" s="736" t="inlineStr">
        <is>
          <t>Rationale?</t>
        </is>
      </c>
    </row>
    <row r="29" ht="14" customHeight="1">
      <c r="J29" s="736" t="n"/>
    </row>
    <row r="30" ht="14" customHeight="1">
      <c r="C30" s="730" t="inlineStr">
        <is>
          <t>EBITDA margin</t>
        </is>
      </c>
      <c r="D30" s="730" t="inlineStr">
        <is>
          <t>EBITDA Margin - Market rate check</t>
        </is>
      </c>
      <c r="E30" s="730" t="inlineStr">
        <is>
          <t>More than 5% difference</t>
        </is>
      </c>
      <c r="F30" s="730" t="inlineStr">
        <is>
          <t>Average Forecasted EBITDA Margin</t>
        </is>
      </c>
      <c r="G30" s="1230" t="n">
        <v>0.05</v>
      </c>
      <c r="H30" s="735">
        <f>MEDIAN(IS!M71:R71)</f>
        <v/>
      </c>
      <c r="I30" s="1232" t="n"/>
      <c r="J30" s="736" t="inlineStr">
        <is>
          <t>Rationale?</t>
        </is>
      </c>
      <c r="K30" s="730" t="inlineStr">
        <is>
          <t>Adopt market rate</t>
        </is>
      </c>
    </row>
    <row r="31" ht="14" customHeight="1">
      <c r="H31" s="735" t="n"/>
      <c r="J31" s="736" t="n"/>
    </row>
    <row r="32" ht="14" customHeight="1">
      <c r="C32" s="730" t="inlineStr">
        <is>
          <t>NWC as a % of sales</t>
        </is>
      </c>
      <c r="D32" s="730" t="inlineStr">
        <is>
          <t>NWC Market rate check</t>
        </is>
      </c>
      <c r="E32" s="730" t="inlineStr">
        <is>
          <t>More than 5% difference</t>
        </is>
      </c>
      <c r="F32" s="730" t="inlineStr">
        <is>
          <t>Average NWC as a % of sales</t>
        </is>
      </c>
      <c r="G32" s="1230" t="n">
        <v>0.05</v>
      </c>
      <c r="H32" s="737">
        <f>AVERAGE(BS_Calc!M34:R34)</f>
        <v/>
      </c>
      <c r="I32" s="1232" t="n"/>
      <c r="J32" s="736" t="inlineStr">
        <is>
          <t>Rationale?</t>
        </is>
      </c>
      <c r="K32" s="730" t="inlineStr">
        <is>
          <t>Adopt market rate</t>
        </is>
      </c>
    </row>
    <row r="33" ht="14" customHeight="1">
      <c r="J33" s="736" t="n"/>
    </row>
    <row r="34" ht="14" customHeight="1">
      <c r="C34" s="730" t="inlineStr">
        <is>
          <t>Capex</t>
        </is>
      </c>
      <c r="D34" s="730" t="inlineStr">
        <is>
          <t>Heavy Investor check</t>
        </is>
      </c>
      <c r="E34" s="730" t="inlineStr">
        <is>
          <t>If Annual Capex &gt; 20% of revenue</t>
        </is>
      </c>
      <c r="F34" s="730" t="inlineStr">
        <is>
          <t>Capex as a % of Revenue</t>
        </is>
      </c>
      <c r="G34" s="1230" t="n">
        <v>0.2</v>
      </c>
      <c r="H34" s="735">
        <f>SUM(BS_Calc!M61:R61)/SUM(IS!M23:R23)</f>
        <v/>
      </c>
      <c r="I34" s="730">
        <f>IF(H34&gt;G34,"The business is is expected to heavily invest in capital expenditure over forecast period","-")</f>
        <v/>
      </c>
      <c r="J34" s="730" t="inlineStr">
        <is>
          <t>&lt;Add warning message on the report&gt;</t>
        </is>
      </c>
    </row>
    <row r="35" ht="14" customHeight="1">
      <c r="D35" s="730" t="inlineStr">
        <is>
          <t>ROA on capex</t>
        </is>
      </c>
      <c r="E35" s="730" t="inlineStr">
        <is>
          <t>If ROA on Capex is less than 5%</t>
        </is>
      </c>
      <c r="F35" s="730" t="inlineStr">
        <is>
          <t>Return on Assets</t>
        </is>
      </c>
      <c r="G35" s="1230" t="n">
        <v>0.05</v>
      </c>
      <c r="I35" s="1232" t="n"/>
      <c r="J35" s="730" t="inlineStr">
        <is>
          <t>&lt;Add warning message on the report&gt;</t>
        </is>
      </c>
    </row>
    <row r="36" ht="14" customHeight="1">
      <c r="J36" s="736" t="n"/>
    </row>
    <row r="37" ht="14" customHeight="1">
      <c r="J37" s="736" t="n"/>
    </row>
    <row r="38" ht="14" customHeight="1">
      <c r="J38" s="736" t="n"/>
    </row>
    <row r="39" ht="14" customHeight="1">
      <c r="J39" s="736" t="n"/>
    </row>
    <row r="40" ht="14" customHeight="1">
      <c r="J40" s="736" t="n"/>
    </row>
    <row r="41" ht="14" customHeight="1">
      <c r="J41" s="736" t="n"/>
    </row>
    <row r="42" ht="14" customHeight="1">
      <c r="J42" s="736" t="n"/>
    </row>
    <row r="43" ht="14" customHeight="1">
      <c r="J43" s="736" t="n"/>
    </row>
    <row r="44" ht="14" customHeight="1">
      <c r="J44" s="736" t="n"/>
    </row>
    <row r="45" ht="14" customHeight="1">
      <c r="J45" s="736" t="n"/>
    </row>
    <row r="46" ht="14" customHeight="1">
      <c r="J46" s="736" t="n"/>
    </row>
    <row r="47" ht="14" customHeight="1">
      <c r="J47" s="736" t="n"/>
    </row>
    <row r="48" ht="14" customHeight="1">
      <c r="J48" s="736" t="n"/>
    </row>
    <row r="49" ht="14" customHeight="1">
      <c r="J49" s="736" t="n"/>
    </row>
    <row r="50" ht="14" customHeight="1">
      <c r="J50" s="736" t="n"/>
    </row>
    <row r="51" ht="14" customHeight="1">
      <c r="J51" s="736" t="n"/>
    </row>
    <row r="52" ht="14" customHeight="1">
      <c r="J52" s="736" t="n"/>
    </row>
  </sheetData>
  <mergeCells count="1">
    <mergeCell ref="F5:H5"/>
  </mergeCells>
  <pageMargins left="0.7" right="0.7" top="0.75" bottom="0.75" header="0.3" footer="0.3"/>
</worksheet>
</file>

<file path=xl/worksheets/sheet17.xml><?xml version="1.0" encoding="utf-8"?>
<worksheet xmlns="http://schemas.openxmlformats.org/spreadsheetml/2006/main">
  <sheetPr codeName="Sheet2" transitionEvaluation="1">
    <tabColor rgb="FFA8E0B8"/>
    <outlinePr summaryBelow="1" summaryRight="1"/>
    <pageSetUpPr fitToPage="1"/>
  </sheetPr>
  <dimension ref="B2:V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baseColWidth="8" defaultColWidth="0" defaultRowHeight="11.5" outlineLevelRow="1"/>
  <cols>
    <col width="1.61328125" customWidth="1" style="259" min="1" max="1"/>
    <col width="1.921875" customWidth="1" style="259" min="2" max="2"/>
    <col width="2.84375" customWidth="1" style="259" min="3" max="4"/>
    <col width="27.84375" customWidth="1" style="259" min="5" max="5"/>
    <col width="7.84375" customWidth="1" style="259" min="6" max="6"/>
    <col width="9.84375" customWidth="1" style="259" min="7" max="19"/>
    <col width="5.61328125" bestFit="1" customWidth="1" style="1007" min="20" max="20"/>
    <col width="9.15234375" bestFit="1" customWidth="1" style="1007" min="21" max="21"/>
    <col width="12.84375" bestFit="1" customWidth="1" style="259" min="22" max="22"/>
    <col width="9.84375" customWidth="1" style="259" min="23" max="23"/>
    <col hidden="1" style="259" min="24" max="24"/>
    <col hidden="1" width="9.84375" customWidth="1" style="259" min="25" max="16384"/>
  </cols>
  <sheetData>
    <row r="2">
      <c r="B2" s="62">
        <f>Inputs!B2</f>
        <v/>
      </c>
      <c r="C2" s="63" t="n"/>
      <c r="D2" s="63" t="n"/>
      <c r="E2" s="63" t="n"/>
      <c r="F2" s="63" t="n"/>
      <c r="G2" s="63" t="n"/>
      <c r="H2" s="63" t="n"/>
      <c r="I2" s="63" t="n"/>
      <c r="J2" s="63" t="n"/>
      <c r="K2" s="63" t="n"/>
      <c r="L2" s="63" t="n"/>
      <c r="M2" s="63" t="n"/>
      <c r="N2" s="63" t="n"/>
      <c r="O2" s="63" t="n"/>
      <c r="P2" s="63" t="n"/>
      <c r="Q2" s="63" t="n"/>
      <c r="R2" s="63" t="n"/>
      <c r="S2" s="63" t="n"/>
      <c r="T2" s="228" t="n"/>
      <c r="U2" s="228"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c r="T3" s="228" t="n"/>
      <c r="U3" s="228" t="n"/>
    </row>
    <row r="4" ht="12" customHeight="1">
      <c r="B4" s="65" t="inlineStr">
        <is>
          <t>Income Statement</t>
        </is>
      </c>
      <c r="C4" s="63" t="n"/>
      <c r="D4" s="63" t="n"/>
      <c r="E4" s="63" t="n"/>
      <c r="F4" s="63" t="n"/>
      <c r="G4" s="63" t="n"/>
      <c r="H4" s="63" t="n"/>
      <c r="I4" s="63" t="n"/>
      <c r="J4" s="63" t="n"/>
      <c r="K4" s="63" t="n"/>
      <c r="L4" s="63" t="n"/>
      <c r="M4" s="63" t="n"/>
      <c r="N4" s="63" t="n"/>
      <c r="O4" s="63" t="n"/>
      <c r="P4" s="63" t="n"/>
      <c r="Q4" s="63" t="n"/>
      <c r="R4" s="63" t="n"/>
      <c r="S4" s="63" t="n"/>
      <c r="T4" s="228" t="n"/>
      <c r="U4" s="228" t="n"/>
    </row>
    <row r="5" ht="12" customFormat="1" customHeight="1" s="1026" thickBot="1">
      <c r="B5" s="66" t="n"/>
      <c r="C5" s="66" t="n"/>
      <c r="D5" s="66" t="n"/>
      <c r="E5" s="66" t="n"/>
      <c r="F5" s="66" t="n"/>
      <c r="G5" s="66" t="n"/>
      <c r="H5" s="66" t="n"/>
      <c r="I5" s="66" t="n"/>
      <c r="J5" s="66" t="n"/>
      <c r="K5" s="66" t="n"/>
      <c r="L5" s="66" t="n"/>
      <c r="M5" s="66" t="n"/>
      <c r="N5" s="66" t="n"/>
      <c r="O5" s="66" t="n"/>
      <c r="P5" s="66" t="n"/>
      <c r="Q5" s="66" t="n"/>
      <c r="R5" s="66" t="n"/>
      <c r="S5" s="66" t="n"/>
      <c r="T5" s="230" t="n"/>
      <c r="U5" s="228" t="n"/>
    </row>
    <row r="6" ht="12" customHeight="1" thickTop="1">
      <c r="C6" s="432" t="n"/>
      <c r="M6" s="233" t="n">
        <v>1</v>
      </c>
      <c r="N6" s="233" t="n">
        <v>1</v>
      </c>
      <c r="O6" s="233" t="n">
        <v>1</v>
      </c>
      <c r="P6" s="233" t="n">
        <v>1</v>
      </c>
      <c r="Q6" s="233" t="n">
        <v>1</v>
      </c>
      <c r="R6" s="233" t="n">
        <v>1</v>
      </c>
    </row>
    <row r="7">
      <c r="C7" s="260">
        <f>IS_Calcs!C7</f>
        <v/>
      </c>
      <c r="D7" s="261" t="n"/>
      <c r="E7" s="261" t="n"/>
      <c r="F7" s="261" t="n"/>
      <c r="G7" s="115" t="inlineStr">
        <is>
          <t>Financial Period</t>
        </is>
      </c>
      <c r="H7" s="115">
        <f>IS_Calcs!H7</f>
        <v/>
      </c>
      <c r="I7" s="115">
        <f>IS_Calcs!I7</f>
        <v/>
      </c>
      <c r="J7" s="115">
        <f>IS_Calcs!J7</f>
        <v/>
      </c>
      <c r="K7" s="115">
        <f>IS_Calcs!K7</f>
        <v/>
      </c>
      <c r="L7" s="115">
        <f>IS_Calcs!L7</f>
        <v/>
      </c>
      <c r="M7" s="115">
        <f>IS_Calcs!M7</f>
        <v/>
      </c>
      <c r="N7" s="115">
        <f>IS_Calcs!N7</f>
        <v/>
      </c>
      <c r="O7" s="115">
        <f>IS_Calcs!O7</f>
        <v/>
      </c>
      <c r="P7" s="115">
        <f>IS_Calcs!P7</f>
        <v/>
      </c>
      <c r="Q7" s="115">
        <f>IS_Calcs!Q7</f>
        <v/>
      </c>
      <c r="R7" s="281">
        <f>IS_Calcs!R7</f>
        <v/>
      </c>
    </row>
    <row r="8">
      <c r="C8" s="264"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282">
        <f>IS_Calcs!R8</f>
        <v/>
      </c>
      <c r="T8" s="254" t="inlineStr">
        <is>
          <t>CAGR</t>
        </is>
      </c>
      <c r="U8" s="235" t="inlineStr">
        <is>
          <t>FY23 Check</t>
        </is>
      </c>
      <c r="V8" s="236" t="inlineStr">
        <is>
          <t>FY23 Annualized</t>
        </is>
      </c>
    </row>
    <row r="9">
      <c r="C9" s="1216" t="n"/>
      <c r="D9" s="259" t="n"/>
      <c r="E9" s="259" t="n"/>
      <c r="F9" s="259" t="n"/>
      <c r="G9" s="259" t="n"/>
      <c r="H9" s="259" t="n"/>
      <c r="I9" s="259" t="n"/>
      <c r="J9" s="259" t="n"/>
      <c r="K9" s="259" t="n"/>
      <c r="L9" s="259" t="n"/>
      <c r="M9" s="259" t="n"/>
      <c r="N9" s="259" t="n"/>
      <c r="O9" s="259" t="n"/>
      <c r="P9" s="259" t="n"/>
      <c r="Q9" s="259" t="n"/>
      <c r="R9" s="1217" t="n"/>
      <c r="T9" s="1973" t="n"/>
      <c r="U9" s="1974" t="n"/>
      <c r="V9" s="1975" t="n"/>
    </row>
    <row r="10" outlineLevel="1">
      <c r="C10" s="1216" t="inlineStr">
        <is>
          <t>Revenue:</t>
        </is>
      </c>
      <c r="D10" s="259" t="n"/>
      <c r="E10" s="259" t="n"/>
      <c r="F10" s="259" t="n"/>
      <c r="G10" s="259" t="n"/>
      <c r="H10" s="259" t="n"/>
      <c r="I10" s="259" t="n"/>
      <c r="J10" s="259" t="n"/>
      <c r="K10" s="259" t="n"/>
      <c r="L10" s="259" t="n"/>
      <c r="M10" s="259" t="n"/>
      <c r="N10" s="259" t="n"/>
      <c r="O10" s="259" t="n"/>
      <c r="P10" s="259" t="n"/>
      <c r="Q10" s="259" t="n"/>
      <c r="R10" s="1217" t="n"/>
      <c r="T10" s="1973" t="n"/>
      <c r="U10" s="1974" t="n"/>
      <c r="V10" s="1975" t="n"/>
    </row>
    <row r="11" outlineLevel="1">
      <c r="C11" s="1212" t="n"/>
      <c r="D11" s="259">
        <f>IS_Calcs!D18</f>
        <v/>
      </c>
      <c r="E11" s="259" t="n"/>
      <c r="F11" s="259" t="n"/>
      <c r="G11" s="259" t="n"/>
      <c r="H11" s="1923">
        <f>IS_Calcs!H46</f>
        <v/>
      </c>
      <c r="I11" s="1923">
        <f>IS_Calcs!I46</f>
        <v/>
      </c>
      <c r="J11" s="1923">
        <f>IS_Calcs!J46</f>
        <v/>
      </c>
      <c r="K11" s="1923">
        <f>IS_Calcs!K46</f>
        <v/>
      </c>
      <c r="L11" s="1923">
        <f>IS_Calcs!L46</f>
        <v/>
      </c>
      <c r="M11" s="1923">
        <f>IS_Calcs!M46</f>
        <v/>
      </c>
      <c r="N11" s="1923">
        <f>IS_Calcs!N46</f>
        <v/>
      </c>
      <c r="O11" s="1923">
        <f>IS_Calcs!O46</f>
        <v/>
      </c>
      <c r="P11" s="1923">
        <f>IS_Calcs!P46</f>
        <v/>
      </c>
      <c r="Q11" s="1923">
        <f>IS_Calcs!Q46</f>
        <v/>
      </c>
      <c r="R11" s="1976">
        <f>IS_Calcs!R46</f>
        <v/>
      </c>
      <c r="T11" s="1973">
        <f>IFERROR((R11/M11)^(1/5)-1,"-")</f>
        <v/>
      </c>
      <c r="U11" s="1974">
        <f>IFERROR(IF(K11+L11=M11,"OK","VARIANCE"),"")</f>
        <v/>
      </c>
      <c r="V11" s="1975">
        <f>(K11/ytd.months)*12</f>
        <v/>
      </c>
    </row>
    <row r="12" outlineLevel="1">
      <c r="C12" s="1212" t="n"/>
      <c r="D12" s="259">
        <f>IS_Calcs!D19</f>
        <v/>
      </c>
      <c r="E12" s="259" t="n"/>
      <c r="F12" s="259" t="n"/>
      <c r="G12" s="259" t="n"/>
      <c r="H12" s="1923">
        <f>IS_Calcs!H47</f>
        <v/>
      </c>
      <c r="I12" s="1923">
        <f>IS_Calcs!I47</f>
        <v/>
      </c>
      <c r="J12" s="1923">
        <f>IS_Calcs!J47</f>
        <v/>
      </c>
      <c r="K12" s="1923">
        <f>IS_Calcs!K47</f>
        <v/>
      </c>
      <c r="L12" s="1923">
        <f>IS_Calcs!L47</f>
        <v/>
      </c>
      <c r="M12" s="1923">
        <f>IS_Calcs!M47</f>
        <v/>
      </c>
      <c r="N12" s="1923">
        <f>IS_Calcs!N47</f>
        <v/>
      </c>
      <c r="O12" s="1923">
        <f>IS_Calcs!O47</f>
        <v/>
      </c>
      <c r="P12" s="1923">
        <f>IS_Calcs!P47</f>
        <v/>
      </c>
      <c r="Q12" s="1923">
        <f>IS_Calcs!Q47</f>
        <v/>
      </c>
      <c r="R12" s="1976">
        <f>IS_Calcs!R47</f>
        <v/>
      </c>
      <c r="T12" s="1973">
        <f>IFERROR((R12/M12)^(1/5)-1,"-")</f>
        <v/>
      </c>
      <c r="U12" s="1974">
        <f>IFERROR(IF(K12+L12=M12,"OK","VARIANCE"),"")</f>
        <v/>
      </c>
      <c r="V12" s="1975">
        <f>(K12/ytd.months)*12</f>
        <v/>
      </c>
    </row>
    <row r="13" outlineLevel="1">
      <c r="C13" s="1212" t="n"/>
      <c r="D13" s="259">
        <f>IS_Calcs!D20</f>
        <v/>
      </c>
      <c r="E13" s="259" t="n"/>
      <c r="F13" s="259" t="n"/>
      <c r="G13" s="259" t="n"/>
      <c r="H13" s="1923">
        <f>IS_Calcs!H48</f>
        <v/>
      </c>
      <c r="I13" s="1923">
        <f>IS_Calcs!I48</f>
        <v/>
      </c>
      <c r="J13" s="1923">
        <f>IS_Calcs!J48</f>
        <v/>
      </c>
      <c r="K13" s="1923">
        <f>IS_Calcs!K48</f>
        <v/>
      </c>
      <c r="L13" s="1923">
        <f>IS_Calcs!L48</f>
        <v/>
      </c>
      <c r="M13" s="1923">
        <f>IS_Calcs!M48</f>
        <v/>
      </c>
      <c r="N13" s="1923">
        <f>IS_Calcs!N48</f>
        <v/>
      </c>
      <c r="O13" s="1923">
        <f>IS_Calcs!O48</f>
        <v/>
      </c>
      <c r="P13" s="1923">
        <f>IS_Calcs!P48</f>
        <v/>
      </c>
      <c r="Q13" s="1923">
        <f>IS_Calcs!Q48</f>
        <v/>
      </c>
      <c r="R13" s="1976">
        <f>IS_Calcs!R48</f>
        <v/>
      </c>
      <c r="T13" s="1973">
        <f>IFERROR((R13/M13)^(1/5)-1,"-")</f>
        <v/>
      </c>
      <c r="U13" s="1974">
        <f>IFERROR(IF(K13+L13=M13,"OK","VARIANCE"),"")</f>
        <v/>
      </c>
      <c r="V13" s="1975">
        <f>(K13/ytd.months)*12</f>
        <v/>
      </c>
    </row>
    <row r="14" outlineLevel="1">
      <c r="C14" s="1212" t="n"/>
      <c r="D14" s="259">
        <f>IS_Calcs!D21</f>
        <v/>
      </c>
      <c r="E14" s="259" t="n"/>
      <c r="F14" s="259" t="n"/>
      <c r="G14" s="259" t="n"/>
      <c r="H14" s="1923">
        <f>IS_Calcs!H49</f>
        <v/>
      </c>
      <c r="I14" s="1923">
        <f>IS_Calcs!I49</f>
        <v/>
      </c>
      <c r="J14" s="1923">
        <f>IS_Calcs!J49</f>
        <v/>
      </c>
      <c r="K14" s="1923">
        <f>IS_Calcs!K49</f>
        <v/>
      </c>
      <c r="L14" s="1923">
        <f>IS_Calcs!L49</f>
        <v/>
      </c>
      <c r="M14" s="1923">
        <f>IS_Calcs!M49</f>
        <v/>
      </c>
      <c r="N14" s="1923">
        <f>IS_Calcs!N49</f>
        <v/>
      </c>
      <c r="O14" s="1923">
        <f>IS_Calcs!O49</f>
        <v/>
      </c>
      <c r="P14" s="1923">
        <f>IS_Calcs!P49</f>
        <v/>
      </c>
      <c r="Q14" s="1923">
        <f>IS_Calcs!Q49</f>
        <v/>
      </c>
      <c r="R14" s="1976">
        <f>IS_Calcs!R49</f>
        <v/>
      </c>
      <c r="T14" s="1973">
        <f>IFERROR((R14/M14)^(1/5)-1,"-")</f>
        <v/>
      </c>
      <c r="U14" s="1974">
        <f>IFERROR(IF(K14+L14=M14,"OK","VARIANCE"),"")</f>
        <v/>
      </c>
      <c r="V14" s="1975">
        <f>(K14/ytd.months)*12</f>
        <v/>
      </c>
    </row>
    <row r="15" outlineLevel="1">
      <c r="C15" s="1212" t="n"/>
      <c r="D15" s="259">
        <f>IS_Calcs!D22</f>
        <v/>
      </c>
      <c r="E15" s="259" t="n"/>
      <c r="F15" s="259" t="n"/>
      <c r="G15" s="259" t="n"/>
      <c r="H15" s="1923">
        <f>IS_Calcs!H54</f>
        <v/>
      </c>
      <c r="I15" s="1923">
        <f>IS_Calcs!I54</f>
        <v/>
      </c>
      <c r="J15" s="1923">
        <f>IS_Calcs!J54</f>
        <v/>
      </c>
      <c r="K15" s="1923">
        <f>IS_Calcs!K54</f>
        <v/>
      </c>
      <c r="L15" s="1923">
        <f>IS_Calcs!L54</f>
        <v/>
      </c>
      <c r="M15" s="1923">
        <f>IS_Calcs!M54</f>
        <v/>
      </c>
      <c r="N15" s="1923">
        <f>IS_Calcs!N54</f>
        <v/>
      </c>
      <c r="O15" s="1923">
        <f>IS_Calcs!O54</f>
        <v/>
      </c>
      <c r="P15" s="1923">
        <f>IS_Calcs!P54</f>
        <v/>
      </c>
      <c r="Q15" s="1923">
        <f>IS_Calcs!Q54</f>
        <v/>
      </c>
      <c r="R15" s="1976">
        <f>IS_Calcs!R54</f>
        <v/>
      </c>
      <c r="T15" s="1973">
        <f>IFERROR((R15/M15)^(1/5)-1,"-")</f>
        <v/>
      </c>
      <c r="U15" s="1974">
        <f>IFERROR(IF(K15+L15=M15,"OK","VARIANCE"),"")</f>
        <v/>
      </c>
      <c r="V15" s="1975">
        <f>(K15/ytd.months)*12</f>
        <v/>
      </c>
    </row>
    <row r="16" outlineLevel="1">
      <c r="C16" s="1212" t="n"/>
      <c r="D16" s="259">
        <f>IS_Calcs!D23</f>
        <v/>
      </c>
      <c r="E16" s="259" t="n"/>
      <c r="F16" s="259" t="n"/>
      <c r="G16" s="259" t="n"/>
      <c r="H16" s="1923">
        <f>IS_Calcs!H55</f>
        <v/>
      </c>
      <c r="I16" s="1923">
        <f>IS_Calcs!I55</f>
        <v/>
      </c>
      <c r="J16" s="1923">
        <f>IS_Calcs!J55</f>
        <v/>
      </c>
      <c r="K16" s="1923">
        <f>IS_Calcs!K55</f>
        <v/>
      </c>
      <c r="L16" s="1923">
        <f>IS_Calcs!L55</f>
        <v/>
      </c>
      <c r="M16" s="1923">
        <f>IS_Calcs!M55</f>
        <v/>
      </c>
      <c r="N16" s="1923">
        <f>IS_Calcs!N55</f>
        <v/>
      </c>
      <c r="O16" s="1923">
        <f>IS_Calcs!O55</f>
        <v/>
      </c>
      <c r="P16" s="1923">
        <f>IS_Calcs!P55</f>
        <v/>
      </c>
      <c r="Q16" s="1923">
        <f>IS_Calcs!Q55</f>
        <v/>
      </c>
      <c r="R16" s="1976">
        <f>IS_Calcs!R55</f>
        <v/>
      </c>
      <c r="T16" s="1973">
        <f>IFERROR((R16/M16)^(1/5)-1,"-")</f>
        <v/>
      </c>
      <c r="U16" s="1974">
        <f>IFERROR(IF(K16+L16=M16,"OK","VARIANCE"),"")</f>
        <v/>
      </c>
      <c r="V16" s="1975">
        <f>(K16/ytd.months)*12</f>
        <v/>
      </c>
    </row>
    <row r="17" outlineLevel="1">
      <c r="C17" s="1212" t="n"/>
      <c r="D17" s="259">
        <f>IS_Calcs!D24</f>
        <v/>
      </c>
      <c r="E17" s="259" t="n"/>
      <c r="F17" s="259" t="n"/>
      <c r="G17" s="259" t="n"/>
      <c r="H17" s="1923">
        <f>IS_Calcs!H56</f>
        <v/>
      </c>
      <c r="I17" s="1923">
        <f>IS_Calcs!I56</f>
        <v/>
      </c>
      <c r="J17" s="1923">
        <f>IS_Calcs!J56</f>
        <v/>
      </c>
      <c r="K17" s="1923">
        <f>IS_Calcs!K56</f>
        <v/>
      </c>
      <c r="L17" s="1923">
        <f>IS_Calcs!L56</f>
        <v/>
      </c>
      <c r="M17" s="1923">
        <f>IS_Calcs!M56</f>
        <v/>
      </c>
      <c r="N17" s="1923">
        <f>IS_Calcs!N56</f>
        <v/>
      </c>
      <c r="O17" s="1923">
        <f>IS_Calcs!O56</f>
        <v/>
      </c>
      <c r="P17" s="1923">
        <f>IS_Calcs!P56</f>
        <v/>
      </c>
      <c r="Q17" s="1923">
        <f>IS_Calcs!Q56</f>
        <v/>
      </c>
      <c r="R17" s="1976">
        <f>IS_Calcs!R56</f>
        <v/>
      </c>
      <c r="T17" s="1973">
        <f>IFERROR((R17/M17)^(1/5)-1,"-")</f>
        <v/>
      </c>
      <c r="U17" s="1974">
        <f>IFERROR(IF(K17+L17=M17,"OK","VARIANCE"),"")</f>
        <v/>
      </c>
      <c r="V17" s="1975">
        <f>(K17/ytd.months)*12</f>
        <v/>
      </c>
    </row>
    <row r="18" outlineLevel="1">
      <c r="C18" s="1212" t="n"/>
      <c r="D18" s="259">
        <f>IS_Calcs!D25</f>
        <v/>
      </c>
      <c r="E18" s="259" t="n"/>
      <c r="F18" s="259" t="n"/>
      <c r="G18" s="259" t="n"/>
      <c r="H18" s="1923">
        <f>IS_Calcs!H57</f>
        <v/>
      </c>
      <c r="I18" s="1923">
        <f>IS_Calcs!I57</f>
        <v/>
      </c>
      <c r="J18" s="1923">
        <f>IS_Calcs!J57</f>
        <v/>
      </c>
      <c r="K18" s="1923">
        <f>IS_Calcs!K57</f>
        <v/>
      </c>
      <c r="L18" s="1923">
        <f>IS_Calcs!L57</f>
        <v/>
      </c>
      <c r="M18" s="1923">
        <f>IS_Calcs!M57</f>
        <v/>
      </c>
      <c r="N18" s="1923">
        <f>IS_Calcs!N57</f>
        <v/>
      </c>
      <c r="O18" s="1923">
        <f>IS_Calcs!O57</f>
        <v/>
      </c>
      <c r="P18" s="1923">
        <f>IS_Calcs!P57</f>
        <v/>
      </c>
      <c r="Q18" s="1923">
        <f>IS_Calcs!Q57</f>
        <v/>
      </c>
      <c r="R18" s="1976">
        <f>IS_Calcs!R57</f>
        <v/>
      </c>
      <c r="T18" s="1973">
        <f>IFERROR((R18/M18)^(1/5)-1,"-")</f>
        <v/>
      </c>
      <c r="U18" s="1974">
        <f>IFERROR(IF(K18+L18=M18,"OK","VARIANCE"),"")</f>
        <v/>
      </c>
      <c r="V18" s="1975">
        <f>(K18/ytd.months)*12</f>
        <v/>
      </c>
    </row>
    <row r="19" outlineLevel="1">
      <c r="C19" s="1212" t="n"/>
      <c r="D19" s="259">
        <f>IS_Calcs!D26</f>
        <v/>
      </c>
      <c r="E19" s="259" t="n"/>
      <c r="F19" s="259" t="n"/>
      <c r="G19" s="259" t="n"/>
      <c r="H19" s="1923">
        <f>IS_Calcs!H62</f>
        <v/>
      </c>
      <c r="I19" s="1923">
        <f>IS_Calcs!I62</f>
        <v/>
      </c>
      <c r="J19" s="1923">
        <f>IS_Calcs!J62</f>
        <v/>
      </c>
      <c r="K19" s="1923">
        <f>IS_Calcs!K62</f>
        <v/>
      </c>
      <c r="L19" s="1923">
        <f>IS_Calcs!L62</f>
        <v/>
      </c>
      <c r="M19" s="1923">
        <f>IS_Calcs!M62</f>
        <v/>
      </c>
      <c r="N19" s="1923">
        <f>IS_Calcs!N62</f>
        <v/>
      </c>
      <c r="O19" s="1923">
        <f>IS_Calcs!O62</f>
        <v/>
      </c>
      <c r="P19" s="1923">
        <f>IS_Calcs!P62</f>
        <v/>
      </c>
      <c r="Q19" s="1923">
        <f>IS_Calcs!Q62</f>
        <v/>
      </c>
      <c r="R19" s="1976">
        <f>IS_Calcs!R62</f>
        <v/>
      </c>
      <c r="T19" s="1973">
        <f>IFERROR((R19/M19)^(1/5)-1,"-")</f>
        <v/>
      </c>
      <c r="U19" s="1974">
        <f>IFERROR(IF(K19+L19=M19,"OK","VARIANCE"),"")</f>
        <v/>
      </c>
      <c r="V19" s="1975">
        <f>(K19/ytd.months)*12</f>
        <v/>
      </c>
    </row>
    <row r="20" outlineLevel="1">
      <c r="C20" s="1212" t="n"/>
      <c r="D20" s="259">
        <f>IS_Calcs!D27</f>
        <v/>
      </c>
      <c r="E20" s="259" t="n"/>
      <c r="F20" s="259" t="n"/>
      <c r="G20" s="259" t="n"/>
      <c r="H20" s="1923">
        <f>IS_Calcs!H63</f>
        <v/>
      </c>
      <c r="I20" s="1923">
        <f>IS_Calcs!I63</f>
        <v/>
      </c>
      <c r="J20" s="1923">
        <f>IS_Calcs!J63</f>
        <v/>
      </c>
      <c r="K20" s="1923">
        <f>IS_Calcs!K63</f>
        <v/>
      </c>
      <c r="L20" s="1923">
        <f>IS_Calcs!L63</f>
        <v/>
      </c>
      <c r="M20" s="1923">
        <f>IS_Calcs!M63</f>
        <v/>
      </c>
      <c r="N20" s="1923">
        <f>IS_Calcs!N63</f>
        <v/>
      </c>
      <c r="O20" s="1923">
        <f>IS_Calcs!O63</f>
        <v/>
      </c>
      <c r="P20" s="1923">
        <f>IS_Calcs!P63</f>
        <v/>
      </c>
      <c r="Q20" s="1923">
        <f>IS_Calcs!Q63</f>
        <v/>
      </c>
      <c r="R20" s="1976">
        <f>IS_Calcs!R63</f>
        <v/>
      </c>
      <c r="T20" s="1973">
        <f>IFERROR((R20/M20)^(1/5)-1,"-")</f>
        <v/>
      </c>
      <c r="U20" s="1974">
        <f>IFERROR(IF(K20+L20=M20,"OK","VARIANCE"),"")</f>
        <v/>
      </c>
      <c r="V20" s="1975">
        <f>(K20/ytd.months)*12</f>
        <v/>
      </c>
    </row>
    <row r="21" outlineLevel="1">
      <c r="C21" s="1212" t="n"/>
      <c r="D21" s="259">
        <f>IS_Calcs!D28</f>
        <v/>
      </c>
      <c r="E21" s="259" t="n"/>
      <c r="F21" s="259" t="n"/>
      <c r="G21" s="259" t="n"/>
      <c r="H21" s="1923">
        <f>IS_Calcs!H64</f>
        <v/>
      </c>
      <c r="I21" s="1923">
        <f>IS_Calcs!I64</f>
        <v/>
      </c>
      <c r="J21" s="1923">
        <f>IS_Calcs!J64</f>
        <v/>
      </c>
      <c r="K21" s="1923">
        <f>IS_Calcs!K64</f>
        <v/>
      </c>
      <c r="L21" s="1923">
        <f>IS_Calcs!L64</f>
        <v/>
      </c>
      <c r="M21" s="1923">
        <f>IS_Calcs!M64</f>
        <v/>
      </c>
      <c r="N21" s="1923">
        <f>IS_Calcs!N64</f>
        <v/>
      </c>
      <c r="O21" s="1923">
        <f>IS_Calcs!O64</f>
        <v/>
      </c>
      <c r="P21" s="1923">
        <f>IS_Calcs!P64</f>
        <v/>
      </c>
      <c r="Q21" s="1923">
        <f>IS_Calcs!Q64</f>
        <v/>
      </c>
      <c r="R21" s="1976">
        <f>IS_Calcs!R64</f>
        <v/>
      </c>
      <c r="T21" s="1973">
        <f>IFERROR((R21/M21)^(1/5)-1,"-")</f>
        <v/>
      </c>
      <c r="U21" s="1974">
        <f>IFERROR(IF(K21+L21=M21,"OK","VARIANCE"),"")</f>
        <v/>
      </c>
      <c r="V21" s="1975">
        <f>(K21/ytd.months)*12</f>
        <v/>
      </c>
    </row>
    <row r="22" outlineLevel="1">
      <c r="C22" s="1212" t="n"/>
      <c r="D22" s="259">
        <f>IS_Calcs!D29</f>
        <v/>
      </c>
      <c r="E22" s="259" t="n"/>
      <c r="F22" s="259" t="n"/>
      <c r="G22" s="259" t="n"/>
      <c r="H22" s="1923">
        <f>IS_Calcs!H65</f>
        <v/>
      </c>
      <c r="I22" s="1923">
        <f>IS_Calcs!I65</f>
        <v/>
      </c>
      <c r="J22" s="1923">
        <f>IS_Calcs!J65</f>
        <v/>
      </c>
      <c r="K22" s="1923">
        <f>IS_Calcs!K65</f>
        <v/>
      </c>
      <c r="L22" s="1923">
        <f>IS_Calcs!L65</f>
        <v/>
      </c>
      <c r="M22" s="1923">
        <f>IS_Calcs!M65</f>
        <v/>
      </c>
      <c r="N22" s="1923">
        <f>IS_Calcs!N65</f>
        <v/>
      </c>
      <c r="O22" s="1923">
        <f>IS_Calcs!O65</f>
        <v/>
      </c>
      <c r="P22" s="1923">
        <f>IS_Calcs!P65</f>
        <v/>
      </c>
      <c r="Q22" s="1923">
        <f>IS_Calcs!Q65</f>
        <v/>
      </c>
      <c r="R22" s="1976">
        <f>IS_Calcs!R65</f>
        <v/>
      </c>
      <c r="T22" s="1973">
        <f>IFERROR((R22/M22)^(1/5)-1,"-")</f>
        <v/>
      </c>
      <c r="U22" s="1974">
        <f>IFERROR(IF(K22+L22=M22,"OK","VARIANCE"),"")</f>
        <v/>
      </c>
      <c r="V22" s="1975">
        <f>(K22/ytd.months)*12</f>
        <v/>
      </c>
    </row>
    <row r="23">
      <c r="C23" s="1218" t="inlineStr">
        <is>
          <t>Revenues</t>
        </is>
      </c>
      <c r="D23" s="246" t="n"/>
      <c r="E23" s="246" t="n"/>
      <c r="F23" s="246" t="n"/>
      <c r="G23" s="246" t="n"/>
      <c r="H23" s="1977">
        <f>SUM(H11:H22)</f>
        <v/>
      </c>
      <c r="I23" s="1977">
        <f>SUM(I11:I22)</f>
        <v/>
      </c>
      <c r="J23" s="1977">
        <f>SUM(J11:J22)</f>
        <v/>
      </c>
      <c r="K23" s="1977">
        <f>SUM(K11:K22)</f>
        <v/>
      </c>
      <c r="L23" s="1977">
        <f>SUM(L11:L22)</f>
        <v/>
      </c>
      <c r="M23" s="1977">
        <f>SUM(M11:M22)</f>
        <v/>
      </c>
      <c r="N23" s="1977">
        <f>SUM(N11:N22)</f>
        <v/>
      </c>
      <c r="O23" s="1977">
        <f>SUM(O11:O22)</f>
        <v/>
      </c>
      <c r="P23" s="1977">
        <f>SUM(P11:P22)</f>
        <v/>
      </c>
      <c r="Q23" s="1977">
        <f>SUM(Q11:Q22)</f>
        <v/>
      </c>
      <c r="R23" s="1978">
        <f>SUM(R11:R22)</f>
        <v/>
      </c>
      <c r="T23" s="1973">
        <f>IFERROR((R23/M23)^(1/5)-1,"-")</f>
        <v/>
      </c>
      <c r="U23" s="1974">
        <f>IFERROR(IF(K23+L23=M23,"OK","VARIANCE"),"")</f>
        <v/>
      </c>
      <c r="V23" s="1975">
        <f>(K23/ytd.months)*12</f>
        <v/>
      </c>
    </row>
    <row r="24" outlineLevel="1">
      <c r="C24" s="1212" t="n"/>
      <c r="D24" s="259" t="n"/>
      <c r="E24" s="259" t="n"/>
      <c r="F24" s="259" t="n"/>
      <c r="G24" s="259" t="n"/>
      <c r="H24" s="259" t="n"/>
      <c r="I24" s="259" t="n"/>
      <c r="J24" s="259" t="n"/>
      <c r="K24" s="259" t="n"/>
      <c r="L24" s="259" t="n"/>
      <c r="M24" s="259" t="n"/>
      <c r="N24" s="259" t="n"/>
      <c r="O24" s="259" t="n"/>
      <c r="P24" s="259" t="n"/>
      <c r="Q24" s="259" t="n"/>
      <c r="R24" s="1217" t="n"/>
      <c r="T24" s="1973">
        <f>IFERROR((R24/M24)^(1/5)-1,"-")</f>
        <v/>
      </c>
      <c r="U24" s="1974">
        <f>IFERROR(IF(K24+L24=M24,"OK","VARIANCE"),"")</f>
        <v/>
      </c>
      <c r="V24" s="1975">
        <f>(K24/ytd.months)*12</f>
        <v/>
      </c>
    </row>
    <row r="25" outlineLevel="1">
      <c r="C25" s="1216" t="inlineStr">
        <is>
          <t>Cost of Revenue:</t>
        </is>
      </c>
      <c r="D25" s="259" t="n"/>
      <c r="E25" s="259" t="n"/>
      <c r="F25" s="259" t="n"/>
      <c r="G25" s="259" t="n"/>
      <c r="H25" s="259" t="n"/>
      <c r="I25" s="259" t="n"/>
      <c r="J25" s="259" t="n"/>
      <c r="K25" s="259" t="n"/>
      <c r="L25" s="259" t="n"/>
      <c r="M25" s="259" t="n"/>
      <c r="N25" s="259" t="n"/>
      <c r="O25" s="259" t="n"/>
      <c r="P25" s="259" t="n"/>
      <c r="Q25" s="259" t="n"/>
      <c r="R25" s="1217" t="n"/>
      <c r="T25" s="1973">
        <f>IFERROR((R25/M25)^(1/5)-1,"-")</f>
        <v/>
      </c>
      <c r="U25" s="1974">
        <f>IFERROR(IF(K25+L25=M25,"OK","VARIANCE"),"")</f>
        <v/>
      </c>
      <c r="V25" s="1975">
        <f>(K25/ytd.months)*12</f>
        <v/>
      </c>
    </row>
    <row r="26" outlineLevel="1">
      <c r="C26" s="1212" t="n"/>
      <c r="D26" s="259">
        <f>D11</f>
        <v/>
      </c>
      <c r="E26" s="259" t="n"/>
      <c r="F26" s="259" t="n"/>
      <c r="G26" s="259" t="n"/>
      <c r="H26" s="1923">
        <f>-IS_Calcs!H95</f>
        <v/>
      </c>
      <c r="I26" s="1923">
        <f>-IS_Calcs!I95</f>
        <v/>
      </c>
      <c r="J26" s="1923">
        <f>-IS_Calcs!J95</f>
        <v/>
      </c>
      <c r="K26" s="1923">
        <f>-IS_Calcs!K95</f>
        <v/>
      </c>
      <c r="L26" s="1923">
        <f>-IS_Calcs!L95</f>
        <v/>
      </c>
      <c r="M26" s="1923">
        <f>-IS_Calcs!M95</f>
        <v/>
      </c>
      <c r="N26" s="1923">
        <f>-IS_Calcs!N95</f>
        <v/>
      </c>
      <c r="O26" s="1923">
        <f>-IS_Calcs!O95</f>
        <v/>
      </c>
      <c r="P26" s="1923">
        <f>-IS_Calcs!P95</f>
        <v/>
      </c>
      <c r="Q26" s="1923">
        <f>-IS_Calcs!Q95</f>
        <v/>
      </c>
      <c r="R26" s="1976">
        <f>-IS_Calcs!R95</f>
        <v/>
      </c>
      <c r="T26" s="1973">
        <f>IFERROR((R26/M26)^(1/5)-1,"-")</f>
        <v/>
      </c>
      <c r="U26" s="1974">
        <f>IFERROR(IF(K26+L26=M26,"OK","VARIANCE"),"")</f>
        <v/>
      </c>
      <c r="V26" s="1975">
        <f>(K26/ytd.months)*12</f>
        <v/>
      </c>
    </row>
    <row r="27" outlineLevel="1">
      <c r="C27" s="1212" t="n"/>
      <c r="D27" s="259">
        <f>D12</f>
        <v/>
      </c>
      <c r="E27" s="259" t="n"/>
      <c r="F27" s="259" t="n"/>
      <c r="G27" s="259" t="n"/>
      <c r="H27" s="1923">
        <f>-IS_Calcs!H96</f>
        <v/>
      </c>
      <c r="I27" s="1923">
        <f>-IS_Calcs!I96</f>
        <v/>
      </c>
      <c r="J27" s="1923">
        <f>-IS_Calcs!J96</f>
        <v/>
      </c>
      <c r="K27" s="1923">
        <f>-IS_Calcs!K96</f>
        <v/>
      </c>
      <c r="L27" s="1923">
        <f>-IS_Calcs!L96</f>
        <v/>
      </c>
      <c r="M27" s="1923">
        <f>-IS_Calcs!M96</f>
        <v/>
      </c>
      <c r="N27" s="1923">
        <f>-IS_Calcs!N96</f>
        <v/>
      </c>
      <c r="O27" s="1923">
        <f>-IS_Calcs!O96</f>
        <v/>
      </c>
      <c r="P27" s="1923">
        <f>-IS_Calcs!P96</f>
        <v/>
      </c>
      <c r="Q27" s="1923">
        <f>-IS_Calcs!Q96</f>
        <v/>
      </c>
      <c r="R27" s="1976">
        <f>-IS_Calcs!R96</f>
        <v/>
      </c>
      <c r="T27" s="1973">
        <f>IFERROR((R27/M27)^(1/5)-1,"-")</f>
        <v/>
      </c>
      <c r="U27" s="1974">
        <f>IFERROR(IF(K27+L27=M27,"OK","VARIANCE"),"")</f>
        <v/>
      </c>
      <c r="V27" s="1975">
        <f>(K27/ytd.months)*12</f>
        <v/>
      </c>
    </row>
    <row r="28" outlineLevel="1">
      <c r="C28" s="1212" t="n"/>
      <c r="D28" s="259">
        <f>D13</f>
        <v/>
      </c>
      <c r="E28" s="259" t="n"/>
      <c r="F28" s="259" t="n"/>
      <c r="G28" s="259" t="n"/>
      <c r="H28" s="1923">
        <f>-IS_Calcs!H97</f>
        <v/>
      </c>
      <c r="I28" s="1923">
        <f>-IS_Calcs!I97</f>
        <v/>
      </c>
      <c r="J28" s="1923">
        <f>-IS_Calcs!J97</f>
        <v/>
      </c>
      <c r="K28" s="1923">
        <f>-IS_Calcs!K97</f>
        <v/>
      </c>
      <c r="L28" s="1923">
        <f>-IS_Calcs!L97</f>
        <v/>
      </c>
      <c r="M28" s="1923">
        <f>-IS_Calcs!M97</f>
        <v/>
      </c>
      <c r="N28" s="1923">
        <f>-IS_Calcs!N97</f>
        <v/>
      </c>
      <c r="O28" s="1923">
        <f>-IS_Calcs!O97</f>
        <v/>
      </c>
      <c r="P28" s="1923">
        <f>-IS_Calcs!P97</f>
        <v/>
      </c>
      <c r="Q28" s="1923">
        <f>-IS_Calcs!Q97</f>
        <v/>
      </c>
      <c r="R28" s="1976">
        <f>-IS_Calcs!R97</f>
        <v/>
      </c>
      <c r="T28" s="1973">
        <f>IFERROR((R28/M28)^(1/5)-1,"-")</f>
        <v/>
      </c>
      <c r="U28" s="1974">
        <f>IFERROR(IF(K28+L28=M28,"OK","VARIANCE"),"")</f>
        <v/>
      </c>
      <c r="V28" s="1975">
        <f>(K28/ytd.months)*12</f>
        <v/>
      </c>
    </row>
    <row r="29" outlineLevel="1">
      <c r="C29" s="1212" t="n"/>
      <c r="D29" s="259">
        <f>D14</f>
        <v/>
      </c>
      <c r="E29" s="259" t="n"/>
      <c r="F29" s="259" t="n"/>
      <c r="G29" s="259" t="n"/>
      <c r="H29" s="1923">
        <f>-IS_Calcs!H98</f>
        <v/>
      </c>
      <c r="I29" s="1923">
        <f>-IS_Calcs!I98</f>
        <v/>
      </c>
      <c r="J29" s="1923">
        <f>-IS_Calcs!J98</f>
        <v/>
      </c>
      <c r="K29" s="1923">
        <f>-IS_Calcs!K98</f>
        <v/>
      </c>
      <c r="L29" s="1923">
        <f>-IS_Calcs!L98</f>
        <v/>
      </c>
      <c r="M29" s="1923">
        <f>-IS_Calcs!M98</f>
        <v/>
      </c>
      <c r="N29" s="1923">
        <f>-IS_Calcs!N98</f>
        <v/>
      </c>
      <c r="O29" s="1923">
        <f>-IS_Calcs!O98</f>
        <v/>
      </c>
      <c r="P29" s="1923">
        <f>-IS_Calcs!P98</f>
        <v/>
      </c>
      <c r="Q29" s="1923">
        <f>-IS_Calcs!Q98</f>
        <v/>
      </c>
      <c r="R29" s="1976">
        <f>-IS_Calcs!R98</f>
        <v/>
      </c>
      <c r="T29" s="1973">
        <f>IFERROR((R29/M29)^(1/5)-1,"-")</f>
        <v/>
      </c>
      <c r="U29" s="1974">
        <f>IFERROR(IF(K29+L29=M29,"OK","VARIANCE"),"")</f>
        <v/>
      </c>
      <c r="V29" s="1975">
        <f>(K29/ytd.months)*12</f>
        <v/>
      </c>
    </row>
    <row r="30" outlineLevel="1">
      <c r="C30" s="1212" t="n"/>
      <c r="D30" s="259">
        <f>D15</f>
        <v/>
      </c>
      <c r="E30" s="259" t="n"/>
      <c r="F30" s="259" t="n"/>
      <c r="G30" s="259" t="n"/>
      <c r="H30" s="1923">
        <f>-IS_Calcs!H102</f>
        <v/>
      </c>
      <c r="I30" s="1923">
        <f>-IS_Calcs!I102</f>
        <v/>
      </c>
      <c r="J30" s="1923">
        <f>-IS_Calcs!J102</f>
        <v/>
      </c>
      <c r="K30" s="1923">
        <f>-IS_Calcs!K102</f>
        <v/>
      </c>
      <c r="L30" s="1923">
        <f>-IS_Calcs!L102</f>
        <v/>
      </c>
      <c r="M30" s="1923">
        <f>-IS_Calcs!M102</f>
        <v/>
      </c>
      <c r="N30" s="1923">
        <f>-IS_Calcs!N102</f>
        <v/>
      </c>
      <c r="O30" s="1923">
        <f>-IS_Calcs!O102</f>
        <v/>
      </c>
      <c r="P30" s="1923">
        <f>-IS_Calcs!P102</f>
        <v/>
      </c>
      <c r="Q30" s="1923">
        <f>-IS_Calcs!Q102</f>
        <v/>
      </c>
      <c r="R30" s="1976">
        <f>-IS_Calcs!R102</f>
        <v/>
      </c>
      <c r="T30" s="1973">
        <f>IFERROR((R30/M30)^(1/5)-1,"-")</f>
        <v/>
      </c>
      <c r="U30" s="1974">
        <f>IFERROR(IF(K30+L30=M30,"OK","VARIANCE"),"")</f>
        <v/>
      </c>
      <c r="V30" s="1975">
        <f>(K30/ytd.months)*12</f>
        <v/>
      </c>
    </row>
    <row r="31" outlineLevel="1">
      <c r="C31" s="1212" t="n"/>
      <c r="D31" s="259">
        <f>D16</f>
        <v/>
      </c>
      <c r="E31" s="259" t="n"/>
      <c r="F31" s="259" t="n"/>
      <c r="G31" s="259" t="n"/>
      <c r="H31" s="1923">
        <f>-IS_Calcs!H103</f>
        <v/>
      </c>
      <c r="I31" s="1923">
        <f>-IS_Calcs!I103</f>
        <v/>
      </c>
      <c r="J31" s="1923">
        <f>-IS_Calcs!J103</f>
        <v/>
      </c>
      <c r="K31" s="1923">
        <f>-IS_Calcs!K103</f>
        <v/>
      </c>
      <c r="L31" s="1923">
        <f>-IS_Calcs!L103</f>
        <v/>
      </c>
      <c r="M31" s="1923">
        <f>-IS_Calcs!M103</f>
        <v/>
      </c>
      <c r="N31" s="1923">
        <f>-IS_Calcs!N103</f>
        <v/>
      </c>
      <c r="O31" s="1923">
        <f>-IS_Calcs!O103</f>
        <v/>
      </c>
      <c r="P31" s="1923">
        <f>-IS_Calcs!P103</f>
        <v/>
      </c>
      <c r="Q31" s="1923">
        <f>-IS_Calcs!Q103</f>
        <v/>
      </c>
      <c r="R31" s="1976">
        <f>-IS_Calcs!R103</f>
        <v/>
      </c>
      <c r="T31" s="1973">
        <f>IFERROR((R31/M31)^(1/5)-1,"-")</f>
        <v/>
      </c>
      <c r="U31" s="1974">
        <f>IFERROR(IF(K31+L31=M31,"OK","VARIANCE"),"")</f>
        <v/>
      </c>
      <c r="V31" s="1975">
        <f>(K31/ytd.months)*12</f>
        <v/>
      </c>
    </row>
    <row r="32" outlineLevel="1">
      <c r="C32" s="1212" t="n"/>
      <c r="D32" s="259">
        <f>D17</f>
        <v/>
      </c>
      <c r="E32" s="259" t="n"/>
      <c r="F32" s="259" t="n"/>
      <c r="G32" s="259" t="n"/>
      <c r="H32" s="1923">
        <f>-IS_Calcs!H104</f>
        <v/>
      </c>
      <c r="I32" s="1923">
        <f>-IS_Calcs!I104</f>
        <v/>
      </c>
      <c r="J32" s="1923">
        <f>-IS_Calcs!J104</f>
        <v/>
      </c>
      <c r="K32" s="1923">
        <f>-IS_Calcs!K104</f>
        <v/>
      </c>
      <c r="L32" s="1923">
        <f>-IS_Calcs!L104</f>
        <v/>
      </c>
      <c r="M32" s="1923">
        <f>-IS_Calcs!M104</f>
        <v/>
      </c>
      <c r="N32" s="1923">
        <f>-IS_Calcs!N104</f>
        <v/>
      </c>
      <c r="O32" s="1923">
        <f>-IS_Calcs!O104</f>
        <v/>
      </c>
      <c r="P32" s="1923">
        <f>-IS_Calcs!P104</f>
        <v/>
      </c>
      <c r="Q32" s="1923">
        <f>-IS_Calcs!Q104</f>
        <v/>
      </c>
      <c r="R32" s="1976">
        <f>-IS_Calcs!R104</f>
        <v/>
      </c>
      <c r="T32" s="1973">
        <f>IFERROR((R32/M32)^(1/5)-1,"-")</f>
        <v/>
      </c>
      <c r="U32" s="1974">
        <f>IFERROR(IF(K32+L32=M32,"OK","VARIANCE"),"")</f>
        <v/>
      </c>
      <c r="V32" s="1975">
        <f>(K32/ytd.months)*12</f>
        <v/>
      </c>
    </row>
    <row r="33" outlineLevel="1">
      <c r="C33" s="1212" t="n"/>
      <c r="D33" s="259">
        <f>D18</f>
        <v/>
      </c>
      <c r="E33" s="259" t="n"/>
      <c r="F33" s="259" t="n"/>
      <c r="G33" s="259" t="n"/>
      <c r="H33" s="1923">
        <f>-IS_Calcs!H105</f>
        <v/>
      </c>
      <c r="I33" s="1923">
        <f>-IS_Calcs!I105</f>
        <v/>
      </c>
      <c r="J33" s="1923">
        <f>-IS_Calcs!J105</f>
        <v/>
      </c>
      <c r="K33" s="1923">
        <f>-IS_Calcs!K105</f>
        <v/>
      </c>
      <c r="L33" s="1923">
        <f>-IS_Calcs!L105</f>
        <v/>
      </c>
      <c r="M33" s="1923">
        <f>-IS_Calcs!M105</f>
        <v/>
      </c>
      <c r="N33" s="1923">
        <f>-IS_Calcs!N105</f>
        <v/>
      </c>
      <c r="O33" s="1923">
        <f>-IS_Calcs!O105</f>
        <v/>
      </c>
      <c r="P33" s="1923">
        <f>-IS_Calcs!P105</f>
        <v/>
      </c>
      <c r="Q33" s="1923">
        <f>-IS_Calcs!Q105</f>
        <v/>
      </c>
      <c r="R33" s="1976">
        <f>-IS_Calcs!R105</f>
        <v/>
      </c>
      <c r="T33" s="1973">
        <f>IFERROR((R33/M33)^(1/5)-1,"-")</f>
        <v/>
      </c>
      <c r="U33" s="1974">
        <f>IFERROR(IF(K33+L33=M33,"OK","VARIANCE"),"")</f>
        <v/>
      </c>
      <c r="V33" s="1975">
        <f>(K33/ytd.months)*12</f>
        <v/>
      </c>
    </row>
    <row r="34" outlineLevel="1">
      <c r="C34" s="1212" t="n"/>
      <c r="D34" s="259">
        <f>D19</f>
        <v/>
      </c>
      <c r="E34" s="259" t="n"/>
      <c r="F34" s="259" t="n"/>
      <c r="G34" s="259" t="n"/>
      <c r="H34" s="1923">
        <f>-IS_Calcs!H109</f>
        <v/>
      </c>
      <c r="I34" s="1923">
        <f>-IS_Calcs!I109</f>
        <v/>
      </c>
      <c r="J34" s="1923">
        <f>-IS_Calcs!J109</f>
        <v/>
      </c>
      <c r="K34" s="1923">
        <f>-IS_Calcs!K109</f>
        <v/>
      </c>
      <c r="L34" s="1923">
        <f>-IS_Calcs!L109</f>
        <v/>
      </c>
      <c r="M34" s="1923">
        <f>-IS_Calcs!M109</f>
        <v/>
      </c>
      <c r="N34" s="1923">
        <f>-IS_Calcs!N109</f>
        <v/>
      </c>
      <c r="O34" s="1923">
        <f>-IS_Calcs!O109</f>
        <v/>
      </c>
      <c r="P34" s="1923">
        <f>-IS_Calcs!P109</f>
        <v/>
      </c>
      <c r="Q34" s="1923">
        <f>-IS_Calcs!Q109</f>
        <v/>
      </c>
      <c r="R34" s="1976">
        <f>-IS_Calcs!R109</f>
        <v/>
      </c>
      <c r="T34" s="1973">
        <f>IFERROR((R34/M34)^(1/5)-1,"-")</f>
        <v/>
      </c>
      <c r="U34" s="1974">
        <f>IFERROR(IF(K34+L34=M34,"OK","VARIANCE"),"")</f>
        <v/>
      </c>
      <c r="V34" s="1975">
        <f>(K34/ytd.months)*12</f>
        <v/>
      </c>
    </row>
    <row r="35" outlineLevel="1">
      <c r="C35" s="1212" t="n"/>
      <c r="D35" s="259">
        <f>D20</f>
        <v/>
      </c>
      <c r="E35" s="259" t="n"/>
      <c r="F35" s="259" t="n"/>
      <c r="G35" s="259" t="n"/>
      <c r="H35" s="1923">
        <f>-IS_Calcs!H110</f>
        <v/>
      </c>
      <c r="I35" s="1923">
        <f>-IS_Calcs!I110</f>
        <v/>
      </c>
      <c r="J35" s="1923">
        <f>-IS_Calcs!J110</f>
        <v/>
      </c>
      <c r="K35" s="1923">
        <f>-IS_Calcs!K110</f>
        <v/>
      </c>
      <c r="L35" s="1923">
        <f>-IS_Calcs!L110</f>
        <v/>
      </c>
      <c r="M35" s="1923">
        <f>-IS_Calcs!M110</f>
        <v/>
      </c>
      <c r="N35" s="1923">
        <f>-IS_Calcs!N110</f>
        <v/>
      </c>
      <c r="O35" s="1923">
        <f>-IS_Calcs!O110</f>
        <v/>
      </c>
      <c r="P35" s="1923">
        <f>-IS_Calcs!P110</f>
        <v/>
      </c>
      <c r="Q35" s="1923">
        <f>-IS_Calcs!Q110</f>
        <v/>
      </c>
      <c r="R35" s="1976">
        <f>-IS_Calcs!R110</f>
        <v/>
      </c>
      <c r="T35" s="1973">
        <f>IFERROR((R35/M35)^(1/5)-1,"-")</f>
        <v/>
      </c>
      <c r="U35" s="1974">
        <f>IFERROR(IF(K35+L35=M35,"OK","VARIANCE"),"")</f>
        <v/>
      </c>
      <c r="V35" s="1975">
        <f>(K35/ytd.months)*12</f>
        <v/>
      </c>
    </row>
    <row r="36" outlineLevel="1">
      <c r="C36" s="1212" t="n"/>
      <c r="D36" s="259">
        <f>D21</f>
        <v/>
      </c>
      <c r="E36" s="259" t="n"/>
      <c r="F36" s="259" t="n"/>
      <c r="G36" s="259" t="n"/>
      <c r="H36" s="1923">
        <f>-IS_Calcs!H111</f>
        <v/>
      </c>
      <c r="I36" s="1923">
        <f>-IS_Calcs!I111</f>
        <v/>
      </c>
      <c r="J36" s="1923">
        <f>-IS_Calcs!J111</f>
        <v/>
      </c>
      <c r="K36" s="1923">
        <f>-IS_Calcs!K111</f>
        <v/>
      </c>
      <c r="L36" s="1923">
        <f>-IS_Calcs!L111</f>
        <v/>
      </c>
      <c r="M36" s="1923">
        <f>-IS_Calcs!M111</f>
        <v/>
      </c>
      <c r="N36" s="1923">
        <f>-IS_Calcs!N111</f>
        <v/>
      </c>
      <c r="O36" s="1923">
        <f>-IS_Calcs!O111</f>
        <v/>
      </c>
      <c r="P36" s="1923">
        <f>-IS_Calcs!P111</f>
        <v/>
      </c>
      <c r="Q36" s="1923">
        <f>-IS_Calcs!Q111</f>
        <v/>
      </c>
      <c r="R36" s="1976">
        <f>-IS_Calcs!R111</f>
        <v/>
      </c>
      <c r="T36" s="1973">
        <f>IFERROR((R36/M36)^(1/5)-1,"-")</f>
        <v/>
      </c>
      <c r="U36" s="1974">
        <f>IFERROR(IF(K36+L36=M36,"OK","VARIANCE"),"")</f>
        <v/>
      </c>
      <c r="V36" s="1975">
        <f>(K36/ytd.months)*12</f>
        <v/>
      </c>
    </row>
    <row r="37" outlineLevel="1">
      <c r="C37" s="1212" t="n"/>
      <c r="D37" s="259">
        <f>D22</f>
        <v/>
      </c>
      <c r="E37" s="259" t="n"/>
      <c r="F37" s="259" t="n"/>
      <c r="G37" s="259" t="n"/>
      <c r="H37" s="1923">
        <f>-IS_Calcs!H112</f>
        <v/>
      </c>
      <c r="I37" s="1923">
        <f>-IS_Calcs!I112</f>
        <v/>
      </c>
      <c r="J37" s="1923">
        <f>-IS_Calcs!J112</f>
        <v/>
      </c>
      <c r="K37" s="1923">
        <f>-IS_Calcs!K112</f>
        <v/>
      </c>
      <c r="L37" s="1923">
        <f>-IS_Calcs!L112</f>
        <v/>
      </c>
      <c r="M37" s="1923">
        <f>-IS_Calcs!M112</f>
        <v/>
      </c>
      <c r="N37" s="1923">
        <f>-IS_Calcs!N112</f>
        <v/>
      </c>
      <c r="O37" s="1923">
        <f>-IS_Calcs!O112</f>
        <v/>
      </c>
      <c r="P37" s="1923">
        <f>-IS_Calcs!P112</f>
        <v/>
      </c>
      <c r="Q37" s="1923">
        <f>-IS_Calcs!Q112</f>
        <v/>
      </c>
      <c r="R37" s="1976">
        <f>-IS_Calcs!R112</f>
        <v/>
      </c>
      <c r="T37" s="1973">
        <f>IFERROR((R37/M37)^(1/5)-1,"-")</f>
        <v/>
      </c>
      <c r="U37" s="1974">
        <f>IFERROR(IF(K37+L37=M37,"OK","VARIANCE"),"")</f>
        <v/>
      </c>
      <c r="V37" s="1975">
        <f>(K37/ytd.months)*12</f>
        <v/>
      </c>
    </row>
    <row r="38">
      <c r="C38" s="1220" t="inlineStr">
        <is>
          <t>Cost of Revenues</t>
        </is>
      </c>
      <c r="D38" s="241" t="n"/>
      <c r="E38" s="241" t="n"/>
      <c r="F38" s="241" t="n"/>
      <c r="G38" s="241" t="n"/>
      <c r="H38" s="1979">
        <f>SUM(H26:H37)</f>
        <v/>
      </c>
      <c r="I38" s="1979">
        <f>SUM(I26:I37)</f>
        <v/>
      </c>
      <c r="J38" s="1979">
        <f>SUM(J26:J37)</f>
        <v/>
      </c>
      <c r="K38" s="1979">
        <f>SUM(K26:K37)</f>
        <v/>
      </c>
      <c r="L38" s="1979">
        <f>SUM(L26:L37)</f>
        <v/>
      </c>
      <c r="M38" s="1979">
        <f>SUM(M26:M37)</f>
        <v/>
      </c>
      <c r="N38" s="1979">
        <f>SUM(N26:N37)</f>
        <v/>
      </c>
      <c r="O38" s="1979">
        <f>SUM(O26:O37)</f>
        <v/>
      </c>
      <c r="P38" s="1979">
        <f>SUM(P26:P37)</f>
        <v/>
      </c>
      <c r="Q38" s="1979">
        <f>SUM(Q26:Q37)</f>
        <v/>
      </c>
      <c r="R38" s="1980">
        <f>SUM(R26:R37)</f>
        <v/>
      </c>
      <c r="T38" s="1973">
        <f>IFERROR((R38/M38)^(1/5)-1,"-")</f>
        <v/>
      </c>
      <c r="U38" s="1974">
        <f>IFERROR(IF(K38+L38=M38,"OK","VARIANCE"),"")</f>
        <v/>
      </c>
      <c r="V38" s="1975">
        <f>(K38/ytd.months)*12</f>
        <v/>
      </c>
    </row>
    <row r="39" hidden="1">
      <c r="C39" s="1212" t="n"/>
      <c r="D39" s="259" t="n"/>
      <c r="E39" s="259" t="n"/>
      <c r="F39" s="259" t="n"/>
      <c r="G39" s="259" t="n"/>
      <c r="H39" s="259" t="n"/>
      <c r="I39" s="259" t="n"/>
      <c r="J39" s="259" t="n"/>
      <c r="K39" s="259" t="n"/>
      <c r="L39" s="259" t="n"/>
      <c r="M39" s="259" t="n"/>
      <c r="N39" s="259" t="n"/>
      <c r="O39" s="259" t="n"/>
      <c r="P39" s="259" t="n"/>
      <c r="Q39" s="259" t="n"/>
      <c r="R39" s="1217" t="n"/>
      <c r="T39" s="1973">
        <f>IFERROR((R39/M39)^(1/5)-1,"-")</f>
        <v/>
      </c>
      <c r="U39" s="1974">
        <f>IFERROR(IF(K39+L39=M39,"OK","VARIANCE"),"")</f>
        <v/>
      </c>
      <c r="V39" s="1975">
        <f>(K39/ytd.months)*12</f>
        <v/>
      </c>
    </row>
    <row r="40">
      <c r="C40" s="1216" t="inlineStr">
        <is>
          <t>Gross Profit</t>
        </is>
      </c>
      <c r="D40" s="432" t="n"/>
      <c r="E40" s="432" t="n"/>
      <c r="F40" s="432" t="n"/>
      <c r="G40" s="432" t="n"/>
      <c r="H40" s="1981">
        <f>H23+H38</f>
        <v/>
      </c>
      <c r="I40" s="1981">
        <f>I23+I38</f>
        <v/>
      </c>
      <c r="J40" s="1981">
        <f>J23+J38</f>
        <v/>
      </c>
      <c r="K40" s="1981">
        <f>K23+K38</f>
        <v/>
      </c>
      <c r="L40" s="1981">
        <f>L23+L38</f>
        <v/>
      </c>
      <c r="M40" s="1981">
        <f>M23+M38</f>
        <v/>
      </c>
      <c r="N40" s="1981">
        <f>N23+N38</f>
        <v/>
      </c>
      <c r="O40" s="1981">
        <f>O23+O38</f>
        <v/>
      </c>
      <c r="P40" s="1981">
        <f>P23+P38</f>
        <v/>
      </c>
      <c r="Q40" s="1981">
        <f>Q23+Q38</f>
        <v/>
      </c>
      <c r="R40" s="1982">
        <f>R23+R38</f>
        <v/>
      </c>
      <c r="T40" s="1973">
        <f>IFERROR((R40/M40)^(1/5)-1,"-")</f>
        <v/>
      </c>
      <c r="U40" s="1974">
        <f>IFERROR(IF(K40+L40=M40,"OK","VARIANCE"),"")</f>
        <v/>
      </c>
      <c r="V40" s="1975">
        <f>(K40/ytd.months)*12</f>
        <v/>
      </c>
    </row>
    <row r="41" ht="7" customHeight="1">
      <c r="C41" s="1212" t="n"/>
      <c r="D41" s="259" t="n"/>
      <c r="E41" s="259" t="n"/>
      <c r="F41" s="259" t="n"/>
      <c r="G41" s="259" t="n"/>
      <c r="H41" s="259" t="n"/>
      <c r="I41" s="259" t="n"/>
      <c r="J41" s="259" t="n"/>
      <c r="K41" s="259" t="n"/>
      <c r="L41" s="259" t="n"/>
      <c r="M41" s="259" t="n"/>
      <c r="N41" s="259" t="n"/>
      <c r="O41" s="259" t="n"/>
      <c r="P41" s="259" t="n"/>
      <c r="Q41" s="259" t="n"/>
      <c r="R41" s="1217" t="n"/>
      <c r="T41" s="1973">
        <f>IFERROR((R41/M41)^(1/5)-1,"-")</f>
        <v/>
      </c>
      <c r="U41" s="1974">
        <f>IFERROR(IF(K41+L41=M41,"OK","VARIANCE"),"")</f>
        <v/>
      </c>
      <c r="V41" s="1975">
        <f>(K41/ytd.months)*12</f>
        <v/>
      </c>
    </row>
    <row r="42">
      <c r="C42" s="1216" t="inlineStr">
        <is>
          <t>Operating Expenses:</t>
        </is>
      </c>
      <c r="D42" s="259" t="n"/>
      <c r="E42" s="259" t="n"/>
      <c r="F42" s="259" t="n"/>
      <c r="G42" s="259" t="n"/>
      <c r="H42" s="259" t="n"/>
      <c r="I42" s="259" t="n"/>
      <c r="J42" s="259" t="n"/>
      <c r="K42" s="259" t="n"/>
      <c r="L42" s="259" t="n"/>
      <c r="M42" s="259" t="n"/>
      <c r="N42" s="259" t="n"/>
      <c r="O42" s="259" t="n"/>
      <c r="P42" s="259" t="n"/>
      <c r="Q42" s="259" t="n"/>
      <c r="R42" s="1217" t="n"/>
      <c r="T42" s="1973">
        <f>IFERROR((R42/M42)^(1/5)-1,"-")</f>
        <v/>
      </c>
      <c r="U42" s="1974">
        <f>IFERROR(IF(K42+L42=M42,"OK","VARIANCE"),"")</f>
        <v/>
      </c>
      <c r="V42" s="1975">
        <f>(K42/ytd.months)*12</f>
        <v/>
      </c>
    </row>
    <row r="43">
      <c r="C43" s="1216" t="n"/>
      <c r="D43" s="259">
        <f>IS_Calcs!C146</f>
        <v/>
      </c>
      <c r="E43" s="259" t="n"/>
      <c r="F43" s="259" t="n"/>
      <c r="G43" s="259" t="n"/>
      <c r="H43" s="1923">
        <f>-IS_Calcs!H146</f>
        <v/>
      </c>
      <c r="I43" s="1923">
        <f>-IS_Calcs!I146</f>
        <v/>
      </c>
      <c r="J43" s="1923">
        <f>-IS_Calcs!J146</f>
        <v/>
      </c>
      <c r="K43" s="1923">
        <f>-IS_Calcs!K146</f>
        <v/>
      </c>
      <c r="L43" s="1923">
        <f>-IS_Calcs!L146</f>
        <v/>
      </c>
      <c r="M43" s="1923">
        <f>-IS_Calcs!M146</f>
        <v/>
      </c>
      <c r="N43" s="1923">
        <f>-IS_Calcs!N146</f>
        <v/>
      </c>
      <c r="O43" s="1923">
        <f>-IS_Calcs!O146</f>
        <v/>
      </c>
      <c r="P43" s="1923">
        <f>-IS_Calcs!P146</f>
        <v/>
      </c>
      <c r="Q43" s="1923">
        <f>-IS_Calcs!Q146</f>
        <v/>
      </c>
      <c r="R43" s="1976">
        <f>-IS_Calcs!R146</f>
        <v/>
      </c>
      <c r="T43" s="1973">
        <f>IFERROR((R43/M43)^(1/5)-1,"-")</f>
        <v/>
      </c>
      <c r="U43" s="1974">
        <f>IFERROR(IF(K43+L43=M43,"OK","VARIANCE"),"")</f>
        <v/>
      </c>
      <c r="V43" s="1975">
        <f>(K43/ytd.months)*12</f>
        <v/>
      </c>
    </row>
    <row r="44">
      <c r="C44" s="1216" t="n"/>
      <c r="D44" s="259">
        <f>IS_Calcs!C147</f>
        <v/>
      </c>
      <c r="E44" s="259" t="n"/>
      <c r="F44" s="259" t="n"/>
      <c r="G44" s="259" t="n"/>
      <c r="H44" s="1923">
        <f>-IS_Calcs!H147</f>
        <v/>
      </c>
      <c r="I44" s="1923">
        <f>-IS_Calcs!I147</f>
        <v/>
      </c>
      <c r="J44" s="1923">
        <f>-IS_Calcs!J147</f>
        <v/>
      </c>
      <c r="K44" s="1923">
        <f>-IS_Calcs!K147</f>
        <v/>
      </c>
      <c r="L44" s="1923">
        <f>-IS_Calcs!L147</f>
        <v/>
      </c>
      <c r="M44" s="1923">
        <f>-IS_Calcs!M147</f>
        <v/>
      </c>
      <c r="N44" s="1923">
        <f>-IS_Calcs!N147</f>
        <v/>
      </c>
      <c r="O44" s="1923">
        <f>-IS_Calcs!O147</f>
        <v/>
      </c>
      <c r="P44" s="1923">
        <f>-IS_Calcs!P147</f>
        <v/>
      </c>
      <c r="Q44" s="1923">
        <f>-IS_Calcs!Q147</f>
        <v/>
      </c>
      <c r="R44" s="1976">
        <f>-IS_Calcs!R147</f>
        <v/>
      </c>
      <c r="T44" s="1973">
        <f>IFERROR((R44/M44)^(1/5)-1,"-")</f>
        <v/>
      </c>
      <c r="U44" s="1974">
        <f>IFERROR(IF(K44+L44=M44,"OK","VARIANCE"),"")</f>
        <v/>
      </c>
      <c r="V44" s="1975">
        <f>(K44/ytd.months)*12</f>
        <v/>
      </c>
    </row>
    <row r="45">
      <c r="C45" s="1216" t="n"/>
      <c r="D45" s="259">
        <f>IS_Calcs!C148</f>
        <v/>
      </c>
      <c r="E45" s="259" t="n"/>
      <c r="F45" s="259" t="n"/>
      <c r="G45" s="259" t="n"/>
      <c r="H45" s="1923">
        <f>-IS_Calcs!H148</f>
        <v/>
      </c>
      <c r="I45" s="1923">
        <f>-IS_Calcs!I148</f>
        <v/>
      </c>
      <c r="J45" s="1923">
        <f>-IS_Calcs!J148</f>
        <v/>
      </c>
      <c r="K45" s="1923">
        <f>-IS_Calcs!K148</f>
        <v/>
      </c>
      <c r="L45" s="1923">
        <f>-IS_Calcs!L148</f>
        <v/>
      </c>
      <c r="M45" s="1923">
        <f>-IS_Calcs!M148</f>
        <v/>
      </c>
      <c r="N45" s="1923">
        <f>-IS_Calcs!N148</f>
        <v/>
      </c>
      <c r="O45" s="1923">
        <f>-IS_Calcs!O148</f>
        <v/>
      </c>
      <c r="P45" s="1923">
        <f>-IS_Calcs!P148</f>
        <v/>
      </c>
      <c r="Q45" s="1923">
        <f>-IS_Calcs!Q148</f>
        <v/>
      </c>
      <c r="R45" s="1976">
        <f>-IS_Calcs!R148</f>
        <v/>
      </c>
      <c r="T45" s="1973">
        <f>IFERROR((R45/M45)^(1/5)-1,"-")</f>
        <v/>
      </c>
      <c r="U45" s="1974">
        <f>IFERROR(IF(K45+L45=M45,"OK","VARIANCE"),"")</f>
        <v/>
      </c>
      <c r="V45" s="1975">
        <f>(K45/ytd.months)*12</f>
        <v/>
      </c>
    </row>
    <row r="46">
      <c r="C46" s="1216" t="n"/>
      <c r="D46" s="259">
        <f>IS_Calcs!C149</f>
        <v/>
      </c>
      <c r="E46" s="259" t="n"/>
      <c r="F46" s="259" t="n"/>
      <c r="G46" s="259" t="n"/>
      <c r="H46" s="1923">
        <f>-IS_Calcs!H149</f>
        <v/>
      </c>
      <c r="I46" s="1923">
        <f>-IS_Calcs!I149</f>
        <v/>
      </c>
      <c r="J46" s="1923">
        <f>-IS_Calcs!J149</f>
        <v/>
      </c>
      <c r="K46" s="1923">
        <f>-IS_Calcs!K149</f>
        <v/>
      </c>
      <c r="L46" s="1923">
        <f>-IS_Calcs!L149</f>
        <v/>
      </c>
      <c r="M46" s="1923">
        <f>-IS_Calcs!M149</f>
        <v/>
      </c>
      <c r="N46" s="1923">
        <f>-IS_Calcs!N149</f>
        <v/>
      </c>
      <c r="O46" s="1923">
        <f>-IS_Calcs!O149</f>
        <v/>
      </c>
      <c r="P46" s="1923">
        <f>-IS_Calcs!P149</f>
        <v/>
      </c>
      <c r="Q46" s="1923">
        <f>-IS_Calcs!Q149</f>
        <v/>
      </c>
      <c r="R46" s="1976">
        <f>-IS_Calcs!R149</f>
        <v/>
      </c>
      <c r="T46" s="1973">
        <f>IFERROR((R46/M46)^(1/5)-1,"-")</f>
        <v/>
      </c>
      <c r="U46" s="1974">
        <f>IFERROR(IF(K46+L46=M46,"OK","VARIANCE"),"")</f>
        <v/>
      </c>
      <c r="V46" s="1975">
        <f>(K46/ytd.months)*12</f>
        <v/>
      </c>
    </row>
    <row r="47">
      <c r="C47" s="1212" t="n"/>
      <c r="D47" s="259">
        <f>IS_Calcs!C150</f>
        <v/>
      </c>
      <c r="E47" s="259" t="n"/>
      <c r="F47" s="259" t="n"/>
      <c r="G47" s="259" t="n"/>
      <c r="H47" s="1923">
        <f>-IS_Calcs!H150</f>
        <v/>
      </c>
      <c r="I47" s="1923">
        <f>-IS_Calcs!I150</f>
        <v/>
      </c>
      <c r="J47" s="1923">
        <f>-IS_Calcs!J150</f>
        <v/>
      </c>
      <c r="K47" s="1923">
        <f>-IS_Calcs!K150</f>
        <v/>
      </c>
      <c r="L47" s="1923">
        <f>-IS_Calcs!L150</f>
        <v/>
      </c>
      <c r="M47" s="1923">
        <f>-IS_Calcs!M150</f>
        <v/>
      </c>
      <c r="N47" s="1923">
        <f>-IS_Calcs!N150</f>
        <v/>
      </c>
      <c r="O47" s="1923">
        <f>-IS_Calcs!O150</f>
        <v/>
      </c>
      <c r="P47" s="1923">
        <f>-IS_Calcs!P150</f>
        <v/>
      </c>
      <c r="Q47" s="1923">
        <f>-IS_Calcs!Q150</f>
        <v/>
      </c>
      <c r="R47" s="1976">
        <f>-IS_Calcs!R150</f>
        <v/>
      </c>
      <c r="T47" s="1973">
        <f>IFERROR((R47/M47)^(1/5)-1,"-")</f>
        <v/>
      </c>
      <c r="U47" s="1974">
        <f>IFERROR(IF(K47+L47=M47,"OK","VARIANCE"),"")</f>
        <v/>
      </c>
      <c r="V47" s="1975">
        <f>(K47/ytd.months)*12</f>
        <v/>
      </c>
    </row>
    <row r="48">
      <c r="C48" s="1212" t="n"/>
      <c r="D48" s="259">
        <f>IS_Calcs!C151</f>
        <v/>
      </c>
      <c r="E48" s="259" t="n"/>
      <c r="F48" s="259" t="n"/>
      <c r="G48" s="259" t="n"/>
      <c r="H48" s="1923">
        <f>-IS_Calcs!H151</f>
        <v/>
      </c>
      <c r="I48" s="1923">
        <f>-IS_Calcs!I151</f>
        <v/>
      </c>
      <c r="J48" s="1923">
        <f>-IS_Calcs!J151</f>
        <v/>
      </c>
      <c r="K48" s="1923">
        <f>-IS_Calcs!K151</f>
        <v/>
      </c>
      <c r="L48" s="1923">
        <f>-IS_Calcs!L151</f>
        <v/>
      </c>
      <c r="M48" s="1923">
        <f>-IS_Calcs!M151</f>
        <v/>
      </c>
      <c r="N48" s="1923">
        <f>-IS_Calcs!N151</f>
        <v/>
      </c>
      <c r="O48" s="1923">
        <f>-IS_Calcs!O151</f>
        <v/>
      </c>
      <c r="P48" s="1923">
        <f>-IS_Calcs!P151</f>
        <v/>
      </c>
      <c r="Q48" s="1923">
        <f>-IS_Calcs!Q151</f>
        <v/>
      </c>
      <c r="R48" s="1976">
        <f>-IS_Calcs!R151</f>
        <v/>
      </c>
      <c r="T48" s="1973" t="n"/>
      <c r="U48" s="1974" t="n"/>
      <c r="V48" s="1975" t="n"/>
    </row>
    <row r="49">
      <c r="C49" s="1212" t="n"/>
      <c r="D49" s="259">
        <f>IS_Calcs!C152</f>
        <v/>
      </c>
      <c r="E49" s="259" t="n"/>
      <c r="F49" s="259" t="n"/>
      <c r="G49" s="259" t="n"/>
      <c r="H49" s="1923">
        <f>-IS_Calcs!H152</f>
        <v/>
      </c>
      <c r="I49" s="1923">
        <f>-IS_Calcs!I152</f>
        <v/>
      </c>
      <c r="J49" s="1923">
        <f>-IS_Calcs!J152</f>
        <v/>
      </c>
      <c r="K49" s="1923">
        <f>-IS_Calcs!K152</f>
        <v/>
      </c>
      <c r="L49" s="1923">
        <f>-IS_Calcs!L152</f>
        <v/>
      </c>
      <c r="M49" s="1923">
        <f>-IS_Calcs!M152</f>
        <v/>
      </c>
      <c r="N49" s="1923">
        <f>-IS_Calcs!N152</f>
        <v/>
      </c>
      <c r="O49" s="1923">
        <f>-IS_Calcs!O152</f>
        <v/>
      </c>
      <c r="P49" s="1923">
        <f>-IS_Calcs!P152</f>
        <v/>
      </c>
      <c r="Q49" s="1923">
        <f>-IS_Calcs!Q152</f>
        <v/>
      </c>
      <c r="R49" s="1976">
        <f>-IS_Calcs!R152</f>
        <v/>
      </c>
      <c r="T49" s="1973" t="n"/>
      <c r="U49" s="1974" t="n"/>
      <c r="V49" s="1975" t="n"/>
    </row>
    <row r="50">
      <c r="C50" s="1212" t="n"/>
      <c r="D50" s="259">
        <f>IS_Calcs!C153</f>
        <v/>
      </c>
      <c r="E50" s="259" t="n"/>
      <c r="F50" s="259" t="n"/>
      <c r="G50" s="259" t="n"/>
      <c r="H50" s="1923">
        <f>-IS_Calcs!H153</f>
        <v/>
      </c>
      <c r="I50" s="1923">
        <f>-IS_Calcs!I153</f>
        <v/>
      </c>
      <c r="J50" s="1923">
        <f>-IS_Calcs!J153</f>
        <v/>
      </c>
      <c r="K50" s="1923">
        <f>-IS_Calcs!K153</f>
        <v/>
      </c>
      <c r="L50" s="1923">
        <f>-IS_Calcs!L153</f>
        <v/>
      </c>
      <c r="M50" s="1923">
        <f>-IS_Calcs!M153</f>
        <v/>
      </c>
      <c r="N50" s="1923">
        <f>-IS_Calcs!N153</f>
        <v/>
      </c>
      <c r="O50" s="1923">
        <f>-IS_Calcs!O153</f>
        <v/>
      </c>
      <c r="P50" s="1923">
        <f>-IS_Calcs!P153</f>
        <v/>
      </c>
      <c r="Q50" s="1923">
        <f>-IS_Calcs!Q153</f>
        <v/>
      </c>
      <c r="R50" s="1976">
        <f>-IS_Calcs!R153</f>
        <v/>
      </c>
      <c r="T50" s="1973">
        <f>IFERROR((R50/M50)^(1/5)-1,"-")</f>
        <v/>
      </c>
      <c r="U50" s="1974">
        <f>IFERROR(IF(K50+L50=M50,"OK","VARIANCE"),"")</f>
        <v/>
      </c>
      <c r="V50" s="1975">
        <f>(K50/ytd.months)*12</f>
        <v/>
      </c>
    </row>
    <row r="51">
      <c r="C51" s="1212" t="n"/>
      <c r="D51" s="259">
        <f>IS_Calcs!C154</f>
        <v/>
      </c>
      <c r="E51" s="259" t="n"/>
      <c r="F51" s="259" t="n"/>
      <c r="G51" s="259" t="n"/>
      <c r="H51" s="1923">
        <f>-IS_Calcs!H154</f>
        <v/>
      </c>
      <c r="I51" s="1923">
        <f>-IS_Calcs!I154</f>
        <v/>
      </c>
      <c r="J51" s="1923">
        <f>-IS_Calcs!J154</f>
        <v/>
      </c>
      <c r="K51" s="1923">
        <f>-IS_Calcs!K154</f>
        <v/>
      </c>
      <c r="L51" s="1923">
        <f>-IS_Calcs!L154</f>
        <v/>
      </c>
      <c r="M51" s="1923">
        <f>-IS_Calcs!M154</f>
        <v/>
      </c>
      <c r="N51" s="1923">
        <f>-IS_Calcs!N154</f>
        <v/>
      </c>
      <c r="O51" s="1923">
        <f>-IS_Calcs!O154</f>
        <v/>
      </c>
      <c r="P51" s="1923">
        <f>-IS_Calcs!P154</f>
        <v/>
      </c>
      <c r="Q51" s="1923">
        <f>-IS_Calcs!Q154</f>
        <v/>
      </c>
      <c r="R51" s="1976">
        <f>-IS_Calcs!R154</f>
        <v/>
      </c>
      <c r="T51" s="1973">
        <f>IFERROR((R51/M51)^(1/5)-1,"-")</f>
        <v/>
      </c>
      <c r="U51" s="1974">
        <f>IFERROR(IF(K51+L51=M51,"OK","VARIANCE"),"")</f>
        <v/>
      </c>
      <c r="V51" s="1975">
        <f>(K51/ytd.months)*12</f>
        <v/>
      </c>
    </row>
    <row r="52">
      <c r="C52" s="1226" t="inlineStr">
        <is>
          <t>Total Operating Expenses</t>
        </is>
      </c>
      <c r="D52" s="247" t="n"/>
      <c r="E52" s="247" t="n"/>
      <c r="F52" s="247" t="n"/>
      <c r="G52" s="247" t="n"/>
      <c r="H52" s="1983">
        <f>SUM(H43:H51)</f>
        <v/>
      </c>
      <c r="I52" s="1983">
        <f>SUM(I43:I51)</f>
        <v/>
      </c>
      <c r="J52" s="1983">
        <f>SUM(J43:J51)</f>
        <v/>
      </c>
      <c r="K52" s="1983">
        <f>SUM(K43:K51)</f>
        <v/>
      </c>
      <c r="L52" s="1983">
        <f>SUM(L43:L51)</f>
        <v/>
      </c>
      <c r="M52" s="1983">
        <f>SUM(M43:M51)</f>
        <v/>
      </c>
      <c r="N52" s="1983">
        <f>SUM(N43:N51)</f>
        <v/>
      </c>
      <c r="O52" s="1983">
        <f>SUM(O43:O51)</f>
        <v/>
      </c>
      <c r="P52" s="1983">
        <f>SUM(P43:P51)</f>
        <v/>
      </c>
      <c r="Q52" s="1983">
        <f>SUM(Q43:Q51)</f>
        <v/>
      </c>
      <c r="R52" s="1984">
        <f>SUM(R43:R51)</f>
        <v/>
      </c>
      <c r="T52" s="1973">
        <f>IFERROR((R52/M52)^(1/5)-1,"-")</f>
        <v/>
      </c>
      <c r="U52" s="1974">
        <f>IFERROR(IF(K52+L52=M52,"OK","VARIANCE"),"")</f>
        <v/>
      </c>
      <c r="V52" s="1975">
        <f>(K52/ytd.months)*12</f>
        <v/>
      </c>
    </row>
    <row r="53" ht="7" customHeight="1">
      <c r="C53" s="1212" t="n"/>
      <c r="D53" s="259" t="n"/>
      <c r="E53" s="259" t="n"/>
      <c r="F53" s="259" t="n"/>
      <c r="G53" s="259" t="n"/>
      <c r="H53" s="259" t="n"/>
      <c r="I53" s="259" t="n"/>
      <c r="J53" s="259" t="n"/>
      <c r="K53" s="259" t="n"/>
      <c r="L53" s="259" t="n"/>
      <c r="M53" s="259" t="n"/>
      <c r="N53" s="259" t="n"/>
      <c r="O53" s="259" t="n"/>
      <c r="P53" s="259" t="n"/>
      <c r="Q53" s="259" t="n"/>
      <c r="R53" s="1217" t="n"/>
      <c r="T53" s="1973">
        <f>IFERROR((R53/M53)^(1/5)-1,"-")</f>
        <v/>
      </c>
      <c r="U53" s="1974">
        <f>IFERROR(IF(K53+L53=M53,"OK","VARIANCE"),"")</f>
        <v/>
      </c>
      <c r="V53" s="1975">
        <f>(K53/ytd.months)*12</f>
        <v/>
      </c>
    </row>
    <row r="54" customFormat="1" s="432">
      <c r="C54" s="1216" t="inlineStr">
        <is>
          <t>EBITDA</t>
        </is>
      </c>
      <c r="D54" s="432" t="n"/>
      <c r="E54" s="432" t="n"/>
      <c r="F54" s="432" t="n"/>
      <c r="G54" s="432" t="n"/>
      <c r="H54" s="1981">
        <f>H40+H52</f>
        <v/>
      </c>
      <c r="I54" s="1981">
        <f>I40+I52</f>
        <v/>
      </c>
      <c r="J54" s="1981">
        <f>J40+J52</f>
        <v/>
      </c>
      <c r="K54" s="1981">
        <f>K40+K52</f>
        <v/>
      </c>
      <c r="L54" s="1981">
        <f>L40+L52</f>
        <v/>
      </c>
      <c r="M54" s="1981">
        <f>M40+M52</f>
        <v/>
      </c>
      <c r="N54" s="1981">
        <f>N40+N52</f>
        <v/>
      </c>
      <c r="O54" s="1981">
        <f>O40+O52</f>
        <v/>
      </c>
      <c r="P54" s="1981">
        <f>P40+P52</f>
        <v/>
      </c>
      <c r="Q54" s="1981">
        <f>Q40+Q52</f>
        <v/>
      </c>
      <c r="R54" s="1982">
        <f>R40+R52</f>
        <v/>
      </c>
      <c r="T54" s="1973">
        <f>IFERROR((R54/M54)^(1/5)-1,"-")</f>
        <v/>
      </c>
      <c r="U54" s="1974">
        <f>IFERROR(IF(K54+L54=M54,"OK","VARIANCE"),"")</f>
        <v/>
      </c>
      <c r="V54" s="1975">
        <f>(K54/ytd.months)*12</f>
        <v/>
      </c>
    </row>
    <row r="55" ht="7" customHeight="1">
      <c r="C55" s="1212" t="n"/>
      <c r="D55" s="259" t="n"/>
      <c r="E55" s="259" t="n"/>
      <c r="F55" s="259" t="n"/>
      <c r="G55" s="259" t="n"/>
      <c r="H55" s="259" t="n"/>
      <c r="I55" s="259" t="n"/>
      <c r="J55" s="259" t="n"/>
      <c r="K55" s="259" t="n"/>
      <c r="L55" s="259" t="n"/>
      <c r="M55" s="259" t="n"/>
      <c r="N55" s="259" t="n"/>
      <c r="O55" s="259" t="n"/>
      <c r="P55" s="259" t="n"/>
      <c r="Q55" s="259" t="n"/>
      <c r="R55" s="1217" t="n"/>
      <c r="T55" s="1973">
        <f>IFERROR((R55/M55)^(1/5)-1,"-")</f>
        <v/>
      </c>
      <c r="U55" s="1974">
        <f>IFERROR(IF(K55+L55=M55,"OK","VARIANCE"),"")</f>
        <v/>
      </c>
      <c r="V55" s="1975">
        <f>(K55/ytd.months)*12</f>
        <v/>
      </c>
    </row>
    <row r="56">
      <c r="C56" s="1212" t="n"/>
      <c r="D56" s="259" t="inlineStr">
        <is>
          <t>Depreciation &amp; Amortisation</t>
        </is>
      </c>
      <c r="E56" s="259" t="n"/>
      <c r="F56" s="259" t="n"/>
      <c r="G56" s="259" t="n"/>
      <c r="H56" s="1287" t="n"/>
      <c r="I56" s="1287" t="n"/>
      <c r="J56" s="1287" t="n"/>
      <c r="K56" s="1985" t="n"/>
      <c r="L56" s="1923">
        <f>-BS_Calc!L62</f>
        <v/>
      </c>
      <c r="M56" s="1923">
        <f>-BS_Calc!M62</f>
        <v/>
      </c>
      <c r="N56" s="1923">
        <f>-BS_Calc!N62</f>
        <v/>
      </c>
      <c r="O56" s="1923">
        <f>-BS_Calc!O62</f>
        <v/>
      </c>
      <c r="P56" s="1923">
        <f>-BS_Calc!P62</f>
        <v/>
      </c>
      <c r="Q56" s="1923">
        <f>-BS_Calc!Q62</f>
        <v/>
      </c>
      <c r="R56" s="1976">
        <f>-BS_Calc!R62</f>
        <v/>
      </c>
      <c r="T56" s="1973">
        <f>IFERROR((R56/M56)^(1/5)-1,"-")</f>
        <v/>
      </c>
      <c r="U56" s="1974">
        <f>IFERROR(IF(K56+L56=M56,"OK","VARIANCE"),"")</f>
        <v/>
      </c>
      <c r="V56" s="1975">
        <f>(K56/ytd.months)*12</f>
        <v/>
      </c>
    </row>
    <row r="57">
      <c r="C57" s="1226" t="inlineStr">
        <is>
          <t>Earnings (Loss) Before Interest &amp; Taxes - EBIT</t>
        </is>
      </c>
      <c r="D57" s="247" t="n"/>
      <c r="E57" s="247" t="n"/>
      <c r="F57" s="247" t="n"/>
      <c r="G57" s="247" t="n"/>
      <c r="H57" s="1986">
        <f>SUM(H54,H56)</f>
        <v/>
      </c>
      <c r="I57" s="1986">
        <f>SUM(I54,I56)</f>
        <v/>
      </c>
      <c r="J57" s="1986">
        <f>SUM(J54,J56)</f>
        <v/>
      </c>
      <c r="K57" s="1986">
        <f>SUM(K54,K56)</f>
        <v/>
      </c>
      <c r="L57" s="1986">
        <f>SUM(L54,L56)</f>
        <v/>
      </c>
      <c r="M57" s="1986">
        <f>SUM(M54,M56)</f>
        <v/>
      </c>
      <c r="N57" s="1986">
        <f>SUM(N54,N56)</f>
        <v/>
      </c>
      <c r="O57" s="1986">
        <f>SUM(O54,O56)</f>
        <v/>
      </c>
      <c r="P57" s="1986">
        <f>SUM(P54,P56)</f>
        <v/>
      </c>
      <c r="Q57" s="1986">
        <f>SUM(Q54,Q56)</f>
        <v/>
      </c>
      <c r="R57" s="1987">
        <f>SUM(R54,R56)</f>
        <v/>
      </c>
      <c r="T57" s="1973">
        <f>IFERROR((R57/M57)^(1/5)-1,"-")</f>
        <v/>
      </c>
      <c r="U57" s="1974">
        <f>IFERROR(IF(K57+L57=M57,"OK","VARIANCE"),"")</f>
        <v/>
      </c>
      <c r="V57" s="1975">
        <f>(K57/ytd.months)*12</f>
        <v/>
      </c>
    </row>
    <row r="58" ht="7" customHeight="1">
      <c r="C58" s="1212" t="n"/>
      <c r="D58" s="259" t="n"/>
      <c r="E58" s="259" t="n"/>
      <c r="F58" s="259" t="n"/>
      <c r="G58" s="259" t="n"/>
      <c r="H58" s="259" t="n"/>
      <c r="I58" s="259" t="n"/>
      <c r="J58" s="259" t="n"/>
      <c r="K58" s="259" t="n"/>
      <c r="L58" s="259" t="n"/>
      <c r="M58" s="259" t="n"/>
      <c r="N58" s="259" t="n"/>
      <c r="O58" s="259" t="n"/>
      <c r="P58" s="259" t="n"/>
      <c r="Q58" s="259" t="n"/>
      <c r="R58" s="1217" t="n"/>
      <c r="T58" s="1973">
        <f>IFERROR((R58/M58)^(1/5)-1,"-")</f>
        <v/>
      </c>
      <c r="U58" s="1974">
        <f>IFERROR(IF(K58+L58=M58,"OK","VARIANCE"),"")</f>
        <v/>
      </c>
      <c r="V58" s="1975">
        <f>(K58/ytd.months)*12</f>
        <v/>
      </c>
    </row>
    <row r="59">
      <c r="C59" s="1212" t="n"/>
      <c r="D59" s="259" t="inlineStr">
        <is>
          <t>Net Interest Expense</t>
        </is>
      </c>
      <c r="E59" s="259" t="n"/>
      <c r="F59" s="259" t="n"/>
      <c r="G59" s="259" t="n"/>
      <c r="H59" s="1923">
        <f>-IS_Calcs!H174</f>
        <v/>
      </c>
      <c r="I59" s="1923">
        <f>-IS_Calcs!I174</f>
        <v/>
      </c>
      <c r="J59" s="1923">
        <f>-IS_Calcs!J174</f>
        <v/>
      </c>
      <c r="K59" s="1923">
        <f>-IS_Calcs!K174</f>
        <v/>
      </c>
      <c r="L59" s="1923">
        <f>-IS_Calcs!L174</f>
        <v/>
      </c>
      <c r="M59" s="1923">
        <f>-IS_Calcs!M174</f>
        <v/>
      </c>
      <c r="N59" s="1923">
        <f>-IS_Calcs!N174</f>
        <v/>
      </c>
      <c r="O59" s="1923">
        <f>-IS_Calcs!O174</f>
        <v/>
      </c>
      <c r="P59" s="1923">
        <f>-IS_Calcs!P174</f>
        <v/>
      </c>
      <c r="Q59" s="1923">
        <f>-IS_Calcs!Q174</f>
        <v/>
      </c>
      <c r="R59" s="1976">
        <f>-IS_Calcs!R174</f>
        <v/>
      </c>
      <c r="T59" s="1973">
        <f>IFERROR((R59/M59)^(1/5)-1,"-")</f>
        <v/>
      </c>
      <c r="U59" s="1974">
        <f>IFERROR(IF(K59+L59=M59,"OK","VARIANCE"),"")</f>
        <v/>
      </c>
      <c r="V59" s="1975">
        <f>(K59/ytd.months)*12</f>
        <v/>
      </c>
    </row>
    <row r="60">
      <c r="C60" s="1226" t="inlineStr">
        <is>
          <t>Earnings (Loss) Before Taxes - EBT</t>
        </is>
      </c>
      <c r="D60" s="247" t="n"/>
      <c r="E60" s="247" t="n"/>
      <c r="F60" s="247" t="n"/>
      <c r="G60" s="247" t="n"/>
      <c r="H60" s="1986">
        <f>SUM(H57,H59)</f>
        <v/>
      </c>
      <c r="I60" s="1986">
        <f>SUM(I57,I59)</f>
        <v/>
      </c>
      <c r="J60" s="1986">
        <f>SUM(J57,J59)</f>
        <v/>
      </c>
      <c r="K60" s="1986">
        <f>SUM(K57,K59)</f>
        <v/>
      </c>
      <c r="L60" s="1986">
        <f>SUM(L57,L59)</f>
        <v/>
      </c>
      <c r="M60" s="1986">
        <f>SUM(M57,M59)</f>
        <v/>
      </c>
      <c r="N60" s="1986">
        <f>SUM(N57,N59)</f>
        <v/>
      </c>
      <c r="O60" s="1986">
        <f>SUM(O57,O59)</f>
        <v/>
      </c>
      <c r="P60" s="1986">
        <f>SUM(P57,P59)</f>
        <v/>
      </c>
      <c r="Q60" s="1986">
        <f>SUM(Q57,Q59)</f>
        <v/>
      </c>
      <c r="R60" s="1987">
        <f>SUM(R57,R59)</f>
        <v/>
      </c>
      <c r="T60" s="1973">
        <f>IFERROR((R60/M60)^(1/5)-1,"-")</f>
        <v/>
      </c>
      <c r="U60" s="1974">
        <f>IFERROR(IF(K60+L60=M60,"OK","VARIANCE"),"")</f>
        <v/>
      </c>
      <c r="V60" s="1975">
        <f>(K60/ytd.months)*12</f>
        <v/>
      </c>
    </row>
    <row r="61" ht="7" customHeight="1">
      <c r="C61" s="1212" t="n"/>
      <c r="D61" s="259" t="n"/>
      <c r="E61" s="259" t="n"/>
      <c r="F61" s="259" t="n"/>
      <c r="G61" s="259" t="n"/>
      <c r="H61" s="259" t="n"/>
      <c r="I61" s="259" t="n"/>
      <c r="J61" s="259" t="n"/>
      <c r="K61" s="259" t="n"/>
      <c r="L61" s="259" t="n"/>
      <c r="M61" s="259" t="n"/>
      <c r="N61" s="259" t="n"/>
      <c r="O61" s="259" t="n"/>
      <c r="P61" s="259" t="n"/>
      <c r="Q61" s="259" t="n"/>
      <c r="R61" s="1217" t="n"/>
      <c r="T61" s="1973">
        <f>IFERROR((R61/M61)^(1/5)-1,"-")</f>
        <v/>
      </c>
      <c r="U61" s="1974">
        <f>IFERROR(IF(K61+L61=M61,"OK","VARIANCE"),"")</f>
        <v/>
      </c>
      <c r="V61" s="1975">
        <f>(K61/ytd.months)*12</f>
        <v/>
      </c>
    </row>
    <row r="62" ht="10.5" customHeight="1">
      <c r="C62" s="1212" t="n"/>
      <c r="D62" s="259" t="inlineStr">
        <is>
          <t>Tax Expense</t>
        </is>
      </c>
      <c r="E62" s="259" t="n"/>
      <c r="F62" s="1988">
        <f>IS_Calcs!F184</f>
        <v/>
      </c>
      <c r="G62" s="259" t="n"/>
      <c r="H62" s="259">
        <f>-IS_Calcs!H188</f>
        <v/>
      </c>
      <c r="I62" s="259">
        <f>-IS_Calcs!I188</f>
        <v/>
      </c>
      <c r="J62" s="1923">
        <f>-IS_Calcs!J188</f>
        <v/>
      </c>
      <c r="K62" s="1923">
        <f>-IS_Calcs!K188</f>
        <v/>
      </c>
      <c r="L62" s="1923">
        <f>-IS_Calcs!L188</f>
        <v/>
      </c>
      <c r="M62" s="1923">
        <f>-IS_Calcs!M188</f>
        <v/>
      </c>
      <c r="N62" s="1923">
        <f>-IS_Calcs!N188</f>
        <v/>
      </c>
      <c r="O62" s="1923">
        <f>-IS_Calcs!O188</f>
        <v/>
      </c>
      <c r="P62" s="1923">
        <f>-IS_Calcs!P188</f>
        <v/>
      </c>
      <c r="Q62" s="1923">
        <f>-IS_Calcs!Q188</f>
        <v/>
      </c>
      <c r="R62" s="1976">
        <f>-IS_Calcs!R188</f>
        <v/>
      </c>
      <c r="T62" s="1973">
        <f>IFERROR((R62/M62)^(1/5)-1,"-")</f>
        <v/>
      </c>
      <c r="U62" s="1974">
        <f>IFERROR(IF(K62+L62=M62,"OK","VARIANCE"),"")</f>
        <v/>
      </c>
      <c r="V62" s="1975">
        <f>(K62/ytd.months)*12</f>
        <v/>
      </c>
    </row>
    <row r="63" ht="10.5" customFormat="1" customHeight="1" s="432">
      <c r="C63" s="1226" t="inlineStr">
        <is>
          <t>Net profit</t>
        </is>
      </c>
      <c r="D63" s="247" t="n"/>
      <c r="E63" s="247" t="n"/>
      <c r="F63" s="247" t="n"/>
      <c r="G63" s="247" t="n"/>
      <c r="H63" s="1983">
        <f>SUM(H60,H62:H62)</f>
        <v/>
      </c>
      <c r="I63" s="1983">
        <f>SUM(I60,I62:I62)</f>
        <v/>
      </c>
      <c r="J63" s="1983">
        <f>SUM(J60,J62:J62)</f>
        <v/>
      </c>
      <c r="K63" s="1983">
        <f>SUM(K60,K62:K62)</f>
        <v/>
      </c>
      <c r="L63" s="1983">
        <f>SUM(L60,L62:L62)</f>
        <v/>
      </c>
      <c r="M63" s="1983">
        <f>SUM(M60,M62:M62)</f>
        <v/>
      </c>
      <c r="N63" s="1983">
        <f>SUM(N60,N62:N62)</f>
        <v/>
      </c>
      <c r="O63" s="1983">
        <f>SUM(O60,O62:O62)</f>
        <v/>
      </c>
      <c r="P63" s="1983">
        <f>SUM(P60,P62:P62)</f>
        <v/>
      </c>
      <c r="Q63" s="1983">
        <f>SUM(Q60,Q62:Q62)</f>
        <v/>
      </c>
      <c r="R63" s="1984">
        <f>SUM(R60,R62:R62)</f>
        <v/>
      </c>
      <c r="T63" s="1973">
        <f>IFERROR((R63/M63)^(1/5)-1,"-")</f>
        <v/>
      </c>
      <c r="U63" s="1974">
        <f>IFERROR(IF(K63+L63=M63,"OK","VARIANCE"),"")</f>
        <v/>
      </c>
      <c r="V63" s="1975">
        <f>(K63/ytd.months)*12</f>
        <v/>
      </c>
    </row>
    <row r="64" ht="10.5" customHeight="1">
      <c r="C64" s="1213" t="n"/>
      <c r="D64" s="412" t="n"/>
      <c r="E64" s="412" t="n"/>
      <c r="F64" s="412" t="n"/>
      <c r="G64" s="412" t="n"/>
      <c r="H64" s="412" t="n"/>
      <c r="I64" s="412" t="n"/>
      <c r="J64" s="412" t="n"/>
      <c r="K64" s="412" t="n"/>
      <c r="L64" s="412" t="n"/>
      <c r="M64" s="412" t="n"/>
      <c r="N64" s="412" t="n"/>
      <c r="O64" s="412" t="n"/>
      <c r="P64" s="412" t="n"/>
      <c r="Q64" s="412" t="n"/>
      <c r="R64" s="1229" t="n"/>
      <c r="T64" s="259" t="n"/>
      <c r="U64" s="259" t="n"/>
    </row>
    <row r="65" ht="10.5" customHeight="1">
      <c r="C65" s="259" t="n"/>
      <c r="D65" s="259" t="n"/>
      <c r="E65" s="259" t="n"/>
      <c r="F65" s="259" t="n"/>
      <c r="T65" s="259" t="n"/>
      <c r="U65" s="259" t="n"/>
    </row>
    <row r="66" ht="10.5" customHeight="1">
      <c r="C66" s="1207" t="inlineStr">
        <is>
          <t>Key Metrics</t>
        </is>
      </c>
      <c r="D66" s="1208" t="n"/>
      <c r="E66" s="1208" t="n"/>
      <c r="F66" s="1208" t="n"/>
      <c r="G66" s="1208" t="n"/>
      <c r="H66" s="1208" t="n"/>
      <c r="I66" s="1208" t="n"/>
      <c r="J66" s="1208" t="n"/>
      <c r="K66" s="1208" t="n"/>
      <c r="L66" s="1208" t="n"/>
      <c r="M66" s="1208" t="n"/>
      <c r="N66" s="1208" t="n"/>
      <c r="O66" s="1208" t="n"/>
      <c r="P66" s="1208" t="n"/>
      <c r="Q66" s="1208" t="n"/>
      <c r="R66" s="1209" t="n"/>
      <c r="T66" s="259" t="n"/>
      <c r="U66" s="259" t="n"/>
    </row>
    <row r="67" ht="10.5" customHeight="1">
      <c r="C67" s="1210" t="inlineStr">
        <is>
          <t>Revenue growth</t>
        </is>
      </c>
      <c r="D67" s="259" t="n"/>
      <c r="E67" s="259" t="n"/>
      <c r="F67" s="259" t="n"/>
      <c r="G67" s="259" t="n"/>
      <c r="H67" s="1989">
        <f>IFERROR(H23/F23-1,0)</f>
        <v/>
      </c>
      <c r="I67" s="1989">
        <f>IFERROR(I23/G23-1,0)</f>
        <v/>
      </c>
      <c r="J67" s="1989">
        <f>IFERROR(J23/I23-1,0)</f>
        <v/>
      </c>
      <c r="K67" s="1989">
        <f>IFERROR(K23/J23-1,0)</f>
        <v/>
      </c>
      <c r="L67" s="1989">
        <f>IFERROR(L23/K23-1,0)</f>
        <v/>
      </c>
      <c r="M67" s="1989">
        <f>IFERROR(M23/L23-1,0)</f>
        <v/>
      </c>
      <c r="N67" s="1989">
        <f>IFERROR(N23/M23-1,0)</f>
        <v/>
      </c>
      <c r="O67" s="1989">
        <f>IFERROR(O23/N23-1,0)</f>
        <v/>
      </c>
      <c r="P67" s="1989">
        <f>IFERROR(P23/O23-1,0)</f>
        <v/>
      </c>
      <c r="Q67" s="1989">
        <f>IFERROR(Q23/P23-1,0)</f>
        <v/>
      </c>
      <c r="R67" s="1990">
        <f>IFERROR(R23/Q23-1,0)</f>
        <v/>
      </c>
      <c r="T67" s="259" t="n"/>
      <c r="U67" s="259" t="n"/>
    </row>
    <row r="68" ht="10.5" customHeight="1">
      <c r="C68" s="1210" t="inlineStr">
        <is>
          <t>COGS as a % of revenue</t>
        </is>
      </c>
      <c r="D68" s="259" t="n"/>
      <c r="E68" s="259" t="n"/>
      <c r="F68" s="259" t="n"/>
      <c r="G68" s="259" t="n"/>
      <c r="H68" s="1989">
        <f>IFERROR((-H38)/H23,0)</f>
        <v/>
      </c>
      <c r="I68" s="1989">
        <f>IFERROR((-I38)/I23,0)</f>
        <v/>
      </c>
      <c r="J68" s="1989">
        <f>IFERROR((-J38)/J23,0)</f>
        <v/>
      </c>
      <c r="K68" s="1989">
        <f>IFERROR((-K38)/K23,0)</f>
        <v/>
      </c>
      <c r="L68" s="1989">
        <f>IFERROR((-L38)/L23,0)</f>
        <v/>
      </c>
      <c r="M68" s="1989">
        <f>IFERROR((-M38)/M23,0)</f>
        <v/>
      </c>
      <c r="N68" s="1989">
        <f>IFERROR((-N38)/N23,0)</f>
        <v/>
      </c>
      <c r="O68" s="1989">
        <f>IFERROR((-O38)/O23,0)</f>
        <v/>
      </c>
      <c r="P68" s="1989">
        <f>IFERROR((-P38)/P23,0)</f>
        <v/>
      </c>
      <c r="Q68" s="1989">
        <f>IFERROR((-Q38)/Q23,0)</f>
        <v/>
      </c>
      <c r="R68" s="1990">
        <f>IFERROR((-R38)/R23,0)</f>
        <v/>
      </c>
      <c r="T68" s="259" t="n"/>
      <c r="U68" s="259" t="n"/>
    </row>
    <row r="69" ht="10.5" customHeight="1">
      <c r="C69" s="1212" t="inlineStr">
        <is>
          <t>Gross margins</t>
        </is>
      </c>
      <c r="D69" s="259" t="n"/>
      <c r="E69" s="259" t="n"/>
      <c r="F69" s="259" t="n"/>
      <c r="G69" s="259" t="n"/>
      <c r="H69" s="1989">
        <f>IFERROR(H40/H23,0)</f>
        <v/>
      </c>
      <c r="I69" s="1989">
        <f>IFERROR(I40/I23,0)</f>
        <v/>
      </c>
      <c r="J69" s="1989">
        <f>IFERROR(J40/J23,0)</f>
        <v/>
      </c>
      <c r="K69" s="1989">
        <f>IFERROR(K40/K23,0)</f>
        <v/>
      </c>
      <c r="L69" s="1989">
        <f>IFERROR(L40/L23,0)</f>
        <v/>
      </c>
      <c r="M69" s="1989">
        <f>IFERROR(M40/M23,0)</f>
        <v/>
      </c>
      <c r="N69" s="1989">
        <f>IFERROR(N40/N23,0)</f>
        <v/>
      </c>
      <c r="O69" s="1989">
        <f>IFERROR(O40/O23,0)</f>
        <v/>
      </c>
      <c r="P69" s="1989">
        <f>IFERROR(P40/P23,0)</f>
        <v/>
      </c>
      <c r="Q69" s="1989">
        <f>IFERROR(Q40/Q23,0)</f>
        <v/>
      </c>
      <c r="R69" s="1990">
        <f>IFERROR(R40/R23,0)</f>
        <v/>
      </c>
      <c r="T69" s="259" t="n"/>
      <c r="U69" s="259" t="n"/>
    </row>
    <row r="70" ht="10.5" customHeight="1">
      <c r="C70" s="1212" t="inlineStr">
        <is>
          <t>OPEX as a % sales</t>
        </is>
      </c>
      <c r="D70" s="259" t="n"/>
      <c r="E70" s="259" t="n"/>
      <c r="F70" s="259" t="n"/>
      <c r="G70" s="259" t="n"/>
      <c r="H70" s="1989">
        <f>IFERROR(-H52/H23,0)</f>
        <v/>
      </c>
      <c r="I70" s="1989">
        <f>IFERROR(-I52/I23,0)</f>
        <v/>
      </c>
      <c r="J70" s="1989">
        <f>IFERROR(-J52/J23,0)</f>
        <v/>
      </c>
      <c r="K70" s="1989">
        <f>IFERROR(-K52/K23,0)</f>
        <v/>
      </c>
      <c r="L70" s="1989">
        <f>IFERROR(-L52/L23,0)</f>
        <v/>
      </c>
      <c r="M70" s="1989">
        <f>IFERROR(-M52/M23,0)</f>
        <v/>
      </c>
      <c r="N70" s="1989">
        <f>IFERROR(-N52/N23,0)</f>
        <v/>
      </c>
      <c r="O70" s="1989">
        <f>IFERROR(-O52/O23,0)</f>
        <v/>
      </c>
      <c r="P70" s="1989">
        <f>IFERROR(-P52/P23,0)</f>
        <v/>
      </c>
      <c r="Q70" s="1989">
        <f>IFERROR(-Q52/Q23,0)</f>
        <v/>
      </c>
      <c r="R70" s="1990">
        <f>IFERROR(-R52/R23,0)</f>
        <v/>
      </c>
      <c r="T70" s="259" t="n"/>
      <c r="U70" s="259" t="n"/>
    </row>
    <row r="71" ht="10.5" customHeight="1">
      <c r="C71" s="1212" t="inlineStr">
        <is>
          <t>EBITDA margin</t>
        </is>
      </c>
      <c r="D71" s="259" t="n"/>
      <c r="E71" s="259" t="n"/>
      <c r="F71" s="259" t="n"/>
      <c r="G71" s="259" t="n"/>
      <c r="H71" s="1989">
        <f>IFERROR(H54/H23,0)</f>
        <v/>
      </c>
      <c r="I71" s="1989">
        <f>IFERROR(I54/I23,0)</f>
        <v/>
      </c>
      <c r="J71" s="1989">
        <f>IFERROR(J54/J23,0)</f>
        <v/>
      </c>
      <c r="K71" s="1989">
        <f>IFERROR(K54/K23,0)</f>
        <v/>
      </c>
      <c r="L71" s="1989">
        <f>IFERROR(L54/L23,0)</f>
        <v/>
      </c>
      <c r="M71" s="1989">
        <f>IFERROR(M54/M23,0)</f>
        <v/>
      </c>
      <c r="N71" s="1989">
        <f>IFERROR(N54/N23,0)</f>
        <v/>
      </c>
      <c r="O71" s="1989">
        <f>IFERROR(O54/O23,0)</f>
        <v/>
      </c>
      <c r="P71" s="1989">
        <f>IFERROR(P54/P23,0)</f>
        <v/>
      </c>
      <c r="Q71" s="1989">
        <f>IFERROR(Q54/Q23,0)</f>
        <v/>
      </c>
      <c r="R71" s="1990">
        <f>IFERROR(R54/R23,0)</f>
        <v/>
      </c>
      <c r="T71" s="259" t="n"/>
      <c r="U71" s="259" t="n"/>
    </row>
    <row r="72" ht="10.5" customHeight="1">
      <c r="C72" s="1212" t="inlineStr">
        <is>
          <t>D&amp;A as a % of sales</t>
        </is>
      </c>
      <c r="D72" s="259" t="n"/>
      <c r="E72" s="259" t="n"/>
      <c r="F72" s="259" t="n"/>
      <c r="G72" s="259" t="n"/>
      <c r="H72" s="1989">
        <f>IFERROR(-H56/H23,0)</f>
        <v/>
      </c>
      <c r="I72" s="1989">
        <f>IFERROR(-I56/I23,0)</f>
        <v/>
      </c>
      <c r="J72" s="1989">
        <f>IFERROR(-J56/J23,0)</f>
        <v/>
      </c>
      <c r="K72" s="1989">
        <f>IFERROR(-K56/K23,0)</f>
        <v/>
      </c>
      <c r="L72" s="1989">
        <f>IFERROR(-L56/L23,0)</f>
        <v/>
      </c>
      <c r="M72" s="1989">
        <f>IFERROR(-M56/M23,0)</f>
        <v/>
      </c>
      <c r="N72" s="1989">
        <f>IFERROR(-N56/N23,0)</f>
        <v/>
      </c>
      <c r="O72" s="1989">
        <f>IFERROR(-O56/O23,0)</f>
        <v/>
      </c>
      <c r="P72" s="1989">
        <f>IFERROR(-P56/P23,0)</f>
        <v/>
      </c>
      <c r="Q72" s="1989">
        <f>IFERROR(-Q56/Q23,0)</f>
        <v/>
      </c>
      <c r="R72" s="1990">
        <f>IFERROR(-R56/R23,0)</f>
        <v/>
      </c>
      <c r="T72" s="259" t="n"/>
      <c r="U72" s="259" t="n"/>
    </row>
    <row r="73" ht="10.5" customHeight="1">
      <c r="C73" s="1213" t="inlineStr">
        <is>
          <t>Net margin</t>
        </is>
      </c>
      <c r="D73" s="412" t="n"/>
      <c r="E73" s="412" t="n"/>
      <c r="F73" s="412" t="n"/>
      <c r="G73" s="412" t="n"/>
      <c r="H73" s="1991">
        <f>IFERROR(H63/H23,0)</f>
        <v/>
      </c>
      <c r="I73" s="1991">
        <f>IFERROR(I63/I23,0)</f>
        <v/>
      </c>
      <c r="J73" s="1991">
        <f>IFERROR(J63/J23,0)</f>
        <v/>
      </c>
      <c r="K73" s="1991">
        <f>IFERROR(K63/K23,0)</f>
        <v/>
      </c>
      <c r="L73" s="1991">
        <f>IFERROR(L63/L23,0)</f>
        <v/>
      </c>
      <c r="M73" s="1991">
        <f>IFERROR(M63/M23,0)</f>
        <v/>
      </c>
      <c r="N73" s="1991">
        <f>IFERROR(N63/N23,0)</f>
        <v/>
      </c>
      <c r="O73" s="1991">
        <f>IFERROR(O63/O23,0)</f>
        <v/>
      </c>
      <c r="P73" s="1991">
        <f>IFERROR(P63/P23,0)</f>
        <v/>
      </c>
      <c r="Q73" s="1991">
        <f>IFERROR(Q63/Q23,0)</f>
        <v/>
      </c>
      <c r="R73" s="1992">
        <f>IFERROR(R63/R23,0)</f>
        <v/>
      </c>
      <c r="T73" s="259" t="n"/>
      <c r="U73" s="259" t="n"/>
    </row>
    <row r="75" ht="10.5" customHeight="1">
      <c r="C75" s="1717" t="inlineStr">
        <is>
          <t>Negative revenue growth flag</t>
        </is>
      </c>
      <c r="D75" s="1717" t="n"/>
      <c r="E75" s="1717" t="n"/>
      <c r="F75" s="1717" t="n"/>
      <c r="G75" s="1717" t="n"/>
      <c r="H75" s="1717">
        <f>IF(H67&lt;0,1,0)</f>
        <v/>
      </c>
      <c r="I75" s="1717">
        <f>IF(I67&lt;0,1,0)</f>
        <v/>
      </c>
      <c r="J75" s="1717">
        <f>IF(J67&lt;0,1,0)</f>
        <v/>
      </c>
      <c r="K75" s="1717">
        <f>IF(K67&lt;0,1,0)</f>
        <v/>
      </c>
      <c r="L75" s="1717">
        <f>IF(L67&lt;0,1,0)</f>
        <v/>
      </c>
      <c r="M75" s="1717">
        <f>IF(M67&lt;0,1,0)</f>
        <v/>
      </c>
      <c r="N75" s="1717">
        <f>IF(N67&lt;0,1,0)</f>
        <v/>
      </c>
      <c r="O75" s="1717">
        <f>IF(O67&lt;0,1,0)</f>
        <v/>
      </c>
      <c r="P75" s="1717">
        <f>IF(P67&lt;0,1,0)</f>
        <v/>
      </c>
      <c r="Q75" s="1717">
        <f>IF(Q67&lt;0,1,0)</f>
        <v/>
      </c>
      <c r="R75" s="1717">
        <f>IF(R67&lt;0,1,0)</f>
        <v/>
      </c>
    </row>
  </sheetData>
  <printOptions horizontalCentered="1"/>
  <pageMargins left="0.25" right="0.25" top="0.75" bottom="0.25" header="0.25" footer="0.25"/>
  <pageSetup orientation="landscape" scale="56" horizontalDpi="300" verticalDpi="300"/>
  <headerFooter alignWithMargins="0">
    <oddHeader>&amp;R&amp;"Arial"&amp;1 &amp;K000000Confidential#</oddHeader>
    <oddFooter/>
    <evenHeader/>
    <evenFooter/>
    <firstHeader/>
    <firstFooter/>
  </headerFooter>
  <rowBreaks count="1" manualBreakCount="1">
    <brk id="68" min="2" max="18" man="1"/>
  </rowBreaks>
</worksheet>
</file>

<file path=xl/worksheets/sheet18.xml><?xml version="1.0" encoding="utf-8"?>
<worksheet xmlns="http://schemas.openxmlformats.org/spreadsheetml/2006/main">
  <sheetPr codeName="Sheet54">
    <tabColor rgb="FFA8E0B8"/>
    <outlinePr summaryBelow="1" summaryRight="1"/>
    <pageSetUpPr fitToPage="1"/>
  </sheetPr>
  <dimension ref="B2:N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11.84375" customWidth="1" style="259" min="6" max="6"/>
    <col width="8.84375" customWidth="1" style="259" min="7" max="14"/>
    <col hidden="1" style="259" min="15" max="20"/>
    <col hidden="1" width="8.84375" customWidth="1" style="259" min="21" max="16384"/>
  </cols>
  <sheetData>
    <row r="2">
      <c r="B2" s="62">
        <f>Inputs!B2</f>
        <v/>
      </c>
      <c r="C2" s="63" t="n"/>
      <c r="D2" s="63" t="n"/>
      <c r="E2" s="63" t="n"/>
      <c r="F2" s="63" t="n"/>
      <c r="G2" s="63" t="n"/>
      <c r="H2" s="63" t="n"/>
      <c r="I2" s="63" t="n"/>
      <c r="J2" s="63" t="n"/>
      <c r="K2" s="63" t="n"/>
      <c r="L2" s="63" t="n"/>
      <c r="M2" s="63" t="n"/>
      <c r="N2" s="63" t="n"/>
    </row>
    <row r="3" ht="12" customHeight="1">
      <c r="B3" s="64">
        <f>Inputs!$B$3</f>
        <v/>
      </c>
      <c r="C3" s="63" t="n"/>
      <c r="D3" s="63" t="n"/>
      <c r="E3" s="63" t="n"/>
      <c r="F3" s="63" t="n"/>
      <c r="G3" s="63" t="n"/>
      <c r="H3" s="63" t="n"/>
      <c r="I3" s="63" t="n"/>
      <c r="J3" s="63" t="n"/>
      <c r="K3" s="63" t="n"/>
      <c r="L3" s="63" t="n"/>
      <c r="M3" s="63" t="n"/>
      <c r="N3" s="63" t="n"/>
    </row>
    <row r="4" ht="12" customHeight="1">
      <c r="B4" s="65" t="inlineStr">
        <is>
          <t>Balance Sheet</t>
        </is>
      </c>
      <c r="C4" s="63" t="n"/>
      <c r="D4" s="63" t="n"/>
      <c r="E4" s="63" t="n"/>
      <c r="F4" s="63" t="n"/>
      <c r="G4" s="63" t="n"/>
      <c r="H4" s="63" t="n"/>
      <c r="I4" s="63" t="n"/>
      <c r="J4" s="63" t="n"/>
      <c r="K4" s="63" t="n"/>
      <c r="L4" s="63" t="n"/>
      <c r="M4" s="63" t="n"/>
      <c r="N4" s="63" t="n"/>
    </row>
    <row r="5" ht="12" customFormat="1" customHeight="1" s="1026" thickBot="1">
      <c r="B5" s="66" t="n"/>
      <c r="C5" s="66" t="n"/>
      <c r="D5" s="66" t="n"/>
      <c r="E5" s="66" t="n"/>
      <c r="F5" s="66" t="n"/>
      <c r="G5" s="66" t="n"/>
      <c r="H5" s="66" t="n"/>
      <c r="I5" s="66" t="n"/>
      <c r="J5" s="66" t="n"/>
      <c r="K5" s="66" t="n"/>
      <c r="L5" s="66" t="n"/>
      <c r="M5" s="66" t="n"/>
      <c r="N5" s="63" t="n"/>
    </row>
    <row r="6" ht="12" customHeight="1" thickTop="1">
      <c r="C6" s="432" t="n"/>
      <c r="D6" s="259" t="n"/>
      <c r="E6" s="259" t="n"/>
      <c r="F6" s="259" t="n"/>
      <c r="G6" s="259" t="n"/>
      <c r="H6" s="259" t="n"/>
      <c r="I6" s="259" t="n"/>
      <c r="J6" s="259" t="n"/>
      <c r="K6" s="259" t="n"/>
      <c r="L6" s="259" t="n"/>
    </row>
    <row r="7">
      <c r="C7" s="260">
        <f>IS_Calcs!C7</f>
        <v/>
      </c>
      <c r="D7" s="261" t="n"/>
      <c r="E7" s="261" t="n"/>
      <c r="F7" s="261" t="n"/>
      <c r="G7" s="262" t="n"/>
      <c r="H7" s="263">
        <f>IS_Calcs!H7</f>
        <v/>
      </c>
      <c r="I7" s="263">
        <f>IS_Calcs!I7</f>
        <v/>
      </c>
      <c r="J7" s="115">
        <f>IS_Calcs!J7</f>
        <v/>
      </c>
      <c r="K7" s="115">
        <f>IS_Calcs!K7</f>
        <v/>
      </c>
      <c r="L7" s="115">
        <f>IS_Calcs!L7</f>
        <v/>
      </c>
      <c r="M7" s="115">
        <f>IS_Calcs!M7</f>
        <v/>
      </c>
    </row>
    <row r="8">
      <c r="C8" s="264" t="n"/>
      <c r="D8" s="68" t="n"/>
      <c r="E8" s="68" t="n"/>
      <c r="F8" s="68" t="n"/>
      <c r="G8" s="265" t="n"/>
      <c r="H8" s="266">
        <f>IS_Calcs!H8</f>
        <v/>
      </c>
      <c r="I8" s="266">
        <f>IS_Calcs!I8</f>
        <v/>
      </c>
      <c r="J8" s="69">
        <f>IS_Calcs!J8</f>
        <v/>
      </c>
      <c r="K8" s="69">
        <f>IS_Calcs!K8</f>
        <v/>
      </c>
      <c r="L8" s="69">
        <f>IS_Calcs!L8</f>
        <v/>
      </c>
      <c r="M8" s="69">
        <f>IS_Calcs!M8</f>
        <v/>
      </c>
    </row>
    <row r="9" ht="15.5" customHeight="1"/>
    <row r="10" collapsed="1">
      <c r="D10" s="259" t="inlineStr">
        <is>
          <t>Property, Plant &amp; Equipment</t>
        </is>
      </c>
      <c r="H10" s="1993">
        <f>FS!G106</f>
        <v/>
      </c>
      <c r="I10" s="1993">
        <f>FS!H106</f>
        <v/>
      </c>
      <c r="J10" s="1993">
        <f>FS!I106</f>
        <v/>
      </c>
      <c r="K10" s="1993">
        <f>FS!J106</f>
        <v/>
      </c>
      <c r="L10" s="1994" t="n">
        <v>0</v>
      </c>
      <c r="M10" s="1994" t="n">
        <v>0</v>
      </c>
    </row>
    <row r="11">
      <c r="D11" s="259" t="inlineStr">
        <is>
          <t>Long-Term Investments</t>
        </is>
      </c>
      <c r="H11" s="1993">
        <f>FS!G89</f>
        <v/>
      </c>
      <c r="I11" s="1993">
        <f>FS!H89</f>
        <v/>
      </c>
      <c r="J11" s="1993">
        <f>FS!I89</f>
        <v/>
      </c>
      <c r="K11" s="1993">
        <f>FS!J89</f>
        <v/>
      </c>
      <c r="L11" s="1994" t="n">
        <v>0</v>
      </c>
      <c r="M11" s="1994" t="n">
        <v>0</v>
      </c>
    </row>
    <row r="12">
      <c r="D12" s="259" t="inlineStr">
        <is>
          <t>Goodwill</t>
        </is>
      </c>
      <c r="H12" s="1993">
        <f>FS!G92</f>
        <v/>
      </c>
      <c r="I12" s="1993">
        <f>FS!H92</f>
        <v/>
      </c>
      <c r="J12" s="1993">
        <f>FS!I92</f>
        <v/>
      </c>
      <c r="K12" s="1993">
        <f>FS!J92</f>
        <v/>
      </c>
      <c r="L12" s="1994" t="n">
        <v>0</v>
      </c>
      <c r="M12" s="1994" t="n">
        <v>0</v>
      </c>
    </row>
    <row r="13">
      <c r="D13" s="259" t="inlineStr">
        <is>
          <t>Intangible Assets, Net</t>
        </is>
      </c>
      <c r="H13" s="1993">
        <f>FS!G93</f>
        <v/>
      </c>
      <c r="I13" s="1993">
        <f>FS!H93</f>
        <v/>
      </c>
      <c r="J13" s="1993">
        <f>FS!I93</f>
        <v/>
      </c>
      <c r="K13" s="1993">
        <f>FS!J93</f>
        <v/>
      </c>
      <c r="L13" s="1994" t="n">
        <v>0</v>
      </c>
      <c r="M13" s="1994" t="n">
        <v>0</v>
      </c>
    </row>
    <row r="14">
      <c r="D14" s="259" t="inlineStr">
        <is>
          <t>Noncurrent Notes Receivable</t>
        </is>
      </c>
      <c r="H14" s="1993">
        <f>FS!G94</f>
        <v/>
      </c>
      <c r="I14" s="1993">
        <f>FS!H94</f>
        <v/>
      </c>
      <c r="J14" s="1993">
        <f>FS!I94</f>
        <v/>
      </c>
      <c r="K14" s="1993">
        <f>FS!J94</f>
        <v/>
      </c>
      <c r="L14" s="1994" t="n">
        <v>0</v>
      </c>
      <c r="M14" s="1994" t="n">
        <v>0</v>
      </c>
    </row>
    <row r="15">
      <c r="D15" s="259" t="inlineStr">
        <is>
          <t>Other</t>
        </is>
      </c>
      <c r="H15" s="1993">
        <f>FS!G98</f>
        <v/>
      </c>
      <c r="I15" s="1993">
        <f>FS!H98</f>
        <v/>
      </c>
      <c r="J15" s="1993">
        <f>FS!I98</f>
        <v/>
      </c>
      <c r="K15" s="1993">
        <f>FS!J98</f>
        <v/>
      </c>
      <c r="L15" s="1994" t="n">
        <v>0</v>
      </c>
      <c r="M15" s="1994" t="n">
        <v>0</v>
      </c>
    </row>
    <row r="16">
      <c r="C16" s="247" t="inlineStr">
        <is>
          <t>Total Non-current Assets</t>
        </is>
      </c>
      <c r="D16" s="247" t="n"/>
      <c r="E16" s="247" t="n"/>
      <c r="F16" s="247" t="n"/>
      <c r="G16" s="247" t="n"/>
      <c r="H16" s="1995">
        <f>FS!G99</f>
        <v/>
      </c>
      <c r="I16" s="1995">
        <f>FS!H99</f>
        <v/>
      </c>
      <c r="J16" s="1995">
        <f>FS!I99</f>
        <v/>
      </c>
      <c r="K16" s="1995">
        <f>FS!J99</f>
        <v/>
      </c>
      <c r="L16" s="1996">
        <f>SUM(L10:L15)</f>
        <v/>
      </c>
      <c r="M16" s="1996">
        <f>SUM(M10:M15)</f>
        <v/>
      </c>
    </row>
    <row r="17" ht="7" customHeight="1"/>
    <row r="18">
      <c r="D18" s="259" t="inlineStr">
        <is>
          <t>Cash &amp; Equivalents</t>
        </is>
      </c>
      <c r="H18" s="1993">
        <f>FS!G111</f>
        <v/>
      </c>
      <c r="I18" s="1993">
        <f>FS!H111</f>
        <v/>
      </c>
      <c r="J18" s="1993">
        <f>FS!I111</f>
        <v/>
      </c>
      <c r="K18" s="1993">
        <f>FS!J111</f>
        <v/>
      </c>
      <c r="L18" s="1994" t="n">
        <v>0</v>
      </c>
      <c r="M18" s="1994" t="n">
        <v>0</v>
      </c>
    </row>
    <row r="19">
      <c r="D19" s="259" t="inlineStr">
        <is>
          <t>Accounts Receivable, Net</t>
        </is>
      </c>
      <c r="H19" s="1993">
        <f>FS!G112</f>
        <v/>
      </c>
      <c r="I19" s="1993">
        <f>FS!H112</f>
        <v/>
      </c>
      <c r="J19" s="1993">
        <f>FS!I112</f>
        <v/>
      </c>
      <c r="K19" s="1993">
        <f>FS!J112</f>
        <v/>
      </c>
      <c r="L19" s="1994" t="n">
        <v>0</v>
      </c>
      <c r="M19" s="1994" t="n">
        <v>0</v>
      </c>
    </row>
    <row r="20">
      <c r="E20" s="259" t="inlineStr">
        <is>
          <t>Trade &amp; Other</t>
        </is>
      </c>
      <c r="H20" s="1993">
        <f>FS!G113</f>
        <v/>
      </c>
      <c r="I20" s="1993">
        <f>FS!H113</f>
        <v/>
      </c>
      <c r="J20" s="1993">
        <f>FS!I113</f>
        <v/>
      </c>
      <c r="K20" s="1993">
        <f>FS!J113</f>
        <v/>
      </c>
      <c r="L20" s="1994" t="n">
        <v>0</v>
      </c>
      <c r="M20" s="1994" t="n">
        <v>0</v>
      </c>
    </row>
    <row r="21">
      <c r="E21" s="259" t="inlineStr">
        <is>
          <t>Related Party</t>
        </is>
      </c>
      <c r="H21" s="1993">
        <f>FS!G114</f>
        <v/>
      </c>
      <c r="I21" s="1993">
        <f>FS!H114</f>
        <v/>
      </c>
      <c r="J21" s="1993">
        <f>FS!I114</f>
        <v/>
      </c>
      <c r="K21" s="1993">
        <f>FS!J114</f>
        <v/>
      </c>
      <c r="L21" s="1994" t="n">
        <v>0</v>
      </c>
      <c r="M21" s="1994" t="n">
        <v>0</v>
      </c>
    </row>
    <row r="22">
      <c r="D22" s="259" t="inlineStr">
        <is>
          <t>Notes Receivable, Current Portion</t>
        </is>
      </c>
      <c r="H22" s="1993">
        <f>FS!G115</f>
        <v/>
      </c>
      <c r="I22" s="1993">
        <f>FS!H115</f>
        <v/>
      </c>
      <c r="J22" s="1993">
        <f>FS!I115</f>
        <v/>
      </c>
      <c r="K22" s="1993">
        <f>FS!J115</f>
        <v/>
      </c>
      <c r="L22" s="1994" t="n">
        <v>0</v>
      </c>
      <c r="M22" s="1994" t="n">
        <v>0</v>
      </c>
    </row>
    <row r="23" ht="10.5" customHeight="1">
      <c r="E23" s="259" t="inlineStr">
        <is>
          <t>Other</t>
        </is>
      </c>
      <c r="H23" s="1993">
        <f>FS!G116</f>
        <v/>
      </c>
      <c r="I23" s="1993">
        <f>FS!H116</f>
        <v/>
      </c>
      <c r="J23" s="1993">
        <f>FS!I116</f>
        <v/>
      </c>
      <c r="K23" s="1993">
        <f>FS!J116</f>
        <v/>
      </c>
      <c r="L23" s="1994" t="n">
        <v>0</v>
      </c>
      <c r="M23" s="1994" t="n">
        <v>0</v>
      </c>
    </row>
    <row r="24" ht="10.5" customHeight="1">
      <c r="E24" s="259" t="inlineStr">
        <is>
          <t>Related Party</t>
        </is>
      </c>
      <c r="H24" s="1993">
        <f>FS!G117</f>
        <v/>
      </c>
      <c r="I24" s="1993">
        <f>FS!H117</f>
        <v/>
      </c>
      <c r="J24" s="1993">
        <f>FS!I117</f>
        <v/>
      </c>
      <c r="K24" s="1993">
        <f>FS!J117</f>
        <v/>
      </c>
      <c r="L24" s="1994" t="n">
        <v>0</v>
      </c>
      <c r="M24" s="1994" t="n">
        <v>0</v>
      </c>
    </row>
    <row r="25" ht="10.5" customHeight="1">
      <c r="D25" s="259" t="inlineStr">
        <is>
          <t>Inventories</t>
        </is>
      </c>
      <c r="H25" s="1993">
        <f>FS!G118</f>
        <v/>
      </c>
      <c r="I25" s="1993">
        <f>FS!H118</f>
        <v/>
      </c>
      <c r="J25" s="1993">
        <f>FS!I118</f>
        <v/>
      </c>
      <c r="K25" s="1993">
        <f>FS!J118</f>
        <v/>
      </c>
      <c r="L25" s="1994" t="n">
        <v>0</v>
      </c>
      <c r="M25" s="1994" t="n">
        <v>0</v>
      </c>
    </row>
    <row r="26" ht="10.5" customHeight="1">
      <c r="D26" s="259" t="inlineStr">
        <is>
          <t>Income Tax Receivable</t>
        </is>
      </c>
      <c r="H26" s="1993">
        <f>FS!G119</f>
        <v/>
      </c>
      <c r="I26" s="1993">
        <f>FS!H119</f>
        <v/>
      </c>
      <c r="J26" s="1993">
        <f>FS!I119</f>
        <v/>
      </c>
      <c r="K26" s="1993">
        <f>FS!J119</f>
        <v/>
      </c>
      <c r="L26" s="1994" t="n">
        <v>0</v>
      </c>
      <c r="M26" s="1994" t="n">
        <v>0</v>
      </c>
    </row>
    <row r="27" ht="10.5" customHeight="1">
      <c r="D27" s="259" t="inlineStr">
        <is>
          <t>Prepaid Expenses &amp; Other</t>
        </is>
      </c>
      <c r="H27" s="1993">
        <f>FS!G120</f>
        <v/>
      </c>
      <c r="I27" s="1993">
        <f>FS!H120</f>
        <v/>
      </c>
      <c r="J27" s="1993">
        <f>FS!I120</f>
        <v/>
      </c>
      <c r="K27" s="1993">
        <f>FS!J120</f>
        <v/>
      </c>
      <c r="L27" s="1994" t="n">
        <v>0</v>
      </c>
      <c r="M27" s="1994" t="n">
        <v>0</v>
      </c>
    </row>
    <row r="28" ht="10.5" customHeight="1">
      <c r="D28" s="259" t="inlineStr">
        <is>
          <t>Deferred Income Taxes</t>
        </is>
      </c>
      <c r="H28" s="1993">
        <f>FS!G121</f>
        <v/>
      </c>
      <c r="I28" s="1993">
        <f>FS!H121</f>
        <v/>
      </c>
      <c r="J28" s="1993">
        <f>FS!I121</f>
        <v/>
      </c>
      <c r="K28" s="1993">
        <f>FS!J121</f>
        <v/>
      </c>
      <c r="L28" s="1994" t="n">
        <v>0</v>
      </c>
      <c r="M28" s="1994" t="n">
        <v>0</v>
      </c>
    </row>
    <row r="29" ht="10.5" customHeight="1">
      <c r="C29" s="247" t="inlineStr">
        <is>
          <t>Total Current Assets</t>
        </is>
      </c>
      <c r="D29" s="247" t="n"/>
      <c r="E29" s="247" t="n"/>
      <c r="F29" s="247" t="n"/>
      <c r="G29" s="247" t="n"/>
      <c r="H29" s="1995">
        <f>FS!G122</f>
        <v/>
      </c>
      <c r="I29" s="1995">
        <f>FS!H122</f>
        <v/>
      </c>
      <c r="J29" s="1995">
        <f>FS!I122</f>
        <v/>
      </c>
      <c r="K29" s="1995">
        <f>FS!J122</f>
        <v/>
      </c>
      <c r="L29" s="1996">
        <f>SUM(L18:L28)</f>
        <v/>
      </c>
      <c r="M29" s="1996">
        <f>SUM(M18:M28)</f>
        <v/>
      </c>
    </row>
    <row r="30" ht="7" customHeight="1">
      <c r="H30" s="271">
        <f>FS!G123</f>
        <v/>
      </c>
      <c r="I30" s="271">
        <f>FS!H123</f>
        <v/>
      </c>
      <c r="J30" s="271">
        <f>FS!I123</f>
        <v/>
      </c>
      <c r="K30" s="271">
        <f>FS!J123</f>
        <v/>
      </c>
      <c r="L30" s="272" t="n"/>
      <c r="M30" s="272" t="n"/>
    </row>
    <row r="31" ht="10.5" customHeight="1">
      <c r="C31" s="432" t="inlineStr">
        <is>
          <t>Total Assets</t>
        </is>
      </c>
      <c r="D31" s="432" t="n"/>
      <c r="E31" s="432" t="n"/>
      <c r="F31" s="432" t="n"/>
      <c r="H31" s="1997">
        <f>FS!G124</f>
        <v/>
      </c>
      <c r="I31" s="1997">
        <f>FS!H124</f>
        <v/>
      </c>
      <c r="J31" s="1998">
        <f>FS!I124</f>
        <v/>
      </c>
      <c r="K31" s="1998">
        <f>FS!J124</f>
        <v/>
      </c>
      <c r="L31" s="1999">
        <f>L29+#REF!+L16</f>
        <v/>
      </c>
      <c r="M31" s="1999">
        <f>M29+#REF!+M16</f>
        <v/>
      </c>
    </row>
    <row r="32" ht="7" customHeight="1">
      <c r="H32" s="271">
        <f>FS!G125</f>
        <v/>
      </c>
      <c r="I32" s="271">
        <f>FS!H125</f>
        <v/>
      </c>
      <c r="J32" s="271">
        <f>FS!I125</f>
        <v/>
      </c>
      <c r="K32" s="271">
        <f>FS!J125</f>
        <v/>
      </c>
      <c r="L32" s="272" t="n"/>
      <c r="M32" s="272" t="n"/>
    </row>
    <row r="33" ht="10.5" customHeight="1">
      <c r="C33" s="432" t="inlineStr">
        <is>
          <t>Liabilities &amp; Equity</t>
        </is>
      </c>
      <c r="H33" s="271">
        <f>FS!G126</f>
        <v/>
      </c>
      <c r="I33" s="271">
        <f>FS!H126</f>
        <v/>
      </c>
      <c r="J33" s="271">
        <f>FS!I126</f>
        <v/>
      </c>
      <c r="K33" s="271">
        <f>FS!J126</f>
        <v/>
      </c>
      <c r="L33" s="272" t="n"/>
      <c r="M33" s="272" t="n"/>
    </row>
    <row r="34" ht="10.5" customHeight="1">
      <c r="D34" s="259" t="inlineStr">
        <is>
          <t>Notes Payable</t>
        </is>
      </c>
      <c r="H34" s="1993">
        <f>FS!G127</f>
        <v/>
      </c>
      <c r="I34" s="1993">
        <f>FS!H127</f>
        <v/>
      </c>
      <c r="J34" s="1993">
        <f>FS!I127</f>
        <v/>
      </c>
      <c r="K34" s="1993">
        <f>FS!J127</f>
        <v/>
      </c>
      <c r="L34" s="1994" t="n">
        <v>0</v>
      </c>
      <c r="M34" s="1994" t="n">
        <v>0</v>
      </c>
    </row>
    <row r="35" ht="10.5" customHeight="1">
      <c r="D35" s="259" t="inlineStr">
        <is>
          <t>Current Installments of Long-Term Debt</t>
        </is>
      </c>
      <c r="H35" s="1993">
        <f>FS!G128</f>
        <v/>
      </c>
      <c r="I35" s="1993">
        <f>FS!H128</f>
        <v/>
      </c>
      <c r="J35" s="1993">
        <f>FS!I128</f>
        <v/>
      </c>
      <c r="K35" s="1993">
        <f>FS!J128</f>
        <v/>
      </c>
      <c r="L35" s="1994" t="n">
        <v>0</v>
      </c>
      <c r="M35" s="1994" t="n">
        <v>0</v>
      </c>
    </row>
    <row r="36" ht="10.5" customHeight="1">
      <c r="D36" s="259" t="inlineStr">
        <is>
          <t>Accounts Payable</t>
        </is>
      </c>
      <c r="H36" s="1993">
        <f>FS!G129</f>
        <v/>
      </c>
      <c r="I36" s="1993">
        <f>FS!H129</f>
        <v/>
      </c>
      <c r="J36" s="1993">
        <f>FS!I129</f>
        <v/>
      </c>
      <c r="K36" s="1993">
        <f>FS!J129</f>
        <v/>
      </c>
      <c r="L36" s="1994" t="n">
        <v>0</v>
      </c>
      <c r="M36" s="1994" t="n">
        <v>0</v>
      </c>
    </row>
    <row r="37" ht="10.5" customHeight="1">
      <c r="D37" s="259" t="inlineStr">
        <is>
          <t>Income Taxes Payable</t>
        </is>
      </c>
      <c r="H37" s="1993">
        <f>FS!G130</f>
        <v/>
      </c>
      <c r="I37" s="1993">
        <f>FS!H130</f>
        <v/>
      </c>
      <c r="J37" s="1993">
        <f>FS!I130</f>
        <v/>
      </c>
      <c r="K37" s="1993">
        <f>FS!J130</f>
        <v/>
      </c>
      <c r="L37" s="1994" t="n">
        <v>0</v>
      </c>
      <c r="M37" s="1994" t="n">
        <v>0</v>
      </c>
    </row>
    <row r="38" ht="10.5" customHeight="1">
      <c r="D38" s="259" t="inlineStr">
        <is>
          <t>Accrued Expenses</t>
        </is>
      </c>
      <c r="H38" s="1993">
        <f>FS!G131</f>
        <v/>
      </c>
      <c r="I38" s="1993">
        <f>FS!H131</f>
        <v/>
      </c>
      <c r="J38" s="1993">
        <f>FS!I131</f>
        <v/>
      </c>
      <c r="K38" s="1993">
        <f>FS!J131</f>
        <v/>
      </c>
      <c r="L38" s="1994" t="n">
        <v>0</v>
      </c>
      <c r="M38" s="1994" t="n">
        <v>0</v>
      </c>
    </row>
    <row r="39" ht="10.5" customHeight="1">
      <c r="D39" s="259" t="inlineStr">
        <is>
          <t>Taxes, Other than Income</t>
        </is>
      </c>
      <c r="H39" s="1993">
        <f>FS!G132</f>
        <v/>
      </c>
      <c r="I39" s="1993">
        <f>FS!H132</f>
        <v/>
      </c>
      <c r="J39" s="1993">
        <f>FS!I132</f>
        <v/>
      </c>
      <c r="K39" s="1993">
        <f>FS!J132</f>
        <v/>
      </c>
      <c r="L39" s="1994" t="n">
        <v>0</v>
      </c>
      <c r="M39" s="1994" t="n">
        <v>0</v>
      </c>
    </row>
    <row r="40" ht="10.5" customHeight="1">
      <c r="D40" s="259" t="inlineStr">
        <is>
          <t>Capital Leases</t>
        </is>
      </c>
      <c r="H40" s="1993">
        <f>FS!G133</f>
        <v/>
      </c>
      <c r="I40" s="1993">
        <f>FS!H133</f>
        <v/>
      </c>
      <c r="J40" s="1993">
        <f>FS!I133</f>
        <v/>
      </c>
      <c r="K40" s="1993">
        <f>FS!J133</f>
        <v/>
      </c>
      <c r="L40" s="1994" t="n">
        <v>0</v>
      </c>
      <c r="M40" s="1994" t="n">
        <v>0</v>
      </c>
    </row>
    <row r="41" ht="10.5" customHeight="1">
      <c r="D41" s="259" t="inlineStr">
        <is>
          <t>Other Current Liabilities</t>
        </is>
      </c>
      <c r="H41" s="1993">
        <f>FS!G134</f>
        <v/>
      </c>
      <c r="I41" s="1993">
        <f>FS!H134</f>
        <v/>
      </c>
      <c r="J41" s="1993">
        <f>FS!I134</f>
        <v/>
      </c>
      <c r="K41" s="1993">
        <f>FS!J134</f>
        <v/>
      </c>
      <c r="L41" s="1994" t="n">
        <v>0</v>
      </c>
      <c r="M41" s="1994" t="n">
        <v>0</v>
      </c>
    </row>
    <row r="42" ht="10.5" customHeight="1">
      <c r="D42" s="259" t="inlineStr">
        <is>
          <t>Deferred Revenue, Current</t>
        </is>
      </c>
      <c r="H42" s="1993">
        <f>FS!G135</f>
        <v/>
      </c>
      <c r="I42" s="1993">
        <f>FS!H135</f>
        <v/>
      </c>
      <c r="J42" s="1993">
        <f>FS!I135</f>
        <v/>
      </c>
      <c r="K42" s="1993">
        <f>FS!J135</f>
        <v/>
      </c>
      <c r="L42" s="1994" t="n">
        <v>0</v>
      </c>
      <c r="M42" s="1994" t="n">
        <v>0</v>
      </c>
    </row>
    <row r="43" ht="10.5" customHeight="1">
      <c r="C43" s="276" t="inlineStr">
        <is>
          <t>Total Current Liabilities</t>
        </is>
      </c>
      <c r="D43" s="276" t="n"/>
      <c r="E43" s="276" t="n"/>
      <c r="F43" s="276" t="n"/>
      <c r="G43" s="276" t="n"/>
      <c r="H43" s="2000">
        <f>FS!G136</f>
        <v/>
      </c>
      <c r="I43" s="2000">
        <f>FS!H136</f>
        <v/>
      </c>
      <c r="J43" s="2000">
        <f>FS!I136</f>
        <v/>
      </c>
      <c r="K43" s="2000">
        <f>FS!J136</f>
        <v/>
      </c>
      <c r="L43" s="2001">
        <f>SUM(L33:L42)</f>
        <v/>
      </c>
      <c r="M43" s="2001">
        <f>SUM(M33:M42)</f>
        <v/>
      </c>
    </row>
    <row r="44" ht="7" customHeight="1">
      <c r="H44" s="271">
        <f>FS!G137</f>
        <v/>
      </c>
      <c r="I44" s="271">
        <f>FS!H137</f>
        <v/>
      </c>
      <c r="J44" s="271">
        <f>FS!I137</f>
        <v/>
      </c>
      <c r="K44" s="271">
        <f>FS!J137</f>
        <v/>
      </c>
      <c r="L44" s="272" t="n"/>
      <c r="M44" s="272" t="n"/>
    </row>
    <row r="45" ht="10.5" customHeight="1">
      <c r="C45" s="432" t="inlineStr">
        <is>
          <t>Long-Term Liabilities</t>
        </is>
      </c>
      <c r="H45" s="271">
        <f>FS!G138</f>
        <v/>
      </c>
      <c r="I45" s="271">
        <f>FS!H138</f>
        <v/>
      </c>
      <c r="J45" s="271">
        <f>FS!I138</f>
        <v/>
      </c>
      <c r="K45" s="271">
        <f>FS!J138</f>
        <v/>
      </c>
      <c r="L45" s="272" t="n"/>
      <c r="M45" s="272" t="n"/>
    </row>
    <row r="46" ht="10.5" customHeight="1">
      <c r="D46" s="259" t="inlineStr">
        <is>
          <t>Deferred Revenue, Noncurrent</t>
        </is>
      </c>
      <c r="H46" s="1993">
        <f>FS!G139</f>
        <v/>
      </c>
      <c r="I46" s="1993">
        <f>FS!H139</f>
        <v/>
      </c>
      <c r="J46" s="1993">
        <f>FS!I139</f>
        <v/>
      </c>
      <c r="K46" s="1993">
        <f>FS!J139</f>
        <v/>
      </c>
      <c r="L46" s="1994" t="n">
        <v>0</v>
      </c>
      <c r="M46" s="1994" t="n">
        <v>0</v>
      </c>
    </row>
    <row r="47" ht="10.5" customHeight="1">
      <c r="D47" s="259" t="inlineStr">
        <is>
          <t>Deferred Income Taxes</t>
        </is>
      </c>
      <c r="H47" s="1993">
        <f>FS!G140</f>
        <v/>
      </c>
      <c r="I47" s="1993">
        <f>FS!H140</f>
        <v/>
      </c>
      <c r="J47" s="1993">
        <f>FS!I140</f>
        <v/>
      </c>
      <c r="K47" s="1993">
        <f>FS!J140</f>
        <v/>
      </c>
      <c r="L47" s="1994" t="n">
        <v>0</v>
      </c>
      <c r="M47" s="1994" t="n">
        <v>0</v>
      </c>
    </row>
    <row r="48" ht="10.5" customHeight="1">
      <c r="D48" s="259" t="inlineStr">
        <is>
          <t>Other Long-Term Liabilities</t>
        </is>
      </c>
      <c r="H48" s="1993">
        <f>FS!G141</f>
        <v/>
      </c>
      <c r="I48" s="1993">
        <f>FS!H141</f>
        <v/>
      </c>
      <c r="J48" s="1993">
        <f>FS!I141</f>
        <v/>
      </c>
      <c r="K48" s="1993">
        <f>FS!J141</f>
        <v/>
      </c>
      <c r="L48" s="1994" t="n">
        <v>0</v>
      </c>
      <c r="M48" s="1994" t="n">
        <v>0</v>
      </c>
    </row>
    <row r="49" ht="10.5" customHeight="1">
      <c r="D49" s="259" t="inlineStr">
        <is>
          <t>Minority Interest</t>
        </is>
      </c>
      <c r="H49" s="1993">
        <f>FS!G142</f>
        <v/>
      </c>
      <c r="I49" s="1993">
        <f>FS!H142</f>
        <v/>
      </c>
      <c r="J49" s="1993">
        <f>FS!I142</f>
        <v/>
      </c>
      <c r="K49" s="1993">
        <f>FS!J142</f>
        <v/>
      </c>
      <c r="L49" s="1994" t="n">
        <v>0</v>
      </c>
      <c r="M49" s="1994" t="n">
        <v>0</v>
      </c>
    </row>
    <row r="50" ht="10.5" customHeight="1">
      <c r="D50" s="259" t="inlineStr">
        <is>
          <t>Long Term Debt, Noncurrent</t>
        </is>
      </c>
      <c r="H50" s="1993">
        <f>FS!G143</f>
        <v/>
      </c>
      <c r="I50" s="1993">
        <f>FS!H143</f>
        <v/>
      </c>
      <c r="J50" s="1993">
        <f>FS!I143</f>
        <v/>
      </c>
      <c r="K50" s="1993">
        <f>FS!J143</f>
        <v/>
      </c>
      <c r="L50" s="1994" t="n">
        <v>0</v>
      </c>
      <c r="M50" s="1994" t="n">
        <v>0</v>
      </c>
    </row>
    <row r="51" ht="10.5" customHeight="1">
      <c r="C51" s="276" t="inlineStr">
        <is>
          <t>Total Long-Term Liabilities</t>
        </is>
      </c>
      <c r="D51" s="276" t="n"/>
      <c r="E51" s="276" t="n"/>
      <c r="F51" s="276" t="n"/>
      <c r="G51" s="276" t="n"/>
      <c r="H51" s="2000">
        <f>FS!G144</f>
        <v/>
      </c>
      <c r="I51" s="2000">
        <f>FS!H144</f>
        <v/>
      </c>
      <c r="J51" s="2000">
        <f>FS!I144</f>
        <v/>
      </c>
      <c r="K51" s="2000">
        <f>FS!J144</f>
        <v/>
      </c>
      <c r="L51" s="2001">
        <f>SUM(L46:L50)</f>
        <v/>
      </c>
      <c r="M51" s="2001">
        <f>SUM(M46:M50)</f>
        <v/>
      </c>
    </row>
    <row r="52" ht="7" customHeight="1">
      <c r="H52" s="271">
        <f>FS!G145</f>
        <v/>
      </c>
      <c r="I52" s="271">
        <f>FS!H145</f>
        <v/>
      </c>
      <c r="J52" s="271">
        <f>FS!I145</f>
        <v/>
      </c>
      <c r="K52" s="271">
        <f>FS!J145</f>
        <v/>
      </c>
      <c r="L52" s="272" t="n"/>
      <c r="M52" s="272" t="n"/>
    </row>
    <row r="53" ht="10.5" customHeight="1">
      <c r="C53" s="432" t="inlineStr">
        <is>
          <t>Total Liabilities</t>
        </is>
      </c>
      <c r="D53" s="432" t="n"/>
      <c r="E53" s="432" t="n"/>
      <c r="F53" s="432" t="n"/>
      <c r="H53" s="2002">
        <f>FS!G146</f>
        <v/>
      </c>
      <c r="I53" s="2002">
        <f>FS!H146</f>
        <v/>
      </c>
      <c r="J53" s="1998">
        <f>FS!I146</f>
        <v/>
      </c>
      <c r="K53" s="1998">
        <f>FS!J146</f>
        <v/>
      </c>
      <c r="L53" s="1999">
        <f>L51+L43</f>
        <v/>
      </c>
      <c r="M53" s="1999">
        <f>M51+M43</f>
        <v/>
      </c>
    </row>
    <row r="54" ht="7" customHeight="1">
      <c r="H54" s="271">
        <f>FS!G147</f>
        <v/>
      </c>
      <c r="I54" s="271">
        <f>FS!H147</f>
        <v/>
      </c>
      <c r="J54" s="271">
        <f>FS!I147</f>
        <v/>
      </c>
      <c r="K54" s="271">
        <f>FS!J147</f>
        <v/>
      </c>
      <c r="L54" s="272" t="n"/>
      <c r="M54" s="272" t="n"/>
    </row>
    <row r="55" ht="10.5" customHeight="1">
      <c r="C55" s="432" t="inlineStr">
        <is>
          <t>Shareholders' Equity</t>
        </is>
      </c>
      <c r="H55" s="271">
        <f>FS!G148</f>
        <v/>
      </c>
      <c r="I55" s="271">
        <f>FS!H148</f>
        <v/>
      </c>
      <c r="J55" s="271">
        <f>FS!I148</f>
        <v/>
      </c>
      <c r="K55" s="271">
        <f>FS!J148</f>
        <v/>
      </c>
      <c r="L55" s="272" t="n"/>
      <c r="M55" s="272" t="n"/>
    </row>
    <row r="56" ht="10.5" customHeight="1">
      <c r="D56" s="259" t="inlineStr">
        <is>
          <t>Preferred Stock</t>
        </is>
      </c>
      <c r="H56" s="1993">
        <f>FS!G149</f>
        <v/>
      </c>
      <c r="I56" s="1993">
        <f>FS!H149</f>
        <v/>
      </c>
      <c r="J56" s="1993">
        <f>FS!I149</f>
        <v/>
      </c>
      <c r="K56" s="1993">
        <f>FS!J149</f>
        <v/>
      </c>
      <c r="L56" s="1994" t="n">
        <v>0</v>
      </c>
      <c r="M56" s="1994" t="n">
        <v>0</v>
      </c>
    </row>
    <row r="57" ht="10.5" customHeight="1">
      <c r="D57" s="259" t="inlineStr">
        <is>
          <t xml:space="preserve">Common Stock </t>
        </is>
      </c>
      <c r="H57" s="1993">
        <f>FS!G150</f>
        <v/>
      </c>
      <c r="I57" s="1993">
        <f>FS!H150</f>
        <v/>
      </c>
      <c r="J57" s="1993">
        <f>FS!I150</f>
        <v/>
      </c>
      <c r="K57" s="1993">
        <f>FS!J150</f>
        <v/>
      </c>
      <c r="L57" s="1994" t="n">
        <v>0</v>
      </c>
      <c r="M57" s="1994" t="n">
        <v>0</v>
      </c>
    </row>
    <row r="58" ht="10.5" customHeight="1">
      <c r="D58" s="259" t="inlineStr">
        <is>
          <t>Treasury Stock</t>
        </is>
      </c>
      <c r="H58" s="1993">
        <f>FS!G151</f>
        <v/>
      </c>
      <c r="I58" s="1993">
        <f>FS!H151</f>
        <v/>
      </c>
      <c r="J58" s="1993">
        <f>FS!I151</f>
        <v/>
      </c>
      <c r="K58" s="1993">
        <f>FS!J151</f>
        <v/>
      </c>
      <c r="L58" s="1994" t="n">
        <v>0</v>
      </c>
      <c r="M58" s="1994" t="n">
        <v>0</v>
      </c>
    </row>
    <row r="59" ht="10.5" customHeight="1">
      <c r="D59" s="259" t="inlineStr">
        <is>
          <t>Additional Paid in Capital</t>
        </is>
      </c>
      <c r="H59" s="1993">
        <f>FS!G152</f>
        <v/>
      </c>
      <c r="I59" s="1993">
        <f>FS!H152</f>
        <v/>
      </c>
      <c r="J59" s="1993">
        <f>FS!I152</f>
        <v/>
      </c>
      <c r="K59" s="1993">
        <f>FS!J152</f>
        <v/>
      </c>
      <c r="L59" s="1994" t="n">
        <v>0</v>
      </c>
      <c r="M59" s="1994" t="n">
        <v>0</v>
      </c>
    </row>
    <row r="60" ht="10.5" customHeight="1">
      <c r="D60" s="259" t="inlineStr">
        <is>
          <t>Accumulated Other Comprehensive Income</t>
        </is>
      </c>
      <c r="H60" s="1993">
        <f>FS!G153</f>
        <v/>
      </c>
      <c r="I60" s="1993">
        <f>FS!H153</f>
        <v/>
      </c>
      <c r="J60" s="1993">
        <f>FS!I153</f>
        <v/>
      </c>
      <c r="K60" s="1993">
        <f>FS!J153</f>
        <v/>
      </c>
      <c r="L60" s="1994" t="n">
        <v>0</v>
      </c>
      <c r="M60" s="1994" t="n">
        <v>0</v>
      </c>
    </row>
    <row r="61" ht="10.5" customHeight="1">
      <c r="D61" s="259" t="inlineStr">
        <is>
          <t>Receivable from Shareholder</t>
        </is>
      </c>
      <c r="H61" s="1993">
        <f>FS!G154</f>
        <v/>
      </c>
      <c r="I61" s="1993">
        <f>FS!H154</f>
        <v/>
      </c>
      <c r="J61" s="1993">
        <f>FS!I154</f>
        <v/>
      </c>
      <c r="K61" s="1993">
        <f>FS!J154</f>
        <v/>
      </c>
      <c r="L61" s="1994" t="n">
        <v>0</v>
      </c>
      <c r="M61" s="1994" t="n">
        <v>0</v>
      </c>
    </row>
    <row r="62" ht="10.5" customHeight="1">
      <c r="D62" s="259" t="inlineStr">
        <is>
          <t>Retained Earnings</t>
        </is>
      </c>
      <c r="H62" s="1993">
        <f>FS!G155</f>
        <v/>
      </c>
      <c r="I62" s="1993">
        <f>FS!H155</f>
        <v/>
      </c>
      <c r="J62" s="1993">
        <f>FS!I155</f>
        <v/>
      </c>
      <c r="K62" s="1993">
        <f>FS!J155</f>
        <v/>
      </c>
      <c r="L62" s="1994" t="n">
        <v>0</v>
      </c>
      <c r="M62" s="1994" t="n">
        <v>0</v>
      </c>
    </row>
    <row r="63" ht="10.5" customHeight="1">
      <c r="C63" s="276" t="inlineStr">
        <is>
          <t>Total Shareholders' Equity</t>
        </is>
      </c>
      <c r="D63" s="276" t="n"/>
      <c r="E63" s="276" t="n"/>
      <c r="F63" s="276" t="n"/>
      <c r="G63" s="276" t="n"/>
      <c r="H63" s="2000">
        <f>FS!G156</f>
        <v/>
      </c>
      <c r="I63" s="2000">
        <f>FS!H156</f>
        <v/>
      </c>
      <c r="J63" s="2000">
        <f>FS!I156</f>
        <v/>
      </c>
      <c r="K63" s="2000">
        <f>FS!J156</f>
        <v/>
      </c>
      <c r="L63" s="2001">
        <f>SUM(L56:L62)</f>
        <v/>
      </c>
      <c r="M63" s="2001">
        <f>SUM(M56:M62)</f>
        <v/>
      </c>
    </row>
    <row r="64" ht="7" customHeight="1">
      <c r="H64" s="271">
        <f>FS!G157</f>
        <v/>
      </c>
      <c r="I64" s="271">
        <f>FS!H157</f>
        <v/>
      </c>
      <c r="J64" s="271">
        <f>FS!I157</f>
        <v/>
      </c>
      <c r="K64" s="271">
        <f>FS!J157</f>
        <v/>
      </c>
      <c r="L64" s="272" t="n"/>
      <c r="M64" s="272" t="n"/>
    </row>
    <row r="65" ht="10.5" customHeight="1">
      <c r="C65" s="432" t="inlineStr">
        <is>
          <t>Total Liabilities &amp; Equity</t>
        </is>
      </c>
      <c r="D65" s="432" t="n"/>
      <c r="E65" s="432" t="n"/>
      <c r="F65" s="432" t="n"/>
      <c r="H65" s="2002">
        <f>FS!G158</f>
        <v/>
      </c>
      <c r="I65" s="2002">
        <f>FS!H158</f>
        <v/>
      </c>
      <c r="J65" s="1998">
        <f>FS!I158</f>
        <v/>
      </c>
      <c r="K65" s="1998">
        <f>FS!J158</f>
        <v/>
      </c>
      <c r="L65" s="1999">
        <f>L63+L53</f>
        <v/>
      </c>
      <c r="M65" s="1999">
        <f>M63+M53</f>
        <v/>
      </c>
    </row>
    <row r="67" ht="10.5" customHeight="1">
      <c r="C67" s="259" t="n"/>
      <c r="D67" s="259" t="n"/>
      <c r="E67" s="259" t="n"/>
      <c r="F67" s="259" t="n"/>
    </row>
    <row r="69" ht="10.5" customHeight="1">
      <c r="C69" s="259" t="n"/>
      <c r="D69" s="259" t="n"/>
      <c r="E69" s="259" t="n"/>
      <c r="F69" s="259" t="n"/>
    </row>
    <row r="70" ht="10.5" customHeight="1">
      <c r="C70" s="259" t="n"/>
      <c r="D70" s="259" t="n"/>
      <c r="E70" s="259" t="n"/>
      <c r="F70" s="259" t="n"/>
    </row>
    <row r="71" ht="10.5" customHeight="1">
      <c r="C71" s="259" t="n"/>
      <c r="D71" s="259" t="n"/>
      <c r="E71" s="259" t="n"/>
      <c r="F71" s="259"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19.xml><?xml version="1.0" encoding="utf-8"?>
<worksheet xmlns="http://schemas.openxmlformats.org/spreadsheetml/2006/main">
  <sheetPr codeName="Sheet57">
    <tabColor rgb="FFA8E0B8"/>
    <outlinePr summaryBelow="1" summaryRight="1"/>
    <pageSetUpPr fitToPage="1"/>
  </sheetPr>
  <dimension ref="B2:T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0.53515625" customWidth="1" style="259" min="6" max="6"/>
    <col width="1.23046875" customWidth="1" style="259" min="7" max="7"/>
    <col width="5.15234375" customWidth="1" style="259" min="8" max="16"/>
    <col width="6.07421875" customWidth="1" style="259" min="17" max="18"/>
    <col width="8.84375" customWidth="1" style="259" min="19" max="21"/>
    <col hidden="1" width="8.84375" customWidth="1" style="259" min="22" max="16384"/>
  </cols>
  <sheetData>
    <row r="2" ht="10.75" customHeight="1">
      <c r="B2" s="62">
        <f>Inputs!B2</f>
        <v/>
      </c>
      <c r="C2" s="63" t="n"/>
      <c r="D2" s="63" t="n"/>
      <c r="E2" s="63" t="n"/>
      <c r="F2" s="63" t="n"/>
      <c r="G2" s="63" t="n"/>
      <c r="H2" s="63" t="n"/>
      <c r="I2" s="63" t="n"/>
      <c r="J2" s="280" t="inlineStr">
        <is>
          <t>SHEET TO BE UPDATED</t>
        </is>
      </c>
      <c r="K2" s="63" t="n"/>
      <c r="L2" s="63" t="n"/>
      <c r="M2" s="63" t="n"/>
      <c r="N2" s="63" t="n"/>
      <c r="O2" s="63" t="n"/>
      <c r="P2" s="63" t="n"/>
      <c r="Q2" s="63" t="n"/>
      <c r="R2" s="63" t="n"/>
      <c r="S2" s="63"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row>
    <row r="4" ht="12" customHeight="1">
      <c r="B4" s="65" t="inlineStr">
        <is>
          <t>Cash Flow Statement</t>
        </is>
      </c>
      <c r="C4" s="63" t="n"/>
      <c r="D4" s="63" t="n"/>
      <c r="E4" s="63" t="n"/>
      <c r="F4" s="63" t="n"/>
      <c r="G4" s="63" t="n"/>
      <c r="H4" s="63" t="n"/>
      <c r="I4" s="63" t="n"/>
      <c r="J4" s="63" t="n"/>
      <c r="K4" s="63" t="n"/>
      <c r="L4" s="63" t="n"/>
      <c r="M4" s="63" t="n"/>
      <c r="N4" s="63" t="n"/>
      <c r="O4" s="63" t="n"/>
      <c r="P4" s="63" t="n"/>
      <c r="Q4" s="63" t="n"/>
      <c r="R4" s="63" t="n"/>
      <c r="S4" s="63" t="n"/>
    </row>
    <row r="5" ht="5" customFormat="1" customHeight="1" s="1026" thickBot="1">
      <c r="B5" s="66" t="n"/>
      <c r="C5" s="66" t="n"/>
      <c r="D5" s="66" t="n"/>
      <c r="E5" s="66" t="n"/>
      <c r="F5" s="66" t="n"/>
      <c r="G5" s="66" t="n"/>
      <c r="H5" s="66" t="n"/>
      <c r="I5" s="66" t="n"/>
      <c r="J5" s="66" t="n"/>
      <c r="K5" s="66" t="n"/>
      <c r="L5" s="66" t="n"/>
      <c r="M5" s="66" t="n"/>
      <c r="N5" s="66" t="n"/>
      <c r="O5" s="66" t="n"/>
      <c r="P5" s="66" t="n"/>
      <c r="Q5" s="66" t="n"/>
      <c r="R5" s="66" t="n"/>
      <c r="S5" s="63" t="n"/>
    </row>
    <row r="6" ht="12" customHeight="1" thickTop="1">
      <c r="C6" s="432" t="n"/>
      <c r="D6" s="259" t="n"/>
      <c r="E6" s="259" t="n"/>
      <c r="F6" s="259" t="n"/>
      <c r="G6" s="259" t="n"/>
      <c r="H6" s="259" t="n"/>
      <c r="I6" s="259" t="n"/>
      <c r="J6" s="259" t="n"/>
    </row>
    <row r="7">
      <c r="C7" s="260">
        <f>IS_Calcs!C7</f>
        <v/>
      </c>
      <c r="D7" s="261" t="n"/>
      <c r="E7" s="261" t="n"/>
      <c r="F7" s="261" t="n"/>
      <c r="G7" s="262" t="n"/>
      <c r="H7" s="263">
        <f>IS_Calcs!H7</f>
        <v/>
      </c>
      <c r="I7" s="263">
        <f>IS_Calcs!I7</f>
        <v/>
      </c>
      <c r="J7" s="115">
        <f>IS_Calcs!J7</f>
        <v/>
      </c>
      <c r="K7" s="115">
        <f>IS_Calcs!K7</f>
        <v/>
      </c>
      <c r="L7" s="115">
        <f>IS_Calcs!L7</f>
        <v/>
      </c>
      <c r="M7" s="115">
        <f>IS_Calcs!M7</f>
        <v/>
      </c>
      <c r="N7" s="115">
        <f>IS_Calcs!N7</f>
        <v/>
      </c>
      <c r="O7" s="115">
        <f>IS_Calcs!O7</f>
        <v/>
      </c>
      <c r="P7" s="115">
        <f>IS_Calcs!P7</f>
        <v/>
      </c>
      <c r="Q7" s="115">
        <f>IS_Calcs!Q7</f>
        <v/>
      </c>
      <c r="R7" s="115">
        <f>IS_Calcs!R7</f>
        <v/>
      </c>
    </row>
    <row r="8">
      <c r="C8" s="264" t="n"/>
      <c r="D8" s="68" t="n"/>
      <c r="E8" s="68" t="n"/>
      <c r="F8" s="68" t="n"/>
      <c r="G8" s="265" t="n"/>
      <c r="H8" s="266">
        <f>IS_Calcs!H8</f>
        <v/>
      </c>
      <c r="I8" s="266">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284" t="n"/>
      <c r="D9" s="285" t="inlineStr">
        <is>
          <t>Cash flow from operating activities</t>
        </is>
      </c>
      <c r="E9" s="285" t="n"/>
      <c r="F9" s="285" t="n"/>
      <c r="T9" s="2003" t="n"/>
    </row>
    <row r="10">
      <c r="C10" s="284" t="n"/>
      <c r="D10" s="287" t="inlineStr">
        <is>
          <t>EBIT</t>
        </is>
      </c>
      <c r="E10" s="287" t="n"/>
      <c r="F10" s="287" t="n"/>
      <c r="H10" s="1923">
        <f>IS!H57</f>
        <v/>
      </c>
      <c r="I10" s="1923">
        <f>IS!I57</f>
        <v/>
      </c>
      <c r="J10" s="1923">
        <f>IS!J57</f>
        <v/>
      </c>
      <c r="K10" s="1923">
        <f>IS!K57</f>
        <v/>
      </c>
      <c r="L10" s="1923">
        <f>IS!L57</f>
        <v/>
      </c>
      <c r="M10" s="1923">
        <f>IS!M57</f>
        <v/>
      </c>
      <c r="N10" s="1923">
        <f>IS!N57</f>
        <v/>
      </c>
      <c r="O10" s="1923">
        <f>IS!O57</f>
        <v/>
      </c>
      <c r="P10" s="1923">
        <f>IS!P57</f>
        <v/>
      </c>
      <c r="Q10" s="1923">
        <f>IS!Q57</f>
        <v/>
      </c>
      <c r="R10" s="1923">
        <f>IS!R57</f>
        <v/>
      </c>
      <c r="T10" s="2003" t="n"/>
    </row>
    <row r="11">
      <c r="C11" s="284" t="inlineStr">
        <is>
          <t>+</t>
        </is>
      </c>
      <c r="D11" s="284" t="inlineStr">
        <is>
          <t>Depreciation</t>
        </is>
      </c>
      <c r="E11" s="284" t="n"/>
      <c r="F11" s="284" t="n"/>
      <c r="H11" s="1923">
        <f>-IS!H56</f>
        <v/>
      </c>
      <c r="I11" s="1923">
        <f>-IS!I56</f>
        <v/>
      </c>
      <c r="J11" s="1923">
        <f>-IS!J56</f>
        <v/>
      </c>
      <c r="K11" s="1923">
        <f>-IS!K56</f>
        <v/>
      </c>
      <c r="L11" s="1923">
        <f>-IS!L56</f>
        <v/>
      </c>
      <c r="M11" s="1923">
        <f>-IS!M56</f>
        <v/>
      </c>
      <c r="N11" s="1923">
        <f>-IS!N56</f>
        <v/>
      </c>
      <c r="O11" s="1923">
        <f>-IS!O56</f>
        <v/>
      </c>
      <c r="P11" s="1923">
        <f>-IS!P56</f>
        <v/>
      </c>
      <c r="Q11" s="1923">
        <f>-IS!Q56</f>
        <v/>
      </c>
      <c r="R11" s="1923">
        <f>-IS!R56</f>
        <v/>
      </c>
      <c r="T11" s="2003">
        <f>IFERROR((R11/M11)^(1/5)-1,"-")</f>
        <v/>
      </c>
    </row>
    <row r="12">
      <c r="C12" s="284" t="inlineStr">
        <is>
          <t>+</t>
        </is>
      </c>
      <c r="D12" s="284" t="inlineStr">
        <is>
          <t>Lease amortisation</t>
        </is>
      </c>
      <c r="E12" s="284" t="n"/>
      <c r="F12" s="284" t="n"/>
      <c r="H12" s="1985" t="n"/>
      <c r="I12" s="1985" t="n"/>
      <c r="J12" s="1985" t="n"/>
      <c r="K12" s="1985" t="n"/>
      <c r="L12" s="1985" t="n"/>
      <c r="M12" s="1985" t="n"/>
      <c r="N12" s="1985" t="n"/>
      <c r="O12" s="1985" t="n"/>
      <c r="P12" s="1985" t="n"/>
      <c r="Q12" s="1985" t="n"/>
      <c r="R12" s="1985" t="n"/>
      <c r="T12" s="2003">
        <f>IFERROR((R12/M12)^(1/5)-1,"-")</f>
        <v/>
      </c>
    </row>
    <row r="13">
      <c r="C13" s="284" t="inlineStr">
        <is>
          <t>-</t>
        </is>
      </c>
      <c r="D13" s="284" t="inlineStr">
        <is>
          <t>Lease repayment</t>
        </is>
      </c>
      <c r="E13" s="284" t="n"/>
      <c r="F13" s="284" t="n"/>
      <c r="H13" s="1985" t="n"/>
      <c r="I13" s="1985" t="n"/>
      <c r="J13" s="1985" t="n"/>
      <c r="K13" s="1985" t="n"/>
      <c r="L13" s="1985" t="n"/>
      <c r="M13" s="1985" t="n"/>
      <c r="N13" s="1985" t="n"/>
      <c r="O13" s="1985" t="n"/>
      <c r="P13" s="1985" t="n"/>
      <c r="Q13" s="1985" t="n"/>
      <c r="R13" s="1985" t="n"/>
      <c r="T13" s="2003">
        <f>IFERROR((R13/M13)^(1/5)-1,"-")</f>
        <v/>
      </c>
    </row>
    <row r="14">
      <c r="C14" s="284" t="inlineStr">
        <is>
          <t>-</t>
        </is>
      </c>
      <c r="D14" s="284" t="inlineStr">
        <is>
          <t>Taxes (excl. revolver savings)</t>
        </is>
      </c>
      <c r="E14" s="284" t="n"/>
      <c r="F14" s="284" t="n"/>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f>IFERROR((R14/M14)^(1/5)-1,"-")</f>
        <v/>
      </c>
    </row>
    <row r="15">
      <c r="C15" s="284" t="inlineStr">
        <is>
          <t>-</t>
        </is>
      </c>
      <c r="D15" s="284" t="inlineStr">
        <is>
          <t>Gain on Sale of Assets</t>
        </is>
      </c>
      <c r="E15" s="284" t="n"/>
      <c r="F15" s="284" t="n"/>
      <c r="H15" s="1985" t="n"/>
      <c r="I15" s="1985" t="n"/>
      <c r="J15" s="1985" t="n"/>
      <c r="K15" s="1985" t="n"/>
      <c r="L15" s="1985" t="n"/>
      <c r="M15" s="1985" t="n"/>
      <c r="N15" s="1985" t="n"/>
      <c r="O15" s="1985" t="n"/>
      <c r="P15" s="1985" t="n"/>
      <c r="Q15" s="1985" t="n"/>
      <c r="R15" s="1985" t="n"/>
      <c r="T15" s="2003">
        <f>IFERROR((R15/M15)^(1/5)-1,"-")</f>
        <v/>
      </c>
    </row>
    <row r="16">
      <c r="C16" s="284" t="inlineStr">
        <is>
          <t>+</t>
        </is>
      </c>
      <c r="D16" s="284" t="inlineStr">
        <is>
          <t>Provision for end of service benefits</t>
        </is>
      </c>
      <c r="E16" s="284" t="n"/>
      <c r="F16" s="284" t="n"/>
      <c r="H16" s="1985" t="n"/>
      <c r="I16" s="1985" t="n"/>
      <c r="J16" s="1985" t="n"/>
      <c r="K16" s="1985" t="n"/>
      <c r="L16" s="1985" t="n"/>
      <c r="M16" s="1985" t="n"/>
      <c r="N16" s="1985" t="n"/>
      <c r="O16" s="1985" t="n"/>
      <c r="P16" s="1985" t="n"/>
      <c r="Q16" s="1985" t="n"/>
      <c r="R16" s="1985" t="n"/>
      <c r="T16" s="2003">
        <f>IFERROR((R16/M16)^(1/5)-1,"-")</f>
        <v/>
      </c>
    </row>
    <row r="17">
      <c r="C17" s="284" t="inlineStr">
        <is>
          <t>-</t>
        </is>
      </c>
      <c r="D17" s="284" t="inlineStr">
        <is>
          <t>Payment towards end of service benefits</t>
        </is>
      </c>
      <c r="E17" s="284" t="n"/>
      <c r="F17" s="284" t="n"/>
      <c r="H17" s="1985" t="n"/>
      <c r="I17" s="1985" t="n"/>
      <c r="J17" s="1985" t="n"/>
      <c r="K17" s="1985" t="n"/>
      <c r="L17" s="1985" t="n"/>
      <c r="M17" s="1985" t="n"/>
      <c r="N17" s="1985" t="n"/>
      <c r="O17" s="1985" t="n"/>
      <c r="P17" s="1985" t="n"/>
      <c r="Q17" s="1985" t="n"/>
      <c r="R17" s="1985" t="n"/>
      <c r="T17" s="2003">
        <f>IFERROR((R17/M17)^(1/5)-1,"-")</f>
        <v/>
      </c>
    </row>
    <row r="18">
      <c r="C18" s="284" t="n"/>
      <c r="D18" s="288" t="inlineStr">
        <is>
          <t>Operating cash flow before working capital changes</t>
        </is>
      </c>
      <c r="E18" s="288" t="n"/>
      <c r="F18" s="288" t="n"/>
      <c r="G18" s="288" t="n"/>
      <c r="H18" s="2004">
        <f>SUM(H10:H17)</f>
        <v/>
      </c>
      <c r="I18" s="2004">
        <f>SUM(I10:I17)</f>
        <v/>
      </c>
      <c r="J18" s="2004">
        <f>SUM(J10:J17)</f>
        <v/>
      </c>
      <c r="K18" s="2004">
        <f>SUM(K10:K17)</f>
        <v/>
      </c>
      <c r="L18" s="2004">
        <f>SUM(L10:L17)</f>
        <v/>
      </c>
      <c r="M18" s="2004">
        <f>SUM(M10:M17)</f>
        <v/>
      </c>
      <c r="N18" s="2004">
        <f>SUM(N10:N17)</f>
        <v/>
      </c>
      <c r="O18" s="2004">
        <f>SUM(O10:O17)</f>
        <v/>
      </c>
      <c r="P18" s="2004">
        <f>SUM(P10:P17)</f>
        <v/>
      </c>
      <c r="Q18" s="2004">
        <f>SUM(Q10:Q17)</f>
        <v/>
      </c>
      <c r="R18" s="2004">
        <f>SUM(R10:R17)</f>
        <v/>
      </c>
      <c r="T18" s="2003">
        <f>IFERROR((R18/M18)^(1/5)-1,"-")</f>
        <v/>
      </c>
    </row>
    <row r="19" ht="7" customHeight="1">
      <c r="C19" s="284" t="n"/>
      <c r="D19" s="287" t="n"/>
      <c r="E19" s="287" t="n"/>
      <c r="F19" s="287" t="n"/>
      <c r="G19" s="287" t="n"/>
      <c r="H19" s="287" t="n"/>
      <c r="I19" s="287" t="n"/>
      <c r="J19" s="287" t="n"/>
      <c r="K19" s="287" t="n"/>
      <c r="L19" s="287" t="n"/>
      <c r="M19" s="287" t="n"/>
      <c r="N19" s="287" t="n"/>
      <c r="O19" s="287" t="n"/>
      <c r="P19" s="287" t="n"/>
      <c r="Q19" s="287" t="n"/>
      <c r="R19" s="287" t="n"/>
      <c r="T19" s="2003">
        <f>IFERROR((R19/M19)^(1/5)-1,"-")</f>
        <v/>
      </c>
    </row>
    <row r="20">
      <c r="C20" s="284" t="n"/>
      <c r="D20" s="287" t="inlineStr">
        <is>
          <t>Working capital changes</t>
        </is>
      </c>
      <c r="E20" s="287" t="n"/>
      <c r="F20" s="287" t="n"/>
      <c r="G20" s="287" t="n"/>
      <c r="H20" s="287" t="n"/>
      <c r="I20" s="287" t="n"/>
      <c r="J20" s="287" t="n"/>
      <c r="K20" s="287" t="n"/>
      <c r="L20" s="287" t="n"/>
      <c r="M20" s="287" t="n"/>
      <c r="N20" s="287" t="n"/>
      <c r="O20" s="287" t="n"/>
      <c r="P20" s="287" t="n"/>
      <c r="Q20" s="287" t="n"/>
      <c r="R20" s="287" t="n"/>
      <c r="T20" s="2003">
        <f>IFERROR((R20/M20)^(1/5)-1,"-")</f>
        <v/>
      </c>
    </row>
    <row r="21">
      <c r="C21" s="284" t="n"/>
      <c r="D21" s="284" t="inlineStr">
        <is>
          <t>Changes in working capital</t>
        </is>
      </c>
      <c r="E21" s="284" t="n"/>
      <c r="F21" s="284" t="n"/>
      <c r="G21" s="284" t="n"/>
      <c r="H21" s="2005">
        <f>-BS_Calc!H33</f>
        <v/>
      </c>
      <c r="I21" s="2005">
        <f>-BS_Calc!I33</f>
        <v/>
      </c>
      <c r="J21" s="2005">
        <f>-BS_Calc!J33</f>
        <v/>
      </c>
      <c r="K21" s="2005">
        <f>-BS_Calc!K33</f>
        <v/>
      </c>
      <c r="L21" s="2005">
        <f>-BS_Calc!L33</f>
        <v/>
      </c>
      <c r="M21" s="2005">
        <f>-BS_Calc!M33</f>
        <v/>
      </c>
      <c r="N21" s="2005">
        <f>-BS_Calc!N33</f>
        <v/>
      </c>
      <c r="O21" s="2005">
        <f>-BS_Calc!O33</f>
        <v/>
      </c>
      <c r="P21" s="2005">
        <f>-BS_Calc!P33</f>
        <v/>
      </c>
      <c r="Q21" s="2005">
        <f>-BS_Calc!Q33</f>
        <v/>
      </c>
      <c r="R21" s="2005">
        <f>-BS_Calc!R33</f>
        <v/>
      </c>
      <c r="T21" s="2003">
        <f>IFERROR((R21/M21)^(1/5)-1,"-")</f>
        <v/>
      </c>
    </row>
    <row r="22">
      <c r="C22" s="284" t="n"/>
      <c r="D22" s="288" t="inlineStr">
        <is>
          <t>Total working capital changes</t>
        </is>
      </c>
      <c r="E22" s="288" t="n"/>
      <c r="F22" s="288" t="n"/>
      <c r="G22" s="288" t="n"/>
      <c r="H22" s="2004">
        <f>H21</f>
        <v/>
      </c>
      <c r="I22" s="2004">
        <f>I21</f>
        <v/>
      </c>
      <c r="J22" s="2004">
        <f>J21</f>
        <v/>
      </c>
      <c r="K22" s="2004">
        <f>K21</f>
        <v/>
      </c>
      <c r="L22" s="2004">
        <f>L21</f>
        <v/>
      </c>
      <c r="M22" s="2004">
        <f>M21</f>
        <v/>
      </c>
      <c r="N22" s="2004">
        <f>N21</f>
        <v/>
      </c>
      <c r="O22" s="2004">
        <f>O21</f>
        <v/>
      </c>
      <c r="P22" s="2004">
        <f>P21</f>
        <v/>
      </c>
      <c r="Q22" s="2004">
        <f>Q21</f>
        <v/>
      </c>
      <c r="R22" s="2004">
        <f>R21</f>
        <v/>
      </c>
      <c r="T22" s="2003">
        <f>IFERROR((R22/M22)^(1/5)-1,"-")</f>
        <v/>
      </c>
    </row>
    <row r="23" ht="7" customHeight="1">
      <c r="C23" s="284" t="n"/>
      <c r="D23" s="288" t="n"/>
      <c r="E23" s="288" t="n"/>
      <c r="F23" s="288" t="n"/>
      <c r="G23" s="288" t="n"/>
      <c r="H23" s="288" t="n"/>
      <c r="I23" s="288" t="n"/>
      <c r="J23" s="288" t="n"/>
      <c r="K23" s="288" t="n"/>
      <c r="L23" s="288" t="n"/>
      <c r="M23" s="288" t="n"/>
      <c r="N23" s="288" t="n"/>
      <c r="O23" s="288" t="n"/>
      <c r="P23" s="288" t="n"/>
      <c r="Q23" s="288" t="n"/>
      <c r="R23" s="288" t="n"/>
      <c r="T23" s="2003">
        <f>IFERROR((R23/M23)^(1/5)-1,"-")</f>
        <v/>
      </c>
    </row>
    <row r="24">
      <c r="C24" s="284" t="n"/>
      <c r="D24" s="291" t="inlineStr">
        <is>
          <t>Cash flow from operating activities</t>
        </is>
      </c>
      <c r="E24" s="291" t="n"/>
      <c r="F24" s="291" t="n"/>
      <c r="G24" s="292" t="n"/>
      <c r="H24" s="2006">
        <f>SUM(H18,H22)</f>
        <v/>
      </c>
      <c r="I24" s="2006">
        <f>SUM(I18,I22)</f>
        <v/>
      </c>
      <c r="J24" s="2006">
        <f>SUM(J18,J22)</f>
        <v/>
      </c>
      <c r="K24" s="2006">
        <f>SUM(K18,K22)</f>
        <v/>
      </c>
      <c r="L24" s="2006">
        <f>SUM(L18,L22)</f>
        <v/>
      </c>
      <c r="M24" s="2006">
        <f>SUM(M18,M22)</f>
        <v/>
      </c>
      <c r="N24" s="2006">
        <f>SUM(N18,N22)</f>
        <v/>
      </c>
      <c r="O24" s="2006">
        <f>SUM(O18,O22)</f>
        <v/>
      </c>
      <c r="P24" s="2006">
        <f>SUM(P18,P22)</f>
        <v/>
      </c>
      <c r="Q24" s="2006">
        <f>SUM(Q18,Q22)</f>
        <v/>
      </c>
      <c r="R24" s="2006">
        <f>SUM(R18,R22)</f>
        <v/>
      </c>
      <c r="T24" s="2003">
        <f>IFERROR((R24/M24)^(1/5)-1,"-")</f>
        <v/>
      </c>
    </row>
    <row r="25" ht="7" customFormat="1" customHeight="1" s="259">
      <c r="C25" s="284" t="n"/>
      <c r="D25" s="294" t="n"/>
      <c r="E25" s="294" t="n"/>
      <c r="F25" s="294" t="n"/>
      <c r="T25" s="2003">
        <f>IFERROR((R25/M25)^(1/5)-1,"-")</f>
        <v/>
      </c>
    </row>
    <row r="26">
      <c r="C26" s="284" t="n"/>
      <c r="D26" s="285" t="inlineStr">
        <is>
          <t>Cash flow from investing activities</t>
        </is>
      </c>
      <c r="E26" s="287" t="n"/>
      <c r="F26" s="287" t="n"/>
      <c r="T26" s="2003">
        <f>IFERROR((R26/M26)^(1/5)-1,"-")</f>
        <v/>
      </c>
    </row>
    <row r="27">
      <c r="C27" s="284" t="n"/>
      <c r="D27" s="284" t="inlineStr">
        <is>
          <t>Additions to PPE</t>
        </is>
      </c>
      <c r="E27" s="284" t="n"/>
      <c r="F27" s="284" t="n"/>
      <c r="H27" s="1923" t="n">
        <v>0</v>
      </c>
      <c r="I27" s="1923" t="n">
        <v>0</v>
      </c>
      <c r="J27" s="1923" t="n">
        <v>0</v>
      </c>
      <c r="K27" s="1923" t="n">
        <v>0</v>
      </c>
      <c r="L27" s="1923" t="n">
        <v>0</v>
      </c>
      <c r="M27" s="1923" t="n">
        <v>0</v>
      </c>
      <c r="N27" s="1923" t="n">
        <v>0</v>
      </c>
      <c r="O27" s="1923" t="n">
        <v>0</v>
      </c>
      <c r="P27" s="1923" t="n">
        <v>0</v>
      </c>
      <c r="Q27" s="1923" t="n">
        <v>0</v>
      </c>
      <c r="R27" s="1923" t="n">
        <v>0</v>
      </c>
      <c r="T27" s="2003">
        <f>IFERROR((R27/M27)^(1/5)-1,"-")</f>
        <v/>
      </c>
    </row>
    <row r="28">
      <c r="C28" s="284" t="n"/>
      <c r="D28" s="284" t="inlineStr">
        <is>
          <t>Proceeds from sale of assets</t>
        </is>
      </c>
      <c r="E28" s="284" t="n"/>
      <c r="F28" s="284" t="n"/>
      <c r="H28" s="1923" t="n">
        <v>0</v>
      </c>
      <c r="I28" s="1923" t="n">
        <v>0</v>
      </c>
      <c r="J28" s="1923" t="n">
        <v>0</v>
      </c>
      <c r="K28" s="1923" t="n">
        <v>0</v>
      </c>
      <c r="L28" s="1923" t="n">
        <v>0</v>
      </c>
      <c r="M28" s="1923" t="n">
        <v>0</v>
      </c>
      <c r="N28" s="1923" t="n">
        <v>0</v>
      </c>
      <c r="O28" s="1923" t="n">
        <v>0</v>
      </c>
      <c r="P28" s="1923" t="n">
        <v>0</v>
      </c>
      <c r="Q28" s="1923" t="n">
        <v>0</v>
      </c>
      <c r="R28" s="1923" t="n">
        <v>0</v>
      </c>
      <c r="T28" s="2003">
        <f>IFERROR((R28/M28)^(1/5)-1,"-")</f>
        <v/>
      </c>
    </row>
    <row r="29">
      <c r="C29" s="284" t="n"/>
      <c r="D29" s="291" t="inlineStr">
        <is>
          <t>Cash flow from investing activities</t>
        </is>
      </c>
      <c r="E29" s="291" t="n"/>
      <c r="F29" s="291" t="n"/>
      <c r="G29" s="292" t="n"/>
      <c r="H29" s="2006">
        <f>SUM(H27:H28)</f>
        <v/>
      </c>
      <c r="I29" s="2006">
        <f>SUM(I27:I28)</f>
        <v/>
      </c>
      <c r="J29" s="2006">
        <f>SUM(J27:J28)</f>
        <v/>
      </c>
      <c r="K29" s="2006">
        <f>SUM(K27:K28)</f>
        <v/>
      </c>
      <c r="L29" s="2006">
        <f>SUM(L27:L28)</f>
        <v/>
      </c>
      <c r="M29" s="2006">
        <f>SUM(M27:M28)</f>
        <v/>
      </c>
      <c r="N29" s="2006">
        <f>SUM(N27:N28)</f>
        <v/>
      </c>
      <c r="O29" s="2006">
        <f>SUM(O27:O28)</f>
        <v/>
      </c>
      <c r="P29" s="2006">
        <f>SUM(P27:P28)</f>
        <v/>
      </c>
      <c r="Q29" s="2006">
        <f>SUM(Q27:Q28)</f>
        <v/>
      </c>
      <c r="R29" s="2006">
        <f>SUM(R27:R28)</f>
        <v/>
      </c>
      <c r="T29" s="2003">
        <f>IFERROR((R29/M29)^(1/5)-1,"-")</f>
        <v/>
      </c>
    </row>
    <row r="30" ht="7" customFormat="1" customHeight="1" s="259">
      <c r="C30" s="284" t="n"/>
      <c r="D30" s="294" t="n"/>
      <c r="E30" s="294" t="n"/>
      <c r="F30" s="294" t="n"/>
      <c r="T30" s="2003">
        <f>IFERROR((R30/M30)^(1/5)-1,"-")</f>
        <v/>
      </c>
    </row>
    <row r="31">
      <c r="C31" s="284" t="n"/>
      <c r="D31" s="285" t="inlineStr">
        <is>
          <t>Cash flow from financing activities</t>
        </is>
      </c>
      <c r="E31" s="285" t="n"/>
      <c r="F31" s="285" t="n"/>
      <c r="T31" s="2003">
        <f>IFERROR((R31/M31)^(1/5)-1,"-")</f>
        <v/>
      </c>
    </row>
    <row r="32">
      <c r="C32" s="284" t="n"/>
      <c r="D32" s="284" t="inlineStr">
        <is>
          <t>Capital injections</t>
        </is>
      </c>
      <c r="E32" s="285" t="n"/>
      <c r="F32" s="285" t="n"/>
      <c r="H32" s="1923" t="n">
        <v>0</v>
      </c>
      <c r="I32" s="1923" t="n">
        <v>0</v>
      </c>
      <c r="J32" s="1923" t="n">
        <v>0</v>
      </c>
      <c r="K32" s="1923" t="n">
        <v>0</v>
      </c>
      <c r="L32" s="1923" t="n">
        <v>0</v>
      </c>
      <c r="M32" s="1923" t="n">
        <v>0</v>
      </c>
      <c r="N32" s="1923" t="n">
        <v>0</v>
      </c>
      <c r="O32" s="1923" t="n">
        <v>0</v>
      </c>
      <c r="P32" s="1923" t="n">
        <v>0</v>
      </c>
      <c r="Q32" s="1923" t="n">
        <v>0</v>
      </c>
      <c r="R32" s="1923" t="n">
        <v>0</v>
      </c>
      <c r="T32" s="2003">
        <f>IFERROR((R32/M32)^(1/5)-1,"-")</f>
        <v/>
      </c>
    </row>
    <row r="33">
      <c r="C33" s="284" t="n"/>
      <c r="D33" s="284" t="inlineStr">
        <is>
          <t>Share buy-backs</t>
        </is>
      </c>
      <c r="E33" s="285" t="n"/>
      <c r="F33" s="285" t="n"/>
      <c r="H33" s="1923" t="n">
        <v>0</v>
      </c>
      <c r="I33" s="1923" t="n">
        <v>0</v>
      </c>
      <c r="J33" s="1923" t="n">
        <v>0</v>
      </c>
      <c r="K33" s="1923" t="n">
        <v>0</v>
      </c>
      <c r="L33" s="1923" t="n">
        <v>0</v>
      </c>
      <c r="M33" s="1923" t="n">
        <v>0</v>
      </c>
      <c r="N33" s="1923" t="n">
        <v>0</v>
      </c>
      <c r="O33" s="1923" t="n">
        <v>0</v>
      </c>
      <c r="P33" s="1923" t="n">
        <v>0</v>
      </c>
      <c r="Q33" s="1923" t="n">
        <v>0</v>
      </c>
      <c r="R33" s="1923" t="n">
        <v>0</v>
      </c>
      <c r="T33" s="2003">
        <f>IFERROR((R33/M33)^(1/5)-1,"-")</f>
        <v/>
      </c>
    </row>
    <row r="34">
      <c r="C34" s="284" t="n"/>
      <c r="D34" s="284" t="inlineStr">
        <is>
          <t>Loan additions</t>
        </is>
      </c>
      <c r="E34" s="285" t="n"/>
      <c r="F34" s="285" t="n"/>
      <c r="H34" s="1923" t="n">
        <v>0</v>
      </c>
      <c r="I34" s="1923" t="n">
        <v>0</v>
      </c>
      <c r="J34" s="1923" t="n">
        <v>0</v>
      </c>
      <c r="K34" s="1923" t="n">
        <v>0</v>
      </c>
      <c r="L34" s="1923" t="n">
        <v>0</v>
      </c>
      <c r="M34" s="1923" t="n">
        <v>0</v>
      </c>
      <c r="N34" s="1923" t="n">
        <v>0</v>
      </c>
      <c r="O34" s="1923" t="n">
        <v>0</v>
      </c>
      <c r="P34" s="1923" t="n">
        <v>0</v>
      </c>
      <c r="Q34" s="1923" t="n">
        <v>0</v>
      </c>
      <c r="R34" s="1923" t="n">
        <v>0</v>
      </c>
      <c r="T34" s="2003">
        <f>IFERROR((R34/M34)^(1/5)-1,"-")</f>
        <v/>
      </c>
    </row>
    <row r="35">
      <c r="C35" s="284" t="n"/>
      <c r="D35" s="284" t="inlineStr">
        <is>
          <t>Loan repayments</t>
        </is>
      </c>
      <c r="E35" s="285" t="n"/>
      <c r="F35" s="285" t="n"/>
      <c r="H35" s="1923" t="n">
        <v>0</v>
      </c>
      <c r="I35" s="1923" t="n">
        <v>0</v>
      </c>
      <c r="J35" s="1923" t="n">
        <v>0</v>
      </c>
      <c r="K35" s="1923" t="n">
        <v>0</v>
      </c>
      <c r="L35" s="1923" t="n">
        <v>0</v>
      </c>
      <c r="M35" s="1923" t="n">
        <v>0</v>
      </c>
      <c r="N35" s="1923" t="n">
        <v>0</v>
      </c>
      <c r="O35" s="1923" t="n">
        <v>0</v>
      </c>
      <c r="P35" s="1923" t="n">
        <v>0</v>
      </c>
      <c r="Q35" s="1923" t="n">
        <v>0</v>
      </c>
      <c r="R35" s="1923" t="n">
        <v>0</v>
      </c>
      <c r="T35" s="2003">
        <f>IFERROR((R35/M35)^(1/5)-1,"-")</f>
        <v/>
      </c>
    </row>
    <row r="36">
      <c r="C36" s="284" t="n"/>
      <c r="D36" s="284" t="inlineStr">
        <is>
          <t>Finance cost (debt)</t>
        </is>
      </c>
      <c r="E36" s="284" t="n"/>
      <c r="F36" s="284" t="n"/>
      <c r="H36" s="1923" t="n">
        <v>0</v>
      </c>
      <c r="I36" s="1923" t="n">
        <v>0</v>
      </c>
      <c r="J36" s="1923" t="n">
        <v>0</v>
      </c>
      <c r="K36" s="1923" t="n">
        <v>0</v>
      </c>
      <c r="L36" s="1923" t="n">
        <v>0</v>
      </c>
      <c r="M36" s="1923" t="n">
        <v>0</v>
      </c>
      <c r="N36" s="1923" t="n">
        <v>0</v>
      </c>
      <c r="O36" s="1923" t="n">
        <v>0</v>
      </c>
      <c r="P36" s="1923" t="n">
        <v>0</v>
      </c>
      <c r="Q36" s="1923" t="n">
        <v>0</v>
      </c>
      <c r="R36" s="1923" t="n">
        <v>0</v>
      </c>
      <c r="T36" s="2003">
        <f>IFERROR((R36/M36)^(1/5)-1,"-")</f>
        <v/>
      </c>
    </row>
    <row r="37">
      <c r="C37" s="284" t="n"/>
      <c r="D37" s="284" t="inlineStr">
        <is>
          <t>Changes in revolving facility</t>
        </is>
      </c>
      <c r="E37" s="284" t="n"/>
      <c r="F37" s="284" t="n"/>
      <c r="H37" s="1923" t="n">
        <v>0</v>
      </c>
      <c r="I37" s="1923" t="n">
        <v>0</v>
      </c>
      <c r="J37" s="1923" t="n">
        <v>0</v>
      </c>
      <c r="K37" s="1923" t="n">
        <v>0</v>
      </c>
      <c r="L37" s="1923" t="n">
        <v>0</v>
      </c>
      <c r="M37" s="1923" t="n">
        <v>0</v>
      </c>
      <c r="N37" s="1923" t="n">
        <v>0</v>
      </c>
      <c r="O37" s="1923" t="n">
        <v>0</v>
      </c>
      <c r="P37" s="1923" t="n">
        <v>0</v>
      </c>
      <c r="Q37" s="1923" t="n">
        <v>0</v>
      </c>
      <c r="R37" s="1923" t="n">
        <v>0</v>
      </c>
      <c r="T37" s="2003">
        <f>IFERROR((R37/M37)^(1/5)-1,"-")</f>
        <v/>
      </c>
    </row>
    <row r="38">
      <c r="C38" s="284" t="n"/>
      <c r="D38" s="284" t="inlineStr">
        <is>
          <t>Finance cost (revolver), net of tax benefit</t>
        </is>
      </c>
      <c r="E38" s="284" t="n"/>
      <c r="F38" s="284" t="n"/>
      <c r="H38" s="1923" t="n">
        <v>0</v>
      </c>
      <c r="I38" s="1923" t="n">
        <v>0</v>
      </c>
      <c r="J38" s="1923" t="n">
        <v>0</v>
      </c>
      <c r="K38" s="1923" t="n">
        <v>0</v>
      </c>
      <c r="L38" s="1923" t="n">
        <v>0</v>
      </c>
      <c r="M38" s="1923" t="n">
        <v>0</v>
      </c>
      <c r="N38" s="1923" t="n">
        <v>0</v>
      </c>
      <c r="O38" s="1923" t="n">
        <v>0</v>
      </c>
      <c r="P38" s="1923" t="n">
        <v>0</v>
      </c>
      <c r="Q38" s="1923" t="n">
        <v>0</v>
      </c>
      <c r="R38" s="1923" t="n">
        <v>0</v>
      </c>
      <c r="T38" s="2003">
        <f>IFERROR((R38/M38)^(1/5)-1,"-")</f>
        <v/>
      </c>
    </row>
    <row r="39">
      <c r="C39" s="284" t="n"/>
      <c r="D39" s="291" t="inlineStr">
        <is>
          <t>Cash flow from financing activities</t>
        </is>
      </c>
      <c r="E39" s="291" t="n"/>
      <c r="F39" s="291" t="n"/>
      <c r="G39" s="292" t="n"/>
      <c r="H39" s="2006">
        <f>SUM(H32:H38)</f>
        <v/>
      </c>
      <c r="I39" s="2006">
        <f>SUM(I32:I38)</f>
        <v/>
      </c>
      <c r="J39" s="2006">
        <f>SUM(J32:J38)</f>
        <v/>
      </c>
      <c r="K39" s="2006">
        <f>SUM(K32:K38)</f>
        <v/>
      </c>
      <c r="L39" s="2006">
        <f>SUM(L32:L38)</f>
        <v/>
      </c>
      <c r="M39" s="2006">
        <f>SUM(M32:M38)</f>
        <v/>
      </c>
      <c r="N39" s="2006">
        <f>SUM(N32:N38)</f>
        <v/>
      </c>
      <c r="O39" s="2006">
        <f>SUM(O32:O38)</f>
        <v/>
      </c>
      <c r="P39" s="2006">
        <f>SUM(P32:P38)</f>
        <v/>
      </c>
      <c r="Q39" s="2006">
        <f>SUM(Q32:Q38)</f>
        <v/>
      </c>
      <c r="R39" s="2006">
        <f>SUM(R32:R38)</f>
        <v/>
      </c>
      <c r="T39" s="2003">
        <f>IFERROR((R39/M39)^(1/5)-1,"-")</f>
        <v/>
      </c>
    </row>
    <row r="40" ht="7" customFormat="1" customHeight="1" s="259">
      <c r="C40" s="284" t="n"/>
      <c r="D40" s="295" t="n"/>
      <c r="E40" s="295" t="n"/>
      <c r="F40" s="295" t="n"/>
      <c r="G40" s="432" t="n"/>
      <c r="H40" s="432" t="n"/>
      <c r="I40" s="432" t="n"/>
      <c r="J40" s="432" t="n"/>
      <c r="K40" s="432" t="n"/>
      <c r="L40" s="432" t="n"/>
      <c r="M40" s="432" t="n"/>
      <c r="N40" s="432" t="n"/>
      <c r="O40" s="432" t="n"/>
      <c r="P40" s="432" t="n"/>
      <c r="Q40" s="432" t="n"/>
      <c r="R40" s="432" t="n"/>
      <c r="T40" s="2003">
        <f>IFERROR((R40/M40)^(1/5)-1,"-")</f>
        <v/>
      </c>
    </row>
    <row r="41">
      <c r="C41" s="284" t="n"/>
      <c r="D41" s="284" t="inlineStr">
        <is>
          <t xml:space="preserve">Total cash flow </t>
        </is>
      </c>
      <c r="E41" s="284" t="n"/>
      <c r="F41" s="284" t="n"/>
      <c r="H41" s="1923">
        <f>SUM(H39,H29,H24)</f>
        <v/>
      </c>
      <c r="I41" s="1923">
        <f>SUM(I39,I29,I24)</f>
        <v/>
      </c>
      <c r="J41" s="1923">
        <f>SUM(J39,J29,J24)</f>
        <v/>
      </c>
      <c r="K41" s="1923">
        <f>SUM(K39,K29,K24)</f>
        <v/>
      </c>
      <c r="L41" s="1923">
        <f>SUM(L39,L29,L24)</f>
        <v/>
      </c>
      <c r="M41" s="1923">
        <f>SUM(M39,M29,M24)</f>
        <v/>
      </c>
      <c r="N41" s="1923">
        <f>SUM(N39,N29,N24)</f>
        <v/>
      </c>
      <c r="O41" s="1923">
        <f>SUM(O39,O29,O24)</f>
        <v/>
      </c>
      <c r="P41" s="1923">
        <f>SUM(P39,P29,P24)</f>
        <v/>
      </c>
      <c r="Q41" s="1923">
        <f>SUM(Q39,Q29,Q24)</f>
        <v/>
      </c>
      <c r="R41" s="1923">
        <f>SUM(R39,R29,R24)</f>
        <v/>
      </c>
      <c r="T41" s="2003">
        <f>IFERROR((R41/M41)^(1/5)-1,"-")</f>
        <v/>
      </c>
    </row>
    <row r="42">
      <c r="C42" s="284" t="n"/>
      <c r="D42" s="284" t="inlineStr">
        <is>
          <t>Opening cash balance</t>
        </is>
      </c>
      <c r="E42" s="284" t="n"/>
      <c r="F42" s="284" t="n"/>
      <c r="H42" s="1985" t="n">
        <v>0</v>
      </c>
      <c r="I42" s="1985" t="n">
        <v>0</v>
      </c>
      <c r="J42" s="1923">
        <f>I43</f>
        <v/>
      </c>
      <c r="K42" s="1923">
        <f>J43</f>
        <v/>
      </c>
      <c r="L42" s="1923">
        <f>K43</f>
        <v/>
      </c>
      <c r="M42" s="1923">
        <f>L43</f>
        <v/>
      </c>
      <c r="N42" s="1923">
        <f>M43</f>
        <v/>
      </c>
      <c r="O42" s="1923">
        <f>N43</f>
        <v/>
      </c>
      <c r="P42" s="1923">
        <f>O43</f>
        <v/>
      </c>
      <c r="Q42" s="1923">
        <f>P43</f>
        <v/>
      </c>
      <c r="R42" s="1923">
        <f>Q43</f>
        <v/>
      </c>
      <c r="T42" s="2003">
        <f>IFERROR((R42/M42)^(1/5)-1,"-")</f>
        <v/>
      </c>
    </row>
    <row r="43" ht="12" customHeight="1" thickBot="1">
      <c r="C43" s="284" t="n"/>
      <c r="D43" s="296" t="inlineStr">
        <is>
          <t>Closing balance of cash</t>
        </is>
      </c>
      <c r="E43" s="296" t="n"/>
      <c r="F43" s="296" t="n"/>
      <c r="G43" s="297" t="n"/>
      <c r="H43" s="2007">
        <f>SUM(H41:H42)</f>
        <v/>
      </c>
      <c r="I43" s="2007">
        <f>SUM(I41:I42)</f>
        <v/>
      </c>
      <c r="J43" s="2007">
        <f>SUM(J41:J42)</f>
        <v/>
      </c>
      <c r="K43" s="2007">
        <f>SUM(K41:K42)</f>
        <v/>
      </c>
      <c r="L43" s="2007">
        <f>SUM(L41:L42)</f>
        <v/>
      </c>
      <c r="M43" s="2007">
        <f>SUM(M41:M42)</f>
        <v/>
      </c>
      <c r="N43" s="2007">
        <f>SUM(N41:N42)</f>
        <v/>
      </c>
      <c r="O43" s="2007">
        <f>SUM(O41:O42)</f>
        <v/>
      </c>
      <c r="P43" s="2007">
        <f>SUM(P41:P42)</f>
        <v/>
      </c>
      <c r="Q43" s="2007">
        <f>SUM(Q41:Q42)</f>
        <v/>
      </c>
      <c r="R43" s="2007">
        <f>SUM(R41:R42)</f>
        <v/>
      </c>
      <c r="T43" s="2003">
        <f>IFERROR((R43/M43)^(1/5)-1,"-")</f>
        <v/>
      </c>
    </row>
    <row r="44" ht="17.5" customHeight="1">
      <c r="T44" s="71" t="n"/>
    </row>
    <row r="45" ht="17.5" customHeight="1">
      <c r="T45" s="71" t="n"/>
    </row>
    <row r="46" ht="17.5" customHeight="1">
      <c r="T46" s="71" t="n"/>
    </row>
    <row r="47" ht="17.5" customHeight="1">
      <c r="T47" s="71" t="n"/>
    </row>
    <row r="48" ht="17.5" customHeight="1">
      <c r="T48" s="71" t="n"/>
    </row>
    <row r="49" ht="17.5" customHeight="1">
      <c r="T49" s="71" t="n"/>
    </row>
    <row r="50" ht="17.5" customHeight="1">
      <c r="T50" s="71" t="n"/>
    </row>
    <row r="51" ht="17.5" customHeight="1">
      <c r="T51" s="71" t="n"/>
    </row>
    <row r="52" ht="17.5" customHeight="1">
      <c r="T52" s="71" t="n"/>
    </row>
    <row r="53" ht="15.5" customHeight="1">
      <c r="T53" s="71" t="n"/>
    </row>
    <row r="54" ht="15.5" customHeight="1">
      <c r="T54" s="71" t="n"/>
    </row>
    <row r="55" ht="15.5" customHeight="1">
      <c r="T55" s="71" t="n"/>
    </row>
    <row r="56" ht="15.5" customHeight="1">
      <c r="T56" s="71" t="n"/>
    </row>
    <row r="57" ht="15.5" customHeight="1">
      <c r="T57" s="71" t="n"/>
    </row>
    <row r="58" ht="15.5" customHeight="1">
      <c r="T58" s="71" t="n"/>
    </row>
    <row r="59" ht="15.5" customHeight="1">
      <c r="T59" s="71" t="n"/>
    </row>
    <row r="60" ht="15.5" customHeight="1">
      <c r="T60" s="71" t="n"/>
    </row>
    <row r="61" ht="15.5" customHeight="1">
      <c r="T61" s="71" t="n"/>
    </row>
    <row r="62" ht="15.5" customHeight="1">
      <c r="T62" s="71" t="n"/>
    </row>
    <row r="63" ht="15.5" customHeight="1">
      <c r="T63" s="71" t="n"/>
    </row>
    <row r="64" ht="15.5" customHeight="1">
      <c r="T64" s="71" t="n"/>
    </row>
    <row r="65" ht="15.5" customHeight="1">
      <c r="T65" s="71" t="n"/>
    </row>
    <row r="66" ht="15.5" customHeight="1">
      <c r="T66" s="71" t="n"/>
    </row>
    <row r="67" ht="15.5" customHeight="1">
      <c r="T67" s="71" t="n"/>
    </row>
    <row r="68" ht="15.5" customHeight="1">
      <c r="T68" s="71" t="n"/>
    </row>
    <row r="69" ht="15.5" customHeight="1">
      <c r="T69" s="71" t="n"/>
    </row>
    <row r="70" ht="15.5" customHeight="1">
      <c r="T70" s="71" t="n"/>
    </row>
    <row r="71" ht="15.5" customHeight="1">
      <c r="T71" s="71" t="n"/>
    </row>
    <row r="72" ht="15.5" customHeight="1">
      <c r="T72" s="71" t="n"/>
    </row>
    <row r="73" ht="15.5" customHeight="1">
      <c r="T73" s="71" t="n"/>
    </row>
    <row r="74" ht="15.5" customHeight="1">
      <c r="T74" s="71" t="n"/>
    </row>
    <row r="75" ht="15.5" customHeight="1">
      <c r="T75" s="71" t="n"/>
    </row>
    <row r="76" ht="15.5" customHeight="1">
      <c r="T76" s="71" t="n"/>
    </row>
    <row r="77" ht="15.5" customHeight="1">
      <c r="T77" s="71" t="n"/>
    </row>
    <row r="78" ht="15.5" customHeight="1">
      <c r="T78" s="71" t="n"/>
    </row>
    <row r="79" ht="15.5" customHeight="1">
      <c r="T79" s="71" t="n"/>
    </row>
    <row r="80" ht="15.5" customHeight="1">
      <c r="T80" s="71" t="n"/>
    </row>
    <row r="81" ht="15.5" customHeight="1">
      <c r="T81" s="71" t="n"/>
    </row>
    <row r="82" ht="15.5" customHeight="1">
      <c r="T82" s="71" t="n"/>
    </row>
    <row r="83" ht="15.5" customHeight="1">
      <c r="T83" s="71" t="n"/>
    </row>
    <row r="84" ht="15.5" customHeight="1">
      <c r="T84" s="71" t="n"/>
    </row>
    <row r="85" ht="15.5" customHeight="1">
      <c r="T85" s="71" t="n"/>
    </row>
    <row r="86" ht="15.5" customHeight="1">
      <c r="T86" s="71" t="n"/>
    </row>
    <row r="87" ht="15.5" customHeight="1">
      <c r="T87" s="71" t="n"/>
    </row>
    <row r="88" ht="15.5" customHeight="1">
      <c r="T88" s="71"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20.xml><?xml version="1.0" encoding="utf-8"?>
<worksheet xmlns="http://schemas.openxmlformats.org/spreadsheetml/2006/main">
  <sheetPr>
    <tabColor rgb="FFA8E0B8"/>
    <outlinePr summaryBelow="1" summaryRight="1"/>
    <pageSetUpPr autoPageBreaks="0"/>
  </sheetPr>
  <dimension ref="C2:T65"/>
  <sheetViews>
    <sheetView showGridLines="0" topLeftCell="A34" zoomScale="97" zoomScaleNormal="97" zoomScaleSheetLayoutView="83" workbookViewId="0">
      <selection activeCell="K52" sqref="K52"/>
    </sheetView>
  </sheetViews>
  <sheetFormatPr baseColWidth="8" defaultColWidth="8.69140625" defaultRowHeight="17.5"/>
  <cols>
    <col width="2.69140625" customWidth="1" style="71" min="1" max="1"/>
    <col width="1.53515625" customWidth="1" style="71" min="2" max="3"/>
    <col width="8.69140625" customWidth="1" style="71" min="4" max="5"/>
    <col width="7.69140625" bestFit="1" customWidth="1" style="71" min="6" max="10"/>
    <col width="7.53515625" bestFit="1" customWidth="1" style="71" min="11" max="11"/>
    <col width="8.3046875" bestFit="1" customWidth="1" style="71" min="12" max="13"/>
    <col width="7.15234375" customWidth="1" style="71" min="14" max="14"/>
    <col width="14.15234375" customWidth="1" style="71" min="15" max="15"/>
    <col width="7.15234375" customWidth="1" style="71" min="16" max="18"/>
    <col width="7.53515625" customWidth="1" style="71" min="19" max="19"/>
    <col width="5" customWidth="1" style="71" min="20" max="20"/>
    <col width="9.4609375" customWidth="1" style="71" min="21" max="21"/>
    <col width="8.69140625" customWidth="1" style="71" min="22" max="16384"/>
  </cols>
  <sheetData>
    <row r="2">
      <c r="C2" s="62" t="inlineStr">
        <is>
          <t>Valify - UAE Valuation Services</t>
        </is>
      </c>
      <c r="D2" s="299" t="n"/>
      <c r="E2" s="299" t="n"/>
      <c r="F2" s="307" t="n"/>
      <c r="G2" s="299" t="n"/>
      <c r="H2" s="299" t="n"/>
      <c r="I2" s="299" t="n"/>
      <c r="J2" s="299" t="n"/>
      <c r="K2" s="301" t="n"/>
      <c r="L2" s="301" t="n"/>
      <c r="M2" s="301" t="n"/>
      <c r="N2" s="307" t="n"/>
      <c r="O2" s="307" t="n"/>
      <c r="P2" s="307" t="n"/>
      <c r="Q2" s="307" t="n"/>
      <c r="R2" s="307" t="n"/>
      <c r="S2" s="302" t="n"/>
      <c r="T2" s="303" t="n"/>
    </row>
    <row r="3">
      <c r="C3" s="1718">
        <f>Inputs!B3</f>
        <v/>
      </c>
      <c r="D3" s="304" t="n"/>
      <c r="E3" s="304" t="n"/>
      <c r="F3" s="307" t="n"/>
      <c r="G3" s="304" t="n"/>
      <c r="H3" s="304" t="n"/>
      <c r="I3" s="304" t="n"/>
      <c r="J3" s="304" t="n"/>
      <c r="K3" s="308" t="n"/>
      <c r="L3" s="308" t="n"/>
      <c r="M3" s="308" t="n"/>
      <c r="N3" s="307" t="n"/>
      <c r="O3" s="307" t="n"/>
      <c r="P3" s="307" t="n"/>
      <c r="Q3" s="307" t="n"/>
      <c r="R3" s="307" t="n"/>
      <c r="S3" s="310" t="n"/>
      <c r="T3" s="310" t="n"/>
    </row>
    <row r="4">
      <c r="C4" s="1718" t="inlineStr">
        <is>
          <t>Business Enterprise Valuation: Income Approach - Discounted Debt-Free Cash Flow ("DCF") Method</t>
        </is>
      </c>
      <c r="D4" s="304" t="n"/>
      <c r="E4" s="304" t="n"/>
      <c r="F4" s="307" t="n"/>
      <c r="G4" s="304" t="n"/>
      <c r="H4" s="304" t="n"/>
      <c r="I4" s="304" t="n"/>
      <c r="J4" s="304" t="n"/>
      <c r="K4" s="308" t="n"/>
      <c r="L4" s="308" t="n"/>
      <c r="M4" s="308" t="n"/>
      <c r="N4" s="307" t="n"/>
      <c r="O4" s="307" t="n"/>
      <c r="P4" s="307" t="n"/>
      <c r="Q4" s="307" t="n"/>
      <c r="R4" s="307" t="n"/>
      <c r="S4" s="503">
        <f>valuation.date.header</f>
        <v/>
      </c>
      <c r="T4" s="310" t="n"/>
    </row>
    <row r="5" ht="5" customHeight="1" thickBot="1">
      <c r="C5" s="307" t="n"/>
      <c r="D5" s="311" t="n"/>
      <c r="E5" s="311" t="n"/>
      <c r="F5" s="311" t="n"/>
      <c r="G5" s="311" t="n"/>
      <c r="H5" s="311" t="n"/>
      <c r="I5" s="311" t="n"/>
      <c r="J5" s="311" t="n"/>
      <c r="K5" s="311" t="n"/>
      <c r="L5" s="311" t="n"/>
      <c r="M5" s="311" t="n"/>
      <c r="N5" s="311" t="n"/>
      <c r="O5" s="311" t="n"/>
      <c r="P5" s="311" t="n"/>
      <c r="Q5" s="311" t="n"/>
      <c r="R5" s="311" t="n"/>
      <c r="S5" s="311" t="n"/>
      <c r="T5" s="307" t="n"/>
    </row>
    <row r="6" ht="10.5" customHeight="1" thickTop="1">
      <c r="C6" s="307" t="n"/>
      <c r="D6" s="307" t="n"/>
      <c r="E6" s="307" t="n"/>
      <c r="F6" s="307" t="n"/>
      <c r="G6" s="307" t="n"/>
      <c r="H6" s="307" t="n"/>
      <c r="I6" s="307" t="n"/>
      <c r="J6" s="307" t="n"/>
      <c r="K6" s="307" t="n"/>
      <c r="L6" s="307" t="n"/>
      <c r="M6" s="307" t="n"/>
      <c r="N6" s="307" t="n"/>
      <c r="O6" s="307" t="n"/>
      <c r="P6" s="307" t="n"/>
      <c r="Q6" s="307" t="n"/>
      <c r="R6" s="307" t="n"/>
      <c r="S6" s="307" t="n"/>
      <c r="T6" s="307" t="n"/>
    </row>
    <row r="7" ht="13" customHeight="1">
      <c r="C7" s="307" t="n"/>
      <c r="D7" s="312">
        <f>"Enterprise Valuation of "&amp;target.name</f>
        <v/>
      </c>
      <c r="E7" s="304" t="n"/>
      <c r="F7" s="304" t="n"/>
      <c r="G7" s="304" t="n"/>
      <c r="H7" s="304" t="n"/>
      <c r="I7" s="304" t="n"/>
      <c r="J7" s="304" t="n"/>
      <c r="K7" s="307" t="n"/>
      <c r="L7" s="307" t="n"/>
      <c r="M7" s="307" t="n"/>
      <c r="N7" s="307" t="n"/>
      <c r="O7" s="307" t="n"/>
      <c r="P7" s="307" t="n"/>
      <c r="Q7" s="307" t="n"/>
      <c r="R7" s="307" t="n"/>
      <c r="S7" s="307" t="n"/>
      <c r="T7" s="307" t="n"/>
    </row>
    <row r="8" ht="13" customHeight="1">
      <c r="C8" s="307" t="n"/>
      <c r="D8" s="313" t="n"/>
      <c r="E8" s="314" t="n"/>
      <c r="F8" s="314" t="n"/>
      <c r="G8" s="314" t="n"/>
      <c r="H8" s="314" t="n"/>
      <c r="I8" s="314" t="n"/>
      <c r="J8" s="314" t="n"/>
      <c r="K8" s="314" t="n"/>
      <c r="L8" s="314">
        <f>TEXT(stub.period,"0.0")&amp;" Months"</f>
        <v/>
      </c>
      <c r="M8" s="314" t="n"/>
      <c r="N8" s="314" t="n"/>
      <c r="O8" s="314" t="n"/>
      <c r="P8" s="314" t="n"/>
      <c r="Q8" s="314" t="n"/>
      <c r="R8" s="315" t="n"/>
      <c r="S8" s="307" t="n"/>
      <c r="T8" s="307" t="n"/>
    </row>
    <row r="9" ht="13" customHeight="1">
      <c r="C9" s="307" t="n"/>
      <c r="D9" s="316">
        <f t="array" ref="D9">currency.heading1</f>
        <v/>
      </c>
      <c r="E9" s="317" t="n"/>
      <c r="F9" s="317" t="n"/>
      <c r="G9" s="317" t="n"/>
      <c r="H9" s="317" t="n"/>
      <c r="I9" s="317" t="n"/>
      <c r="J9" s="317" t="n"/>
      <c r="K9" s="317" t="n"/>
      <c r="L9" s="2008">
        <f>IS!L7</f>
        <v/>
      </c>
      <c r="M9" s="2008">
        <f>IS!N7</f>
        <v/>
      </c>
      <c r="N9" s="2008">
        <f>IS!O7</f>
        <v/>
      </c>
      <c r="O9" s="2008">
        <f>IS!P7</f>
        <v/>
      </c>
      <c r="P9" s="2008">
        <f>IS!Q7</f>
        <v/>
      </c>
      <c r="Q9" s="2008">
        <f>IS!R7</f>
        <v/>
      </c>
      <c r="R9" s="319" t="inlineStr">
        <is>
          <t>Terminal year</t>
        </is>
      </c>
      <c r="S9" s="307" t="n"/>
      <c r="T9" s="307" t="n"/>
    </row>
    <row r="10" ht="13" customHeight="1">
      <c r="C10" s="307" t="n"/>
      <c r="D10" s="325" t="inlineStr">
        <is>
          <t>Earnings before interest and tax ("EBIT")</t>
        </is>
      </c>
      <c r="E10" s="326" t="n"/>
      <c r="F10" s="326" t="n"/>
      <c r="G10" s="326" t="n"/>
      <c r="H10" s="326" t="n"/>
      <c r="I10" s="326" t="n"/>
      <c r="J10" s="326" t="n"/>
      <c r="K10" s="307" t="n"/>
      <c r="L10" s="2009">
        <f>IS!L57</f>
        <v/>
      </c>
      <c r="M10" s="2010">
        <f>IS!N57</f>
        <v/>
      </c>
      <c r="N10" s="2009">
        <f>IS!N57</f>
        <v/>
      </c>
      <c r="O10" s="2009">
        <f>IS!O57</f>
        <v/>
      </c>
      <c r="P10" s="2009">
        <f>IS!P57</f>
        <v/>
      </c>
      <c r="Q10" s="2009">
        <f>IS!Q57</f>
        <v/>
      </c>
      <c r="R10" s="2011">
        <f>Q10*(1+long.term.growth)</f>
        <v/>
      </c>
      <c r="S10" s="1749" t="n"/>
      <c r="T10" s="2012" t="n"/>
    </row>
    <row r="11" ht="13" customHeight="1">
      <c r="C11" s="307" t="n"/>
      <c r="D11" s="327" t="inlineStr">
        <is>
          <t>Tax Expense</t>
        </is>
      </c>
      <c r="E11" s="307" t="n"/>
      <c r="F11" s="307" t="n"/>
      <c r="G11" s="307" t="n"/>
      <c r="H11" s="307" t="n"/>
      <c r="I11" s="307" t="n"/>
      <c r="J11" s="307" t="n"/>
      <c r="K11" s="307" t="n"/>
      <c r="L11" s="2013">
        <f>IS!L62</f>
        <v/>
      </c>
      <c r="M11" s="2014">
        <f>IS!N62</f>
        <v/>
      </c>
      <c r="N11" s="2013">
        <f>IS!O62</f>
        <v/>
      </c>
      <c r="O11" s="2013">
        <f>IS!P62</f>
        <v/>
      </c>
      <c r="P11" s="2013">
        <f>IS!Q62</f>
        <v/>
      </c>
      <c r="Q11" s="2013">
        <f>IS!R62</f>
        <v/>
      </c>
      <c r="R11" s="2015">
        <f>(Q11/Q10)*R10</f>
        <v/>
      </c>
      <c r="S11" s="307" t="n"/>
      <c r="T11" s="307" t="n"/>
    </row>
    <row r="12" ht="13" customHeight="1">
      <c r="C12" s="307" t="n"/>
      <c r="D12" s="320" t="inlineStr">
        <is>
          <t>Net operating profit after tax ("NOPAT")</t>
        </is>
      </c>
      <c r="E12" s="321" t="n"/>
      <c r="F12" s="321" t="n"/>
      <c r="G12" s="321" t="n"/>
      <c r="H12" s="321" t="n"/>
      <c r="I12" s="321" t="n"/>
      <c r="J12" s="321" t="n"/>
      <c r="K12" s="322" t="n"/>
      <c r="L12" s="2009">
        <f>SUM(L10,L11)</f>
        <v/>
      </c>
      <c r="M12" s="2009">
        <f>SUM(M10,M11)</f>
        <v/>
      </c>
      <c r="N12" s="2009">
        <f>SUM(N10,N11)</f>
        <v/>
      </c>
      <c r="O12" s="2009">
        <f>SUM(O10,O11)</f>
        <v/>
      </c>
      <c r="P12" s="2009">
        <f>SUM(P10,P11)</f>
        <v/>
      </c>
      <c r="Q12" s="2009">
        <f>SUM(Q10,Q11)</f>
        <v/>
      </c>
      <c r="R12" s="2011">
        <f>SUM(R10,R11)</f>
        <v/>
      </c>
      <c r="S12" s="307" t="n"/>
      <c r="T12" s="307" t="n"/>
    </row>
    <row r="13" ht="13" customHeight="1">
      <c r="C13" s="307" t="n"/>
      <c r="D13" s="327" t="inlineStr">
        <is>
          <t xml:space="preserve">Add: Depreciation </t>
        </is>
      </c>
      <c r="E13" s="307" t="n"/>
      <c r="F13" s="307" t="n"/>
      <c r="G13" s="307" t="n"/>
      <c r="H13" s="307" t="n"/>
      <c r="I13" s="307" t="n"/>
      <c r="J13" s="307" t="n"/>
      <c r="K13" s="307" t="n"/>
      <c r="L13" s="2013">
        <f>-IS!L56</f>
        <v/>
      </c>
      <c r="M13" s="2014">
        <f>-IS!N56</f>
        <v/>
      </c>
      <c r="N13" s="2013">
        <f>-IS!O56</f>
        <v/>
      </c>
      <c r="O13" s="2013">
        <f>-IS!P56</f>
        <v/>
      </c>
      <c r="P13" s="2013">
        <f>-IS!Q56</f>
        <v/>
      </c>
      <c r="Q13" s="2013">
        <f>-IS!R56</f>
        <v/>
      </c>
      <c r="R13" s="2015">
        <f>Q13*long.term.growth</f>
        <v/>
      </c>
      <c r="S13" s="307" t="n"/>
      <c r="T13" s="307" t="n"/>
    </row>
    <row r="14" ht="13" customHeight="1">
      <c r="C14" s="307" t="n"/>
      <c r="D14" s="327" t="inlineStr">
        <is>
          <t>Less: Capex</t>
        </is>
      </c>
      <c r="E14" s="307" t="n"/>
      <c r="F14" s="307" t="n"/>
      <c r="G14" s="307" t="n"/>
      <c r="H14" s="307" t="n"/>
      <c r="I14" s="307" t="n"/>
      <c r="J14" s="307" t="n"/>
      <c r="K14" s="307" t="n"/>
      <c r="L14" s="2013">
        <f>-BS_Calc!L61</f>
        <v/>
      </c>
      <c r="M14" s="2014">
        <f>-BS_Calc!N61</f>
        <v/>
      </c>
      <c r="N14" s="2013">
        <f>-BS_Calc!O61</f>
        <v/>
      </c>
      <c r="O14" s="2013">
        <f>-BS_Calc!P61</f>
        <v/>
      </c>
      <c r="P14" s="2013">
        <f>-BS_Calc!Q61</f>
        <v/>
      </c>
      <c r="Q14" s="2013">
        <f>-BS_Calc!R61</f>
        <v/>
      </c>
      <c r="R14" s="2015">
        <f>-R13</f>
        <v/>
      </c>
      <c r="S14" s="307" t="n"/>
      <c r="T14" s="307" t="n"/>
    </row>
    <row r="15" ht="13" customHeight="1">
      <c r="C15" s="307" t="n"/>
      <c r="D15" s="1478" t="inlineStr">
        <is>
          <t xml:space="preserve">Less: Change in net working capital </t>
        </is>
      </c>
      <c r="E15" s="334" t="n"/>
      <c r="F15" s="334" t="n"/>
      <c r="G15" s="334" t="n"/>
      <c r="H15" s="334" t="n"/>
      <c r="I15" s="334" t="n"/>
      <c r="J15" s="334" t="n"/>
      <c r="K15" s="2016" t="n"/>
      <c r="L15" s="2017">
        <f>-BS_Calc!M33</f>
        <v/>
      </c>
      <c r="M15" s="2018">
        <f>-BS_Calc!N33</f>
        <v/>
      </c>
      <c r="N15" s="2017">
        <f>-BS_Calc!O33</f>
        <v/>
      </c>
      <c r="O15" s="2017">
        <f>-BS_Calc!P33</f>
        <v/>
      </c>
      <c r="P15" s="2017">
        <f>-BS_Calc!Q33</f>
        <v/>
      </c>
      <c r="Q15" s="2017">
        <f>-BS_Calc!R33</f>
        <v/>
      </c>
      <c r="R15" s="2019">
        <f>-BS_Calc!R32*long.term.growth</f>
        <v/>
      </c>
      <c r="S15" s="307" t="n"/>
      <c r="T15" s="307" t="n"/>
    </row>
    <row r="16" ht="13" customHeight="1">
      <c r="C16" s="307" t="n"/>
      <c r="D16" s="332" t="inlineStr">
        <is>
          <t>Free cash flow to the firm ("FCFF")</t>
        </is>
      </c>
      <c r="E16" s="333" t="n"/>
      <c r="F16" s="333" t="n"/>
      <c r="G16" s="333" t="n"/>
      <c r="H16" s="333" t="n"/>
      <c r="I16" s="333" t="n"/>
      <c r="J16" s="333" t="n"/>
      <c r="K16" s="334" t="n"/>
      <c r="L16" s="2020">
        <f>SUM(L12:L15)</f>
        <v/>
      </c>
      <c r="M16" s="2020">
        <f>SUM(M12:M15)</f>
        <v/>
      </c>
      <c r="N16" s="2020">
        <f>SUM(N12:N15)</f>
        <v/>
      </c>
      <c r="O16" s="2020">
        <f>SUM(O12:O15)</f>
        <v/>
      </c>
      <c r="P16" s="2020">
        <f>SUM(P12:P15)</f>
        <v/>
      </c>
      <c r="Q16" s="2020">
        <f>SUM(Q12:Q15)</f>
        <v/>
      </c>
      <c r="R16" s="2021">
        <f>SUM(R12:R15)</f>
        <v/>
      </c>
      <c r="S16" s="307" t="n"/>
      <c r="T16" s="307" t="n"/>
    </row>
    <row r="17" ht="13" customHeight="1">
      <c r="C17" s="307" t="n"/>
      <c r="D17" s="327" t="n"/>
      <c r="E17" s="307" t="n"/>
      <c r="F17" s="307" t="n"/>
      <c r="G17" s="307" t="n"/>
      <c r="H17" s="307" t="n"/>
      <c r="I17" s="307" t="n"/>
      <c r="J17" s="307" t="n"/>
      <c r="K17" s="307" t="n"/>
      <c r="L17" s="2012" t="n"/>
      <c r="M17" s="2012" t="n"/>
      <c r="N17" s="2012" t="n"/>
      <c r="O17" s="2012" t="n"/>
      <c r="P17" s="2012" t="n"/>
      <c r="Q17" s="2012" t="n"/>
      <c r="R17" s="2022" t="n"/>
      <c r="S17" s="307" t="n"/>
      <c r="T17" s="307" t="n"/>
    </row>
    <row r="18" ht="13" customHeight="1">
      <c r="C18" s="307" t="n"/>
      <c r="D18" s="327" t="inlineStr">
        <is>
          <t>Discount period</t>
        </is>
      </c>
      <c r="E18" s="307" t="n"/>
      <c r="F18" s="307" t="n"/>
      <c r="G18" s="307" t="n"/>
      <c r="H18" s="307" t="n"/>
      <c r="I18" s="307" t="n"/>
      <c r="J18" s="307" t="n"/>
      <c r="K18" s="307" t="n"/>
      <c r="L18" s="2023">
        <f>(stub.period/2)/12</f>
        <v/>
      </c>
      <c r="M18" s="2023">
        <f>(12-stub.period)/12</f>
        <v/>
      </c>
      <c r="N18" s="2023">
        <f>M18+1</f>
        <v/>
      </c>
      <c r="O18" s="2023">
        <f>N18+1</f>
        <v/>
      </c>
      <c r="P18" s="2023">
        <f>O18+1</f>
        <v/>
      </c>
      <c r="Q18" s="2023">
        <f>P18+1</f>
        <v/>
      </c>
      <c r="R18" s="2022" t="n"/>
      <c r="S18" s="307" t="n"/>
      <c r="T18" s="307" t="n"/>
    </row>
    <row r="19" ht="13" customHeight="1">
      <c r="C19" s="307" t="n"/>
      <c r="D19" s="327" t="inlineStr">
        <is>
          <t>Present value factor (High)</t>
        </is>
      </c>
      <c r="E19" s="307" t="n"/>
      <c r="F19" s="307" t="n"/>
      <c r="G19" s="307" t="n"/>
      <c r="H19" s="307" t="n"/>
      <c r="I19" s="307" t="n"/>
      <c r="J19" s="307" t="n"/>
      <c r="K19" s="2024">
        <f>Inputs!E253</f>
        <v/>
      </c>
      <c r="L19" s="2023">
        <f>1/(1+$K$19)^L18</f>
        <v/>
      </c>
      <c r="M19" s="2023">
        <f>1/(1+$K$19)^M18</f>
        <v/>
      </c>
      <c r="N19" s="2023">
        <f>1/(1+$K$19)^N18</f>
        <v/>
      </c>
      <c r="O19" s="2023">
        <f>1/(1+$K$19)^O18</f>
        <v/>
      </c>
      <c r="P19" s="2023">
        <f>1/(1+$K$19)^P18</f>
        <v/>
      </c>
      <c r="Q19" s="2023">
        <f>1/(1+$K$19)^Q18</f>
        <v/>
      </c>
      <c r="R19" s="2022" t="n"/>
      <c r="S19" s="307" t="n"/>
      <c r="T19" s="307" t="n"/>
    </row>
    <row r="20" ht="13" customHeight="1">
      <c r="C20" s="307" t="n"/>
      <c r="D20" s="327" t="inlineStr">
        <is>
          <t>Present value factor (Low)</t>
        </is>
      </c>
      <c r="E20" s="307" t="n"/>
      <c r="F20" s="307" t="n"/>
      <c r="G20" s="307" t="n"/>
      <c r="H20" s="307" t="n"/>
      <c r="I20" s="307" t="n"/>
      <c r="J20" s="307" t="n"/>
      <c r="K20" s="2025">
        <f>Inputs!E251</f>
        <v/>
      </c>
      <c r="L20" s="2023">
        <f>1/(1+$K$20)^L18</f>
        <v/>
      </c>
      <c r="M20" s="2023">
        <f>1/(1+$K$20)^M18</f>
        <v/>
      </c>
      <c r="N20" s="2023">
        <f>1/(1+$K$20)^N18</f>
        <v/>
      </c>
      <c r="O20" s="2023">
        <f>1/(1+$K$20)^O18</f>
        <v/>
      </c>
      <c r="P20" s="2023">
        <f>1/(1+$K$20)^P18</f>
        <v/>
      </c>
      <c r="Q20" s="2023">
        <f>1/(1+$K$20)^Q18</f>
        <v/>
      </c>
      <c r="R20" s="2022" t="n"/>
      <c r="S20" s="307" t="n"/>
      <c r="T20" s="307" t="n"/>
    </row>
    <row r="21" ht="13" customHeight="1">
      <c r="C21" s="307" t="n"/>
      <c r="D21" s="354" t="inlineStr">
        <is>
          <t>Present value of FCFF (High)</t>
        </is>
      </c>
      <c r="E21" s="355" t="n"/>
      <c r="F21" s="355" t="n"/>
      <c r="G21" s="355" t="n"/>
      <c r="H21" s="355" t="n"/>
      <c r="I21" s="355" t="n"/>
      <c r="J21" s="355" t="n"/>
      <c r="K21" s="355" t="n"/>
      <c r="L21" s="2010">
        <f>L$16*L$18*L19</f>
        <v/>
      </c>
      <c r="M21" s="2010">
        <f>M$16*M$18*M19</f>
        <v/>
      </c>
      <c r="N21" s="2010">
        <f>N$16*N$18*N19</f>
        <v/>
      </c>
      <c r="O21" s="2010">
        <f>O$16*O$18*O19</f>
        <v/>
      </c>
      <c r="P21" s="2010">
        <f>P$16*P$18*P19</f>
        <v/>
      </c>
      <c r="Q21" s="2010">
        <f>Q$16*Q$18*Q19</f>
        <v/>
      </c>
      <c r="R21" s="2026" t="n"/>
      <c r="S21" s="307" t="n"/>
      <c r="T21" s="307" t="n"/>
    </row>
    <row r="22" ht="13" customHeight="1">
      <c r="C22" s="307" t="n"/>
      <c r="D22" s="1483" t="inlineStr">
        <is>
          <t>Present value of FCFF (Low)</t>
        </is>
      </c>
      <c r="E22" s="1484" t="n"/>
      <c r="F22" s="1484" t="n"/>
      <c r="G22" s="1484" t="n"/>
      <c r="H22" s="1484" t="n"/>
      <c r="I22" s="1484" t="n"/>
      <c r="J22" s="1484" t="n"/>
      <c r="K22" s="1484" t="n"/>
      <c r="L22" s="2027">
        <f>L$16*L$18*L20</f>
        <v/>
      </c>
      <c r="M22" s="2027">
        <f>M$16*M$18*M20</f>
        <v/>
      </c>
      <c r="N22" s="2027">
        <f>N$16*N$18*N20</f>
        <v/>
      </c>
      <c r="O22" s="2027">
        <f>O$16*O$18*O20</f>
        <v/>
      </c>
      <c r="P22" s="2027">
        <f>P$16*P$18*P20</f>
        <v/>
      </c>
      <c r="Q22" s="2027">
        <f>Q$16*Q$18*Q20</f>
        <v/>
      </c>
      <c r="R22" s="2028" t="n"/>
      <c r="S22" s="307" t="n"/>
      <c r="T22" s="307" t="n"/>
    </row>
    <row r="23" ht="13" customHeight="1">
      <c r="C23" s="307" t="n"/>
      <c r="D23" s="307" t="n"/>
      <c r="E23" s="307" t="n"/>
      <c r="F23" s="307" t="n"/>
      <c r="G23" s="307" t="n"/>
      <c r="H23" s="307" t="n"/>
      <c r="I23" s="307" t="n"/>
      <c r="J23" s="307" t="n"/>
      <c r="K23" s="307" t="n"/>
      <c r="L23" s="307" t="n"/>
      <c r="M23" s="307" t="n"/>
      <c r="N23" s="307" t="n"/>
      <c r="O23" s="307" t="n"/>
      <c r="P23" s="307" t="n"/>
      <c r="Q23" s="307" t="n"/>
      <c r="R23" s="307" t="n"/>
      <c r="S23" s="307" t="n"/>
      <c r="T23" s="307" t="n"/>
    </row>
    <row r="24" ht="13" customHeight="1">
      <c r="C24" s="307" t="n"/>
      <c r="D24" s="342" t="n"/>
      <c r="E24" s="343" t="n"/>
      <c r="F24" s="343" t="n"/>
      <c r="G24" s="343" t="n"/>
      <c r="H24" s="343" t="n"/>
      <c r="I24" s="343" t="n"/>
      <c r="J24" s="343" t="n"/>
      <c r="K24" s="343" t="n"/>
      <c r="L24" s="344" t="inlineStr">
        <is>
          <t>Low</t>
        </is>
      </c>
      <c r="M24" s="345" t="inlineStr">
        <is>
          <t>High</t>
        </is>
      </c>
      <c r="N24" s="307" t="n"/>
      <c r="O24" s="307" t="n"/>
      <c r="P24" s="307" t="n"/>
      <c r="Q24" s="307" t="n"/>
      <c r="R24" s="307" t="n"/>
      <c r="S24" s="307" t="n"/>
      <c r="T24" s="307" t="n"/>
    </row>
    <row r="25" ht="13" customHeight="1">
      <c r="C25" s="307" t="n"/>
      <c r="D25" s="346" t="inlineStr">
        <is>
          <t>Present value of explicit cash flows</t>
        </is>
      </c>
      <c r="E25" s="347" t="n"/>
      <c r="F25" s="347" t="n"/>
      <c r="G25" s="347" t="n"/>
      <c r="H25" s="347" t="n"/>
      <c r="I25" s="347" t="n"/>
      <c r="J25" s="347" t="n"/>
      <c r="K25" s="348" t="n"/>
      <c r="L25" s="2029">
        <f>SUM(L22:Q22)</f>
        <v/>
      </c>
      <c r="M25" s="2030">
        <f>SUM(L21:Q21)</f>
        <v/>
      </c>
      <c r="N25" s="307" t="n"/>
      <c r="O25" s="307" t="n"/>
      <c r="P25" s="307" t="n"/>
      <c r="Q25" s="307" t="n"/>
      <c r="R25" s="307" t="n"/>
      <c r="S25" s="307" t="n"/>
      <c r="T25" s="307" t="n"/>
    </row>
    <row r="26" ht="13" customHeight="1">
      <c r="C26" s="307" t="n"/>
      <c r="D26" s="327" t="n"/>
      <c r="E26" s="307" t="n"/>
      <c r="F26" s="307" t="n"/>
      <c r="G26" s="307" t="n"/>
      <c r="H26" s="307" t="n"/>
      <c r="I26" s="307" t="n"/>
      <c r="J26" s="307" t="n"/>
      <c r="K26" s="307" t="n"/>
      <c r="L26" s="307" t="n"/>
      <c r="M26" s="328" t="n"/>
      <c r="N26" s="307" t="n"/>
      <c r="O26" s="307" t="n"/>
      <c r="P26" s="307" t="n"/>
      <c r="Q26" s="307" t="n"/>
      <c r="R26" s="307" t="n"/>
      <c r="S26" s="307" t="n"/>
      <c r="T26" s="307" t="n"/>
    </row>
    <row r="27" ht="13" customHeight="1">
      <c r="C27" s="307" t="n"/>
      <c r="D27" s="327" t="inlineStr">
        <is>
          <t>Terminal growth rate</t>
        </is>
      </c>
      <c r="E27" s="307" t="n"/>
      <c r="F27" s="307" t="n"/>
      <c r="G27" s="307" t="n"/>
      <c r="H27" s="307" t="n"/>
      <c r="I27" s="307" t="n"/>
      <c r="J27" s="307" t="n"/>
      <c r="K27" s="307" t="n"/>
      <c r="L27" s="2031">
        <f>long.term.growth</f>
        <v/>
      </c>
      <c r="M27" s="2032">
        <f>long.term.growth</f>
        <v/>
      </c>
      <c r="N27" s="307" t="n"/>
      <c r="S27" s="307" t="n"/>
      <c r="T27" s="307" t="n"/>
    </row>
    <row r="28" ht="13" customHeight="1">
      <c r="C28" s="307" t="n"/>
      <c r="D28" s="327" t="inlineStr">
        <is>
          <t>Residual value at Terminal Year</t>
        </is>
      </c>
      <c r="E28" s="307" t="n"/>
      <c r="F28" s="307" t="n"/>
      <c r="G28" s="307" t="n"/>
      <c r="H28" s="307" t="n"/>
      <c r="I28" s="307" t="n"/>
      <c r="J28" s="307" t="n"/>
      <c r="K28" s="307" t="n"/>
      <c r="L28" s="2013">
        <f>$R$16/(K20-L27)</f>
        <v/>
      </c>
      <c r="M28" s="2015">
        <f>$R$16/(K19-M27)</f>
        <v/>
      </c>
      <c r="N28" s="307" t="n"/>
      <c r="O28" s="1756" t="inlineStr">
        <is>
          <t>EV - Currency conversion</t>
        </is>
      </c>
      <c r="P28" s="1757" t="n"/>
      <c r="Q28" s="1757" t="n"/>
      <c r="R28" s="1758" t="n"/>
      <c r="S28" s="307" t="n"/>
      <c r="T28" s="307" t="n"/>
    </row>
    <row r="29" ht="13" customHeight="1">
      <c r="C29" s="307" t="n"/>
      <c r="D29" s="327" t="inlineStr">
        <is>
          <t>Present value factor</t>
        </is>
      </c>
      <c r="E29" s="307" t="n"/>
      <c r="F29" s="307" t="n"/>
      <c r="G29" s="307" t="n"/>
      <c r="H29" s="307" t="n"/>
      <c r="I29" s="307" t="n"/>
      <c r="J29" s="307" t="n"/>
      <c r="K29" s="307" t="n"/>
      <c r="L29" s="2023">
        <f>Q20</f>
        <v/>
      </c>
      <c r="M29" s="2033">
        <f>Q19</f>
        <v/>
      </c>
      <c r="N29" s="307" t="n"/>
      <c r="O29" s="1249" t="inlineStr">
        <is>
          <t>Base Currency</t>
        </is>
      </c>
      <c r="P29" s="359" t="n"/>
      <c r="Q29" s="360">
        <f>currency.type</f>
        <v/>
      </c>
      <c r="R29" s="2034">
        <f>_xlfn.XLOOKUP(Q29,Inputs!$C$265:$C$271,Inputs!$E$265:$E$271)</f>
        <v/>
      </c>
      <c r="S29" s="307" t="n"/>
      <c r="T29" s="307" t="n"/>
    </row>
    <row r="30" ht="13" customHeight="1">
      <c r="C30" s="307" t="n"/>
      <c r="D30" s="346" t="inlineStr">
        <is>
          <t xml:space="preserve">Terminal value </t>
        </is>
      </c>
      <c r="E30" s="347" t="n"/>
      <c r="F30" s="347" t="n"/>
      <c r="G30" s="347" t="n"/>
      <c r="H30" s="347" t="n"/>
      <c r="I30" s="347" t="n"/>
      <c r="J30" s="347" t="n"/>
      <c r="K30" s="347" t="n"/>
      <c r="L30" s="2035">
        <f>SUM(L28*L29)</f>
        <v/>
      </c>
      <c r="M30" s="2036">
        <f>SUM(M28*M29)</f>
        <v/>
      </c>
      <c r="N30" s="307" t="n"/>
      <c r="O30" s="1755" t="inlineStr">
        <is>
          <t>Price Currency</t>
        </is>
      </c>
      <c r="P30" s="363" t="n"/>
      <c r="Q30" s="364" t="inlineStr">
        <is>
          <t>AED</t>
        </is>
      </c>
      <c r="R30" s="2037">
        <f>_xlfn.XLOOKUP(Q30,Inputs!$C$265:$C$271,Inputs!$E$265:$E$271)</f>
        <v/>
      </c>
      <c r="S30" s="307" t="n"/>
      <c r="T30" s="307" t="n"/>
    </row>
    <row r="31" ht="13" customHeight="1">
      <c r="C31" s="307" t="n"/>
      <c r="D31" s="354" t="inlineStr">
        <is>
          <t xml:space="preserve">Indicated Enterprise Value from Operations </t>
        </is>
      </c>
      <c r="E31" s="355" t="n"/>
      <c r="F31" s="355" t="n"/>
      <c r="G31" s="355" t="n"/>
      <c r="H31" s="355" t="n"/>
      <c r="I31" s="355" t="n"/>
      <c r="J31" s="355" t="n"/>
      <c r="K31" s="356">
        <f>currency.heading1</f>
        <v/>
      </c>
      <c r="L31" s="2010">
        <f>SUM(L25,L30)</f>
        <v/>
      </c>
      <c r="M31" s="2038">
        <f>SUM(M25,M30)</f>
        <v/>
      </c>
      <c r="N31" s="307" t="n"/>
      <c r="O31" s="1759" t="inlineStr">
        <is>
          <t>EV - Unit conversion</t>
        </is>
      </c>
      <c r="P31" s="1760" t="n"/>
      <c r="Q31" s="1760" t="n"/>
      <c r="R31" s="1761" t="n"/>
      <c r="S31" s="307" t="n"/>
      <c r="T31" s="307" t="n"/>
    </row>
    <row r="32" ht="13" customHeight="1">
      <c r="C32" s="307" t="n"/>
      <c r="D32" s="346" t="inlineStr">
        <is>
          <t xml:space="preserve">Indicated Enterprise Value from Operations </t>
        </is>
      </c>
      <c r="E32" s="348" t="n"/>
      <c r="F32" s="348" t="n"/>
      <c r="G32" s="348" t="n"/>
      <c r="H32" s="348" t="n"/>
      <c r="I32" s="348" t="n"/>
      <c r="J32" s="348" t="n"/>
      <c r="K32" s="362">
        <f>Q30&amp;" "&amp;P32</f>
        <v/>
      </c>
      <c r="L32" s="2029">
        <f>L31*$R$30*curr.unit.conversion</f>
        <v/>
      </c>
      <c r="M32" s="2030">
        <f>M31*$R$30*curr.unit.conversion</f>
        <v/>
      </c>
      <c r="N32" s="307" t="n"/>
      <c r="O32" s="1725">
        <f>currency.denomination</f>
        <v/>
      </c>
      <c r="P32" s="348">
        <f>IF(O32="Units","000s",IF(O32="000s","million",IF(O32="million",O32)))</f>
        <v/>
      </c>
      <c r="Q32" s="348">
        <f>IF(O32="million",0,1/1000)</f>
        <v/>
      </c>
      <c r="R32" s="1723" t="n"/>
      <c r="S32" s="307" t="n"/>
      <c r="T32" s="307" t="n"/>
    </row>
    <row r="33" ht="13" customHeight="1">
      <c r="C33" s="307" t="n"/>
      <c r="D33" s="366" t="n"/>
      <c r="E33" s="307" t="n"/>
      <c r="F33" s="307" t="n"/>
      <c r="G33" s="307" t="n"/>
      <c r="H33" s="307" t="n"/>
      <c r="I33" s="307" t="n"/>
      <c r="J33" s="307" t="n"/>
      <c r="K33" s="307" t="n"/>
      <c r="L33" s="307" t="n"/>
      <c r="M33" s="307" t="n"/>
      <c r="N33" s="307" t="n"/>
      <c r="S33" s="307" t="n"/>
      <c r="T33" s="307" t="n"/>
    </row>
    <row r="34" ht="13" customHeight="1">
      <c r="C34" s="307" t="n"/>
      <c r="D34" s="313" t="inlineStr">
        <is>
          <t>Equity value calculation</t>
        </is>
      </c>
      <c r="E34" s="343" t="n"/>
      <c r="F34" s="343" t="n"/>
      <c r="G34" s="343" t="n"/>
      <c r="H34" s="343" t="n"/>
      <c r="I34" s="343" t="n"/>
      <c r="J34" s="343" t="n"/>
      <c r="K34" s="343" t="n"/>
      <c r="L34" s="344" t="inlineStr">
        <is>
          <t>Low</t>
        </is>
      </c>
      <c r="M34" s="345" t="inlineStr">
        <is>
          <t>High</t>
        </is>
      </c>
      <c r="N34" s="307" t="n"/>
      <c r="S34" s="307" t="n"/>
      <c r="T34" s="307" t="n"/>
    </row>
    <row r="35" ht="13" customHeight="1">
      <c r="C35" s="307" t="n"/>
      <c r="D35" s="367" t="inlineStr">
        <is>
          <t xml:space="preserve">Indicated Enterprise Value from Operations </t>
        </is>
      </c>
      <c r="E35" s="307" t="n"/>
      <c r="F35" s="307" t="n"/>
      <c r="G35" s="307" t="n"/>
      <c r="H35" s="307" t="n"/>
      <c r="I35" s="307" t="n"/>
      <c r="J35" s="307" t="n"/>
      <c r="K35" s="1722">
        <f>currency.heading1</f>
        <v/>
      </c>
      <c r="L35" s="2039">
        <f>L31</f>
        <v/>
      </c>
      <c r="M35" s="2040">
        <f>M31</f>
        <v/>
      </c>
      <c r="N35" s="307" t="n"/>
      <c r="T35" s="307" t="n"/>
    </row>
    <row r="36" ht="13" customHeight="1">
      <c r="C36" s="307" t="n"/>
      <c r="D36" s="367" t="inlineStr">
        <is>
          <t>Add: Cash</t>
        </is>
      </c>
      <c r="E36" s="307" t="n"/>
      <c r="F36" s="307" t="n"/>
      <c r="G36" s="307" t="n"/>
      <c r="H36" s="307" t="n"/>
      <c r="I36" s="307" t="n"/>
      <c r="J36" s="307" t="n"/>
      <c r="K36" s="1722">
        <f>currency.heading1</f>
        <v/>
      </c>
      <c r="L36" s="2041">
        <f>Inputs!E257</f>
        <v/>
      </c>
      <c r="M36" s="2042">
        <f>L36</f>
        <v/>
      </c>
      <c r="N36" s="307" t="n"/>
      <c r="T36" s="307" t="n"/>
    </row>
    <row r="37" ht="13" customHeight="1">
      <c r="C37" s="307" t="n"/>
      <c r="D37" s="367" t="inlineStr">
        <is>
          <t>Less: Net Debt</t>
        </is>
      </c>
      <c r="E37" s="307" t="n"/>
      <c r="F37" s="307" t="n"/>
      <c r="G37" s="307" t="n"/>
      <c r="H37" s="307" t="n"/>
      <c r="I37" s="307" t="n"/>
      <c r="J37" s="307" t="n"/>
      <c r="K37" s="1722">
        <f>currency.heading1</f>
        <v/>
      </c>
      <c r="L37" s="2041">
        <f>-Inputs!E258</f>
        <v/>
      </c>
      <c r="M37" s="2042">
        <f>L37</f>
        <v/>
      </c>
      <c r="N37" s="307" t="n"/>
      <c r="T37" s="307" t="n"/>
    </row>
    <row r="38" ht="13" customHeight="1">
      <c r="C38" s="307" t="n"/>
      <c r="D38" s="346" t="inlineStr">
        <is>
          <t>Indicated Equity Value</t>
        </is>
      </c>
      <c r="E38" s="347" t="n"/>
      <c r="F38" s="347" t="n"/>
      <c r="G38" s="347" t="n"/>
      <c r="H38" s="347" t="n"/>
      <c r="I38" s="347" t="n"/>
      <c r="J38" s="347" t="n"/>
      <c r="K38" s="362">
        <f>currency.heading1</f>
        <v/>
      </c>
      <c r="L38" s="2043">
        <f>SUM(L35:L37)</f>
        <v/>
      </c>
      <c r="M38" s="2044">
        <f>SUM(M35:M37)</f>
        <v/>
      </c>
      <c r="N38" s="307" t="n"/>
      <c r="T38" s="307" t="n"/>
    </row>
    <row r="39" ht="13" customHeight="1">
      <c r="C39" s="307" t="n"/>
      <c r="D39" s="307" t="n"/>
      <c r="E39" s="307" t="n"/>
      <c r="F39" s="307" t="n"/>
      <c r="G39" s="307" t="n"/>
      <c r="H39" s="307" t="n"/>
      <c r="I39" s="307" t="n"/>
      <c r="J39" s="307" t="n"/>
      <c r="K39" s="307" t="n"/>
      <c r="L39" s="307" t="n"/>
      <c r="M39" s="307" t="n"/>
      <c r="N39" s="307" t="n"/>
      <c r="T39" s="307" t="n"/>
    </row>
    <row r="40" ht="13" customHeight="1">
      <c r="C40" s="307" t="n"/>
      <c r="D40" s="1726" t="inlineStr">
        <is>
          <t>Implied Enterprise Value from Operations Multiples:</t>
        </is>
      </c>
      <c r="E40" s="1727" t="n"/>
      <c r="F40" s="1727" t="n"/>
      <c r="G40" s="1727" t="n"/>
      <c r="H40" s="1727" t="n"/>
      <c r="I40" s="1727" t="n"/>
      <c r="J40" s="1727" t="n"/>
      <c r="K40" s="314" t="inlineStr">
        <is>
          <t>Low</t>
        </is>
      </c>
      <c r="L40" s="314" t="inlineStr">
        <is>
          <t>High</t>
        </is>
      </c>
      <c r="M40" s="1728" t="inlineStr">
        <is>
          <t>High</t>
        </is>
      </c>
      <c r="N40" s="1739" t="n"/>
      <c r="O40" s="1739" t="n"/>
      <c r="P40" s="1739" t="n"/>
      <c r="Q40" s="1739" t="n"/>
      <c r="R40" s="307" t="n"/>
      <c r="S40" s="307" t="n"/>
      <c r="T40" s="307" t="n"/>
    </row>
    <row r="41" ht="13" customHeight="1">
      <c r="C41" s="307" t="n"/>
      <c r="D41" s="1212" t="inlineStr">
        <is>
          <t>Current Year EBITDA</t>
        </is>
      </c>
      <c r="E41" s="432" t="n"/>
      <c r="F41" s="432" t="n"/>
      <c r="G41" s="432" t="n"/>
      <c r="H41" s="432" t="n"/>
      <c r="I41" s="432" t="n"/>
      <c r="J41" s="432" t="n"/>
      <c r="K41" s="1923">
        <f>IS!M54</f>
        <v/>
      </c>
      <c r="L41" s="1923">
        <f>K41</f>
        <v/>
      </c>
      <c r="M41" s="1976">
        <f>K41</f>
        <v/>
      </c>
      <c r="N41" s="1739" t="n"/>
      <c r="O41" s="1739" t="n"/>
      <c r="P41" s="1739" t="n"/>
      <c r="Q41" s="1739" t="n"/>
      <c r="R41" s="307" t="n"/>
      <c r="S41" s="307" t="n"/>
      <c r="T41" s="307" t="n"/>
    </row>
    <row r="42" ht="13" customHeight="1">
      <c r="C42" s="307" t="n"/>
      <c r="D42" s="1212" t="inlineStr">
        <is>
          <t>Current Year Revenue</t>
        </is>
      </c>
      <c r="E42" s="432" t="n"/>
      <c r="F42" s="432" t="n"/>
      <c r="G42" s="432" t="n"/>
      <c r="H42" s="432" t="n"/>
      <c r="I42" s="432" t="n"/>
      <c r="J42" s="432" t="n"/>
      <c r="K42" s="1923">
        <f>IS!M23</f>
        <v/>
      </c>
      <c r="L42" s="1923">
        <f>K42</f>
        <v/>
      </c>
      <c r="M42" s="1976">
        <f>K42</f>
        <v/>
      </c>
      <c r="N42" s="1739" t="n"/>
      <c r="O42" s="1739" t="n"/>
      <c r="P42" s="1739" t="n"/>
      <c r="Q42" s="1739" t="n"/>
      <c r="R42" s="307" t="n"/>
      <c r="S42" s="307" t="n"/>
      <c r="T42" s="307" t="n"/>
    </row>
    <row r="43" ht="13" customHeight="1">
      <c r="C43" s="307" t="n"/>
      <c r="D43" s="1226" t="inlineStr">
        <is>
          <t>Implied EBITDA Multiple (Year 1)</t>
        </is>
      </c>
      <c r="E43" s="247" t="n"/>
      <c r="F43" s="247" t="n"/>
      <c r="G43" s="247" t="n"/>
      <c r="H43" s="247" t="n"/>
      <c r="I43" s="247" t="n"/>
      <c r="J43" s="247" t="n"/>
      <c r="K43" s="2045">
        <f>L31/K41</f>
        <v/>
      </c>
      <c r="L43" s="2045">
        <f>AVERAGE(K43,M43)</f>
        <v/>
      </c>
      <c r="M43" s="2046">
        <f>M31/M41</f>
        <v/>
      </c>
      <c r="N43" s="1739" t="n"/>
      <c r="O43" s="1739" t="n"/>
      <c r="P43" s="1739" t="n"/>
      <c r="Q43" s="1739" t="n"/>
      <c r="R43" s="307" t="n"/>
      <c r="S43" s="307" t="n"/>
      <c r="T43" s="307" t="n"/>
    </row>
    <row r="44" ht="13" customHeight="1">
      <c r="C44" s="307" t="n"/>
      <c r="D44" s="1730" t="inlineStr">
        <is>
          <t>Implied Revenue Multiple (Year 1)</t>
        </is>
      </c>
      <c r="E44" s="1729" t="n"/>
      <c r="F44" s="1729" t="n"/>
      <c r="G44" s="1729" t="n"/>
      <c r="H44" s="1729" t="n"/>
      <c r="I44" s="1729" t="n"/>
      <c r="J44" s="1729" t="n"/>
      <c r="K44" s="2047">
        <f>L31/K42</f>
        <v/>
      </c>
      <c r="L44" s="2047">
        <f>AVERAGE(K44,M44)</f>
        <v/>
      </c>
      <c r="M44" s="2048">
        <f>M31/M42</f>
        <v/>
      </c>
      <c r="N44" s="1739" t="n"/>
      <c r="O44" s="1739" t="n"/>
      <c r="P44" s="1739" t="n"/>
      <c r="Q44" s="1739" t="n"/>
      <c r="R44" s="307" t="n"/>
      <c r="S44" s="307" t="n"/>
      <c r="T44" s="307" t="n"/>
    </row>
    <row r="45" ht="13" customHeight="1">
      <c r="C45" s="307" t="n"/>
      <c r="D45" s="1212" t="inlineStr">
        <is>
          <t>Year 5 EBITDA</t>
        </is>
      </c>
      <c r="E45" s="432" t="n"/>
      <c r="F45" s="432" t="n"/>
      <c r="G45" s="432" t="n"/>
      <c r="H45" s="432" t="n"/>
      <c r="I45" s="432" t="n"/>
      <c r="J45" s="432" t="n"/>
      <c r="K45" s="1923">
        <f>IS!R23</f>
        <v/>
      </c>
      <c r="L45" s="1923">
        <f>K45</f>
        <v/>
      </c>
      <c r="M45" s="1976">
        <f>K45</f>
        <v/>
      </c>
      <c r="N45" s="1739" t="n"/>
      <c r="O45" s="1739" t="n"/>
      <c r="P45" s="1739" t="n"/>
      <c r="Q45" s="1739" t="n"/>
      <c r="R45" s="307" t="n"/>
      <c r="S45" s="307" t="n"/>
      <c r="T45" s="307" t="n"/>
    </row>
    <row r="46" ht="13" customHeight="1">
      <c r="C46" s="307" t="n"/>
      <c r="D46" s="1212" t="inlineStr">
        <is>
          <t>Year 5 Revenue</t>
        </is>
      </c>
      <c r="E46" s="432" t="n"/>
      <c r="F46" s="432" t="n"/>
      <c r="G46" s="432" t="n"/>
      <c r="H46" s="432" t="n"/>
      <c r="I46" s="432" t="n"/>
      <c r="J46" s="432" t="n"/>
      <c r="K46" s="1923">
        <f>IS!R54</f>
        <v/>
      </c>
      <c r="L46" s="1923">
        <f>K46</f>
        <v/>
      </c>
      <c r="M46" s="1976">
        <f>K46</f>
        <v/>
      </c>
      <c r="N46" s="1739" t="n"/>
      <c r="O46" s="1739" t="n"/>
      <c r="P46" s="1739" t="n"/>
      <c r="Q46" s="1739" t="n"/>
      <c r="R46" s="307" t="n"/>
      <c r="S46" s="307" t="n"/>
      <c r="T46" s="307" t="n"/>
    </row>
    <row r="47" ht="13" customHeight="1">
      <c r="C47" s="307" t="n"/>
      <c r="D47" s="1226" t="inlineStr">
        <is>
          <t>Implied EBITDA Multiple (Year 1)</t>
        </is>
      </c>
      <c r="E47" s="247" t="n"/>
      <c r="F47" s="247" t="n"/>
      <c r="G47" s="247" t="n"/>
      <c r="H47" s="247" t="n"/>
      <c r="I47" s="247" t="n"/>
      <c r="J47" s="247" t="n"/>
      <c r="K47" s="2045">
        <f>L31/K45</f>
        <v/>
      </c>
      <c r="L47" s="2045">
        <f>AVERAGE(K47,M47)</f>
        <v/>
      </c>
      <c r="M47" s="2046">
        <f>M31/M45</f>
        <v/>
      </c>
      <c r="N47" s="1739" t="n"/>
      <c r="O47" s="1739" t="n"/>
      <c r="P47" s="1739" t="n"/>
      <c r="Q47" s="1739" t="n"/>
      <c r="R47" s="307" t="n"/>
      <c r="S47" s="307" t="n"/>
      <c r="T47" s="307" t="n"/>
    </row>
    <row r="48" ht="13" customHeight="1">
      <c r="C48" s="307" t="n"/>
      <c r="D48" s="1730" t="inlineStr">
        <is>
          <t>Implied Revenue Multiple (Year 1)</t>
        </is>
      </c>
      <c r="E48" s="1729" t="n"/>
      <c r="F48" s="1729" t="n"/>
      <c r="G48" s="1729" t="n"/>
      <c r="H48" s="1729" t="n"/>
      <c r="I48" s="1729" t="n"/>
      <c r="J48" s="1729" t="n"/>
      <c r="K48" s="2047">
        <f>L31/K46</f>
        <v/>
      </c>
      <c r="L48" s="2047">
        <f>AVERAGE(K48,M48)</f>
        <v/>
      </c>
      <c r="M48" s="2048">
        <f>M31/M46</f>
        <v/>
      </c>
      <c r="N48" s="1739" t="n"/>
      <c r="O48" s="1739" t="n"/>
      <c r="P48" s="1739" t="n"/>
      <c r="Q48" s="1739" t="n"/>
      <c r="R48" s="307" t="n"/>
      <c r="S48" s="307" t="n"/>
      <c r="T48" s="307" t="n"/>
    </row>
    <row r="49" ht="13" customHeight="1">
      <c r="C49" s="307" t="n"/>
      <c r="D49" s="366" t="n"/>
      <c r="E49" s="374" t="n"/>
      <c r="F49" s="374" t="n"/>
      <c r="G49" s="374" t="n"/>
      <c r="H49" s="374" t="n"/>
      <c r="I49" s="374" t="n"/>
      <c r="J49" s="374" t="n"/>
      <c r="K49" s="307" t="n"/>
      <c r="L49" s="307" t="n"/>
      <c r="M49" s="307" t="n"/>
      <c r="N49" s="1739" t="n"/>
      <c r="O49" s="1739" t="n"/>
      <c r="P49" s="1739" t="n"/>
      <c r="Q49" s="1739" t="n"/>
      <c r="R49" s="307" t="n"/>
      <c r="S49" s="307" t="n"/>
      <c r="T49" s="307" t="n"/>
    </row>
    <row r="50" ht="13" customHeight="1">
      <c r="C50" s="307" t="n"/>
      <c r="D50" s="1735" t="inlineStr">
        <is>
          <t>Peer Multiples</t>
        </is>
      </c>
      <c r="E50" s="1736" t="n"/>
      <c r="F50" s="1736" t="n"/>
      <c r="G50" s="1736" t="n"/>
      <c r="H50" s="1736" t="n"/>
      <c r="I50" s="1736" t="inlineStr">
        <is>
          <t>Corridor</t>
        </is>
      </c>
      <c r="J50" s="1736" t="n"/>
      <c r="K50" s="1736" t="inlineStr">
        <is>
          <t>Low</t>
        </is>
      </c>
      <c r="L50" s="1736" t="inlineStr">
        <is>
          <t>High</t>
        </is>
      </c>
      <c r="M50" s="1737" t="inlineStr">
        <is>
          <t>High</t>
        </is>
      </c>
      <c r="N50" s="1739" t="n"/>
      <c r="O50" s="1752" t="inlineStr">
        <is>
          <t>Corroboration Check</t>
        </is>
      </c>
      <c r="P50" s="1753" t="n"/>
      <c r="Q50" s="1753" t="inlineStr">
        <is>
          <t>Difference</t>
        </is>
      </c>
      <c r="R50" s="1754" t="inlineStr">
        <is>
          <t>Flag</t>
        </is>
      </c>
      <c r="S50" s="307" t="n"/>
      <c r="T50" s="307" t="n"/>
    </row>
    <row r="51" ht="13" customHeight="1">
      <c r="C51" s="307" t="n"/>
      <c r="D51" s="1748" t="inlineStr">
        <is>
          <t>Current Year Revenue Multiple</t>
        </is>
      </c>
      <c r="E51" s="1739" t="n"/>
      <c r="F51" s="1739" t="n"/>
      <c r="G51" s="1739" t="n"/>
      <c r="H51" s="1739" t="n"/>
      <c r="I51" s="1740" t="n">
        <v>0.15</v>
      </c>
      <c r="J51" s="1739" t="n"/>
      <c r="K51" s="2049">
        <f>MROUND(Multiples!AA31,0.1)*(1-$I51)</f>
        <v/>
      </c>
      <c r="L51" s="2049">
        <f>AVERAGE(K51,M51)</f>
        <v/>
      </c>
      <c r="M51" s="2050">
        <f>MROUND(Multiples!AA31,0.1)*(1+$I51)</f>
        <v/>
      </c>
      <c r="N51" s="1739" t="n"/>
      <c r="O51" s="1748" t="inlineStr">
        <is>
          <t>EV/Revenue</t>
        </is>
      </c>
      <c r="P51" s="1740" t="n">
        <v>0.15</v>
      </c>
      <c r="Q51" s="1749">
        <f>ABS(L51/L44-1)</f>
        <v/>
      </c>
      <c r="R51" s="328">
        <f>IF(Q51&gt;P51,"ERROR","Aligned")</f>
        <v/>
      </c>
      <c r="S51" s="307" t="n"/>
      <c r="T51" s="307" t="n"/>
    </row>
    <row r="52" ht="13" customHeight="1">
      <c r="C52" s="307" t="n"/>
      <c r="D52" s="1750" t="inlineStr">
        <is>
          <t>Current Year EBITDA Multiple</t>
        </is>
      </c>
      <c r="E52" s="1742" t="n"/>
      <c r="F52" s="1742" t="n"/>
      <c r="G52" s="1742" t="n"/>
      <c r="H52" s="1742" t="n"/>
      <c r="I52" s="1743" t="n">
        <v>0.15</v>
      </c>
      <c r="J52" s="1742" t="n"/>
      <c r="K52" s="2051">
        <f>MROUND(Multiples!X31,0.1)*(1-$I51)</f>
        <v/>
      </c>
      <c r="L52" s="2051">
        <f>AVERAGE(K52,M52)</f>
        <v/>
      </c>
      <c r="M52" s="2052">
        <f>MROUND(Multiples!X31,0.1)*(1+$I51)</f>
        <v/>
      </c>
      <c r="N52" s="1739" t="n"/>
      <c r="O52" s="1750" t="inlineStr">
        <is>
          <t>EV/EBITDA</t>
        </is>
      </c>
      <c r="P52" s="1743" t="n">
        <v>0.15</v>
      </c>
      <c r="Q52" s="1751">
        <f>ABS(L52/L43-1)</f>
        <v/>
      </c>
      <c r="R52" s="1724">
        <f>IF(Q52&gt;P52,"Not aligned","Aligned")</f>
        <v/>
      </c>
      <c r="S52" s="307" t="n"/>
      <c r="T52" s="307" t="n"/>
    </row>
    <row r="53" ht="13" customHeight="1">
      <c r="C53" s="307" t="n"/>
      <c r="D53" s="1739" t="n"/>
      <c r="E53" s="1739" t="n"/>
      <c r="F53" s="1739" t="n"/>
      <c r="G53" s="1739" t="n"/>
      <c r="H53" s="1739" t="n"/>
      <c r="I53" s="1739" t="n"/>
      <c r="J53" s="1739" t="n"/>
      <c r="K53" s="1739" t="n"/>
      <c r="L53" s="1739" t="n"/>
      <c r="M53" s="1739" t="n"/>
      <c r="N53" s="1739" t="n"/>
      <c r="O53" s="1739" t="n"/>
      <c r="P53" s="1739" t="n"/>
      <c r="Q53" s="1739" t="n"/>
      <c r="R53" s="307" t="n"/>
      <c r="S53" s="307" t="n"/>
      <c r="T53" s="307" t="n"/>
    </row>
    <row r="54" ht="13" customHeight="1">
      <c r="C54" s="307" t="n"/>
      <c r="D54" s="366" t="inlineStr">
        <is>
          <t>Sensitivity control</t>
        </is>
      </c>
      <c r="E54" s="374" t="n"/>
      <c r="F54" s="374" t="n"/>
      <c r="G54" s="374" t="n"/>
      <c r="H54" s="374" t="n"/>
      <c r="I54" s="374" t="n"/>
      <c r="J54" s="374" t="n"/>
      <c r="K54" s="307" t="n"/>
      <c r="L54" s="1739" t="n"/>
      <c r="M54" s="1739" t="n"/>
      <c r="N54" s="1739" t="n"/>
      <c r="O54" s="1739" t="n"/>
      <c r="P54" s="1739" t="n"/>
      <c r="Q54" s="1739" t="n"/>
      <c r="R54" s="307" t="n"/>
      <c r="S54" s="307" t="n"/>
      <c r="T54" s="307" t="n"/>
    </row>
    <row r="55" ht="13" customHeight="1">
      <c r="C55" s="307" t="n"/>
      <c r="D55" s="1739" t="inlineStr">
        <is>
          <t>Discount rate change</t>
        </is>
      </c>
      <c r="E55" s="1739" t="n"/>
      <c r="F55" s="1739" t="n"/>
      <c r="G55" s="1739" t="n"/>
      <c r="H55" s="1739" t="n"/>
      <c r="I55" s="1739" t="n"/>
      <c r="J55" s="1739" t="n"/>
      <c r="K55" s="2053" t="n">
        <v>0.005</v>
      </c>
      <c r="L55" s="307" t="n"/>
      <c r="M55" s="1739" t="n"/>
      <c r="N55" s="1739" t="n"/>
      <c r="O55" s="1739" t="n"/>
      <c r="P55" s="1739" t="n"/>
      <c r="Q55" s="1739" t="n"/>
      <c r="R55" s="307" t="n"/>
      <c r="S55" s="307" t="n"/>
      <c r="T55" s="307" t="n"/>
    </row>
    <row r="56" ht="13" customHeight="1">
      <c r="C56" s="307" t="n"/>
      <c r="D56" s="1739" t="inlineStr">
        <is>
          <t>Terminal growth rate change</t>
        </is>
      </c>
      <c r="E56" s="1739" t="n"/>
      <c r="F56" s="1739" t="n"/>
      <c r="G56" s="1739" t="n"/>
      <c r="H56" s="1739" t="n"/>
      <c r="I56" s="1739" t="n"/>
      <c r="J56" s="1739" t="n"/>
      <c r="K56" s="2053" t="n">
        <v>0.005</v>
      </c>
      <c r="L56" s="307" t="n"/>
      <c r="M56" s="1739" t="n"/>
      <c r="N56" s="1739" t="n"/>
      <c r="O56" s="1739" t="n"/>
      <c r="P56" s="1739" t="n"/>
      <c r="Q56" s="1739" t="n"/>
      <c r="R56" s="307" t="n"/>
      <c r="S56" s="307" t="n"/>
      <c r="T56" s="307" t="n"/>
    </row>
    <row r="57" ht="13" customHeight="1">
      <c r="C57" s="307" t="n"/>
      <c r="D57" s="1739" t="n"/>
      <c r="E57" s="1739" t="n"/>
      <c r="F57" s="1739" t="n"/>
      <c r="G57" s="1739" t="n"/>
      <c r="H57" s="1739" t="n"/>
      <c r="I57" s="1739" t="n"/>
      <c r="J57" s="1739" t="n"/>
      <c r="K57" s="1739" t="n"/>
      <c r="L57" s="1739" t="n"/>
      <c r="M57" s="1739" t="n"/>
      <c r="N57" s="1739" t="n"/>
      <c r="O57" s="1739" t="n"/>
      <c r="P57" s="1739" t="n"/>
      <c r="Q57" s="1739" t="n"/>
      <c r="R57" s="307" t="n"/>
      <c r="S57" s="307" t="n"/>
      <c r="T57" s="307" t="n"/>
    </row>
    <row r="58" ht="13" customHeight="1">
      <c r="C58" s="307" t="n"/>
      <c r="D58" s="377" t="inlineStr">
        <is>
          <t>Enterprise value from operations sensitivity</t>
        </is>
      </c>
      <c r="E58" s="378" t="n"/>
      <c r="F58" s="378" t="n"/>
      <c r="G58" s="378" t="n"/>
      <c r="H58" s="378" t="n"/>
      <c r="I58" s="378" t="n"/>
      <c r="J58" s="378" t="n"/>
      <c r="K58" s="1739" t="n"/>
      <c r="L58" s="1739" t="n"/>
      <c r="M58" s="1739" t="n"/>
      <c r="N58" s="307" t="n"/>
      <c r="O58" s="1739" t="n"/>
      <c r="P58" s="1739" t="n"/>
      <c r="Q58" s="1739" t="n"/>
      <c r="R58" s="307" t="n"/>
      <c r="S58" s="307" t="n"/>
      <c r="T58" s="307" t="n"/>
    </row>
    <row r="59" ht="13" customHeight="1">
      <c r="C59" s="307" t="n"/>
      <c r="D59" s="379" t="n"/>
      <c r="E59" s="380" t="n"/>
      <c r="F59" s="2054" t="inlineStr">
        <is>
          <t>Discount rate</t>
        </is>
      </c>
      <c r="K59" s="2055" t="n"/>
      <c r="L59" s="2055" t="n"/>
      <c r="M59" s="2055" t="n"/>
      <c r="N59" s="2055" t="n"/>
      <c r="O59" s="2055" t="n"/>
      <c r="P59" s="2055" t="n"/>
      <c r="Q59" s="307" t="n"/>
      <c r="R59" s="307" t="n"/>
      <c r="S59" s="307" t="n"/>
      <c r="T59" s="307" t="n"/>
    </row>
    <row r="60" ht="13" customHeight="1">
      <c r="C60" s="307" t="n"/>
      <c r="D60" s="382" t="n"/>
      <c r="E60" s="2056">
        <f>M31</f>
        <v/>
      </c>
      <c r="F60" s="2057">
        <f>G60-$K$55</f>
        <v/>
      </c>
      <c r="G60" s="2057">
        <f>H60-$K$55</f>
        <v/>
      </c>
      <c r="H60" s="2057">
        <f>Inputs!E252</f>
        <v/>
      </c>
      <c r="I60" s="2057">
        <f>H60+$K$55</f>
        <v/>
      </c>
      <c r="J60" s="2057">
        <f>I60+$K$55</f>
        <v/>
      </c>
      <c r="K60" s="307" t="n"/>
      <c r="L60" s="307" t="n"/>
      <c r="M60" s="307" t="n"/>
      <c r="N60" s="307" t="n"/>
      <c r="O60" s="307" t="n"/>
      <c r="P60" s="307" t="n"/>
      <c r="Q60" s="307" t="n"/>
      <c r="R60" s="307" t="n"/>
      <c r="S60" s="307" t="n"/>
      <c r="T60" s="307" t="n"/>
    </row>
    <row r="61" ht="13" customHeight="1">
      <c r="C61" s="307" t="n"/>
      <c r="D61" s="1832" t="inlineStr">
        <is>
          <t>Terminal</t>
        </is>
      </c>
      <c r="E61" s="2058">
        <f>E62-K56</f>
        <v/>
      </c>
      <c r="F61" s="2059">
        <f t="dataTable" ref="F61:J63" dt2D="1" dtr="1" r1="K38" r2="N40"/>
        <v/>
      </c>
      <c r="G61" s="2059" t="n">
        <v>431846.8998874187</v>
      </c>
      <c r="H61" s="2060" t="n">
        <v>431846.8998874187</v>
      </c>
      <c r="I61" s="2059" t="n">
        <v>431846.8998874187</v>
      </c>
      <c r="J61" s="2061" t="n">
        <v>431846.8998874187</v>
      </c>
      <c r="K61" s="307" t="n"/>
      <c r="L61" s="307" t="n"/>
      <c r="M61" s="307" t="n"/>
      <c r="N61" s="307" t="n"/>
      <c r="O61" s="307" t="n"/>
      <c r="P61" s="307" t="n"/>
      <c r="Q61" s="307" t="n"/>
      <c r="R61" s="307" t="n"/>
      <c r="S61" s="307" t="n"/>
      <c r="T61" s="307" t="n"/>
    </row>
    <row r="62" ht="13" customHeight="1">
      <c r="C62" s="307" t="n"/>
      <c r="E62" s="2058">
        <f>long.term.growth</f>
        <v/>
      </c>
      <c r="F62" s="2060" t="n">
        <v>431846.8998874187</v>
      </c>
      <c r="G62" s="2060" t="n">
        <v>431846.8998874187</v>
      </c>
      <c r="H62" s="2062" t="n">
        <v>431846.8998874187</v>
      </c>
      <c r="I62" s="2060" t="n">
        <v>431846.8998874187</v>
      </c>
      <c r="J62" s="2063" t="n">
        <v>431846.8998874187</v>
      </c>
      <c r="K62" s="307" t="n"/>
      <c r="L62" s="307" t="n"/>
      <c r="M62" s="307" t="n"/>
      <c r="N62" s="307" t="n"/>
      <c r="O62" s="307" t="n"/>
      <c r="P62" s="307" t="n"/>
      <c r="Q62" s="307" t="n"/>
      <c r="R62" s="307" t="n"/>
      <c r="S62" s="307" t="n"/>
      <c r="T62" s="307" t="n"/>
    </row>
    <row r="63" ht="13" customHeight="1">
      <c r="C63" s="307" t="n"/>
      <c r="E63" s="2058">
        <f>E62+K56</f>
        <v/>
      </c>
      <c r="F63" s="2059" t="n">
        <v>431846.8998874187</v>
      </c>
      <c r="G63" s="2059" t="n">
        <v>431846.8998874187</v>
      </c>
      <c r="H63" s="2060" t="n">
        <v>431846.8998874187</v>
      </c>
      <c r="I63" s="2059" t="n">
        <v>431846.8998874187</v>
      </c>
      <c r="J63" s="2061" t="n">
        <v>431846.8998874187</v>
      </c>
      <c r="K63" s="307" t="n"/>
      <c r="L63" s="307" t="n"/>
      <c r="M63" s="307" t="n"/>
      <c r="N63" s="307" t="n"/>
      <c r="O63" s="307" t="n"/>
      <c r="P63" s="307" t="n"/>
      <c r="Q63" s="307" t="n"/>
      <c r="R63" s="307" t="n"/>
      <c r="S63" s="307" t="n"/>
      <c r="T63" s="307" t="n"/>
    </row>
    <row r="64" ht="13" customHeight="1">
      <c r="C64" s="307" t="n"/>
      <c r="D64" s="391" t="n"/>
      <c r="E64" s="391" t="n"/>
      <c r="F64" s="391" t="n"/>
      <c r="G64" s="391" t="n"/>
      <c r="H64" s="391" t="n"/>
      <c r="I64" s="391" t="n"/>
      <c r="J64" s="391" t="n"/>
      <c r="K64" s="391" t="n"/>
      <c r="L64" s="391" t="n"/>
      <c r="M64" s="391" t="n"/>
      <c r="N64" s="391" t="n"/>
      <c r="O64" s="391" t="n"/>
      <c r="P64" s="391" t="n"/>
      <c r="Q64" s="391" t="n"/>
      <c r="R64" s="307" t="n"/>
      <c r="S64" s="307" t="n"/>
      <c r="T64" s="307" t="n"/>
    </row>
    <row r="65" ht="15.5" customHeight="1">
      <c r="C65" s="307" t="n"/>
      <c r="D65" s="307" t="n"/>
      <c r="E65" s="307" t="n"/>
      <c r="F65" s="307" t="n"/>
      <c r="G65" s="307" t="n"/>
      <c r="H65" s="307" t="n"/>
      <c r="I65" s="307" t="n"/>
      <c r="J65" s="307" t="n"/>
      <c r="K65" s="307" t="n"/>
      <c r="L65" s="307" t="n"/>
      <c r="M65" s="307" t="n"/>
      <c r="N65" s="307" t="n"/>
      <c r="O65" s="307" t="n"/>
      <c r="P65" s="307" t="n"/>
      <c r="Q65" s="307" t="n"/>
      <c r="R65" s="307" t="n"/>
      <c r="S65" s="307" t="n"/>
      <c r="T65" s="307" t="n"/>
    </row>
  </sheetData>
  <mergeCells count="2">
    <mergeCell ref="F59:J59"/>
    <mergeCell ref="D61:D63"/>
  </mergeCells>
  <conditionalFormatting sqref="R51:R52">
    <cfRule type="containsText" priority="1" operator="containsText" dxfId="23" text="Not aligned">
      <formula>NOT(ISERROR(SEARCH("Not aligned",R51)))</formula>
    </cfRule>
    <cfRule type="containsText" priority="2" operator="containsText" dxfId="22" text="Aligned">
      <formula>NOT(ISERROR(SEARCH("Aligned",R51)))</formula>
    </cfRule>
  </conditionalFormatting>
  <pageMargins left="0.7" right="0.7" top="0.75" bottom="0.75" header="0.3" footer="0.3"/>
  <pageSetup orientation="portrait" scale="53"/>
</worksheet>
</file>

<file path=xl/worksheets/sheet21.xml><?xml version="1.0" encoding="utf-8"?>
<worksheet xmlns="http://schemas.openxmlformats.org/spreadsheetml/2006/main">
  <sheetPr>
    <tabColor rgb="FFD7EEF1"/>
    <outlinePr summaryBelow="1" summaryRight="1"/>
    <pageSetUpPr/>
  </sheetPr>
  <dimension ref="B2:G110"/>
  <sheetViews>
    <sheetView showGridLines="0" workbookViewId="0">
      <selection activeCell="D70" sqref="D70"/>
    </sheetView>
  </sheetViews>
  <sheetFormatPr baseColWidth="8" defaultColWidth="0" defaultRowHeight="11.5"/>
  <cols>
    <col width="2.69140625" customWidth="1" style="63" min="1" max="1"/>
    <col width="35.921875" customWidth="1" style="63" min="2" max="2"/>
    <col width="6.765625" bestFit="1" customWidth="1" style="228" min="3" max="3"/>
    <col width="8.69140625" customWidth="1" style="63" min="4" max="6"/>
    <col width="3.4609375" customWidth="1" style="63" min="7" max="7"/>
    <col hidden="1" width="2.61328125" customWidth="1" style="63" min="8" max="8"/>
    <col hidden="1" style="63" min="9" max="16384"/>
  </cols>
  <sheetData>
    <row r="2">
      <c r="B2" s="62">
        <f>Inputs!B2</f>
        <v/>
      </c>
      <c r="G2" s="131" t="n"/>
    </row>
    <row r="3">
      <c r="B3" s="64">
        <f>Inputs!$B$3</f>
        <v/>
      </c>
      <c r="G3" s="131" t="n"/>
    </row>
    <row r="4">
      <c r="B4" s="132" t="inlineStr">
        <is>
          <t>Valuation Summary</t>
        </is>
      </c>
      <c r="G4" s="131">
        <f>valuation.date.header</f>
        <v/>
      </c>
    </row>
    <row r="5" ht="5" customHeight="1" thickBot="1">
      <c r="B5" s="66" t="n"/>
      <c r="C5" s="230" t="n"/>
      <c r="D5" s="66" t="n"/>
      <c r="E5" s="66" t="n"/>
      <c r="F5" s="66" t="n"/>
      <c r="G5" s="66" t="n"/>
    </row>
    <row r="6" ht="12" customHeight="1" thickTop="1"/>
    <row r="17">
      <c r="B17" s="1238">
        <f>target.name</f>
        <v/>
      </c>
      <c r="C17" s="1769" t="n"/>
      <c r="D17" s="1239" t="n"/>
      <c r="E17" s="1239" t="n"/>
      <c r="F17" s="1239" t="n"/>
    </row>
    <row r="18">
      <c r="B18" s="164">
        <f>"Valuation Summary in "&amp;currency.heading1</f>
        <v/>
      </c>
      <c r="C18" s="1770" t="inlineStr">
        <is>
          <t>Weight</t>
        </is>
      </c>
      <c r="D18" s="161" t="inlineStr">
        <is>
          <t>Low</t>
        </is>
      </c>
      <c r="E18" s="161" t="inlineStr">
        <is>
          <t>Mid</t>
        </is>
      </c>
      <c r="F18" s="162" t="inlineStr">
        <is>
          <t>High</t>
        </is>
      </c>
    </row>
    <row r="19">
      <c r="B19" s="2064" t="inlineStr">
        <is>
          <t>Enterprise value</t>
        </is>
      </c>
      <c r="C19" s="2065" t="n"/>
      <c r="D19" s="2066" t="n"/>
      <c r="E19" s="2066" t="n"/>
      <c r="F19" s="2067" t="n"/>
    </row>
    <row r="20">
      <c r="B20" s="2068" t="inlineStr">
        <is>
          <t>CCF Method</t>
        </is>
      </c>
      <c r="C20" s="1782" t="n">
        <v>0.2</v>
      </c>
      <c r="D20" s="2069">
        <f>D37</f>
        <v/>
      </c>
      <c r="E20" s="2069">
        <f>E37</f>
        <v/>
      </c>
      <c r="F20" s="2070">
        <f>F37</f>
        <v/>
      </c>
    </row>
    <row r="21">
      <c r="B21" s="2068" t="inlineStr">
        <is>
          <t>VC Method</t>
        </is>
      </c>
      <c r="C21" s="1782" t="n">
        <v>0.2</v>
      </c>
      <c r="D21" s="2069">
        <f>D43</f>
        <v/>
      </c>
      <c r="E21" s="2069">
        <f>E43</f>
        <v/>
      </c>
      <c r="F21" s="2070">
        <f>F43</f>
        <v/>
      </c>
    </row>
    <row r="22">
      <c r="B22" s="2068" t="inlineStr">
        <is>
          <t>Discounted Cash Flow analysis</t>
        </is>
      </c>
      <c r="C22" s="1782" t="n">
        <v>0.2</v>
      </c>
      <c r="D22" s="2069">
        <f>D47</f>
        <v/>
      </c>
      <c r="E22" s="2069">
        <f>E47</f>
        <v/>
      </c>
      <c r="F22" s="2070">
        <f>F47</f>
        <v/>
      </c>
    </row>
    <row r="23">
      <c r="B23" s="2068" t="inlineStr">
        <is>
          <t>Market Multiples Method (EV/EBITDA)</t>
        </is>
      </c>
      <c r="C23" s="1782" t="n">
        <v>0.3</v>
      </c>
      <c r="D23" s="2069">
        <f>D55</f>
        <v/>
      </c>
      <c r="E23" s="2069">
        <f>E55</f>
        <v/>
      </c>
      <c r="F23" s="2070">
        <f>F55</f>
        <v/>
      </c>
    </row>
    <row r="24">
      <c r="B24" s="2068" t="inlineStr">
        <is>
          <t>Transaction Method</t>
        </is>
      </c>
      <c r="C24" s="1782" t="n">
        <v>0.2</v>
      </c>
      <c r="D24" s="2069">
        <f>D63</f>
        <v/>
      </c>
      <c r="E24" s="2069">
        <f>E63</f>
        <v/>
      </c>
      <c r="F24" s="2070">
        <f>F63</f>
        <v/>
      </c>
    </row>
    <row r="25">
      <c r="B25" s="2071" t="inlineStr">
        <is>
          <t>Concluded value range</t>
        </is>
      </c>
      <c r="C25" s="2072" t="n"/>
      <c r="D25" s="2073">
        <f>SUMPRODUCT($C$20:$C$24,D20:D24)</f>
        <v/>
      </c>
      <c r="E25" s="2073">
        <f>SUMPRODUCT($C$20:$C$24,E20:E24)</f>
        <v/>
      </c>
      <c r="F25" s="2074">
        <f>SUMPRODUCT($C$20:$C$24,F20:F24)</f>
        <v/>
      </c>
    </row>
    <row r="26">
      <c r="B26" s="2075" t="inlineStr">
        <is>
          <t>Add: Cash</t>
        </is>
      </c>
      <c r="C26" s="2076" t="n"/>
      <c r="D26" s="2077">
        <f>Inputs!E257</f>
        <v/>
      </c>
      <c r="E26" s="2069">
        <f>D26</f>
        <v/>
      </c>
      <c r="F26" s="2070">
        <f>E26</f>
        <v/>
      </c>
    </row>
    <row r="27">
      <c r="B27" s="2068" t="inlineStr">
        <is>
          <t>Less: Net Debt</t>
        </is>
      </c>
      <c r="C27" s="2076" t="n"/>
      <c r="D27" s="2077">
        <f>-Inputs!E258</f>
        <v/>
      </c>
      <c r="E27" s="2069">
        <f>D27</f>
        <v/>
      </c>
      <c r="F27" s="2070">
        <f>E27</f>
        <v/>
      </c>
    </row>
    <row r="28">
      <c r="B28" s="2078" t="inlineStr">
        <is>
          <t xml:space="preserve">Total Equity value </t>
        </is>
      </c>
      <c r="C28" s="2079" t="n"/>
      <c r="D28" s="2080">
        <f>SUM(D25:D27)</f>
        <v/>
      </c>
      <c r="E28" s="2080">
        <f>SUM(E25:E27)</f>
        <v/>
      </c>
      <c r="F28" s="2081">
        <f>SUM(F25:F27)</f>
        <v/>
      </c>
    </row>
    <row r="29">
      <c r="D29" s="105" t="n"/>
      <c r="E29" s="105" t="n"/>
      <c r="F29" s="105" t="n"/>
    </row>
    <row r="30">
      <c r="B30" s="164" t="inlineStr">
        <is>
          <t>Capitalized Cash Flow (CCF) Method</t>
        </is>
      </c>
      <c r="C30" s="1770" t="n"/>
      <c r="D30" s="161" t="inlineStr">
        <is>
          <t>Low</t>
        </is>
      </c>
      <c r="E30" s="161" t="inlineStr">
        <is>
          <t>Mid</t>
        </is>
      </c>
      <c r="F30" s="162" t="inlineStr">
        <is>
          <t>High</t>
        </is>
      </c>
    </row>
    <row r="31">
      <c r="B31" s="1248" t="inlineStr">
        <is>
          <t>Free Cash Flow (post-tax)</t>
        </is>
      </c>
      <c r="C31" s="1355">
        <f>currency.heading1</f>
        <v/>
      </c>
      <c r="D31" s="2082">
        <f>E31</f>
        <v/>
      </c>
      <c r="E31" s="2082">
        <f>DCF!L16</f>
        <v/>
      </c>
      <c r="F31" s="2083">
        <f>E31</f>
        <v/>
      </c>
    </row>
    <row r="32">
      <c r="B32" s="573" t="inlineStr">
        <is>
          <t>Adjustments to Free cash flow</t>
        </is>
      </c>
      <c r="C32" s="1346">
        <f>currency.heading1</f>
        <v/>
      </c>
      <c r="D32" s="2084" t="n"/>
      <c r="E32" s="2084" t="n"/>
      <c r="F32" s="2085" t="n"/>
    </row>
    <row r="33">
      <c r="B33" s="573" t="inlineStr">
        <is>
          <t>Normalized Sustainable Free Cash Flow (post-tax)</t>
        </is>
      </c>
      <c r="C33" s="1346">
        <f>currency.heading1</f>
        <v/>
      </c>
      <c r="D33" s="1899">
        <f>D31+D32</f>
        <v/>
      </c>
      <c r="E33" s="1899">
        <f>E31+E32</f>
        <v/>
      </c>
      <c r="F33" s="2086">
        <f>F31+F32</f>
        <v/>
      </c>
    </row>
    <row r="34">
      <c r="B34" s="573" t="inlineStr">
        <is>
          <t>Estimated Sustainable Free Cash Flow of Following Year</t>
        </is>
      </c>
      <c r="C34" s="1346">
        <f>currency.heading1</f>
        <v/>
      </c>
      <c r="D34" s="1899">
        <f>D33*(1+long.term.growth)</f>
        <v/>
      </c>
      <c r="E34" s="1899">
        <f>E33*(1+long.term.growth)</f>
        <v/>
      </c>
      <c r="F34" s="2086">
        <f>F33*(1+long.term.growth)</f>
        <v/>
      </c>
    </row>
    <row r="35">
      <c r="B35" s="573" t="inlineStr">
        <is>
          <t>Capitalization Rate</t>
        </is>
      </c>
      <c r="C35" s="1346" t="inlineStr">
        <is>
          <t>%</t>
        </is>
      </c>
      <c r="D35" s="2087">
        <f>DCF!K20</f>
        <v/>
      </c>
      <c r="E35" s="2087">
        <f>AVERAGE(F35,D35)</f>
        <v/>
      </c>
      <c r="F35" s="2088">
        <f>DCF!K19</f>
        <v/>
      </c>
    </row>
    <row r="36">
      <c r="B36" s="573" t="inlineStr">
        <is>
          <t>Mid-period Adjustment Factor</t>
        </is>
      </c>
      <c r="C36" s="1346" t="n"/>
      <c r="D36" s="2084" t="n"/>
      <c r="E36" s="2084" t="n"/>
      <c r="F36" s="2085" t="n"/>
    </row>
    <row r="37">
      <c r="B37" s="1249" t="inlineStr">
        <is>
          <t>Enterprise Value</t>
        </is>
      </c>
      <c r="C37" s="1775">
        <f>currency.heading1</f>
        <v/>
      </c>
      <c r="D37" s="1252">
        <f>D34/D35*D36</f>
        <v/>
      </c>
      <c r="E37" s="2089">
        <f>E34/E35*E36</f>
        <v/>
      </c>
      <c r="F37" s="2090">
        <f>F34/F35*F36</f>
        <v/>
      </c>
    </row>
    <row r="38">
      <c r="B38" s="2091">
        <f>"Equity Value of "&amp;target.name</f>
        <v/>
      </c>
      <c r="C38" s="2092">
        <f>currency.heading1</f>
        <v/>
      </c>
      <c r="D38" s="2093">
        <f>SUM(D37,D$26:D$27)</f>
        <v/>
      </c>
      <c r="E38" s="2093">
        <f>SUM(E37,E$26:E$27)</f>
        <v/>
      </c>
      <c r="F38" s="2094">
        <f>SUM(F37,F$26:F$27)</f>
        <v/>
      </c>
    </row>
    <row r="39">
      <c r="D39" s="105" t="n"/>
      <c r="E39" s="105" t="n"/>
      <c r="F39" s="105" t="n"/>
    </row>
    <row r="40">
      <c r="B40" s="1241" t="inlineStr">
        <is>
          <t>VC Method</t>
        </is>
      </c>
      <c r="C40" s="1770" t="n"/>
      <c r="D40" s="161" t="inlineStr">
        <is>
          <t>Low</t>
        </is>
      </c>
      <c r="E40" s="161" t="inlineStr">
        <is>
          <t>Mid</t>
        </is>
      </c>
      <c r="F40" s="1242" t="inlineStr">
        <is>
          <t>High</t>
        </is>
      </c>
    </row>
    <row r="41">
      <c r="B41" s="573" t="inlineStr">
        <is>
          <t>5-Year Exit EBITDA</t>
        </is>
      </c>
      <c r="C41" s="1346">
        <f>currency.heading1</f>
        <v/>
      </c>
      <c r="D41" s="1899">
        <f>IS!R54</f>
        <v/>
      </c>
      <c r="E41" s="1899">
        <f>D41</f>
        <v/>
      </c>
      <c r="F41" s="2086">
        <f>E41</f>
        <v/>
      </c>
    </row>
    <row r="42">
      <c r="B42" s="573" t="inlineStr">
        <is>
          <t>Market EV/EBITDA Multiple (FYE)</t>
        </is>
      </c>
      <c r="C42" s="1346" t="n"/>
      <c r="D42" s="2095">
        <f>E42</f>
        <v/>
      </c>
      <c r="E42" s="2095">
        <f>Multiples!AA31</f>
        <v/>
      </c>
      <c r="F42" s="2096">
        <f>E42</f>
        <v/>
      </c>
    </row>
    <row r="43">
      <c r="B43" s="1249" t="inlineStr">
        <is>
          <t>Enterprise Value</t>
        </is>
      </c>
      <c r="C43" s="1775">
        <f>currency.heading1</f>
        <v/>
      </c>
      <c r="D43" s="2089">
        <f>D42*D41</f>
        <v/>
      </c>
      <c r="E43" s="2089">
        <f>E42*E41</f>
        <v/>
      </c>
      <c r="F43" s="2090">
        <f>F42*F41</f>
        <v/>
      </c>
    </row>
    <row r="44">
      <c r="B44" s="2091">
        <f>"Equity Value of "&amp;target.name</f>
        <v/>
      </c>
      <c r="C44" s="2092">
        <f>currency.heading1</f>
        <v/>
      </c>
      <c r="D44" s="2093">
        <f>SUM(D43,D$26:D$27)</f>
        <v/>
      </c>
      <c r="E44" s="2093">
        <f>SUM(E43,E$26:E$27)</f>
        <v/>
      </c>
      <c r="F44" s="2094">
        <f>SUM(F43,F$26:F$27)</f>
        <v/>
      </c>
    </row>
    <row r="45">
      <c r="D45" s="105" t="n"/>
      <c r="E45" s="105" t="n"/>
      <c r="F45" s="105" t="n"/>
    </row>
    <row r="46">
      <c r="B46" s="164" t="inlineStr">
        <is>
          <t>Discounted Cash Flow Method</t>
        </is>
      </c>
      <c r="C46" s="1770" t="n"/>
      <c r="D46" s="161" t="inlineStr">
        <is>
          <t>Low</t>
        </is>
      </c>
      <c r="E46" s="161" t="inlineStr">
        <is>
          <t>Mid</t>
        </is>
      </c>
      <c r="F46" s="162" t="inlineStr">
        <is>
          <t>High</t>
        </is>
      </c>
    </row>
    <row r="47">
      <c r="B47" s="143" t="inlineStr">
        <is>
          <t>Enterprise Value</t>
        </is>
      </c>
      <c r="C47" s="1777">
        <f>currency.heading1</f>
        <v/>
      </c>
      <c r="D47" s="2097">
        <f>DCF!L31</f>
        <v/>
      </c>
      <c r="E47" s="2097">
        <f>AVERAGE(F47,D47)</f>
        <v/>
      </c>
      <c r="F47" s="2098">
        <f>DCF!M31</f>
        <v/>
      </c>
    </row>
    <row r="48">
      <c r="B48" s="2099">
        <f>"Equity Value of "&amp;target.name</f>
        <v/>
      </c>
      <c r="C48" s="2100">
        <f>currency.heading1</f>
        <v/>
      </c>
      <c r="D48" s="2101">
        <f>SUM(D47,D$26:D$27)</f>
        <v/>
      </c>
      <c r="E48" s="2101">
        <f>SUM(E47,E$26:E$27)</f>
        <v/>
      </c>
      <c r="F48" s="2102">
        <f>SUM(F47,F$26:F$27)</f>
        <v/>
      </c>
    </row>
    <row r="49">
      <c r="D49" s="105" t="n"/>
      <c r="E49" s="105" t="n"/>
      <c r="F49" s="105" t="n"/>
    </row>
    <row r="50">
      <c r="B50" s="164" t="inlineStr">
        <is>
          <t>Market Multiples Method</t>
        </is>
      </c>
      <c r="C50" s="1770" t="n"/>
      <c r="D50" s="161" t="inlineStr">
        <is>
          <t>Low</t>
        </is>
      </c>
      <c r="E50" s="161" t="inlineStr">
        <is>
          <t>Mid</t>
        </is>
      </c>
      <c r="F50" s="162" t="inlineStr">
        <is>
          <t>High</t>
        </is>
      </c>
    </row>
    <row r="51">
      <c r="B51" s="146" t="inlineStr">
        <is>
          <t>Current Year EBITDA</t>
        </is>
      </c>
      <c r="C51" s="1346">
        <f>currency.heading1</f>
        <v/>
      </c>
      <c r="D51" s="1923">
        <f>IS!M54</f>
        <v/>
      </c>
      <c r="E51" s="1899">
        <f>D51</f>
        <v/>
      </c>
      <c r="F51" s="2103">
        <f>E51</f>
        <v/>
      </c>
    </row>
    <row r="52">
      <c r="B52" s="2068" t="inlineStr">
        <is>
          <t>Selected multiple from GPC's (undiscounted)</t>
        </is>
      </c>
      <c r="C52" s="2076" t="n"/>
      <c r="D52" s="2104">
        <f>DCF!K52</f>
        <v/>
      </c>
      <c r="E52" s="2105">
        <f>DCF!L52</f>
        <v/>
      </c>
      <c r="F52" s="2106">
        <f>DCF!M52</f>
        <v/>
      </c>
    </row>
    <row r="53">
      <c r="B53" s="2068" t="inlineStr">
        <is>
          <t>Discount adjustment</t>
        </is>
      </c>
      <c r="C53" s="2076" t="n"/>
      <c r="D53" s="150">
        <f>Inputs!$E$260</f>
        <v/>
      </c>
      <c r="E53" s="151">
        <f>D53</f>
        <v/>
      </c>
      <c r="F53" s="152">
        <f>E53</f>
        <v/>
      </c>
    </row>
    <row r="54">
      <c r="B54" s="2107" t="inlineStr">
        <is>
          <t>Adjusted EBITDA multiple</t>
        </is>
      </c>
      <c r="C54" s="2108" t="n"/>
      <c r="D54" s="2109">
        <f>IFERROR(D52*(1-D53),"")</f>
        <v/>
      </c>
      <c r="E54" s="2109">
        <f>IFERROR(E52*(1-E53),"")</f>
        <v/>
      </c>
      <c r="F54" s="2110">
        <f>IFERROR(F52*(1-F53),"")</f>
        <v/>
      </c>
    </row>
    <row r="55">
      <c r="B55" s="2099">
        <f>"Enterprise Value of "&amp;target.name</f>
        <v/>
      </c>
      <c r="C55" s="2100">
        <f>currency.heading1</f>
        <v/>
      </c>
      <c r="D55" s="2101">
        <f>D54*D51</f>
        <v/>
      </c>
      <c r="E55" s="2101">
        <f>E54*E51</f>
        <v/>
      </c>
      <c r="F55" s="2102">
        <f>F54*F51</f>
        <v/>
      </c>
    </row>
    <row r="56">
      <c r="B56" s="2099">
        <f>"Equity Value of "&amp;target.name</f>
        <v/>
      </c>
      <c r="C56" s="2100">
        <f>currency.heading1</f>
        <v/>
      </c>
      <c r="D56" s="2101">
        <f>SUM(D55,D$26:D$27)</f>
        <v/>
      </c>
      <c r="E56" s="2101">
        <f>SUM(E55,E$26:E$27)</f>
        <v/>
      </c>
      <c r="F56" s="2102">
        <f>SUM(F55,F$26:F$27)</f>
        <v/>
      </c>
    </row>
    <row r="57">
      <c r="D57" s="105" t="n"/>
      <c r="E57" s="105" t="n"/>
      <c r="F57" s="105" t="n"/>
    </row>
    <row r="58">
      <c r="B58" s="164" t="inlineStr">
        <is>
          <t>Transaction Method</t>
        </is>
      </c>
      <c r="C58" s="1770" t="n"/>
      <c r="D58" s="161" t="inlineStr">
        <is>
          <t>Low</t>
        </is>
      </c>
      <c r="E58" s="161" t="inlineStr">
        <is>
          <t>Mid</t>
        </is>
      </c>
      <c r="F58" s="162" t="inlineStr">
        <is>
          <t>High</t>
        </is>
      </c>
    </row>
    <row r="59">
      <c r="B59" s="146" t="inlineStr">
        <is>
          <t>Current Year EBITDA</t>
        </is>
      </c>
      <c r="C59" s="1346">
        <f>currency.heading1</f>
        <v/>
      </c>
      <c r="D59" s="1900">
        <f>D51</f>
        <v/>
      </c>
      <c r="E59" s="1900">
        <f>$D$59</f>
        <v/>
      </c>
      <c r="F59" s="2111">
        <f>$D$59</f>
        <v/>
      </c>
    </row>
    <row r="60">
      <c r="B60" s="2068" t="inlineStr">
        <is>
          <t>Selected multiple from GPC's (undiscounted) - FYE</t>
        </is>
      </c>
      <c r="C60" s="2076" t="n"/>
      <c r="D60" s="2112">
        <f>E60</f>
        <v/>
      </c>
      <c r="E60" s="2113">
        <f>Multiples!AA31</f>
        <v/>
      </c>
      <c r="F60" s="2114">
        <f>E60</f>
        <v/>
      </c>
    </row>
    <row r="61">
      <c r="B61" s="2068" t="inlineStr">
        <is>
          <t>Discount adjustment</t>
        </is>
      </c>
      <c r="C61" s="2076" t="inlineStr">
        <is>
          <t>%</t>
        </is>
      </c>
      <c r="D61" s="150">
        <f>D53</f>
        <v/>
      </c>
      <c r="E61" s="159">
        <f>E53</f>
        <v/>
      </c>
      <c r="F61" s="160">
        <f>F53</f>
        <v/>
      </c>
    </row>
    <row r="62">
      <c r="B62" s="2107" t="inlineStr">
        <is>
          <t>Adjusted EBITDA multiple</t>
        </is>
      </c>
      <c r="C62" s="2108" t="n"/>
      <c r="D62" s="2109">
        <f>IFERROR(D60*(1-D61),"")</f>
        <v/>
      </c>
      <c r="E62" s="2109">
        <f>IFERROR(E60*(1-E61),"")</f>
        <v/>
      </c>
      <c r="F62" s="2110">
        <f>IFERROR(F60*(1-F61),"")</f>
        <v/>
      </c>
    </row>
    <row r="63">
      <c r="B63" s="2099">
        <f>"Enterprise Value of "&amp;target.name</f>
        <v/>
      </c>
      <c r="C63" s="2100">
        <f>currency.heading1</f>
        <v/>
      </c>
      <c r="D63" s="2101">
        <f>D62*D59</f>
        <v/>
      </c>
      <c r="E63" s="2101">
        <f>E62*E59</f>
        <v/>
      </c>
      <c r="F63" s="2102">
        <f>F62*F59</f>
        <v/>
      </c>
    </row>
    <row r="64">
      <c r="B64" s="2099">
        <f>"Equity Value of "&amp;target.name</f>
        <v/>
      </c>
      <c r="C64" s="2100">
        <f>currency.heading1</f>
        <v/>
      </c>
      <c r="D64" s="2101">
        <f>SUM(D63,D$26:D$27)</f>
        <v/>
      </c>
      <c r="E64" s="2101">
        <f>SUM(E63,E$26:E$27)</f>
        <v/>
      </c>
      <c r="F64" s="2102">
        <f>SUM(F63,F$26:F$27)</f>
        <v/>
      </c>
    </row>
    <row r="65">
      <c r="D65" s="105" t="n"/>
      <c r="E65" s="105" t="n"/>
      <c r="F65" s="105" t="n"/>
    </row>
    <row r="66">
      <c r="B66" s="1404" t="inlineStr">
        <is>
          <t>Peer Multiples Analysis</t>
        </is>
      </c>
      <c r="C66" s="1780" t="n"/>
      <c r="D66" s="1405" t="inlineStr">
        <is>
          <t>Low</t>
        </is>
      </c>
      <c r="E66" s="1405" t="inlineStr">
        <is>
          <t>Mid</t>
        </is>
      </c>
      <c r="F66" s="1406" t="inlineStr">
        <is>
          <t>High</t>
        </is>
      </c>
    </row>
    <row r="67">
      <c r="B67" s="63">
        <f>"Market EV/EBITDA Multiple ("&amp;IS!J7&amp;")"</f>
        <v/>
      </c>
      <c r="D67" s="105" t="n"/>
      <c r="E67" s="105" t="n"/>
      <c r="F67" s="105" t="n"/>
    </row>
    <row r="68">
      <c r="B68" s="63" t="inlineStr">
        <is>
          <t>Market EV/EBITDA Multiple (FY26)</t>
        </is>
      </c>
      <c r="D68" s="105" t="n"/>
      <c r="E68" s="105" t="n"/>
      <c r="F68" s="105" t="n"/>
    </row>
    <row r="69">
      <c r="B69" s="634" t="inlineStr">
        <is>
          <t>Management Case</t>
        </is>
      </c>
      <c r="C69" s="1781" t="n"/>
      <c r="D69" s="635" t="n"/>
      <c r="E69" s="635" t="n"/>
      <c r="F69" s="635" t="n"/>
    </row>
    <row r="70">
      <c r="B70" s="63" t="inlineStr">
        <is>
          <t>Enterprise Valuation - Management</t>
        </is>
      </c>
      <c r="D70" s="105" t="n"/>
      <c r="E70" s="105" t="n"/>
      <c r="F70" s="105" t="n"/>
    </row>
    <row r="71">
      <c r="B71" s="63" t="inlineStr">
        <is>
          <t>EBITDA - Management</t>
        </is>
      </c>
      <c r="D71" s="105" t="n"/>
      <c r="E71" s="105" t="n"/>
      <c r="F71" s="105" t="n"/>
    </row>
    <row r="72">
      <c r="B72" s="63" t="inlineStr">
        <is>
          <t>Implied EV/EBITDA Multiple - Management Case</t>
        </is>
      </c>
      <c r="D72" s="105" t="n"/>
      <c r="E72" s="105" t="n"/>
      <c r="F72" s="105" t="n"/>
    </row>
    <row r="73">
      <c r="B73" s="634" t="inlineStr">
        <is>
          <t>Valify Sensitized</t>
        </is>
      </c>
      <c r="C73" s="1781" t="n"/>
      <c r="D73" s="635" t="n"/>
      <c r="E73" s="635" t="n"/>
      <c r="F73" s="635" t="n"/>
    </row>
    <row r="74">
      <c r="B74" s="63" t="inlineStr">
        <is>
          <t>Enterprise Valuation - Valify Sensitized</t>
        </is>
      </c>
      <c r="D74" s="105" t="n"/>
      <c r="E74" s="105" t="n"/>
      <c r="F74" s="105" t="n"/>
    </row>
    <row r="75">
      <c r="B75" s="63" t="inlineStr">
        <is>
          <t>EBITDA - Valify Sensitized</t>
        </is>
      </c>
      <c r="D75" s="105" t="n"/>
      <c r="E75" s="105" t="n"/>
      <c r="F75" s="105" t="n"/>
    </row>
    <row r="76">
      <c r="B76" s="63" t="inlineStr">
        <is>
          <t>Implied EV/EBITDA Multiple - Valify Sensitized</t>
        </is>
      </c>
      <c r="D76" s="105" t="n"/>
      <c r="E76" s="105" t="n"/>
      <c r="F76" s="105" t="n"/>
    </row>
    <row r="77">
      <c r="D77" s="105" t="n"/>
      <c r="E77" s="105" t="n"/>
      <c r="F77" s="105" t="n"/>
    </row>
    <row r="78">
      <c r="D78" s="105" t="n"/>
      <c r="E78" s="105" t="n"/>
      <c r="F78" s="105" t="n"/>
    </row>
    <row r="79">
      <c r="D79" s="105" t="n"/>
      <c r="E79" s="105" t="n"/>
      <c r="F79" s="105" t="n"/>
    </row>
    <row r="80">
      <c r="D80" s="105" t="n"/>
      <c r="E80" s="105" t="n"/>
      <c r="F80" s="105" t="n"/>
    </row>
    <row r="81">
      <c r="D81" s="105" t="n"/>
      <c r="E81" s="105" t="n"/>
      <c r="F81" s="105" t="n"/>
    </row>
    <row r="82">
      <c r="D82" s="105" t="n"/>
      <c r="E82" s="105" t="n"/>
      <c r="F82" s="105" t="n"/>
    </row>
    <row r="83">
      <c r="D83" s="105" t="n"/>
      <c r="E83" s="105" t="n"/>
      <c r="F83" s="105" t="n"/>
    </row>
    <row r="84">
      <c r="D84" s="105" t="n"/>
      <c r="E84" s="105" t="n"/>
      <c r="F84" s="105" t="n"/>
    </row>
    <row r="85">
      <c r="D85" s="105" t="n"/>
      <c r="E85" s="105" t="n"/>
      <c r="F85" s="105" t="n"/>
    </row>
    <row r="86">
      <c r="D86" s="105" t="n"/>
      <c r="E86" s="105" t="n"/>
      <c r="F86" s="105" t="n"/>
    </row>
    <row r="87">
      <c r="D87" s="105" t="n"/>
      <c r="E87" s="105" t="n"/>
      <c r="F87" s="105" t="n"/>
    </row>
    <row r="88">
      <c r="D88" s="105" t="n"/>
      <c r="E88" s="105" t="n"/>
      <c r="F88" s="105" t="n"/>
    </row>
    <row r="89">
      <c r="D89" s="105" t="n"/>
      <c r="E89" s="105" t="n"/>
      <c r="F89" s="105" t="n"/>
    </row>
    <row r="90">
      <c r="D90" s="105" t="n"/>
      <c r="E90" s="105" t="n"/>
      <c r="F90" s="105" t="n"/>
    </row>
    <row r="91">
      <c r="D91" s="105" t="n"/>
      <c r="E91" s="105" t="n"/>
      <c r="F91" s="105" t="n"/>
    </row>
    <row r="92">
      <c r="D92" s="105" t="n"/>
      <c r="E92" s="105" t="n"/>
      <c r="F92" s="105" t="n"/>
    </row>
    <row r="93">
      <c r="D93" s="105" t="n"/>
      <c r="E93" s="105" t="n"/>
      <c r="F93" s="105" t="n"/>
    </row>
    <row r="94">
      <c r="D94" s="105" t="n"/>
      <c r="E94" s="105" t="n"/>
      <c r="F94" s="105" t="n"/>
    </row>
    <row r="95">
      <c r="D95" s="105" t="n"/>
      <c r="E95" s="105" t="n"/>
      <c r="F95" s="105" t="n"/>
    </row>
    <row r="96">
      <c r="D96" s="105" t="n"/>
      <c r="E96" s="105" t="n"/>
      <c r="F96" s="105" t="n"/>
    </row>
    <row r="97">
      <c r="D97" s="105" t="n"/>
      <c r="E97" s="105" t="n"/>
      <c r="F97" s="105" t="n"/>
    </row>
    <row r="98">
      <c r="D98" s="105" t="n"/>
      <c r="E98" s="105" t="n"/>
      <c r="F98" s="105" t="n"/>
    </row>
    <row r="99">
      <c r="D99" s="105" t="n"/>
      <c r="E99" s="105" t="n"/>
      <c r="F99" s="105" t="n"/>
    </row>
    <row r="100">
      <c r="D100" s="105" t="n"/>
      <c r="E100" s="105" t="n"/>
      <c r="F100" s="105" t="n"/>
    </row>
    <row r="101">
      <c r="D101" s="105" t="n"/>
      <c r="E101" s="105" t="n"/>
      <c r="F101" s="105" t="n"/>
    </row>
    <row r="102">
      <c r="D102" s="105" t="n"/>
      <c r="E102" s="105" t="n"/>
      <c r="F102" s="105" t="n"/>
    </row>
    <row r="103">
      <c r="D103" s="105" t="n"/>
      <c r="E103" s="105" t="n"/>
      <c r="F103" s="105" t="n"/>
    </row>
    <row r="104">
      <c r="D104" s="105" t="n"/>
      <c r="E104" s="105" t="n"/>
      <c r="F104" s="105" t="n"/>
    </row>
    <row r="105">
      <c r="D105" s="105" t="n"/>
      <c r="E105" s="105" t="n"/>
      <c r="F105" s="105" t="n"/>
    </row>
    <row r="106">
      <c r="D106" s="105" t="n"/>
      <c r="E106" s="105" t="n"/>
      <c r="F106" s="105" t="n"/>
    </row>
    <row r="107">
      <c r="D107" s="105" t="n"/>
      <c r="E107" s="105" t="n"/>
      <c r="F107" s="105" t="n"/>
    </row>
    <row r="108">
      <c r="D108" s="105" t="n"/>
      <c r="E108" s="105" t="n"/>
      <c r="F108" s="105" t="n"/>
    </row>
    <row r="109">
      <c r="D109" s="105" t="n"/>
      <c r="E109" s="105" t="n"/>
      <c r="F109" s="105" t="n"/>
    </row>
    <row r="110">
      <c r="D110" s="105" t="n"/>
      <c r="E110" s="105" t="n"/>
      <c r="F110" s="105" t="n"/>
    </row>
  </sheetData>
  <pageMargins left="0.7" right="0.7" top="0.75" bottom="0.75" header="0.3" footer="0.3"/>
  <drawing xmlns:r="http://schemas.openxmlformats.org/officeDocument/2006/relationships" r:id="rId1"/>
</worksheet>
</file>

<file path=xl/worksheets/sheet22.xml><?xml version="1.0" encoding="utf-8"?>
<worksheet xmlns="http://schemas.openxmlformats.org/spreadsheetml/2006/main">
  <sheetPr>
    <tabColor rgb="FF002060"/>
    <outlinePr summaryBelow="1" summaryRight="1"/>
    <pageSetUpPr/>
  </sheetPr>
  <dimension ref="B2:H7"/>
  <sheetViews>
    <sheetView showGridLines="0" topLeftCell="B1" workbookViewId="0">
      <selection activeCell="B1" sqref="A1:XFD1048576"/>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98" t="inlineStr">
        <is>
          <t>Section Divider - Model Workings</t>
        </is>
      </c>
    </row>
    <row r="5" ht="5" customHeight="1" thickBot="1">
      <c r="B5" s="99" t="n"/>
      <c r="C5" s="66" t="n"/>
      <c r="D5" s="66" t="n"/>
      <c r="E5" s="66" t="n"/>
      <c r="F5" s="66" t="n"/>
      <c r="G5" s="66" t="n"/>
      <c r="H5" s="66" t="n"/>
    </row>
    <row r="6" ht="12" customHeight="1" thickTop="1"/>
    <row r="7" ht="11.5" customHeight="1">
      <c r="B7" s="62" t="inlineStr">
        <is>
          <t>Model Workings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23.xml><?xml version="1.0" encoding="utf-8"?>
<worksheet xmlns="http://schemas.openxmlformats.org/spreadsheetml/2006/main">
  <sheetPr>
    <tabColor rgb="FF92A4FC"/>
    <outlinePr summaryBelow="1" summaryRight="1"/>
    <pageSetUpPr/>
  </sheetPr>
  <dimension ref="B2:V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baseColWidth="8" defaultColWidth="0" defaultRowHeight="11.5"/>
  <cols>
    <col width="2.53515625" customWidth="1" style="63" min="1" max="1"/>
    <col width="1.3046875" customWidth="1" style="63" min="2" max="2"/>
    <col width="8.69140625" customWidth="1" style="63" min="3" max="5"/>
    <col width="12.3828125" bestFit="1" customWidth="1" style="63" min="6" max="6"/>
    <col width="4" bestFit="1" customWidth="1" style="63" min="7" max="7"/>
    <col width="5.53515625" customWidth="1" style="63" min="8" max="18"/>
    <col width="8.69140625" customWidth="1" style="63" min="19" max="19"/>
    <col width="10.4609375" customWidth="1" style="63" min="20" max="23"/>
    <col hidden="1" style="63" min="24" max="24"/>
    <col hidden="1" width="8.69140625" customWidth="1" style="63" min="25" max="16384"/>
  </cols>
  <sheetData>
    <row r="2">
      <c r="B2" s="62">
        <f>Inputs!B2</f>
        <v/>
      </c>
    </row>
    <row r="3">
      <c r="B3" s="64">
        <f>Inputs!$B$3</f>
        <v/>
      </c>
    </row>
    <row r="4">
      <c r="B4" s="65" t="inlineStr">
        <is>
          <t>Income Statement Calculations</t>
        </is>
      </c>
    </row>
    <row r="5" ht="5" customHeight="1" thickBot="1">
      <c r="B5" s="66" t="n"/>
      <c r="C5" s="66" t="n"/>
      <c r="D5" s="66" t="n"/>
      <c r="E5" s="66" t="n"/>
      <c r="F5" s="66" t="n"/>
      <c r="G5" s="66" t="n"/>
      <c r="H5" s="66" t="n"/>
      <c r="I5" s="66" t="n"/>
      <c r="J5" s="66" t="n"/>
      <c r="K5" s="66" t="n"/>
      <c r="L5" s="66" t="n"/>
      <c r="M5" s="66" t="n"/>
      <c r="N5" s="66" t="n"/>
      <c r="O5" s="66" t="n"/>
      <c r="P5" s="66" t="n"/>
      <c r="Q5" s="66" t="n"/>
      <c r="R5" s="66" t="n"/>
      <c r="S5" s="66" t="n"/>
    </row>
    <row r="6" ht="12" customHeight="1" thickTop="1"/>
    <row r="7">
      <c r="C7" s="562">
        <f>"All amounts in "&amp;currency.heading1</f>
        <v/>
      </c>
      <c r="D7" s="562" t="n"/>
      <c r="E7" s="562" t="n"/>
      <c r="F7" s="562" t="n"/>
      <c r="G7" s="562" t="n"/>
      <c r="H7" s="69">
        <f>H11</f>
        <v/>
      </c>
      <c r="I7" s="69">
        <f>I11</f>
        <v/>
      </c>
      <c r="J7" s="69">
        <f>J11</f>
        <v/>
      </c>
      <c r="K7" s="69">
        <f>K11</f>
        <v/>
      </c>
      <c r="L7" s="69">
        <f>L11</f>
        <v/>
      </c>
      <c r="M7" s="69">
        <f>M11</f>
        <v/>
      </c>
      <c r="N7" s="69">
        <f>N11</f>
        <v/>
      </c>
      <c r="O7" s="69">
        <f>O11</f>
        <v/>
      </c>
      <c r="P7" s="69">
        <f>P11</f>
        <v/>
      </c>
      <c r="Q7" s="69">
        <f>Q11</f>
        <v/>
      </c>
      <c r="R7" s="69">
        <f>R11</f>
        <v/>
      </c>
    </row>
    <row r="8">
      <c r="C8" s="562" t="n"/>
      <c r="D8" s="562" t="n"/>
      <c r="E8" s="562" t="n"/>
      <c r="F8" s="562" t="n"/>
      <c r="G8" s="562" t="n"/>
      <c r="H8" s="69">
        <f>H12</f>
        <v/>
      </c>
      <c r="I8" s="69">
        <f>I12</f>
        <v/>
      </c>
      <c r="J8" s="69">
        <f>J12</f>
        <v/>
      </c>
      <c r="K8" s="69">
        <f>K12</f>
        <v/>
      </c>
      <c r="L8" s="69">
        <f>L12</f>
        <v/>
      </c>
      <c r="M8" s="69">
        <f>M12</f>
        <v/>
      </c>
      <c r="N8" s="69">
        <f>N12</f>
        <v/>
      </c>
      <c r="O8" s="69">
        <f>O12</f>
        <v/>
      </c>
      <c r="P8" s="69">
        <f>P12</f>
        <v/>
      </c>
      <c r="Q8" s="69">
        <f>Q12</f>
        <v/>
      </c>
      <c r="R8" s="69">
        <f>R12</f>
        <v/>
      </c>
      <c r="T8" s="254" t="inlineStr">
        <is>
          <t>CAGR</t>
        </is>
      </c>
      <c r="U8" s="235" t="inlineStr">
        <is>
          <t>FY23 Check</t>
        </is>
      </c>
      <c r="V8" s="236" t="inlineStr">
        <is>
          <t>FY23 Annualized</t>
        </is>
      </c>
    </row>
    <row r="9">
      <c r="C9" s="563" t="inlineStr">
        <is>
          <t>Timeline Architecture</t>
        </is>
      </c>
      <c r="T9" s="1973" t="n"/>
      <c r="U9" s="1974" t="n"/>
      <c r="V9" s="1975" t="n"/>
    </row>
    <row r="10">
      <c r="C10" s="63" t="inlineStr">
        <is>
          <t>Column Counter</t>
        </is>
      </c>
      <c r="H10" s="105">
        <f>I10-1</f>
        <v/>
      </c>
      <c r="I10" s="105" t="n">
        <v>-2</v>
      </c>
      <c r="J10" s="105">
        <f>I10+1</f>
        <v/>
      </c>
      <c r="K10" s="2115" t="n"/>
      <c r="L10" s="2116" t="n"/>
      <c r="M10" s="105">
        <f>J10+1</f>
        <v/>
      </c>
      <c r="N10" s="63">
        <f>M10+1</f>
        <v/>
      </c>
      <c r="O10" s="105">
        <f>N10+1</f>
        <v/>
      </c>
      <c r="P10" s="105">
        <f>O10+1</f>
        <v/>
      </c>
      <c r="Q10" s="105">
        <f>P10+1</f>
        <v/>
      </c>
      <c r="R10" s="105">
        <f>Q10+1</f>
        <v/>
      </c>
      <c r="T10" s="1973" t="n"/>
      <c r="U10" s="1974" t="n"/>
      <c r="V10" s="566" t="n"/>
    </row>
    <row r="11">
      <c r="C11" s="63" t="inlineStr">
        <is>
          <t>Financial Period</t>
        </is>
      </c>
      <c r="H11" s="105">
        <f>"FY"&amp;(RIGHT(YEAR(valuation.date),2)+H10)</f>
        <v/>
      </c>
      <c r="I11" s="105">
        <f>"FY"&amp;(RIGHT(YEAR(valuation.date),2)+I10)</f>
        <v/>
      </c>
      <c r="J11" s="105">
        <f>"FY"&amp;(RIGHT(YEAR(valuation.date),2)+J10)</f>
        <v/>
      </c>
      <c r="K11" s="105">
        <f>"YTD"&amp;RIGHT(M11,2)</f>
        <v/>
      </c>
      <c r="L11" s="105">
        <f>"YTG"&amp;RIGHT(M11,2)</f>
        <v/>
      </c>
      <c r="M11" s="105">
        <f>"FY"&amp;(RIGHT(YEAR(valuation.date),2)+M10)</f>
        <v/>
      </c>
      <c r="N11" s="105">
        <f>"FY"&amp;(RIGHT(YEAR(valuation.date),2)+N10)</f>
        <v/>
      </c>
      <c r="O11" s="105">
        <f>"FY"&amp;(RIGHT(YEAR(valuation.date),2)+O10)</f>
        <v/>
      </c>
      <c r="P11" s="105">
        <f>"FY"&amp;(RIGHT(YEAR(valuation.date),2)+P10)</f>
        <v/>
      </c>
      <c r="Q11" s="105">
        <f>"FY"&amp;(RIGHT(YEAR(valuation.date),2)+Q10)</f>
        <v/>
      </c>
      <c r="R11" s="105">
        <f>"FY"&amp;(RIGHT(YEAR(valuation.date),2)+R10)</f>
        <v/>
      </c>
      <c r="T11" s="1973" t="n"/>
      <c r="U11" s="1974" t="n"/>
      <c r="V11" s="566" t="n"/>
    </row>
    <row r="12">
      <c r="C12" s="63" t="inlineStr">
        <is>
          <t>Time Stamp</t>
        </is>
      </c>
      <c r="H12" s="105">
        <f>IF(H10&gt;1,"Forecast",IF(H10=1,"Estimate","Actual"))</f>
        <v/>
      </c>
      <c r="I12" s="105">
        <f>IF(I10&gt;1,"Forecast",IF(I10=1,"Estimate","Actual"))</f>
        <v/>
      </c>
      <c r="J12" s="105">
        <f>IF(J10&gt;1,"Forecast",IF(J10=1,"Estimate","Actual"))</f>
        <v/>
      </c>
      <c r="K12" s="105">
        <f>IF(K10&gt;1,"Forecast",IF(K10=1,"Estimate","Actual"))</f>
        <v/>
      </c>
      <c r="L12" s="105" t="inlineStr">
        <is>
          <t>Estimate</t>
        </is>
      </c>
      <c r="M12" s="105" t="inlineStr">
        <is>
          <t>Estimate</t>
        </is>
      </c>
      <c r="N12" s="105">
        <f>IF(N10&gt;1,"Forecast",IF(N10=1,"Estimate","Actual"))</f>
        <v/>
      </c>
      <c r="O12" s="105">
        <f>IF(O10&gt;1,"Forecast",IF(O10=1,"Estimate","Actual"))</f>
        <v/>
      </c>
      <c r="P12" s="105">
        <f>IF(P10&gt;1,"Forecast",IF(P10=1,"Estimate","Actual"))</f>
        <v/>
      </c>
      <c r="Q12" s="105">
        <f>IF(Q10&gt;1,"Forecast",IF(Q10=1,"Estimate","Actual"))</f>
        <v/>
      </c>
      <c r="R12" s="105">
        <f>IF(R10&gt;1,"Forecast",IF(R10=1,"Estimate","Actual"))</f>
        <v/>
      </c>
      <c r="T12" s="1973" t="n"/>
      <c r="U12" s="1974" t="n"/>
      <c r="V12" s="566" t="n"/>
    </row>
    <row r="13">
      <c r="H13" s="105" t="n"/>
      <c r="I13" s="105" t="n"/>
      <c r="J13" s="105" t="n"/>
      <c r="K13" s="105" t="n"/>
      <c r="L13" s="105" t="n"/>
      <c r="M13" s="105" t="n"/>
      <c r="N13" s="105" t="n"/>
      <c r="O13" s="105" t="n"/>
      <c r="P13" s="105" t="n"/>
      <c r="Q13" s="105" t="n"/>
      <c r="R13" s="105" t="n"/>
      <c r="T13" s="1973" t="n"/>
      <c r="U13" s="1974" t="n"/>
      <c r="V13" s="566" t="n"/>
    </row>
    <row r="14">
      <c r="C14" s="114" t="inlineStr">
        <is>
          <t xml:space="preserve">Revenue Schedule </t>
        </is>
      </c>
      <c r="D14" s="114" t="n"/>
      <c r="E14" s="114" t="n"/>
      <c r="F14" s="114" t="n"/>
      <c r="G14" s="114" t="n"/>
      <c r="H14" s="115">
        <f>H7</f>
        <v/>
      </c>
      <c r="I14" s="115">
        <f>I7</f>
        <v/>
      </c>
      <c r="J14" s="115">
        <f>J7</f>
        <v/>
      </c>
      <c r="K14" s="115">
        <f>K7</f>
        <v/>
      </c>
      <c r="L14" s="115">
        <f>L7</f>
        <v/>
      </c>
      <c r="M14" s="115">
        <f>M7</f>
        <v/>
      </c>
      <c r="N14" s="115">
        <f>N7</f>
        <v/>
      </c>
      <c r="O14" s="115">
        <f>O7</f>
        <v/>
      </c>
      <c r="P14" s="115">
        <f>P7</f>
        <v/>
      </c>
      <c r="Q14" s="115">
        <f>Q7</f>
        <v/>
      </c>
      <c r="R14" s="567">
        <f>R7</f>
        <v/>
      </c>
      <c r="T14" s="1973" t="n"/>
      <c r="U14" s="1974" t="n"/>
      <c r="V14" s="566" t="n"/>
    </row>
    <row r="15">
      <c r="C15" s="568">
        <f>currency.heading1</f>
        <v/>
      </c>
      <c r="D15" s="562" t="n"/>
      <c r="E15" s="562" t="n"/>
      <c r="F15" s="562" t="n"/>
      <c r="G15" s="562" t="n"/>
      <c r="H15" s="69">
        <f>H8</f>
        <v/>
      </c>
      <c r="I15" s="69">
        <f>I8</f>
        <v/>
      </c>
      <c r="J15" s="69">
        <f>J8</f>
        <v/>
      </c>
      <c r="K15" s="69">
        <f>K8</f>
        <v/>
      </c>
      <c r="L15" s="69">
        <f>L8</f>
        <v/>
      </c>
      <c r="M15" s="69">
        <f>M8</f>
        <v/>
      </c>
      <c r="N15" s="69">
        <f>N8</f>
        <v/>
      </c>
      <c r="O15" s="69">
        <f>O8</f>
        <v/>
      </c>
      <c r="P15" s="69">
        <f>P8</f>
        <v/>
      </c>
      <c r="Q15" s="69">
        <f>Q8</f>
        <v/>
      </c>
      <c r="R15" s="70">
        <f>R8</f>
        <v/>
      </c>
      <c r="T15" s="1973" t="n"/>
      <c r="U15" s="1974" t="n"/>
      <c r="V15" s="566" t="n"/>
    </row>
    <row r="16">
      <c r="C16" s="569" t="inlineStr">
        <is>
          <t>Revenue Build up: Price x Volume (if applicable)</t>
        </is>
      </c>
      <c r="D16" s="570" t="n"/>
      <c r="E16" s="570" t="n"/>
      <c r="F16" s="570" t="n"/>
      <c r="G16" s="570" t="n"/>
      <c r="H16" s="105" t="n"/>
      <c r="I16" s="105" t="n"/>
      <c r="J16" s="105" t="n"/>
      <c r="K16" s="105" t="n"/>
      <c r="L16" s="105" t="n"/>
      <c r="M16" s="105" t="n"/>
      <c r="N16" s="105" t="n"/>
      <c r="O16" s="105" t="n"/>
      <c r="P16" s="105" t="n"/>
      <c r="Q16" s="105" t="n"/>
      <c r="R16" s="571" t="n"/>
      <c r="T16" s="1973" t="n"/>
      <c r="U16" s="1974" t="n"/>
      <c r="V16" s="566" t="n"/>
    </row>
    <row r="17">
      <c r="C17" s="572" t="inlineStr">
        <is>
          <t>Price/Average Price per unit</t>
        </is>
      </c>
      <c r="H17" s="105" t="n"/>
      <c r="I17" s="105" t="n"/>
      <c r="J17" s="105" t="n"/>
      <c r="K17" s="105" t="n"/>
      <c r="L17" s="105" t="n"/>
      <c r="M17" s="105" t="n"/>
      <c r="N17" s="105" t="n"/>
      <c r="O17" s="105" t="n"/>
      <c r="P17" s="105" t="n"/>
      <c r="Q17" s="105" t="n"/>
      <c r="R17" s="571" t="n"/>
      <c r="T17" s="1973" t="n"/>
      <c r="U17" s="1974" t="n"/>
      <c r="V17" s="566" t="n"/>
    </row>
    <row r="18">
      <c r="C18" s="573" t="n"/>
      <c r="D18" s="63">
        <f>"Existing: "&amp;Inputs!E77</f>
        <v/>
      </c>
      <c r="H18" s="2117">
        <f>Hist.Fin!H13</f>
        <v/>
      </c>
      <c r="I18" s="2117">
        <f>Hist.Fin!I13</f>
        <v/>
      </c>
      <c r="J18" s="2117">
        <f>Hist.Fin!J13</f>
        <v/>
      </c>
      <c r="K18" s="2117">
        <f>Hist.Fin!K13</f>
        <v/>
      </c>
      <c r="L18" s="2118">
        <f>IF(ytg.approach=Inputs!$C$39,K18*ytg.actual,IF(ytg.approach=Inputs!$C$40,ytg.mgt*M18,M18-K18))</f>
        <v/>
      </c>
      <c r="M18" s="574">
        <f>Inputs!L100</f>
        <v/>
      </c>
      <c r="N18" s="1899">
        <f>M18*(1+Inputs!M100)</f>
        <v/>
      </c>
      <c r="O18" s="1899">
        <f>N18*(1+Inputs!N100)</f>
        <v/>
      </c>
      <c r="P18" s="1899">
        <f>O18*(1+Inputs!O100)</f>
        <v/>
      </c>
      <c r="Q18" s="1899">
        <f>P18*(1+Inputs!P100)</f>
        <v/>
      </c>
      <c r="R18" s="2119">
        <f>Q18*(1+Inputs!Q100)</f>
        <v/>
      </c>
      <c r="T18" s="1973">
        <f>IFERROR((R18/N18)^(1/5)-1,"-")</f>
        <v/>
      </c>
      <c r="U18" s="1974">
        <f>IFERROR(IF(K18+L18=M18,"OK","VARIANCE"),"")</f>
        <v/>
      </c>
      <c r="V18" s="2120">
        <f>IFERROR((K18/ytd.months)*12,"NA")</f>
        <v/>
      </c>
    </row>
    <row r="19">
      <c r="C19" s="573" t="n"/>
      <c r="D19" s="63">
        <f>"Existing: "&amp;Inputs!E78</f>
        <v/>
      </c>
      <c r="H19" s="2117">
        <f>Hist.Fin!H14</f>
        <v/>
      </c>
      <c r="I19" s="2117">
        <f>Hist.Fin!I14</f>
        <v/>
      </c>
      <c r="J19" s="2117">
        <f>Hist.Fin!J14</f>
        <v/>
      </c>
      <c r="K19" s="2117">
        <f>Hist.Fin!K14</f>
        <v/>
      </c>
      <c r="L19" s="2121">
        <f>IF(ytg.approach=Inputs!$C$39,K19*ytg.actual,IF(ytg.approach=Inputs!$C$40,ytg.mgt*M19,M19-K19))</f>
        <v/>
      </c>
      <c r="M19" s="574">
        <f>Inputs!L101</f>
        <v/>
      </c>
      <c r="N19" s="1899">
        <f>M19*(1+Inputs!M101)</f>
        <v/>
      </c>
      <c r="O19" s="1899">
        <f>N19*(1+Inputs!N101)</f>
        <v/>
      </c>
      <c r="P19" s="1899">
        <f>O19*(1+Inputs!O101)</f>
        <v/>
      </c>
      <c r="Q19" s="1899">
        <f>P19*(1+Inputs!P101)</f>
        <v/>
      </c>
      <c r="R19" s="2119">
        <f>Q19*(1+Inputs!Q101)</f>
        <v/>
      </c>
      <c r="T19" s="1973">
        <f>IFERROR((R19/N19)^(1/5)-1,"-")</f>
        <v/>
      </c>
      <c r="U19" s="1974">
        <f>IFERROR(IF(K19+L19=M19,"OK","VARIANCE"),"")</f>
        <v/>
      </c>
      <c r="V19" s="2120">
        <f>IFERROR((K19/ytd.months)*12,"NA")</f>
        <v/>
      </c>
    </row>
    <row r="20">
      <c r="C20" s="573" t="n"/>
      <c r="D20" s="63">
        <f>"Existing: "&amp;Inputs!E79</f>
        <v/>
      </c>
      <c r="H20" s="2117">
        <f>Hist.Fin!H15</f>
        <v/>
      </c>
      <c r="I20" s="2117">
        <f>Hist.Fin!I15</f>
        <v/>
      </c>
      <c r="J20" s="2117">
        <f>Hist.Fin!J15</f>
        <v/>
      </c>
      <c r="K20" s="2117">
        <f>Hist.Fin!K15</f>
        <v/>
      </c>
      <c r="L20" s="2121">
        <f>IF(ytg.approach=Inputs!$C$39,K20*ytg.actual,IF(ytg.approach=Inputs!$C$40,ytg.mgt*M20,M20-K20))</f>
        <v/>
      </c>
      <c r="M20" s="574">
        <f>Inputs!L102</f>
        <v/>
      </c>
      <c r="N20" s="1899">
        <f>M20*(1+Inputs!M102)</f>
        <v/>
      </c>
      <c r="O20" s="1899">
        <f>N20*(1+Inputs!N102)</f>
        <v/>
      </c>
      <c r="P20" s="1899">
        <f>O20*(1+Inputs!O102)</f>
        <v/>
      </c>
      <c r="Q20" s="1899">
        <f>P20*(1+Inputs!P102)</f>
        <v/>
      </c>
      <c r="R20" s="2119">
        <f>Q20*(1+Inputs!Q102)</f>
        <v/>
      </c>
      <c r="T20" s="1973">
        <f>IFERROR((R20/N20)^(1/5)-1,"-")</f>
        <v/>
      </c>
      <c r="U20" s="1974">
        <f>IFERROR(IF(K20+L20=M20,"OK","VARIANCE"),"")</f>
        <v/>
      </c>
      <c r="V20" s="2120">
        <f>IFERROR((K20/ytd.months)*12,"NA")</f>
        <v/>
      </c>
    </row>
    <row r="21">
      <c r="C21" s="573" t="n"/>
      <c r="D21" s="63">
        <f>"Existing: "&amp;Inputs!E80</f>
        <v/>
      </c>
      <c r="H21" s="2117">
        <f>Hist.Fin!H16</f>
        <v/>
      </c>
      <c r="I21" s="2117">
        <f>Hist.Fin!I16</f>
        <v/>
      </c>
      <c r="J21" s="2117">
        <f>Hist.Fin!J16</f>
        <v/>
      </c>
      <c r="K21" s="2117">
        <f>Hist.Fin!K16</f>
        <v/>
      </c>
      <c r="L21" s="2121">
        <f>IF(ytg.approach=Inputs!$C$39,K21*ytg.actual,IF(ytg.approach=Inputs!$C$40,ytg.mgt*M21,M21-K21))</f>
        <v/>
      </c>
      <c r="M21" s="574">
        <f>Inputs!L103</f>
        <v/>
      </c>
      <c r="N21" s="1899">
        <f>M21*(1+Inputs!M103)</f>
        <v/>
      </c>
      <c r="O21" s="1899">
        <f>N21*(1+Inputs!N103)</f>
        <v/>
      </c>
      <c r="P21" s="1899">
        <f>O21*(1+Inputs!O103)</f>
        <v/>
      </c>
      <c r="Q21" s="1899">
        <f>P21*(1+Inputs!P103)</f>
        <v/>
      </c>
      <c r="R21" s="2119">
        <f>Q21*(1+Inputs!Q103)</f>
        <v/>
      </c>
      <c r="T21" s="1973">
        <f>IFERROR((R21/N21)^(1/5)-1,"-")</f>
        <v/>
      </c>
      <c r="U21" s="1974">
        <f>IFERROR(IF(K21+L21=M21,"OK","VARIANCE"),"")</f>
        <v/>
      </c>
      <c r="V21" s="2120">
        <f>IFERROR((K21/ytd.months)*12,"NA")</f>
        <v/>
      </c>
    </row>
    <row r="22">
      <c r="C22" s="573" t="n"/>
      <c r="D22" s="63">
        <f>"Pipeline: "&amp;Inputs!E82</f>
        <v/>
      </c>
      <c r="H22" s="108" t="n"/>
      <c r="I22" s="108" t="n"/>
      <c r="J22" s="108" t="n"/>
      <c r="K22" s="1344" t="n"/>
      <c r="L22" s="2121">
        <f>IF(ytg.approach=Inputs!$C$39,K22*ytg.actual,IF(ytg.approach=Inputs!$C$40,ytg.mgt*M22,M22-K22))</f>
        <v/>
      </c>
      <c r="M22" s="574">
        <f>Inputs!L104</f>
        <v/>
      </c>
      <c r="N22" s="1899">
        <f>M22*(1+Inputs!M104)</f>
        <v/>
      </c>
      <c r="O22" s="1899">
        <f>N22*(1+Inputs!N104)</f>
        <v/>
      </c>
      <c r="P22" s="1899">
        <f>O22*(1+Inputs!O104)</f>
        <v/>
      </c>
      <c r="Q22" s="1899">
        <f>P22*(1+Inputs!P104)</f>
        <v/>
      </c>
      <c r="R22" s="2119">
        <f>Q22*(1+Inputs!Q104)</f>
        <v/>
      </c>
      <c r="T22" s="1973">
        <f>IFERROR((R22/N22)^(1/5)-1,"-")</f>
        <v/>
      </c>
      <c r="U22" s="1974">
        <f>IFERROR(IF(K22+L22=M22,"OK","VARIANCE"),"")</f>
        <v/>
      </c>
      <c r="V22" s="2120">
        <f>IFERROR((K22/ytd.months)*12,"NA")</f>
        <v/>
      </c>
    </row>
    <row r="23">
      <c r="C23" s="573" t="n"/>
      <c r="D23" s="63">
        <f>"Pipeline: "&amp;Inputs!E83</f>
        <v/>
      </c>
      <c r="H23" s="108" t="n"/>
      <c r="I23" s="108" t="n"/>
      <c r="J23" s="108" t="n"/>
      <c r="K23" s="1344" t="n"/>
      <c r="L23" s="2121">
        <f>IF(ytg.approach=Inputs!$C$39,K23*ytg.actual,IF(ytg.approach=Inputs!$C$40,ytg.mgt*M23,M23-K23))</f>
        <v/>
      </c>
      <c r="M23" s="574">
        <f>Inputs!L105</f>
        <v/>
      </c>
      <c r="N23" s="1899">
        <f>M23*(1+Inputs!M105)</f>
        <v/>
      </c>
      <c r="O23" s="1899">
        <f>N23*(1+Inputs!N105)</f>
        <v/>
      </c>
      <c r="P23" s="1899">
        <f>O23*(1+Inputs!O105)</f>
        <v/>
      </c>
      <c r="Q23" s="1899">
        <f>P23*(1+Inputs!P105)</f>
        <v/>
      </c>
      <c r="R23" s="2119">
        <f>Q23*(1+Inputs!Q105)</f>
        <v/>
      </c>
      <c r="T23" s="1973">
        <f>IFERROR((R23/N23)^(1/5)-1,"-")</f>
        <v/>
      </c>
      <c r="U23" s="1974">
        <f>IFERROR(IF(K23+L23=M23,"OK","VARIANCE"),"")</f>
        <v/>
      </c>
      <c r="V23" s="2120">
        <f>IFERROR((K23/ytd.months)*12,"NA")</f>
        <v/>
      </c>
    </row>
    <row r="24">
      <c r="C24" s="573" t="n"/>
      <c r="D24" s="63">
        <f>"Pipeline: "&amp;Inputs!E84</f>
        <v/>
      </c>
      <c r="H24" s="108" t="n"/>
      <c r="I24" s="108" t="n"/>
      <c r="J24" s="108" t="n"/>
      <c r="K24" s="1344" t="n"/>
      <c r="L24" s="2121">
        <f>IF(ytg.approach=Inputs!$C$39,K24*ytg.actual,IF(ytg.approach=Inputs!$C$40,ytg.mgt*M24,M24-K24))</f>
        <v/>
      </c>
      <c r="M24" s="574">
        <f>Inputs!L106</f>
        <v/>
      </c>
      <c r="N24" s="1899">
        <f>M24*(1+Inputs!M106)</f>
        <v/>
      </c>
      <c r="O24" s="1899">
        <f>N24*(1+Inputs!N106)</f>
        <v/>
      </c>
      <c r="P24" s="1899">
        <f>O24*(1+Inputs!O106)</f>
        <v/>
      </c>
      <c r="Q24" s="1899">
        <f>P24*(1+Inputs!P106)</f>
        <v/>
      </c>
      <c r="R24" s="2119">
        <f>Q24*(1+Inputs!Q106)</f>
        <v/>
      </c>
      <c r="T24" s="1973">
        <f>IFERROR((R24/N24)^(1/5)-1,"-")</f>
        <v/>
      </c>
      <c r="U24" s="1974">
        <f>IFERROR(IF(K24+L24=M24,"OK","VARIANCE"),"")</f>
        <v/>
      </c>
      <c r="V24" s="2120">
        <f>IFERROR((K24/ytd.months)*12,"NA")</f>
        <v/>
      </c>
    </row>
    <row r="25">
      <c r="C25" s="573" t="n"/>
      <c r="D25" s="63">
        <f>"Pipeline: "&amp;Inputs!E85</f>
        <v/>
      </c>
      <c r="H25" s="108" t="n"/>
      <c r="I25" s="108" t="n"/>
      <c r="J25" s="108" t="n"/>
      <c r="K25" s="1344" t="n"/>
      <c r="L25" s="2121">
        <f>IF(ytg.approach=Inputs!$C$39,K25*ytg.actual,IF(ytg.approach=Inputs!$C$40,ytg.mgt*M25,M25-K25))</f>
        <v/>
      </c>
      <c r="M25" s="574">
        <f>Inputs!L107</f>
        <v/>
      </c>
      <c r="N25" s="1899">
        <f>M25*(1+Inputs!M107)</f>
        <v/>
      </c>
      <c r="O25" s="1899">
        <f>N25*(1+Inputs!N107)</f>
        <v/>
      </c>
      <c r="P25" s="1899">
        <f>O25*(1+Inputs!O107)</f>
        <v/>
      </c>
      <c r="Q25" s="1899">
        <f>P25*(1+Inputs!P107)</f>
        <v/>
      </c>
      <c r="R25" s="2119">
        <f>Q25*(1+Inputs!Q107)</f>
        <v/>
      </c>
      <c r="T25" s="1973">
        <f>IFERROR((R25/N25)^(1/5)-1,"-")</f>
        <v/>
      </c>
      <c r="U25" s="1974">
        <f>IFERROR(IF(K25+L25=M25,"OK","VARIANCE"),"")</f>
        <v/>
      </c>
      <c r="V25" s="2120">
        <f>IFERROR((K25/ytd.months)*12,"NA")</f>
        <v/>
      </c>
    </row>
    <row r="26">
      <c r="C26" s="573" t="n"/>
      <c r="D26" s="63">
        <f>"Potential: "&amp;Inputs!E87</f>
        <v/>
      </c>
      <c r="H26" s="108" t="n"/>
      <c r="I26" s="108" t="n"/>
      <c r="J26" s="108" t="n"/>
      <c r="K26" s="1344" t="n"/>
      <c r="L26" s="2121">
        <f>IF(ytg.approach=Inputs!$C$39,K26*ytg.actual,IF(ytg.approach=Inputs!$C$40,ytg.mgt*M26,M26-K26))</f>
        <v/>
      </c>
      <c r="M26" s="574">
        <f>Inputs!L108</f>
        <v/>
      </c>
      <c r="N26" s="1899">
        <f>M26*(1+Inputs!M108)</f>
        <v/>
      </c>
      <c r="O26" s="1899">
        <f>N26*(1+Inputs!N108)</f>
        <v/>
      </c>
      <c r="P26" s="1899">
        <f>O26*(1+Inputs!O108)</f>
        <v/>
      </c>
      <c r="Q26" s="1899">
        <f>P26*(1+Inputs!P108)</f>
        <v/>
      </c>
      <c r="R26" s="2119">
        <f>Q26*(1+Inputs!Q108)</f>
        <v/>
      </c>
      <c r="T26" s="1973">
        <f>IFERROR((R26/N26)^(1/5)-1,"-")</f>
        <v/>
      </c>
      <c r="U26" s="1974">
        <f>IFERROR(IF(K26+L26=M26,"OK","VARIANCE"),"")</f>
        <v/>
      </c>
      <c r="V26" s="2120">
        <f>IFERROR((K26/ytd.months)*12,"NA")</f>
        <v/>
      </c>
    </row>
    <row r="27">
      <c r="C27" s="573" t="n"/>
      <c r="D27" s="63">
        <f>"Potential: "&amp;Inputs!E88</f>
        <v/>
      </c>
      <c r="H27" s="108" t="n"/>
      <c r="I27" s="108" t="n"/>
      <c r="J27" s="108" t="n"/>
      <c r="K27" s="1344" t="n"/>
      <c r="L27" s="2121">
        <f>IF(ytg.approach=Inputs!$C$39,K27*ytg.actual,IF(ytg.approach=Inputs!$C$40,ytg.mgt*M27,M27-K27))</f>
        <v/>
      </c>
      <c r="M27" s="574">
        <f>Inputs!L109</f>
        <v/>
      </c>
      <c r="N27" s="1899">
        <f>M27*(1+Inputs!M109)</f>
        <v/>
      </c>
      <c r="O27" s="1899">
        <f>N27*(1+Inputs!N109)</f>
        <v/>
      </c>
      <c r="P27" s="1899">
        <f>O27*(1+Inputs!O109)</f>
        <v/>
      </c>
      <c r="Q27" s="1899">
        <f>P27*(1+Inputs!P109)</f>
        <v/>
      </c>
      <c r="R27" s="2119">
        <f>Q27*(1+Inputs!Q109)</f>
        <v/>
      </c>
      <c r="T27" s="1973">
        <f>IFERROR((R27/N27)^(1/5)-1,"-")</f>
        <v/>
      </c>
      <c r="U27" s="1974">
        <f>IFERROR(IF(K27+L27=M27,"OK","VARIANCE"),"")</f>
        <v/>
      </c>
      <c r="V27" s="2120">
        <f>IFERROR((K27/ytd.months)*12,"NA")</f>
        <v/>
      </c>
    </row>
    <row r="28">
      <c r="C28" s="573" t="n"/>
      <c r="D28" s="63">
        <f>"Potential: "&amp;Inputs!E89</f>
        <v/>
      </c>
      <c r="H28" s="108" t="n"/>
      <c r="I28" s="108" t="n"/>
      <c r="J28" s="108" t="n"/>
      <c r="K28" s="1344" t="n"/>
      <c r="L28" s="2121">
        <f>IF(ytg.approach=Inputs!$C$39,K28*ytg.actual,IF(ytg.approach=Inputs!$C$40,ytg.mgt*M28,M28-K28))</f>
        <v/>
      </c>
      <c r="M28" s="574">
        <f>Inputs!L110</f>
        <v/>
      </c>
      <c r="N28" s="1899">
        <f>M28*(1+Inputs!M110)</f>
        <v/>
      </c>
      <c r="O28" s="1899">
        <f>N28*(1+Inputs!N110)</f>
        <v/>
      </c>
      <c r="P28" s="1899">
        <f>O28*(1+Inputs!O110)</f>
        <v/>
      </c>
      <c r="Q28" s="1899">
        <f>P28*(1+Inputs!P110)</f>
        <v/>
      </c>
      <c r="R28" s="2119">
        <f>Q28*(1+Inputs!Q110)</f>
        <v/>
      </c>
      <c r="T28" s="1973">
        <f>IFERROR((R28/N28)^(1/5)-1,"-")</f>
        <v/>
      </c>
      <c r="U28" s="1974">
        <f>IFERROR(IF(K28+L28=M28,"OK","VARIANCE"),"")</f>
        <v/>
      </c>
      <c r="V28" s="2120">
        <f>IFERROR((K28/ytd.months)*12,"NA")</f>
        <v/>
      </c>
    </row>
    <row r="29">
      <c r="C29" s="573" t="n"/>
      <c r="D29" s="63">
        <f>"Potential: "&amp;Inputs!E90</f>
        <v/>
      </c>
      <c r="H29" s="108" t="n"/>
      <c r="I29" s="108" t="n"/>
      <c r="J29" s="108" t="n"/>
      <c r="K29" s="1344" t="n"/>
      <c r="L29" s="2121">
        <f>IF(ytg.approach=Inputs!$C$39,K29*ytg.actual,IF(ytg.approach=Inputs!$C$40,ytg.mgt*M29,M29-K29))</f>
        <v/>
      </c>
      <c r="M29" s="574">
        <f>Inputs!L111</f>
        <v/>
      </c>
      <c r="N29" s="1899">
        <f>M29*(1+Inputs!M111)</f>
        <v/>
      </c>
      <c r="O29" s="1899">
        <f>N29*(1+Inputs!N111)</f>
        <v/>
      </c>
      <c r="P29" s="1899">
        <f>O29*(1+Inputs!O111)</f>
        <v/>
      </c>
      <c r="Q29" s="1899">
        <f>P29*(1+Inputs!P111)</f>
        <v/>
      </c>
      <c r="R29" s="2119">
        <f>Q29*(1+Inputs!Q111)</f>
        <v/>
      </c>
      <c r="T29" s="1973">
        <f>IFERROR((R29/N29)^(1/5)-1,"-")</f>
        <v/>
      </c>
      <c r="U29" s="1974">
        <f>IFERROR(IF(K29+L29=M29,"OK","VARIANCE"),"")</f>
        <v/>
      </c>
      <c r="V29" s="2120">
        <f>IFERROR((K29/ytd.months)*12,"NA")</f>
        <v/>
      </c>
    </row>
    <row r="30">
      <c r="C30" s="573" t="n"/>
      <c r="H30" s="105" t="n"/>
      <c r="I30" s="105" t="n"/>
      <c r="J30" s="105" t="n"/>
      <c r="K30" s="105" t="n"/>
      <c r="L30" s="105" t="n"/>
      <c r="M30" s="105" t="n"/>
      <c r="N30" s="105" t="n"/>
      <c r="O30" s="105" t="n"/>
      <c r="P30" s="105" t="n"/>
      <c r="Q30" s="105" t="n"/>
      <c r="R30" s="571" t="n"/>
      <c r="T30" s="1973">
        <f>IFERROR((R30/N30)^(1/5)-1,"-")</f>
        <v/>
      </c>
      <c r="U30" s="1974">
        <f>IFERROR(IF(K30+L30=M30,"OK","VARIANCE"),"")</f>
        <v/>
      </c>
      <c r="V30" s="2120">
        <f>IFERROR((K30/ytd.months)*12,"NA")</f>
        <v/>
      </c>
    </row>
    <row r="31">
      <c r="C31" s="572" t="inlineStr">
        <is>
          <t>Sales Volumes</t>
        </is>
      </c>
      <c r="H31" s="105" t="n"/>
      <c r="I31" s="105" t="n"/>
      <c r="J31" s="105" t="n"/>
      <c r="K31" s="105" t="n"/>
      <c r="L31" s="105" t="n"/>
      <c r="M31" s="105" t="n"/>
      <c r="N31" s="105" t="n"/>
      <c r="O31" s="105" t="n"/>
      <c r="P31" s="105" t="n"/>
      <c r="Q31" s="105" t="n"/>
      <c r="R31" s="571" t="n"/>
      <c r="T31" s="1973">
        <f>IFERROR((R31/N31)^(1/5)-1,"-")</f>
        <v/>
      </c>
      <c r="U31" s="1974">
        <f>IFERROR(IF(K31+L31=M31,"OK","VARIANCE"),"")</f>
        <v/>
      </c>
      <c r="V31" s="2120">
        <f>IFERROR((K31/ytd.months)*12,"NA")</f>
        <v/>
      </c>
    </row>
    <row r="32">
      <c r="C32" s="573" t="n"/>
      <c r="D32" s="63">
        <f>D18</f>
        <v/>
      </c>
      <c r="H32" s="2117">
        <f>Hist.Fin!H19</f>
        <v/>
      </c>
      <c r="I32" s="2117">
        <f>Hist.Fin!I19</f>
        <v/>
      </c>
      <c r="J32" s="2117">
        <f>Hist.Fin!J19</f>
        <v/>
      </c>
      <c r="K32" s="2117">
        <f>Hist.Fin!K19</f>
        <v/>
      </c>
      <c r="L32" s="2121">
        <f>IF(ytg.approach=Inputs!$C$39,K32*ytg.actual,IF(ytg.approach=Inputs!$C$40,ytg.mgt*M32,M32-K32))</f>
        <v/>
      </c>
      <c r="M32" s="574">
        <f>Inputs!L114</f>
        <v/>
      </c>
      <c r="N32" s="1899">
        <f>M32*(1+Inputs!M114)</f>
        <v/>
      </c>
      <c r="O32" s="1899">
        <f>N32*(1+Inputs!N114)</f>
        <v/>
      </c>
      <c r="P32" s="1899">
        <f>O32*(1+Inputs!O114)</f>
        <v/>
      </c>
      <c r="Q32" s="1899">
        <f>P32*(1+Inputs!P114)</f>
        <v/>
      </c>
      <c r="R32" s="2119">
        <f>Q32*(1+Inputs!Q114)</f>
        <v/>
      </c>
      <c r="T32" s="1973">
        <f>IFERROR((R32/N32)^(1/5)-1,"-")</f>
        <v/>
      </c>
      <c r="U32" s="1974">
        <f>IFERROR(IF(K32+L32=M32,"OK","VARIANCE"),"")</f>
        <v/>
      </c>
      <c r="V32" s="2120">
        <f>IFERROR((K32/ytd.months)*12,"NA")</f>
        <v/>
      </c>
    </row>
    <row r="33">
      <c r="C33" s="573" t="n"/>
      <c r="D33" s="63">
        <f>D19</f>
        <v/>
      </c>
      <c r="H33" s="2117">
        <f>Hist.Fin!H20</f>
        <v/>
      </c>
      <c r="I33" s="2117">
        <f>Hist.Fin!I20</f>
        <v/>
      </c>
      <c r="J33" s="2117">
        <f>Hist.Fin!J20</f>
        <v/>
      </c>
      <c r="K33" s="2117">
        <f>Hist.Fin!K20</f>
        <v/>
      </c>
      <c r="L33" s="2121">
        <f>IF(ytg.approach=Inputs!$C$39,K33*ytg.actual,IF(ytg.approach=Inputs!$C$40,ytg.mgt*M33,M33-K33))</f>
        <v/>
      </c>
      <c r="M33" s="574">
        <f>Inputs!L115</f>
        <v/>
      </c>
      <c r="N33" s="1899">
        <f>M33*(1+Inputs!M115)</f>
        <v/>
      </c>
      <c r="O33" s="1899">
        <f>N33*(1+Inputs!N115)</f>
        <v/>
      </c>
      <c r="P33" s="1899">
        <f>O33*(1+Inputs!O115)</f>
        <v/>
      </c>
      <c r="Q33" s="1899">
        <f>P33*(1+Inputs!P115)</f>
        <v/>
      </c>
      <c r="R33" s="2119">
        <f>Q33*(1+Inputs!Q115)</f>
        <v/>
      </c>
      <c r="T33" s="1973">
        <f>IFERROR((R33/N33)^(1/5)-1,"-")</f>
        <v/>
      </c>
      <c r="U33" s="1974">
        <f>IFERROR(IF(K33+L33=M33,"OK","VARIANCE"),"")</f>
        <v/>
      </c>
      <c r="V33" s="2120">
        <f>IFERROR((K33/ytd.months)*12,"NA")</f>
        <v/>
      </c>
    </row>
    <row r="34">
      <c r="C34" s="573" t="n"/>
      <c r="D34" s="63">
        <f>D20</f>
        <v/>
      </c>
      <c r="H34" s="2117">
        <f>Hist.Fin!H21</f>
        <v/>
      </c>
      <c r="I34" s="2117">
        <f>Hist.Fin!I21</f>
        <v/>
      </c>
      <c r="J34" s="2117">
        <f>Hist.Fin!J21</f>
        <v/>
      </c>
      <c r="K34" s="2117">
        <f>Hist.Fin!K21</f>
        <v/>
      </c>
      <c r="L34" s="2121">
        <f>IF(ytg.approach=Inputs!$C$39,K34*ytg.actual,IF(ytg.approach=Inputs!$C$40,ytg.mgt*M34,M34-K34))</f>
        <v/>
      </c>
      <c r="M34" s="574">
        <f>Inputs!L116</f>
        <v/>
      </c>
      <c r="N34" s="1899">
        <f>M34*(1+Inputs!M116)</f>
        <v/>
      </c>
      <c r="O34" s="1899">
        <f>N34*(1+Inputs!N116)</f>
        <v/>
      </c>
      <c r="P34" s="1899">
        <f>O34*(1+Inputs!O116)</f>
        <v/>
      </c>
      <c r="Q34" s="1899">
        <f>P34*(1+Inputs!P116)</f>
        <v/>
      </c>
      <c r="R34" s="2119">
        <f>Q34*(1+Inputs!Q116)</f>
        <v/>
      </c>
      <c r="T34" s="1973">
        <f>IFERROR((R34/N34)^(1/5)-1,"-")</f>
        <v/>
      </c>
      <c r="U34" s="1974">
        <f>IFERROR(IF(K34+L34=M34,"OK","VARIANCE"),"")</f>
        <v/>
      </c>
      <c r="V34" s="2120">
        <f>IFERROR((K34/ytd.months)*12,"NA")</f>
        <v/>
      </c>
    </row>
    <row r="35">
      <c r="C35" s="573" t="n"/>
      <c r="D35" s="63">
        <f>D21</f>
        <v/>
      </c>
      <c r="H35" s="2117">
        <f>Hist.Fin!H22</f>
        <v/>
      </c>
      <c r="I35" s="2117">
        <f>Hist.Fin!I22</f>
        <v/>
      </c>
      <c r="J35" s="2117">
        <f>Hist.Fin!J22</f>
        <v/>
      </c>
      <c r="K35" s="2117">
        <f>Hist.Fin!K22</f>
        <v/>
      </c>
      <c r="L35" s="2121">
        <f>IF(ytg.approach=Inputs!$C$39,K35*ytg.actual,IF(ytg.approach=Inputs!$C$40,ytg.mgt*M35,M35-K35))</f>
        <v/>
      </c>
      <c r="M35" s="574">
        <f>Inputs!L117</f>
        <v/>
      </c>
      <c r="N35" s="1899">
        <f>M35*(1+Inputs!M117)</f>
        <v/>
      </c>
      <c r="O35" s="1899">
        <f>N35*(1+Inputs!N117)</f>
        <v/>
      </c>
      <c r="P35" s="1899">
        <f>O35*(1+Inputs!O117)</f>
        <v/>
      </c>
      <c r="Q35" s="1899">
        <f>P35*(1+Inputs!P117)</f>
        <v/>
      </c>
      <c r="R35" s="2119">
        <f>Q35*(1+Inputs!Q117)</f>
        <v/>
      </c>
      <c r="T35" s="1973">
        <f>IFERROR((R35/N35)^(1/5)-1,"-")</f>
        <v/>
      </c>
      <c r="U35" s="1974">
        <f>IFERROR(IF(K35+L35=M35,"OK","VARIANCE"),"")</f>
        <v/>
      </c>
      <c r="V35" s="2120">
        <f>IFERROR((K35/ytd.months)*12,"NA")</f>
        <v/>
      </c>
    </row>
    <row r="36">
      <c r="C36" s="573" t="n"/>
      <c r="D36" s="63">
        <f>D22</f>
        <v/>
      </c>
      <c r="H36" s="108" t="n"/>
      <c r="I36" s="108" t="n"/>
      <c r="J36" s="108" t="n"/>
      <c r="K36" s="1344" t="n"/>
      <c r="L36" s="2121">
        <f>IF(ytg.approach=Inputs!$C$39,K36*ytg.actual,IF(ytg.approach=Inputs!$C$40,ytg.mgt*M36,M36-K36))</f>
        <v/>
      </c>
      <c r="M36" s="574">
        <f>Inputs!L118</f>
        <v/>
      </c>
      <c r="N36" s="1899">
        <f>M36*(1+Inputs!M118)</f>
        <v/>
      </c>
      <c r="O36" s="1899">
        <f>N36*(1+Inputs!N118)</f>
        <v/>
      </c>
      <c r="P36" s="1899">
        <f>O36*(1+Inputs!O118)</f>
        <v/>
      </c>
      <c r="Q36" s="1899">
        <f>P36*(1+Inputs!P118)</f>
        <v/>
      </c>
      <c r="R36" s="2119">
        <f>Q36*(1+Inputs!Q118)</f>
        <v/>
      </c>
      <c r="T36" s="1973">
        <f>IFERROR((R36/N36)^(1/5)-1,"-")</f>
        <v/>
      </c>
      <c r="U36" s="1974">
        <f>IFERROR(IF(K36+L36=M36,"OK","VARIANCE"),"")</f>
        <v/>
      </c>
      <c r="V36" s="2120">
        <f>IFERROR((K36/ytd.months)*12,"NA")</f>
        <v/>
      </c>
    </row>
    <row r="37">
      <c r="C37" s="573" t="n"/>
      <c r="D37" s="63">
        <f>D23</f>
        <v/>
      </c>
      <c r="H37" s="108" t="n"/>
      <c r="I37" s="108" t="n"/>
      <c r="J37" s="108" t="n"/>
      <c r="K37" s="1344" t="n"/>
      <c r="L37" s="2121">
        <f>IF(ytg.approach=Inputs!$C$39,K37*ytg.actual,IF(ytg.approach=Inputs!$C$40,ytg.mgt*M37,M37-K37))</f>
        <v/>
      </c>
      <c r="M37" s="574">
        <f>Inputs!L119</f>
        <v/>
      </c>
      <c r="N37" s="1899">
        <f>M37*(1+Inputs!M119)</f>
        <v/>
      </c>
      <c r="O37" s="1899">
        <f>N37*(1+Inputs!N119)</f>
        <v/>
      </c>
      <c r="P37" s="1899">
        <f>O37*(1+Inputs!O119)</f>
        <v/>
      </c>
      <c r="Q37" s="1899">
        <f>P37*(1+Inputs!P119)</f>
        <v/>
      </c>
      <c r="R37" s="2119">
        <f>Q37*(1+Inputs!Q119)</f>
        <v/>
      </c>
      <c r="T37" s="1973">
        <f>IFERROR((R37/N37)^(1/5)-1,"-")</f>
        <v/>
      </c>
      <c r="U37" s="1974">
        <f>IFERROR(IF(K37+L37=M37,"OK","VARIANCE"),"")</f>
        <v/>
      </c>
      <c r="V37" s="2120">
        <f>IFERROR((K37/ytd.months)*12,"NA")</f>
        <v/>
      </c>
    </row>
    <row r="38">
      <c r="C38" s="573" t="n"/>
      <c r="D38" s="63">
        <f>D24</f>
        <v/>
      </c>
      <c r="H38" s="108" t="n"/>
      <c r="I38" s="108" t="n"/>
      <c r="J38" s="108" t="n"/>
      <c r="K38" s="1344" t="n"/>
      <c r="L38" s="2121">
        <f>IF(ytg.approach=Inputs!$C$39,K38*ytg.actual,IF(ytg.approach=Inputs!$C$40,ytg.mgt*M38,M38-K38))</f>
        <v/>
      </c>
      <c r="M38" s="574">
        <f>Inputs!L120</f>
        <v/>
      </c>
      <c r="N38" s="1899">
        <f>M38*(1+Inputs!M120)</f>
        <v/>
      </c>
      <c r="O38" s="1899">
        <f>N38*(1+Inputs!N120)</f>
        <v/>
      </c>
      <c r="P38" s="1899">
        <f>O38*(1+Inputs!O120)</f>
        <v/>
      </c>
      <c r="Q38" s="1899">
        <f>P38*(1+Inputs!P120)</f>
        <v/>
      </c>
      <c r="R38" s="2119">
        <f>Q38*(1+Inputs!Q120)</f>
        <v/>
      </c>
      <c r="T38" s="1973">
        <f>IFERROR((R38/N38)^(1/5)-1,"-")</f>
        <v/>
      </c>
      <c r="U38" s="1974">
        <f>IFERROR(IF(K38+L38=M38,"OK","VARIANCE"),"")</f>
        <v/>
      </c>
      <c r="V38" s="2120">
        <f>IFERROR((K38/ytd.months)*12,"NA")</f>
        <v/>
      </c>
    </row>
    <row r="39">
      <c r="C39" s="573" t="n"/>
      <c r="D39" s="63">
        <f>D25</f>
        <v/>
      </c>
      <c r="H39" s="108" t="n"/>
      <c r="I39" s="108" t="n"/>
      <c r="J39" s="108" t="n"/>
      <c r="K39" s="1344" t="n"/>
      <c r="L39" s="2121">
        <f>IF(ytg.approach=Inputs!$C$39,K39*ytg.actual,IF(ytg.approach=Inputs!$C$40,ytg.mgt*M39,M39-K39))</f>
        <v/>
      </c>
      <c r="M39" s="574">
        <f>Inputs!L121</f>
        <v/>
      </c>
      <c r="N39" s="1899">
        <f>M39*(1+Inputs!M121)</f>
        <v/>
      </c>
      <c r="O39" s="1899">
        <f>N39*(1+Inputs!N121)</f>
        <v/>
      </c>
      <c r="P39" s="1899">
        <f>O39*(1+Inputs!O121)</f>
        <v/>
      </c>
      <c r="Q39" s="1899">
        <f>P39*(1+Inputs!P121)</f>
        <v/>
      </c>
      <c r="R39" s="2119">
        <f>Q39*(1+Inputs!Q121)</f>
        <v/>
      </c>
      <c r="T39" s="1973">
        <f>IFERROR((R39/N39)^(1/5)-1,"-")</f>
        <v/>
      </c>
      <c r="U39" s="1974">
        <f>IFERROR(IF(K39+L39=M39,"OK","VARIANCE"),"")</f>
        <v/>
      </c>
      <c r="V39" s="2120">
        <f>IFERROR((K39/ytd.months)*12,"NA")</f>
        <v/>
      </c>
    </row>
    <row r="40">
      <c r="C40" s="573" t="n"/>
      <c r="D40" s="63">
        <f>D26</f>
        <v/>
      </c>
      <c r="H40" s="108" t="n"/>
      <c r="I40" s="108" t="n"/>
      <c r="J40" s="108" t="n"/>
      <c r="K40" s="1344" t="n"/>
      <c r="L40" s="2121">
        <f>IF(ytg.approach=Inputs!$C$39,K40*ytg.actual,IF(ytg.approach=Inputs!$C$40,ytg.mgt*M40,M40-K40))</f>
        <v/>
      </c>
      <c r="M40" s="574">
        <f>Inputs!L122</f>
        <v/>
      </c>
      <c r="N40" s="1899">
        <f>M40*(1+Inputs!M122)</f>
        <v/>
      </c>
      <c r="O40" s="1899">
        <f>N40*(1+Inputs!N122)</f>
        <v/>
      </c>
      <c r="P40" s="1899">
        <f>O40*(1+Inputs!O122)</f>
        <v/>
      </c>
      <c r="Q40" s="1899">
        <f>P40*(1+Inputs!P122)</f>
        <v/>
      </c>
      <c r="R40" s="2119">
        <f>Q40*(1+Inputs!Q122)</f>
        <v/>
      </c>
      <c r="T40" s="1973">
        <f>IFERROR((R40/N40)^(1/5)-1,"-")</f>
        <v/>
      </c>
      <c r="U40" s="1974">
        <f>IFERROR(IF(K40+L40=M40,"OK","VARIANCE"),"")</f>
        <v/>
      </c>
      <c r="V40" s="2120">
        <f>IFERROR((K40/ytd.months)*12,"NA")</f>
        <v/>
      </c>
    </row>
    <row r="41">
      <c r="C41" s="573" t="n"/>
      <c r="D41" s="63">
        <f>D27</f>
        <v/>
      </c>
      <c r="H41" s="108" t="n"/>
      <c r="I41" s="108" t="n"/>
      <c r="J41" s="108" t="n"/>
      <c r="K41" s="1344" t="n"/>
      <c r="L41" s="2121">
        <f>IF(ytg.approach=Inputs!$C$39,K41*ytg.actual,IF(ytg.approach=Inputs!$C$40,ytg.mgt*M41,M41-K41))</f>
        <v/>
      </c>
      <c r="M41" s="574">
        <f>Inputs!L123</f>
        <v/>
      </c>
      <c r="N41" s="1899">
        <f>M41*(1+Inputs!M123)</f>
        <v/>
      </c>
      <c r="O41" s="1899">
        <f>N41*(1+Inputs!N123)</f>
        <v/>
      </c>
      <c r="P41" s="1899">
        <f>O41*(1+Inputs!O123)</f>
        <v/>
      </c>
      <c r="Q41" s="1899">
        <f>P41*(1+Inputs!P123)</f>
        <v/>
      </c>
      <c r="R41" s="2119">
        <f>Q41*(1+Inputs!Q123)</f>
        <v/>
      </c>
      <c r="T41" s="1973">
        <f>IFERROR((R41/N41)^(1/5)-1,"-")</f>
        <v/>
      </c>
      <c r="U41" s="1974">
        <f>IFERROR(IF(K41+L41=M41,"OK","VARIANCE"),"")</f>
        <v/>
      </c>
      <c r="V41" s="2120">
        <f>IFERROR((K41/ytd.months)*12,"NA")</f>
        <v/>
      </c>
    </row>
    <row r="42">
      <c r="C42" s="573" t="n"/>
      <c r="D42" s="63">
        <f>D28</f>
        <v/>
      </c>
      <c r="H42" s="108" t="n"/>
      <c r="I42" s="108" t="n"/>
      <c r="J42" s="108" t="n"/>
      <c r="K42" s="1344" t="n"/>
      <c r="L42" s="2121">
        <f>IF(ytg.approach=Inputs!$C$39,K42*ytg.actual,IF(ytg.approach=Inputs!$C$40,ytg.mgt*M42,M42-K42))</f>
        <v/>
      </c>
      <c r="M42" s="574">
        <f>Inputs!L124</f>
        <v/>
      </c>
      <c r="N42" s="1899">
        <f>M42*(1+Inputs!M124)</f>
        <v/>
      </c>
      <c r="O42" s="1899">
        <f>N42*(1+Inputs!N124)</f>
        <v/>
      </c>
      <c r="P42" s="1899">
        <f>O42*(1+Inputs!O124)</f>
        <v/>
      </c>
      <c r="Q42" s="1899">
        <f>P42*(1+Inputs!P124)</f>
        <v/>
      </c>
      <c r="R42" s="2119">
        <f>Q42*(1+Inputs!Q124)</f>
        <v/>
      </c>
      <c r="T42" s="1973">
        <f>IFERROR((R42/N42)^(1/5)-1,"-")</f>
        <v/>
      </c>
      <c r="U42" s="1974">
        <f>IFERROR(IF(K42+L42=M42,"OK","VARIANCE"),"")</f>
        <v/>
      </c>
      <c r="V42" s="2120">
        <f>IFERROR((K42/ytd.months)*12,"NA")</f>
        <v/>
      </c>
    </row>
    <row r="43">
      <c r="C43" s="573" t="n"/>
      <c r="D43" s="63">
        <f>D29</f>
        <v/>
      </c>
      <c r="H43" s="108" t="n"/>
      <c r="I43" s="108" t="n"/>
      <c r="J43" s="108" t="n"/>
      <c r="K43" s="1344" t="n"/>
      <c r="L43" s="2121">
        <f>IF(ytg.approach=Inputs!$C$39,K43*ytg.actual,IF(ytg.approach=Inputs!$C$40,ytg.mgt*M43,M43-K43))</f>
        <v/>
      </c>
      <c r="M43" s="574">
        <f>Inputs!L125</f>
        <v/>
      </c>
      <c r="N43" s="1899">
        <f>M43*(1+Inputs!M125)</f>
        <v/>
      </c>
      <c r="O43" s="1899">
        <f>N43*(1+Inputs!N125)</f>
        <v/>
      </c>
      <c r="P43" s="1899">
        <f>O43*(1+Inputs!O125)</f>
        <v/>
      </c>
      <c r="Q43" s="1899">
        <f>P43*(1+Inputs!P125)</f>
        <v/>
      </c>
      <c r="R43" s="2119">
        <f>Q43*(1+Inputs!Q125)</f>
        <v/>
      </c>
      <c r="T43" s="1973">
        <f>IFERROR((R43/N43)^(1/5)-1,"-")</f>
        <v/>
      </c>
      <c r="U43" s="1974">
        <f>IFERROR(IF(K43+L43=M43,"OK","VARIANCE"),"")</f>
        <v/>
      </c>
      <c r="V43" s="2120">
        <f>IFERROR((K43/ytd.months)*12,"NA")</f>
        <v/>
      </c>
    </row>
    <row r="44">
      <c r="C44" s="573" t="n"/>
      <c r="H44" s="105" t="n"/>
      <c r="I44" s="105" t="n"/>
      <c r="J44" s="105" t="n"/>
      <c r="K44" s="105" t="n"/>
      <c r="L44" s="105" t="n"/>
      <c r="M44" s="105" t="n"/>
      <c r="N44" s="105" t="n"/>
      <c r="O44" s="105" t="n"/>
      <c r="P44" s="105" t="n"/>
      <c r="Q44" s="105" t="n"/>
      <c r="R44" s="571" t="n"/>
      <c r="T44" s="1973">
        <f>IFERROR((R44/N44)^(1/5)-1,"-")</f>
        <v/>
      </c>
      <c r="U44" s="1974">
        <f>IFERROR(IF(K44+L44=M44,"OK","VARIANCE"),"")</f>
        <v/>
      </c>
      <c r="V44" s="2120">
        <f>IFERROR((K44/ytd.months)*12,"NA")</f>
        <v/>
      </c>
    </row>
    <row r="45">
      <c r="C45" s="569" t="inlineStr">
        <is>
          <t>Existing Revenue</t>
        </is>
      </c>
      <c r="D45" s="570" t="n"/>
      <c r="E45" s="570" t="n"/>
      <c r="F45" s="570" t="n"/>
      <c r="G45" s="570" t="n"/>
      <c r="H45" s="580" t="n"/>
      <c r="I45" s="580" t="n"/>
      <c r="J45" s="580" t="n"/>
      <c r="K45" s="580" t="n"/>
      <c r="L45" s="580" t="n"/>
      <c r="M45" s="580" t="n"/>
      <c r="N45" s="580" t="n"/>
      <c r="O45" s="580" t="n"/>
      <c r="P45" s="580" t="n"/>
      <c r="Q45" s="580" t="n"/>
      <c r="R45" s="581" t="n"/>
      <c r="T45" s="1973">
        <f>IFERROR((R45/N45)^(1/5)-1,"-")</f>
        <v/>
      </c>
      <c r="U45" s="1974">
        <f>IFERROR(IF(K45+L45=M45,"OK","VARIANCE"),"")</f>
        <v/>
      </c>
      <c r="V45" s="2120">
        <f>IFERROR((K45/ytd.months)*12,"NA")</f>
        <v/>
      </c>
    </row>
    <row r="46">
      <c r="C46" s="582">
        <f>Inputs!E77&amp;" Revenue"</f>
        <v/>
      </c>
      <c r="D46" s="85" t="n"/>
      <c r="E46" s="85" t="n"/>
      <c r="F46" s="85" t="n"/>
      <c r="G46" s="85" t="n"/>
      <c r="H46" s="2122">
        <f>H18*H32</f>
        <v/>
      </c>
      <c r="I46" s="2122">
        <f>I18*I32</f>
        <v/>
      </c>
      <c r="J46" s="2122">
        <f>J18*J32</f>
        <v/>
      </c>
      <c r="K46" s="2122">
        <f>K18*K32</f>
        <v/>
      </c>
      <c r="L46" s="2123">
        <f>IF(ytg.approach=Inputs!$C$39,K46*ytg.actual,IF(ytg.approach=Inputs!$C$40,ytg.mgt*M46,M46-K46))</f>
        <v/>
      </c>
      <c r="M46" s="2124">
        <f>IF(Inputs!L129&gt;0,Inputs!L129,M18*M32)</f>
        <v/>
      </c>
      <c r="N46" s="2124">
        <f>IF(Inputs!M129&gt;0,Inputs!M129,N18*N32)</f>
        <v/>
      </c>
      <c r="O46" s="2124">
        <f>IF(Inputs!N129&gt;0,Inputs!N129,O18*O32)</f>
        <v/>
      </c>
      <c r="P46" s="2124">
        <f>IF(Inputs!O129&gt;0,Inputs!O129,P18*P32)</f>
        <v/>
      </c>
      <c r="Q46" s="2124">
        <f>IF(Inputs!P129&gt;0,Inputs!P129,Q18*Q32)</f>
        <v/>
      </c>
      <c r="R46" s="2125">
        <f>IF(Inputs!Q129&gt;0,Inputs!Q129,R18*R32)</f>
        <v/>
      </c>
      <c r="T46" s="1973">
        <f>IFERROR((R46/N46)^(1/5)-1,"-")</f>
        <v/>
      </c>
      <c r="U46" s="1974">
        <f>IFERROR(IF(K46+L46=M46,"OK","VARIANCE"),"")</f>
        <v/>
      </c>
      <c r="V46" s="2120">
        <f>IFERROR((K46/ytd.months)*12,"NA")</f>
        <v/>
      </c>
    </row>
    <row r="47">
      <c r="C47" s="582">
        <f>Inputs!E78&amp;" Revenue"</f>
        <v/>
      </c>
      <c r="D47" s="85" t="n"/>
      <c r="E47" s="85" t="n"/>
      <c r="F47" s="85" t="n"/>
      <c r="G47" s="85" t="n"/>
      <c r="H47" s="2122">
        <f>H19*H33</f>
        <v/>
      </c>
      <c r="I47" s="2122">
        <f>I19*I33</f>
        <v/>
      </c>
      <c r="J47" s="2122">
        <f>J19*J33</f>
        <v/>
      </c>
      <c r="K47" s="2122">
        <f>K19*K33</f>
        <v/>
      </c>
      <c r="L47" s="2123">
        <f>IF(ytg.approach=Inputs!$C$39,K47*ytg.actual,IF(ytg.approach=Inputs!$C$40,ytg.mgt*M47,M47-K47))</f>
        <v/>
      </c>
      <c r="M47" s="2124">
        <f>IF(Inputs!L130&gt;0,Inputs!L130,M19*M33)</f>
        <v/>
      </c>
      <c r="N47" s="2124">
        <f>IF(Inputs!M130&gt;0,Inputs!M130,N19*N33)</f>
        <v/>
      </c>
      <c r="O47" s="2124">
        <f>IF(Inputs!N130&gt;0,Inputs!N130,O19*O33)</f>
        <v/>
      </c>
      <c r="P47" s="2124">
        <f>IF(Inputs!O130&gt;0,Inputs!O130,P19*P33)</f>
        <v/>
      </c>
      <c r="Q47" s="2124">
        <f>IF(Inputs!P130&gt;0,Inputs!P130,Q19*Q33)</f>
        <v/>
      </c>
      <c r="R47" s="2125">
        <f>IF(Inputs!Q130&gt;0,Inputs!Q130,R19*R33)</f>
        <v/>
      </c>
      <c r="T47" s="1973">
        <f>IFERROR((R47/N47)^(1/5)-1,"-")</f>
        <v/>
      </c>
      <c r="U47" s="1974">
        <f>IFERROR(IF(K47+L47=M47,"OK","VARIANCE"),"")</f>
        <v/>
      </c>
      <c r="V47" s="2120">
        <f>IFERROR((K47/ytd.months)*12,"NA")</f>
        <v/>
      </c>
    </row>
    <row r="48">
      <c r="C48" s="582">
        <f>Inputs!E79&amp;" Revenue"</f>
        <v/>
      </c>
      <c r="D48" s="85" t="n"/>
      <c r="E48" s="85" t="n"/>
      <c r="F48" s="85" t="n"/>
      <c r="G48" s="85" t="n"/>
      <c r="H48" s="2122">
        <f>H20*H34</f>
        <v/>
      </c>
      <c r="I48" s="2122">
        <f>I20*I34</f>
        <v/>
      </c>
      <c r="J48" s="2122">
        <f>J20*J34</f>
        <v/>
      </c>
      <c r="K48" s="2122">
        <f>K20*K34</f>
        <v/>
      </c>
      <c r="L48" s="2123">
        <f>IF(ytg.approach=Inputs!$C$39,K48*ytg.actual,IF(ytg.approach=Inputs!$C$40,ytg.mgt*M48,M48-K48))</f>
        <v/>
      </c>
      <c r="M48" s="2124">
        <f>IF(Inputs!L131&gt;0,Inputs!L131,M20*M34)</f>
        <v/>
      </c>
      <c r="N48" s="2124">
        <f>IF(Inputs!M131&gt;0,Inputs!M131,N20*N34)</f>
        <v/>
      </c>
      <c r="O48" s="2124">
        <f>IF(Inputs!N131&gt;0,Inputs!N131,O20*O34)</f>
        <v/>
      </c>
      <c r="P48" s="2124">
        <f>IF(Inputs!O131&gt;0,Inputs!O131,P20*P34)</f>
        <v/>
      </c>
      <c r="Q48" s="2124">
        <f>IF(Inputs!P131&gt;0,Inputs!P131,Q20*Q34)</f>
        <v/>
      </c>
      <c r="R48" s="2125">
        <f>IF(Inputs!Q131&gt;0,Inputs!Q131,R20*R34)</f>
        <v/>
      </c>
      <c r="T48" s="1973">
        <f>IFERROR((R48/N48)^(1/5)-1,"-")</f>
        <v/>
      </c>
      <c r="U48" s="1974">
        <f>IFERROR(IF(K48+L48=M48,"OK","VARIANCE"),"")</f>
        <v/>
      </c>
      <c r="V48" s="2120">
        <f>IFERROR((K48/ytd.months)*12,"NA")</f>
        <v/>
      </c>
    </row>
    <row r="49">
      <c r="C49" s="582">
        <f>Inputs!E80&amp;" Revenue"</f>
        <v/>
      </c>
      <c r="D49" s="85" t="n"/>
      <c r="E49" s="85" t="n"/>
      <c r="F49" s="85" t="n"/>
      <c r="G49" s="85" t="n"/>
      <c r="H49" s="2122">
        <f>H21*H35</f>
        <v/>
      </c>
      <c r="I49" s="2122">
        <f>I21*I35</f>
        <v/>
      </c>
      <c r="J49" s="2122">
        <f>J21*J35</f>
        <v/>
      </c>
      <c r="K49" s="2122">
        <f>K21*K35</f>
        <v/>
      </c>
      <c r="L49" s="2123">
        <f>IF(ytg.approach=Inputs!$C$39,K49*ytg.actual,IF(ytg.approach=Inputs!$C$40,ytg.mgt*M49,M49-K49))</f>
        <v/>
      </c>
      <c r="M49" s="2124">
        <f>IF(Inputs!L132&gt;0,Inputs!L132,M21*M35)</f>
        <v/>
      </c>
      <c r="N49" s="2124">
        <f>IF(Inputs!M132&gt;0,Inputs!M132,N21*N35)</f>
        <v/>
      </c>
      <c r="O49" s="2124">
        <f>IF(Inputs!N132&gt;0,Inputs!N132,O21*O35)</f>
        <v/>
      </c>
      <c r="P49" s="2124">
        <f>IF(Inputs!O132&gt;0,Inputs!O132,P21*P35)</f>
        <v/>
      </c>
      <c r="Q49" s="2124">
        <f>IF(Inputs!P132&gt;0,Inputs!P132,Q21*Q35)</f>
        <v/>
      </c>
      <c r="R49" s="2125">
        <f>IF(Inputs!Q132&gt;0,Inputs!Q132,R21*R35)</f>
        <v/>
      </c>
      <c r="T49" s="1973">
        <f>IFERROR((R49/N49)^(1/5)-1,"-")</f>
        <v/>
      </c>
      <c r="U49" s="1974">
        <f>IFERROR(IF(K49+L49=M49,"OK","VARIANCE"),"")</f>
        <v/>
      </c>
      <c r="V49" s="2120">
        <f>IFERROR((K49/ytd.months)*12,"NA")</f>
        <v/>
      </c>
    </row>
    <row r="50">
      <c r="C50" s="586" t="inlineStr">
        <is>
          <t>Total Revenue from Existing Streams</t>
        </is>
      </c>
      <c r="D50" s="587" t="n"/>
      <c r="E50" s="587" t="n"/>
      <c r="F50" s="587" t="n"/>
      <c r="G50" s="587" t="n"/>
      <c r="H50" s="2126">
        <f>SUM(H46:H49)</f>
        <v/>
      </c>
      <c r="I50" s="2126">
        <f>SUM(I46:I49)</f>
        <v/>
      </c>
      <c r="J50" s="2126">
        <f>SUM(J46:J49)</f>
        <v/>
      </c>
      <c r="K50" s="2126">
        <f>SUM(K46:K49)</f>
        <v/>
      </c>
      <c r="L50" s="2126">
        <f>SUM(L46:L49)</f>
        <v/>
      </c>
      <c r="M50" s="2126">
        <f>SUM(M46:M49)</f>
        <v/>
      </c>
      <c r="N50" s="2126">
        <f>SUM(N46:N49)</f>
        <v/>
      </c>
      <c r="O50" s="2126">
        <f>SUM(O46:O49)</f>
        <v/>
      </c>
      <c r="P50" s="2126">
        <f>SUM(P46:P49)</f>
        <v/>
      </c>
      <c r="Q50" s="2126">
        <f>SUM(Q46:Q49)</f>
        <v/>
      </c>
      <c r="R50" s="2127">
        <f>SUM(R46:R49)</f>
        <v/>
      </c>
      <c r="T50" s="1973">
        <f>IFERROR((R50/N50)^(1/5)-1,"-")</f>
        <v/>
      </c>
      <c r="U50" s="1974">
        <f>IFERROR(IF(K50+L50=M50,"OK","VARIANCE"),"")</f>
        <v/>
      </c>
      <c r="V50" s="2120">
        <f>IFERROR((K50/ytd.months)*12,"NA")</f>
        <v/>
      </c>
    </row>
    <row r="51">
      <c r="C51" s="590" t="inlineStr">
        <is>
          <t>Growth (%)</t>
        </is>
      </c>
      <c r="D51" s="591" t="n"/>
      <c r="E51" s="591" t="n"/>
      <c r="F51" s="591" t="n"/>
      <c r="G51" s="591" t="n"/>
      <c r="H51" s="2128" t="n"/>
      <c r="I51" s="2128" t="n"/>
      <c r="J51" s="2129">
        <f>J50/I50-1</f>
        <v/>
      </c>
      <c r="K51" s="2129">
        <f>K50/J50-1</f>
        <v/>
      </c>
      <c r="L51" s="2129">
        <f>L50/K50-1</f>
        <v/>
      </c>
      <c r="M51" s="2129">
        <f>M50/J50-1</f>
        <v/>
      </c>
      <c r="N51" s="2129">
        <f>N50/M50-1</f>
        <v/>
      </c>
      <c r="O51" s="2129">
        <f>O50/N50-1</f>
        <v/>
      </c>
      <c r="P51" s="2129">
        <f>P50/O50-1</f>
        <v/>
      </c>
      <c r="Q51" s="2129">
        <f>Q50/P50-1</f>
        <v/>
      </c>
      <c r="R51" s="2130">
        <f>R50/Q50-1</f>
        <v/>
      </c>
      <c r="T51" s="1973">
        <f>IFERROR((R51/N51)^(1/5)-1,"-")</f>
        <v/>
      </c>
      <c r="U51" s="1974">
        <f>IFERROR(IF(K51+L51=M51,"OK","VARIANCE"),"")</f>
        <v/>
      </c>
      <c r="V51" s="2120">
        <f>IFERROR((K51/ytd.months)*12,"NA")</f>
        <v/>
      </c>
    </row>
    <row r="52">
      <c r="C52" s="582" t="n"/>
      <c r="D52" s="85" t="n"/>
      <c r="E52" s="85" t="n"/>
      <c r="F52" s="85" t="n"/>
      <c r="G52" s="85" t="n"/>
      <c r="H52" s="2124" t="n"/>
      <c r="I52" s="2124" t="n"/>
      <c r="J52" s="2124" t="n"/>
      <c r="K52" s="2124" t="n"/>
      <c r="L52" s="2124" t="n"/>
      <c r="M52" s="2124" t="n"/>
      <c r="N52" s="2124" t="n"/>
      <c r="O52" s="2124" t="n"/>
      <c r="P52" s="2124" t="n"/>
      <c r="Q52" s="2124" t="n"/>
      <c r="R52" s="2125" t="n"/>
      <c r="T52" s="1973">
        <f>IFERROR((R52/N52)^(1/5)-1,"-")</f>
        <v/>
      </c>
      <c r="U52" s="1974">
        <f>IFERROR(IF(K52+L52=M52,"OK","VARIANCE"),"")</f>
        <v/>
      </c>
      <c r="V52" s="2120">
        <f>IFERROR((K52/ytd.months)*12,"NA")</f>
        <v/>
      </c>
    </row>
    <row r="53">
      <c r="C53" s="569" t="inlineStr">
        <is>
          <t>Pipeline Revenues</t>
        </is>
      </c>
      <c r="D53" s="570" t="n"/>
      <c r="E53" s="570" t="n"/>
      <c r="F53" s="570" t="n"/>
      <c r="G53" s="570" t="n"/>
      <c r="H53" s="2124" t="n"/>
      <c r="I53" s="2124" t="n"/>
      <c r="J53" s="2124" t="n"/>
      <c r="K53" s="2124" t="n"/>
      <c r="L53" s="2124" t="n"/>
      <c r="M53" s="2124" t="n"/>
      <c r="N53" s="2124" t="n"/>
      <c r="O53" s="2124" t="n"/>
      <c r="P53" s="2124" t="n"/>
      <c r="Q53" s="2124" t="n"/>
      <c r="R53" s="2125" t="n"/>
      <c r="T53" s="1973">
        <f>IFERROR((R53/N53)^(1/5)-1,"-")</f>
        <v/>
      </c>
      <c r="U53" s="1974">
        <f>IFERROR(IF(K53+L53=M53,"OK","VARIANCE"),"")</f>
        <v/>
      </c>
      <c r="V53" s="2120">
        <f>IFERROR((K53/ytd.months)*12,"NA")</f>
        <v/>
      </c>
    </row>
    <row r="54">
      <c r="C54" s="582">
        <f>Inputs!E82&amp;" Pipeline Revenue"</f>
        <v/>
      </c>
      <c r="D54" s="85" t="n"/>
      <c r="E54" s="85" t="n"/>
      <c r="F54" s="85" t="n"/>
      <c r="G54" s="85" t="n"/>
      <c r="H54" s="2124" t="n"/>
      <c r="I54" s="2124" t="n"/>
      <c r="J54" s="2124" t="n"/>
      <c r="K54" s="2124" t="n"/>
      <c r="L54" s="2123">
        <f>IF(ytg.approach=Inputs!$C$39,K54*ytg.actual,IF(ytg.approach=Inputs!$C$40,ytg.mgt*M54,M54-K54))</f>
        <v/>
      </c>
      <c r="M54" s="2124">
        <f>IF(Inputs!L135&gt;0,Inputs!L135,L22*L36)</f>
        <v/>
      </c>
      <c r="N54" s="2124">
        <f>IF(Inputs!M135&gt;0,Inputs!M135,M22*M36)</f>
        <v/>
      </c>
      <c r="O54" s="2124">
        <f>IF(Inputs!N135&gt;0,Inputs!N135,N22*N36)</f>
        <v/>
      </c>
      <c r="P54" s="2124">
        <f>IF(Inputs!O135&gt;0,Inputs!O135,O22*O36)</f>
        <v/>
      </c>
      <c r="Q54" s="2124">
        <f>IF(Inputs!P135&gt;0,Inputs!P135,P22*P36)</f>
        <v/>
      </c>
      <c r="R54" s="2125">
        <f>IF(Inputs!Q135&gt;0,Inputs!Q135,Q22*Q36)</f>
        <v/>
      </c>
      <c r="T54" s="1973">
        <f>IFERROR((R54/N54)^(1/5)-1,"-")</f>
        <v/>
      </c>
      <c r="U54" s="1974">
        <f>IFERROR(IF(K54+L54=M54,"OK","VARIANCE"),"")</f>
        <v/>
      </c>
      <c r="V54" s="2120">
        <f>IFERROR((K54/ytd.months)*12,"NA")</f>
        <v/>
      </c>
    </row>
    <row r="55">
      <c r="C55" s="582">
        <f>Inputs!E83&amp;" Pipeline Revenue"</f>
        <v/>
      </c>
      <c r="D55" s="85" t="n"/>
      <c r="E55" s="85" t="n"/>
      <c r="F55" s="85" t="n"/>
      <c r="G55" s="85" t="n"/>
      <c r="H55" s="2124" t="n"/>
      <c r="I55" s="2124" t="n"/>
      <c r="J55" s="2124" t="n"/>
      <c r="K55" s="2124" t="n"/>
      <c r="L55" s="2123">
        <f>IF(ytg.approach=Inputs!$C$39,K55*ytg.actual,IF(ytg.approach=Inputs!$C$40,ytg.mgt*M55,M55-K55))</f>
        <v/>
      </c>
      <c r="M55" s="2124">
        <f>IF(Inputs!L136&gt;0,Inputs!L136,L23*L37)</f>
        <v/>
      </c>
      <c r="N55" s="2124">
        <f>IF(Inputs!M136&gt;0,Inputs!M136,M23*M37)</f>
        <v/>
      </c>
      <c r="O55" s="2124">
        <f>IF(Inputs!N136&gt;0,Inputs!N136,N23*N37)</f>
        <v/>
      </c>
      <c r="P55" s="2124">
        <f>IF(Inputs!O136&gt;0,Inputs!O136,O23*O37)</f>
        <v/>
      </c>
      <c r="Q55" s="2124">
        <f>IF(Inputs!P136&gt;0,Inputs!P136,P23*P37)</f>
        <v/>
      </c>
      <c r="R55" s="2125">
        <f>IF(Inputs!Q136&gt;0,Inputs!Q136,Q23*Q37)</f>
        <v/>
      </c>
      <c r="T55" s="1973">
        <f>IFERROR((R55/N55)^(1/5)-1,"-")</f>
        <v/>
      </c>
      <c r="U55" s="1974">
        <f>IFERROR(IF(K55+L55=M55,"OK","VARIANCE"),"")</f>
        <v/>
      </c>
      <c r="V55" s="2120">
        <f>IFERROR((K55/ytd.months)*12,"NA")</f>
        <v/>
      </c>
    </row>
    <row r="56">
      <c r="C56" s="582">
        <f>Inputs!E84&amp;" Pipeline Revenue"</f>
        <v/>
      </c>
      <c r="D56" s="85" t="n"/>
      <c r="E56" s="85" t="n"/>
      <c r="F56" s="85" t="n"/>
      <c r="G56" s="85" t="n"/>
      <c r="H56" s="2124" t="n"/>
      <c r="I56" s="2124" t="n"/>
      <c r="J56" s="2124" t="n"/>
      <c r="K56" s="2124" t="n"/>
      <c r="L56" s="2123">
        <f>IF(ytg.approach=Inputs!$C$39,K56*ytg.actual,IF(ytg.approach=Inputs!$C$40,ytg.mgt*M56,M56-K56))</f>
        <v/>
      </c>
      <c r="M56" s="2124">
        <f>IF(Inputs!L137&gt;0,Inputs!L137,L24*L38)</f>
        <v/>
      </c>
      <c r="N56" s="2124">
        <f>IF(Inputs!M137&gt;0,Inputs!M137,M24*M38)</f>
        <v/>
      </c>
      <c r="O56" s="2124">
        <f>IF(Inputs!N137&gt;0,Inputs!N137,N24*N38)</f>
        <v/>
      </c>
      <c r="P56" s="2124">
        <f>IF(Inputs!O137&gt;0,Inputs!O137,O24*O38)</f>
        <v/>
      </c>
      <c r="Q56" s="2124">
        <f>IF(Inputs!P137&gt;0,Inputs!P137,P24*P38)</f>
        <v/>
      </c>
      <c r="R56" s="2125">
        <f>IF(Inputs!Q137&gt;0,Inputs!Q137,Q24*Q38)</f>
        <v/>
      </c>
      <c r="T56" s="1973">
        <f>IFERROR((R56/N56)^(1/5)-1,"-")</f>
        <v/>
      </c>
      <c r="U56" s="1974">
        <f>IFERROR(IF(K56+L56=M56,"OK","VARIANCE"),"")</f>
        <v/>
      </c>
      <c r="V56" s="2120">
        <f>IFERROR((K56/ytd.months)*12,"NA")</f>
        <v/>
      </c>
    </row>
    <row r="57">
      <c r="C57" s="582">
        <f>Inputs!E85&amp;" Pipeline Revenue"</f>
        <v/>
      </c>
      <c r="D57" s="85" t="n"/>
      <c r="E57" s="85" t="n"/>
      <c r="F57" s="85" t="n"/>
      <c r="G57" s="2124" t="n"/>
      <c r="H57" s="2124" t="n"/>
      <c r="I57" s="2124" t="n"/>
      <c r="J57" s="2124" t="n"/>
      <c r="K57" s="2124" t="n"/>
      <c r="L57" s="2123">
        <f>IF(ytg.approach=Inputs!$C$39,K57*ytg.actual,IF(ytg.approach=Inputs!$C$40,ytg.mgt*M57,M57-K57))</f>
        <v/>
      </c>
      <c r="M57" s="2124">
        <f>IF(Inputs!L138&gt;0,Inputs!L138,L25*L39)</f>
        <v/>
      </c>
      <c r="N57" s="2124">
        <f>IF(Inputs!M138&gt;0,Inputs!M138,M25*M39)</f>
        <v/>
      </c>
      <c r="O57" s="2124">
        <f>IF(Inputs!N138&gt;0,Inputs!N138,N25*N39)</f>
        <v/>
      </c>
      <c r="P57" s="2124">
        <f>IF(Inputs!O138&gt;0,Inputs!O138,O25*O39)</f>
        <v/>
      </c>
      <c r="Q57" s="2124">
        <f>IF(Inputs!P138&gt;0,Inputs!P138,P25*P39)</f>
        <v/>
      </c>
      <c r="R57" s="2125">
        <f>IF(Inputs!Q138&gt;0,Inputs!Q138,Q25*Q39)</f>
        <v/>
      </c>
      <c r="T57" s="1973">
        <f>IFERROR((R57/N57)^(1/5)-1,"-")</f>
        <v/>
      </c>
      <c r="U57" s="1974">
        <f>IFERROR(IF(K57+L57=M57,"OK","VARIANCE"),"")</f>
        <v/>
      </c>
      <c r="V57" s="2120">
        <f>IFERROR((K57/ytd.months)*12,"NA")</f>
        <v/>
      </c>
    </row>
    <row r="58">
      <c r="C58" s="586" t="inlineStr">
        <is>
          <t>Total Revenue from Pipeline Streams</t>
        </is>
      </c>
      <c r="D58" s="587" t="n"/>
      <c r="E58" s="587" t="n"/>
      <c r="F58" s="587" t="n"/>
      <c r="G58" s="587" t="n"/>
      <c r="H58" s="2126" t="n"/>
      <c r="I58" s="2126" t="n"/>
      <c r="J58" s="2126" t="n"/>
      <c r="K58" s="2126" t="n"/>
      <c r="L58" s="2126">
        <f>SUM(L54:L57)</f>
        <v/>
      </c>
      <c r="M58" s="2126">
        <f>SUM(M54:M57)</f>
        <v/>
      </c>
      <c r="N58" s="2126">
        <f>SUM(N54:N57)</f>
        <v/>
      </c>
      <c r="O58" s="2126">
        <f>SUM(O54:O57)</f>
        <v/>
      </c>
      <c r="P58" s="2126">
        <f>SUM(P54:P57)</f>
        <v/>
      </c>
      <c r="Q58" s="2126">
        <f>SUM(Q54:Q57)</f>
        <v/>
      </c>
      <c r="R58" s="2127">
        <f>SUM(R54:R57)</f>
        <v/>
      </c>
      <c r="T58" s="1973">
        <f>IFERROR((R58/N58)^(1/5)-1,"-")</f>
        <v/>
      </c>
      <c r="U58" s="1974">
        <f>IFERROR(IF(K58+L58=M58,"OK","VARIANCE"),"")</f>
        <v/>
      </c>
      <c r="V58" s="2120">
        <f>IFERROR((K58/ytd.months)*12,"NA")</f>
        <v/>
      </c>
    </row>
    <row r="59">
      <c r="C59" s="590" t="inlineStr">
        <is>
          <t>Growth (%)</t>
        </is>
      </c>
      <c r="D59" s="591" t="n"/>
      <c r="E59" s="591" t="n"/>
      <c r="F59" s="591" t="n"/>
      <c r="G59" s="591" t="n"/>
      <c r="H59" s="2128" t="n"/>
      <c r="I59" s="2128" t="n"/>
      <c r="J59" s="2129" t="n"/>
      <c r="K59" s="2129" t="n"/>
      <c r="L59" s="2131" t="n"/>
      <c r="M59" s="2129">
        <f>M58/L58-1</f>
        <v/>
      </c>
      <c r="N59" s="2129">
        <f>N58/M58-1</f>
        <v/>
      </c>
      <c r="O59" s="2129">
        <f>O58/N58-1</f>
        <v/>
      </c>
      <c r="P59" s="2129">
        <f>P58/O58-1</f>
        <v/>
      </c>
      <c r="Q59" s="2129">
        <f>Q58/P58-1</f>
        <v/>
      </c>
      <c r="R59" s="2130">
        <f>R58/Q58-1</f>
        <v/>
      </c>
      <c r="T59" s="1973">
        <f>IFERROR((R59/N59)^(1/5)-1,"-")</f>
        <v/>
      </c>
      <c r="U59" s="1974">
        <f>IFERROR(IF(K59+L59=M59,"OK","VARIANCE"),"")</f>
        <v/>
      </c>
      <c r="V59" s="2120">
        <f>IFERROR((K59/ytd.months)*12,"NA")</f>
        <v/>
      </c>
    </row>
    <row r="60">
      <c r="C60" s="590" t="n"/>
      <c r="D60" s="591" t="n"/>
      <c r="E60" s="591" t="n"/>
      <c r="F60" s="591" t="n"/>
      <c r="G60" s="591" t="n"/>
      <c r="H60" s="2128" t="n"/>
      <c r="I60" s="2128" t="n"/>
      <c r="J60" s="2129" t="n"/>
      <c r="K60" s="2129" t="n"/>
      <c r="L60" s="2129" t="n"/>
      <c r="M60" s="2129" t="n"/>
      <c r="N60" s="2129" t="n"/>
      <c r="O60" s="2129" t="n"/>
      <c r="P60" s="2129" t="n"/>
      <c r="Q60" s="2129" t="n"/>
      <c r="R60" s="2130" t="n"/>
      <c r="T60" s="1973">
        <f>IFERROR((R60/N60)^(1/5)-1,"-")</f>
        <v/>
      </c>
      <c r="U60" s="1974">
        <f>IFERROR(IF(K60+L60=M60,"OK","VARIANCE"),"")</f>
        <v/>
      </c>
      <c r="V60" s="2120">
        <f>IFERROR((K60/ytd.months)*12,"NA")</f>
        <v/>
      </c>
    </row>
    <row r="61">
      <c r="C61" s="569" t="inlineStr">
        <is>
          <t>Potential Revenues</t>
        </is>
      </c>
      <c r="D61" s="570" t="n"/>
      <c r="E61" s="570" t="n"/>
      <c r="F61" s="570" t="n"/>
      <c r="G61" s="570" t="n"/>
      <c r="H61" s="2124" t="n"/>
      <c r="I61" s="2124" t="n"/>
      <c r="J61" s="2124" t="n"/>
      <c r="K61" s="2124" t="n"/>
      <c r="L61" s="2124" t="n"/>
      <c r="M61" s="2124" t="n"/>
      <c r="N61" s="2124" t="n"/>
      <c r="O61" s="2124" t="n"/>
      <c r="P61" s="2124" t="n"/>
      <c r="Q61" s="2124" t="n"/>
      <c r="R61" s="2125" t="n"/>
      <c r="T61" s="1973">
        <f>IFERROR((R61/N61)^(1/5)-1,"-")</f>
        <v/>
      </c>
      <c r="U61" s="1974">
        <f>IFERROR(IF(K61+L61=M61,"OK","VARIANCE"),"")</f>
        <v/>
      </c>
      <c r="V61" s="2120">
        <f>IFERROR((K61/ytd.months)*12,"NA")</f>
        <v/>
      </c>
    </row>
    <row r="62">
      <c r="C62" s="582">
        <f>Inputs!E87&amp;" Potential Revenue"</f>
        <v/>
      </c>
      <c r="D62" s="85" t="n"/>
      <c r="E62" s="85" t="n"/>
      <c r="F62" s="85" t="n"/>
      <c r="G62" s="1341">
        <f>Inputs!K92</f>
        <v/>
      </c>
      <c r="H62" s="2124" t="n"/>
      <c r="I62" s="2124" t="n"/>
      <c r="J62" s="2124" t="n"/>
      <c r="K62" s="2124" t="n"/>
      <c r="L62" s="2123">
        <f>IF(ytg.approach=Inputs!$C$39,K62*ytg.actual,IF(ytg.approach=Inputs!$C$40,ytg.mgt*M62,M62-K62))</f>
        <v/>
      </c>
      <c r="M62" s="2124">
        <f>IF(Inputs!L141&gt;0,Inputs!L141,L40*L26)*$G62</f>
        <v/>
      </c>
      <c r="N62" s="2124">
        <f>IF(Inputs!M141&gt;0,Inputs!M141,M40*M26)*$G62</f>
        <v/>
      </c>
      <c r="O62" s="2124">
        <f>IF(Inputs!N141&gt;0,Inputs!N141,N40*N26)*$G62</f>
        <v/>
      </c>
      <c r="P62" s="2124">
        <f>IF(Inputs!O141&gt;0,Inputs!O141,O40*O26)*$G62</f>
        <v/>
      </c>
      <c r="Q62" s="2124">
        <f>IF(Inputs!P141&gt;0,Inputs!P141,P40*P26)*$G62</f>
        <v/>
      </c>
      <c r="R62" s="2125">
        <f>IF(Inputs!Q141&gt;0,Inputs!Q141,Q40*Q26)*$G62</f>
        <v/>
      </c>
      <c r="T62" s="1973">
        <f>IFERROR((R62/N62)^(1/5)-1,"-")</f>
        <v/>
      </c>
      <c r="U62" s="1974">
        <f>IFERROR(IF(K62+L62=M62,"OK","VARIANCE"),"")</f>
        <v/>
      </c>
      <c r="V62" s="2120">
        <f>IFERROR((K62/ytd.months)*12,"NA")</f>
        <v/>
      </c>
    </row>
    <row r="63">
      <c r="C63" s="582">
        <f>Inputs!E88&amp;" Potential Revenue"</f>
        <v/>
      </c>
      <c r="D63" s="85" t="n"/>
      <c r="E63" s="85" t="n"/>
      <c r="F63" s="85" t="n"/>
      <c r="G63" s="1341">
        <f>Inputs!K93</f>
        <v/>
      </c>
      <c r="H63" s="2124" t="n"/>
      <c r="I63" s="2124" t="n"/>
      <c r="J63" s="2124" t="n"/>
      <c r="K63" s="2124" t="n"/>
      <c r="L63" s="2123">
        <f>IF(ytg.approach=Inputs!$C$39,K63*ytg.actual,IF(ytg.approach=Inputs!$C$40,ytg.mgt*M63,M63-K63))</f>
        <v/>
      </c>
      <c r="M63" s="2124">
        <f>IF(Inputs!L142&gt;0,Inputs!L142,L41*L27)*$G63</f>
        <v/>
      </c>
      <c r="N63" s="2124">
        <f>IF(Inputs!M142&gt;0,Inputs!M142,M41*M27)*$G63</f>
        <v/>
      </c>
      <c r="O63" s="2124">
        <f>IF(Inputs!N142&gt;0,Inputs!N142,N41*N27)*$G63</f>
        <v/>
      </c>
      <c r="P63" s="2124">
        <f>IF(Inputs!O142&gt;0,Inputs!O142,O41*O27)*$G63</f>
        <v/>
      </c>
      <c r="Q63" s="2124">
        <f>IF(Inputs!P142&gt;0,Inputs!P142,P41*P27)*$G63</f>
        <v/>
      </c>
      <c r="R63" s="2125">
        <f>IF(Inputs!Q142&gt;0,Inputs!Q142,Q41*Q27)*$G63</f>
        <v/>
      </c>
      <c r="T63" s="1973">
        <f>IFERROR((R63/N63)^(1/5)-1,"-")</f>
        <v/>
      </c>
      <c r="U63" s="1974">
        <f>IFERROR(IF(K63+L63=M63,"OK","VARIANCE"),"")</f>
        <v/>
      </c>
      <c r="V63" s="2120">
        <f>IFERROR((K63/ytd.months)*12,"NA")</f>
        <v/>
      </c>
    </row>
    <row r="64">
      <c r="C64" s="582">
        <f>Inputs!E89&amp;" Potential Revenue"</f>
        <v/>
      </c>
      <c r="D64" s="85" t="n"/>
      <c r="E64" s="85" t="n"/>
      <c r="F64" s="85" t="n"/>
      <c r="G64" s="1341">
        <f>Inputs!K94</f>
        <v/>
      </c>
      <c r="H64" s="2124" t="n"/>
      <c r="I64" s="2124" t="n"/>
      <c r="J64" s="2124" t="n"/>
      <c r="K64" s="2124" t="n"/>
      <c r="L64" s="2123">
        <f>IF(ytg.approach=Inputs!$C$39,K64*ytg.actual,IF(ytg.approach=Inputs!$C$40,ytg.mgt*M64,M64-K64))</f>
        <v/>
      </c>
      <c r="M64" s="2124">
        <f>IF(Inputs!L143&gt;0,Inputs!L143,L42*L28)*$G64</f>
        <v/>
      </c>
      <c r="N64" s="2124">
        <f>IF(Inputs!M143&gt;0,Inputs!M143,M42*M28)*$G64</f>
        <v/>
      </c>
      <c r="O64" s="2124">
        <f>IF(Inputs!N143&gt;0,Inputs!N143,N42*N28)*$G64</f>
        <v/>
      </c>
      <c r="P64" s="2124">
        <f>IF(Inputs!O143&gt;0,Inputs!O143,O42*O28)*$G64</f>
        <v/>
      </c>
      <c r="Q64" s="2124">
        <f>IF(Inputs!P143&gt;0,Inputs!P143,P42*P28)*$G64</f>
        <v/>
      </c>
      <c r="R64" s="2125">
        <f>IF(Inputs!Q143&gt;0,Inputs!Q143,Q42*Q28)*$G64</f>
        <v/>
      </c>
      <c r="T64" s="1973">
        <f>IFERROR((R64/N64)^(1/5)-1,"-")</f>
        <v/>
      </c>
      <c r="U64" s="1974">
        <f>IFERROR(IF(K64+L64=M64,"OK","VARIANCE"),"")</f>
        <v/>
      </c>
      <c r="V64" s="2120">
        <f>IFERROR((K64/ytd.months)*12,"NA")</f>
        <v/>
      </c>
    </row>
    <row r="65">
      <c r="C65" s="582">
        <f>Inputs!E90&amp;" Potential Revenue"</f>
        <v/>
      </c>
      <c r="D65" s="85" t="n"/>
      <c r="E65" s="85" t="n"/>
      <c r="F65" s="85" t="n"/>
      <c r="G65" s="1341">
        <f>Inputs!K95</f>
        <v/>
      </c>
      <c r="H65" s="2124" t="n"/>
      <c r="I65" s="2124" t="n"/>
      <c r="J65" s="2124" t="n"/>
      <c r="K65" s="2124" t="n"/>
      <c r="L65" s="2123">
        <f>IF(ytg.approach=Inputs!$C$39,K65*ytg.actual,IF(ytg.approach=Inputs!$C$40,ytg.mgt*M65,M65-K65))</f>
        <v/>
      </c>
      <c r="M65" s="2124">
        <f>IF(Inputs!L144&gt;0,Inputs!L144,L43*L29)*$G65</f>
        <v/>
      </c>
      <c r="N65" s="2124">
        <f>IF(Inputs!M144&gt;0,Inputs!M144,M43*M29)*$G65</f>
        <v/>
      </c>
      <c r="O65" s="2124">
        <f>IF(Inputs!N144&gt;0,Inputs!N144,N43*N29)*$G65</f>
        <v/>
      </c>
      <c r="P65" s="2124">
        <f>IF(Inputs!O144&gt;0,Inputs!O144,O43*O29)*$G65</f>
        <v/>
      </c>
      <c r="Q65" s="2124">
        <f>IF(Inputs!P144&gt;0,Inputs!P144,P43*P29)*$G65</f>
        <v/>
      </c>
      <c r="R65" s="2125">
        <f>IF(Inputs!Q144&gt;0,Inputs!Q144,Q43*Q29)*$G65</f>
        <v/>
      </c>
      <c r="T65" s="1973">
        <f>IFERROR((R65/N65)^(1/5)-1,"-")</f>
        <v/>
      </c>
      <c r="U65" s="1974">
        <f>IFERROR(IF(K65+L65=M65,"OK","VARIANCE"),"")</f>
        <v/>
      </c>
      <c r="V65" s="2120">
        <f>IFERROR((K65/ytd.months)*12,"NA")</f>
        <v/>
      </c>
    </row>
    <row r="66">
      <c r="C66" s="586" t="inlineStr">
        <is>
          <t>Total Revenue from Potential Streams</t>
        </is>
      </c>
      <c r="D66" s="587" t="n"/>
      <c r="E66" s="587" t="n"/>
      <c r="F66" s="587" t="n"/>
      <c r="G66" s="587" t="n"/>
      <c r="H66" s="2126" t="n"/>
      <c r="I66" s="2126" t="n"/>
      <c r="J66" s="2126" t="n"/>
      <c r="K66" s="2126" t="n"/>
      <c r="L66" s="2126">
        <f>SUM(L62:L65)</f>
        <v/>
      </c>
      <c r="M66" s="2126">
        <f>SUM(M62:M65)</f>
        <v/>
      </c>
      <c r="N66" s="2126">
        <f>SUM(N62:N65)</f>
        <v/>
      </c>
      <c r="O66" s="2126">
        <f>SUM(O62:O65)</f>
        <v/>
      </c>
      <c r="P66" s="2126">
        <f>SUM(P62:P65)</f>
        <v/>
      </c>
      <c r="Q66" s="2126">
        <f>SUM(Q62:Q65)</f>
        <v/>
      </c>
      <c r="R66" s="2127">
        <f>SUM(R62:R65)</f>
        <v/>
      </c>
      <c r="T66" s="1973">
        <f>IFERROR((R66/N66)^(1/5)-1,"-")</f>
        <v/>
      </c>
      <c r="U66" s="1974">
        <f>IFERROR(IF(K66+L66=M66,"OK","VARIANCE"),"")</f>
        <v/>
      </c>
      <c r="V66" s="2120">
        <f>IFERROR((K66/ytd.months)*12,"NA")</f>
        <v/>
      </c>
    </row>
    <row r="67">
      <c r="C67" s="590" t="inlineStr">
        <is>
          <t>Growth (%)</t>
        </is>
      </c>
      <c r="D67" s="591" t="n"/>
      <c r="E67" s="591" t="n"/>
      <c r="F67" s="591" t="n"/>
      <c r="G67" s="591" t="n"/>
      <c r="H67" s="2128" t="n"/>
      <c r="I67" s="2128" t="n"/>
      <c r="J67" s="2129" t="n"/>
      <c r="K67" s="2129" t="n"/>
      <c r="L67" s="2131" t="n"/>
      <c r="M67" s="2129">
        <f>M66/L66-1</f>
        <v/>
      </c>
      <c r="N67" s="2129">
        <f>N66/M66-1</f>
        <v/>
      </c>
      <c r="O67" s="2129">
        <f>O66/N66-1</f>
        <v/>
      </c>
      <c r="P67" s="2129">
        <f>P66/O66-1</f>
        <v/>
      </c>
      <c r="Q67" s="2129">
        <f>Q66/P66-1</f>
        <v/>
      </c>
      <c r="R67" s="2130">
        <f>R66/Q66-1</f>
        <v/>
      </c>
      <c r="T67" s="1973">
        <f>IFERROR((R67/N67)^(1/5)-1,"-")</f>
        <v/>
      </c>
      <c r="U67" s="1974">
        <f>IFERROR(IF(K67+L67=M67,"OK","VARIANCE"),"")</f>
        <v/>
      </c>
      <c r="V67" s="2120">
        <f>IFERROR((K67/ytd.months)*12,"NA")</f>
        <v/>
      </c>
    </row>
    <row r="68">
      <c r="C68" s="590" t="n"/>
      <c r="D68" s="591" t="n"/>
      <c r="E68" s="591" t="n"/>
      <c r="F68" s="591" t="n"/>
      <c r="G68" s="591" t="n"/>
      <c r="H68" s="2128" t="n"/>
      <c r="I68" s="2128" t="n"/>
      <c r="J68" s="2129" t="n"/>
      <c r="K68" s="2129" t="n"/>
      <c r="L68" s="2129" t="n"/>
      <c r="M68" s="2129" t="n"/>
      <c r="N68" s="2129" t="n"/>
      <c r="O68" s="2129" t="n"/>
      <c r="P68" s="2129" t="n"/>
      <c r="Q68" s="2129" t="n"/>
      <c r="R68" s="2130" t="n"/>
      <c r="T68" s="1973">
        <f>IFERROR((R68/N68)^(1/5)-1,"-")</f>
        <v/>
      </c>
      <c r="U68" s="1974">
        <f>IFERROR(IF(K68+L68=M68,"OK","VARIANCE"),"")</f>
        <v/>
      </c>
      <c r="V68" s="2120">
        <f>IFERROR((K68/ytd.months)*12,"NA")</f>
        <v/>
      </c>
    </row>
    <row r="69">
      <c r="C69" s="595" t="inlineStr">
        <is>
          <t>Total Revenues</t>
        </is>
      </c>
      <c r="D69" s="596" t="n"/>
      <c r="E69" s="596" t="n"/>
      <c r="F69" s="596" t="n"/>
      <c r="G69" s="596" t="n"/>
      <c r="H69" s="2132">
        <f>SUM(H66,H58,H50)</f>
        <v/>
      </c>
      <c r="I69" s="2132">
        <f>SUM(I66,I58,I50)</f>
        <v/>
      </c>
      <c r="J69" s="2132">
        <f>SUM(J66,J58,J50)</f>
        <v/>
      </c>
      <c r="K69" s="2132">
        <f>SUM(K66,K58,K50)</f>
        <v/>
      </c>
      <c r="L69" s="2132">
        <f>SUM(L66,L58,L50)</f>
        <v/>
      </c>
      <c r="M69" s="2132">
        <f>SUM(M66,M58,M50)</f>
        <v/>
      </c>
      <c r="N69" s="2132">
        <f>SUM(N66,N58,N50)</f>
        <v/>
      </c>
      <c r="O69" s="2132">
        <f>SUM(O66,O58,O50)</f>
        <v/>
      </c>
      <c r="P69" s="2132">
        <f>SUM(P66,P58,P50)</f>
        <v/>
      </c>
      <c r="Q69" s="2132">
        <f>SUM(Q66,Q58,Q50)</f>
        <v/>
      </c>
      <c r="R69" s="2133">
        <f>SUM(R66,R58,R50)</f>
        <v/>
      </c>
      <c r="T69" s="1973">
        <f>IFERROR((R69/N69)^(1/5)-1,"-")</f>
        <v/>
      </c>
      <c r="U69" s="1974">
        <f>IFERROR(IF(K69+L69=M69,"OK","VARIANCE"),"")</f>
        <v/>
      </c>
      <c r="V69" s="2120">
        <f>IFERROR((K69/ytd.months)*12,"NA")</f>
        <v/>
      </c>
    </row>
    <row r="70">
      <c r="C70" s="117" t="n"/>
      <c r="D70" s="109" t="n"/>
      <c r="E70" s="109" t="n"/>
      <c r="F70" s="109" t="n"/>
      <c r="G70" s="109" t="n"/>
      <c r="H70" s="109" t="n"/>
      <c r="I70" s="109" t="n"/>
      <c r="J70" s="2134" t="n"/>
      <c r="K70" s="2134" t="n"/>
      <c r="L70" s="2134" t="n"/>
      <c r="M70" s="109" t="n"/>
      <c r="N70" s="109" t="n"/>
      <c r="O70" s="109" t="n"/>
      <c r="P70" s="109" t="n"/>
      <c r="Q70" s="109" t="n"/>
      <c r="R70" s="600" t="n"/>
      <c r="T70" s="1973">
        <f>IFERROR((R70/N70)^(1/5)-1,"-")</f>
        <v/>
      </c>
      <c r="U70" s="1974">
        <f>IFERROR(IF(K70+L70=M70,"OK","VARIANCE"),"")</f>
        <v/>
      </c>
      <c r="V70" s="2120">
        <f>IFERROR((K70/ytd.months)*12,"NA")</f>
        <v/>
      </c>
    </row>
    <row r="71">
      <c r="C71" s="601" t="inlineStr">
        <is>
          <t>Revenue share (%)</t>
        </is>
      </c>
      <c r="D71" s="109" t="n"/>
      <c r="E71" s="109" t="n"/>
      <c r="F71" s="109" t="n"/>
      <c r="G71" s="109" t="n"/>
      <c r="H71" s="109" t="n"/>
      <c r="I71" s="109" t="n"/>
      <c r="J71" s="2134" t="n"/>
      <c r="K71" s="2134" t="n"/>
      <c r="L71" s="2134" t="n"/>
      <c r="M71" s="109" t="n"/>
      <c r="N71" s="109" t="n"/>
      <c r="O71" s="109" t="n"/>
      <c r="P71" s="109" t="n"/>
      <c r="Q71" s="109" t="n"/>
      <c r="R71" s="600" t="n"/>
      <c r="T71" s="1973">
        <f>IFERROR((R71/N71)^(1/5)-1,"-")</f>
        <v/>
      </c>
      <c r="U71" s="1974">
        <f>IFERROR(IF(K71+L71=M71,"OK","VARIANCE"),"")</f>
        <v/>
      </c>
      <c r="V71" s="2120">
        <f>IFERROR((K71/ytd.months)*12,"NA")</f>
        <v/>
      </c>
    </row>
    <row r="72">
      <c r="C72" s="582" t="inlineStr">
        <is>
          <t>Existing Revenue Streams</t>
        </is>
      </c>
      <c r="D72" s="109" t="n"/>
      <c r="E72" s="109" t="n"/>
      <c r="F72" s="109" t="n"/>
      <c r="G72" s="109" t="n"/>
      <c r="H72" s="109" t="n"/>
      <c r="I72" s="109" t="n"/>
      <c r="J72" s="2134" t="n"/>
      <c r="K72" s="1907" t="n"/>
      <c r="L72" s="1907">
        <f>L50/L$69</f>
        <v/>
      </c>
      <c r="M72" s="1907">
        <f>M50/M$69</f>
        <v/>
      </c>
      <c r="N72" s="1907">
        <f>N50/N$69</f>
        <v/>
      </c>
      <c r="O72" s="1907" t="n">
        <v>0.4073743890220789</v>
      </c>
      <c r="P72" s="1907" t="n">
        <v>0.2423418320645021</v>
      </c>
      <c r="Q72" s="1907" t="n">
        <v>0.181091904742931</v>
      </c>
      <c r="R72" s="2135" t="n">
        <v>0.1332291203469761</v>
      </c>
      <c r="T72" s="1973">
        <f>IFERROR((R72/N72)^(1/5)-1,"-")</f>
        <v/>
      </c>
      <c r="U72" s="1974">
        <f>IFERROR(IF(K72+L72=M72,"OK","VARIANCE"),"")</f>
        <v/>
      </c>
      <c r="V72" s="2120">
        <f>IFERROR((K72/ytd.months)*12,"NA")</f>
        <v/>
      </c>
    </row>
    <row r="73">
      <c r="C73" s="582" t="inlineStr">
        <is>
          <t>Pipeline Revenue Streams - Confirmed</t>
        </is>
      </c>
      <c r="D73" s="109" t="n"/>
      <c r="E73" s="109" t="n"/>
      <c r="F73" s="109" t="n"/>
      <c r="G73" s="109" t="n"/>
      <c r="H73" s="109" t="n"/>
      <c r="I73" s="109" t="n"/>
      <c r="J73" s="2134" t="n"/>
      <c r="K73" s="1907" t="n"/>
      <c r="L73" s="1907">
        <f>L58/L69</f>
        <v/>
      </c>
      <c r="M73" s="1907">
        <f>M58/M69</f>
        <v/>
      </c>
      <c r="N73" s="1907">
        <f>N58/N69</f>
        <v/>
      </c>
      <c r="O73" s="1907">
        <f>O58/O69</f>
        <v/>
      </c>
      <c r="P73" s="1907">
        <f>P58/P69</f>
        <v/>
      </c>
      <c r="Q73" s="1907">
        <f>Q58/Q69</f>
        <v/>
      </c>
      <c r="R73" s="2135">
        <f>R58/R69</f>
        <v/>
      </c>
      <c r="T73" s="1973">
        <f>IFERROR((R73/N73)^(1/5)-1,"-")</f>
        <v/>
      </c>
      <c r="U73" s="1974">
        <f>IFERROR(IF(K73+L73=M73,"OK","VARIANCE"),"")</f>
        <v/>
      </c>
      <c r="V73" s="2120">
        <f>IFERROR((K73/ytd.months)*12,"NA")</f>
        <v/>
      </c>
    </row>
    <row r="74">
      <c r="C74" s="603" t="inlineStr">
        <is>
          <t>Potential Revenue Streams - Unconfirmed</t>
        </is>
      </c>
      <c r="D74" s="126" t="n"/>
      <c r="E74" s="126" t="n"/>
      <c r="F74" s="126" t="n"/>
      <c r="G74" s="126" t="n"/>
      <c r="H74" s="126" t="n"/>
      <c r="I74" s="126" t="n"/>
      <c r="J74" s="2136" t="n"/>
      <c r="K74" s="2137" t="n"/>
      <c r="L74" s="2137">
        <f>L66/L69</f>
        <v/>
      </c>
      <c r="M74" s="2137">
        <f>M66/M69</f>
        <v/>
      </c>
      <c r="N74" s="2137">
        <f>N66/N69</f>
        <v/>
      </c>
      <c r="O74" s="2137">
        <f>O66/O69</f>
        <v/>
      </c>
      <c r="P74" s="2137">
        <f>P66/P69</f>
        <v/>
      </c>
      <c r="Q74" s="2137">
        <f>Q66/Q69</f>
        <v/>
      </c>
      <c r="R74" s="2138">
        <f>R66/R69</f>
        <v/>
      </c>
      <c r="T74" s="1973">
        <f>IFERROR((R74/N74)^(1/5)-1,"-")</f>
        <v/>
      </c>
      <c r="U74" s="1974">
        <f>IFERROR(IF(K74+L74=M74,"OK","VARIANCE"),"")</f>
        <v/>
      </c>
      <c r="V74" s="2120">
        <f>IFERROR((K74/ytd.months)*12,"NA")</f>
        <v/>
      </c>
    </row>
    <row r="75">
      <c r="C75" s="1409" t="inlineStr">
        <is>
          <t>Dominant Stream</t>
        </is>
      </c>
      <c r="D75" s="1410" t="n"/>
      <c r="E75" s="1410" t="n"/>
      <c r="F75" s="1410">
        <f t="array" ref="F75">INDEX(L75:R75,MODE(MATCH(L75:R75,L75:R75,0)))</f>
        <v/>
      </c>
      <c r="G75" s="1410" t="n"/>
      <c r="H75" s="1410" t="n"/>
      <c r="I75" s="1410" t="n"/>
      <c r="J75" s="2139" t="n"/>
      <c r="K75" s="2140" t="n"/>
      <c r="L75" s="2140">
        <f>_xlfn.XLOOKUP(MAX(L$72:L$74),L$72:L$74,$C$72:$C$74)</f>
        <v/>
      </c>
      <c r="M75" s="2140">
        <f>_xlfn.XLOOKUP(MAX(M$72:M$74),M$72:M$74,$C$72:$C$74)</f>
        <v/>
      </c>
      <c r="N75" s="2140">
        <f>_xlfn.XLOOKUP(MAX(N$72:N$74),N$72:N$74,$C$72:$C$74)</f>
        <v/>
      </c>
      <c r="O75" s="2140">
        <f>_xlfn.XLOOKUP(MAX(O$72:O$74),O$72:O$74,$C$72:$C$74)</f>
        <v/>
      </c>
      <c r="P75" s="2140">
        <f>_xlfn.XLOOKUP(MAX(P$72:P$74),P$72:P$74,$C$72:$C$74)</f>
        <v/>
      </c>
      <c r="Q75" s="2140">
        <f>_xlfn.XLOOKUP(MAX(Q$72:Q$74),Q$72:Q$74,$C$72:$C$74)</f>
        <v/>
      </c>
      <c r="R75" s="2141">
        <f>_xlfn.XLOOKUP(MAX(R$72:R$74),R$72:R$74,$C$72:$C$74)</f>
        <v/>
      </c>
      <c r="T75" s="1973">
        <f>IFERROR((R75/N75)^(1/5)-1,"-")</f>
        <v/>
      </c>
      <c r="U75" s="1974">
        <f>IFERROR(IF(K75+L75=M75,"OK","VARIANCE"),"")</f>
        <v/>
      </c>
      <c r="V75" s="2120">
        <f>IFERROR((K75/ytd.months)*12,"NA")</f>
        <v/>
      </c>
    </row>
    <row r="76">
      <c r="C76" s="109" t="n"/>
      <c r="D76" s="109" t="n"/>
      <c r="E76" s="109" t="n"/>
      <c r="F76" s="109" t="n"/>
      <c r="G76" s="109" t="n"/>
      <c r="H76" s="109" t="n"/>
      <c r="I76" s="109" t="n"/>
      <c r="J76" s="2134" t="n"/>
      <c r="K76" s="2134" t="n"/>
      <c r="L76" s="2134" t="n"/>
      <c r="M76" s="109" t="n"/>
      <c r="N76" s="109" t="n"/>
      <c r="O76" s="109" t="n"/>
      <c r="P76" s="109" t="n"/>
      <c r="Q76" s="109" t="n"/>
      <c r="R76" s="109" t="n"/>
      <c r="T76" s="1973">
        <f>IFERROR((R76/N76)^(1/5)-1,"-")</f>
        <v/>
      </c>
      <c r="U76" s="1974">
        <f>IFERROR(IF(K76+L76=M76,"OK","VARIANCE"),"")</f>
        <v/>
      </c>
      <c r="V76" s="2120">
        <f>IFERROR((K76/ytd.months)*12,"NA")</f>
        <v/>
      </c>
    </row>
    <row r="77">
      <c r="C77" s="1414" t="inlineStr">
        <is>
          <t>Revenue Share</t>
        </is>
      </c>
      <c r="D77" s="109" t="n"/>
      <c r="E77" s="109" t="n"/>
      <c r="F77" s="109" t="n"/>
      <c r="G77" s="109" t="n"/>
      <c r="H77" s="109" t="n"/>
      <c r="I77" s="109" t="n"/>
      <c r="J77" s="2134" t="n"/>
      <c r="K77" s="2134" t="n"/>
      <c r="L77" s="2134" t="n"/>
      <c r="M77" s="109" t="n"/>
      <c r="N77" s="109" t="n"/>
      <c r="O77" s="109" t="n"/>
      <c r="P77" s="109" t="n"/>
      <c r="Q77" s="109" t="n"/>
      <c r="R77" s="109" t="n"/>
      <c r="T77" s="1973" t="n"/>
      <c r="U77" s="1974" t="n"/>
      <c r="V77" s="2120" t="n"/>
    </row>
    <row r="78">
      <c r="B78" s="63" t="n">
        <v>1</v>
      </c>
      <c r="C78" s="109">
        <f>D18</f>
        <v/>
      </c>
      <c r="D78" s="109" t="n"/>
      <c r="E78" s="109" t="n"/>
      <c r="F78" s="109" t="n"/>
      <c r="G78" s="109" t="n"/>
      <c r="H78" s="109" t="n"/>
      <c r="I78" s="109" t="n"/>
      <c r="J78" s="2134" t="n"/>
      <c r="K78" s="2134" t="n"/>
      <c r="L78" s="2142" t="n">
        <v>0.2</v>
      </c>
      <c r="M78" s="2142">
        <f>M46/M$69</f>
        <v/>
      </c>
      <c r="N78" s="2142">
        <f>N46/N$69</f>
        <v/>
      </c>
      <c r="O78" s="2142">
        <f>O46/O$69</f>
        <v/>
      </c>
      <c r="P78" s="2142">
        <f>P46/P$69</f>
        <v/>
      </c>
      <c r="Q78" s="2142">
        <f>Q46/Q$69</f>
        <v/>
      </c>
      <c r="R78" s="2142">
        <f>R46/R$69</f>
        <v/>
      </c>
      <c r="T78" s="1973" t="n"/>
      <c r="U78" s="1974" t="n"/>
      <c r="V78" s="2120" t="n"/>
    </row>
    <row r="79">
      <c r="B79" s="63" t="n">
        <v>2</v>
      </c>
      <c r="C79" s="109">
        <f>D19</f>
        <v/>
      </c>
      <c r="D79" s="109" t="n"/>
      <c r="E79" s="109" t="n"/>
      <c r="F79" s="109" t="n"/>
      <c r="G79" s="109" t="n"/>
      <c r="H79" s="109" t="n"/>
      <c r="I79" s="109" t="n"/>
      <c r="J79" s="2134" t="n"/>
      <c r="K79" s="2134" t="n"/>
      <c r="L79" s="2142" t="n">
        <v>0.2</v>
      </c>
      <c r="M79" s="2142">
        <f>M47/M$69</f>
        <v/>
      </c>
      <c r="N79" s="2142">
        <f>N47/N$69</f>
        <v/>
      </c>
      <c r="O79" s="2142">
        <f>O47/O$69</f>
        <v/>
      </c>
      <c r="P79" s="2142">
        <f>P47/P$69</f>
        <v/>
      </c>
      <c r="Q79" s="2142">
        <f>Q47/Q$69</f>
        <v/>
      </c>
      <c r="R79" s="2142">
        <f>R47/R$69</f>
        <v/>
      </c>
      <c r="T79" s="1973" t="n"/>
      <c r="U79" s="1974" t="n"/>
      <c r="V79" s="2120" t="n"/>
    </row>
    <row r="80">
      <c r="B80" s="63" t="n">
        <v>3</v>
      </c>
      <c r="C80" s="109">
        <f>D20</f>
        <v/>
      </c>
      <c r="D80" s="109" t="n"/>
      <c r="E80" s="109" t="n"/>
      <c r="F80" s="109" t="n"/>
      <c r="G80" s="109" t="n"/>
      <c r="H80" s="109" t="n"/>
      <c r="I80" s="109" t="n"/>
      <c r="J80" s="2134" t="n"/>
      <c r="K80" s="2134" t="n"/>
      <c r="L80" s="2142">
        <f>L48/L$69</f>
        <v/>
      </c>
      <c r="M80" s="2142">
        <f>M48/M$69</f>
        <v/>
      </c>
      <c r="N80" s="2142">
        <f>N48/N$69</f>
        <v/>
      </c>
      <c r="O80" s="2142">
        <f>O48/O$69</f>
        <v/>
      </c>
      <c r="P80" s="2142">
        <f>P48/P$69</f>
        <v/>
      </c>
      <c r="Q80" s="2142">
        <f>Q48/Q$69</f>
        <v/>
      </c>
      <c r="R80" s="2142">
        <f>R48/R$69</f>
        <v/>
      </c>
      <c r="T80" s="1973" t="n"/>
      <c r="U80" s="1974" t="n"/>
      <c r="V80" s="2120" t="n"/>
    </row>
    <row r="81">
      <c r="B81" s="63" t="n">
        <v>4</v>
      </c>
      <c r="C81" s="109">
        <f>D21</f>
        <v/>
      </c>
      <c r="D81" s="109" t="n"/>
      <c r="E81" s="109" t="n"/>
      <c r="F81" s="109" t="n"/>
      <c r="G81" s="109" t="n"/>
      <c r="H81" s="109" t="n"/>
      <c r="I81" s="109" t="n"/>
      <c r="J81" s="2134" t="n"/>
      <c r="K81" s="2134" t="n"/>
      <c r="L81" s="2142">
        <f>L49/L$69</f>
        <v/>
      </c>
      <c r="M81" s="2142">
        <f>M49/M$69</f>
        <v/>
      </c>
      <c r="N81" s="2142">
        <f>N49/N$69</f>
        <v/>
      </c>
      <c r="O81" s="2142">
        <f>O49/O$69</f>
        <v/>
      </c>
      <c r="P81" s="2142">
        <f>P49/P$69</f>
        <v/>
      </c>
      <c r="Q81" s="2142">
        <f>Q49/Q$69</f>
        <v/>
      </c>
      <c r="R81" s="2142">
        <f>R49/R$69</f>
        <v/>
      </c>
      <c r="T81" s="1973" t="n"/>
      <c r="U81" s="1974" t="n"/>
      <c r="V81" s="2120" t="n"/>
    </row>
    <row r="82">
      <c r="B82" s="63" t="n">
        <v>5</v>
      </c>
      <c r="C82" s="109">
        <f>D22</f>
        <v/>
      </c>
      <c r="D82" s="109" t="n"/>
      <c r="E82" s="109" t="n"/>
      <c r="F82" s="109" t="n"/>
      <c r="G82" s="109" t="n"/>
      <c r="H82" s="109" t="n"/>
      <c r="I82" s="109" t="n"/>
      <c r="J82" s="2134" t="n"/>
      <c r="K82" s="2134" t="n"/>
      <c r="L82" s="2142">
        <f>L54/L$69</f>
        <v/>
      </c>
      <c r="M82" s="2142">
        <f>M54/M$69</f>
        <v/>
      </c>
      <c r="N82" s="2142">
        <f>N54/N$69</f>
        <v/>
      </c>
      <c r="O82" s="2142">
        <f>O54/O$69</f>
        <v/>
      </c>
      <c r="P82" s="2142">
        <f>P54/P$69</f>
        <v/>
      </c>
      <c r="Q82" s="2142">
        <f>Q54/Q$69</f>
        <v/>
      </c>
      <c r="R82" s="2142">
        <f>R54/R$69</f>
        <v/>
      </c>
      <c r="T82" s="1973" t="n"/>
      <c r="U82" s="1974" t="n"/>
      <c r="V82" s="2120" t="n"/>
    </row>
    <row r="83">
      <c r="B83" s="63" t="n">
        <v>6</v>
      </c>
      <c r="C83" s="109">
        <f>D23</f>
        <v/>
      </c>
      <c r="D83" s="109" t="n"/>
      <c r="E83" s="109" t="n"/>
      <c r="F83" s="109" t="n"/>
      <c r="G83" s="109" t="n"/>
      <c r="H83" s="109" t="n"/>
      <c r="I83" s="109" t="n"/>
      <c r="J83" s="2134" t="n"/>
      <c r="K83" s="2134" t="n"/>
      <c r="L83" s="2142">
        <f>L55/L$69</f>
        <v/>
      </c>
      <c r="M83" s="2142">
        <f>M55/M$69</f>
        <v/>
      </c>
      <c r="N83" s="2142">
        <f>N55/N$69</f>
        <v/>
      </c>
      <c r="O83" s="2142">
        <f>O55/O$69</f>
        <v/>
      </c>
      <c r="P83" s="2142">
        <f>P55/P$69</f>
        <v/>
      </c>
      <c r="Q83" s="2142">
        <f>Q55/Q$69</f>
        <v/>
      </c>
      <c r="R83" s="2142">
        <f>R55/R$69</f>
        <v/>
      </c>
      <c r="T83" s="1973" t="n"/>
      <c r="U83" s="1974" t="n"/>
      <c r="V83" s="2120" t="n"/>
    </row>
    <row r="84">
      <c r="B84" s="63" t="n">
        <v>7</v>
      </c>
      <c r="C84" s="109">
        <f>D24</f>
        <v/>
      </c>
      <c r="D84" s="109" t="n"/>
      <c r="E84" s="109" t="n"/>
      <c r="F84" s="109" t="n"/>
      <c r="G84" s="109" t="n"/>
      <c r="H84" s="109" t="n"/>
      <c r="I84" s="109" t="n"/>
      <c r="J84" s="2134" t="n"/>
      <c r="K84" s="2134" t="n"/>
      <c r="L84" s="2142">
        <f>L56/L$69</f>
        <v/>
      </c>
      <c r="M84" s="2142">
        <f>M56/M$69</f>
        <v/>
      </c>
      <c r="N84" s="2142">
        <f>N56/N$69</f>
        <v/>
      </c>
      <c r="O84" s="2142">
        <f>O56/O$69</f>
        <v/>
      </c>
      <c r="P84" s="2142">
        <f>P56/P$69</f>
        <v/>
      </c>
      <c r="Q84" s="2142">
        <f>Q56/Q$69</f>
        <v/>
      </c>
      <c r="R84" s="2142">
        <f>R56/R$69</f>
        <v/>
      </c>
      <c r="T84" s="1973" t="n"/>
      <c r="U84" s="1974" t="n"/>
      <c r="V84" s="2120" t="n"/>
    </row>
    <row r="85">
      <c r="B85" s="63" t="n">
        <v>8</v>
      </c>
      <c r="C85" s="109">
        <f>D25</f>
        <v/>
      </c>
      <c r="D85" s="109" t="n"/>
      <c r="E85" s="109" t="n"/>
      <c r="F85" s="109" t="n"/>
      <c r="G85" s="109" t="n"/>
      <c r="H85" s="109" t="n"/>
      <c r="I85" s="109" t="n"/>
      <c r="J85" s="2134" t="n"/>
      <c r="K85" s="2134" t="n"/>
      <c r="L85" s="2142">
        <f>L57/L$69</f>
        <v/>
      </c>
      <c r="M85" s="2142">
        <f>M57/M$69</f>
        <v/>
      </c>
      <c r="N85" s="2142">
        <f>N57/N$69</f>
        <v/>
      </c>
      <c r="O85" s="2142">
        <f>O57/O$69</f>
        <v/>
      </c>
      <c r="P85" s="2142">
        <f>P57/P$69</f>
        <v/>
      </c>
      <c r="Q85" s="2142">
        <f>Q57/Q$69</f>
        <v/>
      </c>
      <c r="R85" s="2142">
        <f>R57/R$69</f>
        <v/>
      </c>
      <c r="T85" s="1973" t="n"/>
      <c r="U85" s="1974" t="n"/>
      <c r="V85" s="2120" t="n"/>
    </row>
    <row r="86">
      <c r="B86" s="63" t="n">
        <v>9</v>
      </c>
      <c r="C86" s="109">
        <f>D26</f>
        <v/>
      </c>
      <c r="D86" s="109" t="n"/>
      <c r="E86" s="109" t="n"/>
      <c r="F86" s="109" t="n"/>
      <c r="G86" s="109" t="n"/>
      <c r="H86" s="109" t="n"/>
      <c r="I86" s="109" t="n"/>
      <c r="J86" s="2134" t="n"/>
      <c r="K86" s="2134" t="n"/>
      <c r="L86" s="2142">
        <f>L62/L$69</f>
        <v/>
      </c>
      <c r="M86" s="2142">
        <f>M62/M$69</f>
        <v/>
      </c>
      <c r="N86" s="2142">
        <f>N62/N$69</f>
        <v/>
      </c>
      <c r="O86" s="2142">
        <f>O62/O$69</f>
        <v/>
      </c>
      <c r="P86" s="2142">
        <f>P62/P$69</f>
        <v/>
      </c>
      <c r="Q86" s="2142">
        <f>Q62/Q$69</f>
        <v/>
      </c>
      <c r="R86" s="2142">
        <f>R62/R$69</f>
        <v/>
      </c>
      <c r="T86" s="1973" t="n"/>
      <c r="U86" s="1974" t="n"/>
      <c r="V86" s="2120" t="n"/>
    </row>
    <row r="87">
      <c r="B87" s="63" t="n">
        <v>10</v>
      </c>
      <c r="C87" s="109">
        <f>D27</f>
        <v/>
      </c>
      <c r="D87" s="109" t="n"/>
      <c r="E87" s="109" t="n"/>
      <c r="F87" s="109" t="n"/>
      <c r="G87" s="109" t="n"/>
      <c r="H87" s="109" t="n"/>
      <c r="I87" s="109" t="n"/>
      <c r="J87" s="2134" t="n"/>
      <c r="K87" s="2134" t="n"/>
      <c r="L87" s="2142">
        <f>L63/L$69</f>
        <v/>
      </c>
      <c r="M87" s="2142">
        <f>M63/M$69</f>
        <v/>
      </c>
      <c r="N87" s="2142">
        <f>N63/N$69</f>
        <v/>
      </c>
      <c r="O87" s="2142">
        <f>O63/O$69</f>
        <v/>
      </c>
      <c r="P87" s="2142">
        <f>P63/P$69</f>
        <v/>
      </c>
      <c r="Q87" s="2142">
        <f>Q63/Q$69</f>
        <v/>
      </c>
      <c r="R87" s="2142">
        <f>R63/R$69</f>
        <v/>
      </c>
      <c r="T87" s="1973" t="n"/>
      <c r="U87" s="1974" t="n"/>
      <c r="V87" s="2120" t="n"/>
    </row>
    <row r="88">
      <c r="B88" s="63" t="n">
        <v>11</v>
      </c>
      <c r="C88" s="109">
        <f>D28</f>
        <v/>
      </c>
      <c r="D88" s="109" t="n"/>
      <c r="E88" s="109" t="n"/>
      <c r="F88" s="109" t="n"/>
      <c r="G88" s="109" t="n"/>
      <c r="H88" s="109" t="n"/>
      <c r="I88" s="109" t="n"/>
      <c r="J88" s="2134" t="n"/>
      <c r="K88" s="2134" t="n"/>
      <c r="L88" s="2142">
        <f>L64/L$69</f>
        <v/>
      </c>
      <c r="M88" s="2142">
        <f>M64/M$69</f>
        <v/>
      </c>
      <c r="N88" s="2142">
        <f>N64/N$69</f>
        <v/>
      </c>
      <c r="O88" s="2142">
        <f>O64/O$69</f>
        <v/>
      </c>
      <c r="P88" s="2142">
        <f>P64/P$69</f>
        <v/>
      </c>
      <c r="Q88" s="2142">
        <f>Q64/Q$69</f>
        <v/>
      </c>
      <c r="R88" s="2142">
        <f>R64/R$69</f>
        <v/>
      </c>
      <c r="T88" s="1973" t="n"/>
      <c r="U88" s="1974" t="n"/>
      <c r="V88" s="2120" t="n"/>
    </row>
    <row r="89">
      <c r="B89" s="63" t="n">
        <v>12</v>
      </c>
      <c r="C89" s="109">
        <f>D29</f>
        <v/>
      </c>
      <c r="D89" s="109" t="n"/>
      <c r="E89" s="109" t="n"/>
      <c r="F89" s="109" t="n"/>
      <c r="G89" s="109" t="n"/>
      <c r="H89" s="109" t="n"/>
      <c r="I89" s="109" t="n"/>
      <c r="J89" s="2134" t="n"/>
      <c r="K89" s="2134" t="n"/>
      <c r="L89" s="2142">
        <f>L65/L$69</f>
        <v/>
      </c>
      <c r="M89" s="2142">
        <f>M65/M$69</f>
        <v/>
      </c>
      <c r="N89" s="2142">
        <f>N65/N$69</f>
        <v/>
      </c>
      <c r="O89" s="2142">
        <f>O65/O$69</f>
        <v/>
      </c>
      <c r="P89" s="2142">
        <f>P65/P$69</f>
        <v/>
      </c>
      <c r="Q89" s="2142">
        <f>Q65/Q$69</f>
        <v/>
      </c>
      <c r="R89" s="2142">
        <f>R65/R$69</f>
        <v/>
      </c>
      <c r="T89" s="1973" t="n"/>
      <c r="U89" s="1974" t="n"/>
      <c r="V89" s="2120" t="n"/>
    </row>
    <row r="90">
      <c r="C90" s="1415" t="inlineStr">
        <is>
          <t>Dominant Stream</t>
        </is>
      </c>
      <c r="D90" s="1407" t="n"/>
      <c r="E90" s="1407" t="n"/>
      <c r="F90" s="1407">
        <f>IF(MEDIAN(L90:R90)&lt;=1,C78,IF(MEDIAN(L90:R90)&lt;=2,C79,IF(MEDIAN(L90:R90)&lt;=3,C80,IF(MEDIAN(L90:R90)&lt;=4,C81,IF(MEDIAN(L90:R90)&lt;=5,C82,IF(MEDIAN(L90:R90)&lt;=6,C83,IF(MEDIAN(L90:R90)&lt;=7,C84,IF(MEDIAN(L90:R90)&lt;=8,C85,IF(MEDIAN(L90:R90)&lt;=9,C86,IF(MEDIAN(L90:R90)&lt;=10,C87,IF(MEDIAN(L90:R90)&lt;=11,C88,IF(MEDIAN(L90:R90)&lt;=12,C89,"NA"))))))))))))</f>
        <v/>
      </c>
      <c r="G90" s="2143">
        <f>AVERAGE(_xlfn.XLOOKUP(F90,C78:C89,L78:R89))</f>
        <v/>
      </c>
      <c r="H90" s="1407" t="n"/>
      <c r="I90" s="1407" t="n"/>
      <c r="J90" s="2144" t="n"/>
      <c r="K90" s="2144" t="n"/>
      <c r="L90" s="2145">
        <f>_xlfn.XLOOKUP(MAX(L$78:L$89),L$78:L$89,$B$78:$B$89)</f>
        <v/>
      </c>
      <c r="M90" s="2145">
        <f>_xlfn.XLOOKUP(MAX(M$78:M$89),M$78:M$89,$B$78:$B$89)</f>
        <v/>
      </c>
      <c r="N90" s="2145">
        <f>_xlfn.XLOOKUP(MAX(N$78:N$89),N$78:N$89,$B$78:$B$89)</f>
        <v/>
      </c>
      <c r="O90" s="2145">
        <f>_xlfn.XLOOKUP(MAX(O$78:O$89),O$78:O$89,$B$78:$B$89)</f>
        <v/>
      </c>
      <c r="P90" s="2145">
        <f>_xlfn.XLOOKUP(MAX(P$78:P$89),P$78:P$89,$B$78:$B$89)</f>
        <v/>
      </c>
      <c r="Q90" s="2145">
        <f>_xlfn.XLOOKUP(MAX(Q$78:Q$89),Q$78:Q$89,$B$78:$B$89)</f>
        <v/>
      </c>
      <c r="R90" s="2146">
        <f>_xlfn.XLOOKUP(MAX(R$78:R$89),R$78:R$89,$B$78:$B$89)</f>
        <v/>
      </c>
      <c r="T90" s="1973" t="n"/>
      <c r="U90" s="1974" t="n"/>
      <c r="V90" s="2120" t="n"/>
    </row>
    <row r="91">
      <c r="C91" s="109" t="n"/>
      <c r="D91" s="109" t="n"/>
      <c r="E91" s="109" t="n"/>
      <c r="F91" s="109" t="n"/>
      <c r="G91" s="109" t="n"/>
      <c r="H91" s="109" t="n"/>
      <c r="I91" s="109" t="n"/>
      <c r="J91" s="2134" t="n"/>
      <c r="K91" s="2134" t="n"/>
      <c r="L91" s="2134" t="n"/>
      <c r="M91" s="109" t="n"/>
      <c r="N91" s="109" t="n"/>
      <c r="O91" s="109" t="n"/>
      <c r="P91" s="109" t="n"/>
      <c r="Q91" s="109" t="n"/>
      <c r="R91" s="109" t="n"/>
      <c r="T91" s="1973" t="n"/>
      <c r="U91" s="1974" t="n"/>
      <c r="V91" s="2120" t="n"/>
    </row>
    <row r="92">
      <c r="C92" s="113" t="inlineStr">
        <is>
          <t xml:space="preserve">Cost of goods sold </t>
        </is>
      </c>
      <c r="D92" s="114" t="n"/>
      <c r="E92" s="114" t="n"/>
      <c r="F92" s="114" t="n"/>
      <c r="G92" s="114" t="n"/>
      <c r="H92" s="115">
        <f>H7</f>
        <v/>
      </c>
      <c r="I92" s="115">
        <f>I7</f>
        <v/>
      </c>
      <c r="J92" s="115">
        <f>J7</f>
        <v/>
      </c>
      <c r="K92" s="115">
        <f>K7</f>
        <v/>
      </c>
      <c r="L92" s="115">
        <f>L7</f>
        <v/>
      </c>
      <c r="M92" s="115">
        <f>M7</f>
        <v/>
      </c>
      <c r="N92" s="115">
        <f>N7</f>
        <v/>
      </c>
      <c r="O92" s="115">
        <f>O7</f>
        <v/>
      </c>
      <c r="P92" s="115">
        <f>P7</f>
        <v/>
      </c>
      <c r="Q92" s="115">
        <f>Q7</f>
        <v/>
      </c>
      <c r="R92" s="281">
        <f>R7</f>
        <v/>
      </c>
      <c r="T92" s="1973">
        <f>IFERROR((R92/N92)^(1/5)-1,"-")</f>
        <v/>
      </c>
      <c r="U92" s="1974">
        <f>IFERROR(IF(K92+L92=M92,"OK","VARIANCE"),"")</f>
        <v/>
      </c>
      <c r="V92" s="2120">
        <f>IFERROR((K92/ytd.months)*12,"NA")</f>
        <v/>
      </c>
    </row>
    <row r="93">
      <c r="C93" s="1259">
        <f>currency.heading1</f>
        <v/>
      </c>
      <c r="D93" s="1260" t="n"/>
      <c r="E93" s="1260" t="n"/>
      <c r="F93" s="1260" t="n"/>
      <c r="G93" s="1260" t="n"/>
      <c r="H93" s="1261">
        <f>H8</f>
        <v/>
      </c>
      <c r="I93" s="1261">
        <f>I8</f>
        <v/>
      </c>
      <c r="J93" s="1261">
        <f>J8</f>
        <v/>
      </c>
      <c r="K93" s="1261">
        <f>K8</f>
        <v/>
      </c>
      <c r="L93" s="1261">
        <f>L8</f>
        <v/>
      </c>
      <c r="M93" s="1261">
        <f>M8</f>
        <v/>
      </c>
      <c r="N93" s="1261">
        <f>N8</f>
        <v/>
      </c>
      <c r="O93" s="1261">
        <f>O8</f>
        <v/>
      </c>
      <c r="P93" s="1261">
        <f>P8</f>
        <v/>
      </c>
      <c r="Q93" s="1261">
        <f>Q8</f>
        <v/>
      </c>
      <c r="R93" s="1262">
        <f>R8</f>
        <v/>
      </c>
      <c r="T93" s="1973">
        <f>IFERROR((R93/N93)^(1/5)-1,"-")</f>
        <v/>
      </c>
      <c r="U93" s="1974">
        <f>IFERROR(IF(K93+L93=M93,"OK","VARIANCE"),"")</f>
        <v/>
      </c>
      <c r="V93" s="2120">
        <f>IFERROR((K93/ytd.months)*12,"NA")</f>
        <v/>
      </c>
    </row>
    <row r="94">
      <c r="C94" s="613" t="inlineStr">
        <is>
          <t>COGS on Existing Revenue</t>
        </is>
      </c>
      <c r="D94" s="563" t="n"/>
      <c r="E94" s="563" t="n"/>
      <c r="F94" s="563" t="n"/>
      <c r="G94" s="563" t="n"/>
      <c r="H94" s="614" t="n"/>
      <c r="I94" s="614" t="n"/>
      <c r="J94" s="614" t="n"/>
      <c r="K94" s="614" t="n"/>
      <c r="L94" s="614" t="n"/>
      <c r="M94" s="614" t="n"/>
      <c r="N94" s="614" t="n"/>
      <c r="O94" s="614" t="n"/>
      <c r="P94" s="614" t="n"/>
      <c r="Q94" s="614" t="n"/>
      <c r="R94" s="615" t="n"/>
      <c r="T94" s="1973">
        <f>IFERROR((R94/N94)^(1/5)-1,"-")</f>
        <v/>
      </c>
      <c r="U94" s="1974">
        <f>IFERROR(IF(K94+L94=M94,"OK","VARIANCE"),"")</f>
        <v/>
      </c>
      <c r="V94" s="2120">
        <f>IFERROR((K94/ytd.months)*12,"NA")</f>
        <v/>
      </c>
    </row>
    <row r="95">
      <c r="C95" s="616">
        <f>C46</f>
        <v/>
      </c>
      <c r="D95" s="85" t="n"/>
      <c r="E95" s="85" t="n"/>
      <c r="F95" s="85" t="n"/>
      <c r="G95" s="85" t="n"/>
      <c r="H95" s="2124">
        <f>H46*H117</f>
        <v/>
      </c>
      <c r="I95" s="2124">
        <f>I46*I117</f>
        <v/>
      </c>
      <c r="J95" s="2124">
        <f>J46*J117</f>
        <v/>
      </c>
      <c r="K95" s="2124">
        <f>K46*K117</f>
        <v/>
      </c>
      <c r="L95" s="2147">
        <f>IF(ytg.approach=Inputs!$C$39,K95*ytg.actual,IF(ytg.approach=Inputs!$C$40,ytg.mgt*M95,M95-K95))</f>
        <v/>
      </c>
      <c r="M95" s="2124">
        <f>M46*M117</f>
        <v/>
      </c>
      <c r="N95" s="2124">
        <f>N46*N117</f>
        <v/>
      </c>
      <c r="O95" s="2124">
        <f>O46*O117</f>
        <v/>
      </c>
      <c r="P95" s="2124">
        <f>P46*P117</f>
        <v/>
      </c>
      <c r="Q95" s="2124">
        <f>Q46*Q117</f>
        <v/>
      </c>
      <c r="R95" s="2148">
        <f>R46*R117</f>
        <v/>
      </c>
      <c r="T95" s="1973">
        <f>IFERROR((R95/N95)^(1/5)-1,"-")</f>
        <v/>
      </c>
      <c r="U95" s="1974">
        <f>IFERROR(IF(K95+L95=M95,"OK","VARIANCE"),"")</f>
        <v/>
      </c>
      <c r="V95" s="2120">
        <f>IFERROR((K95/ytd.months)*12,"NA")</f>
        <v/>
      </c>
    </row>
    <row r="96">
      <c r="C96" s="616">
        <f>C47</f>
        <v/>
      </c>
      <c r="D96" s="85" t="n"/>
      <c r="E96" s="85" t="n"/>
      <c r="F96" s="85" t="n"/>
      <c r="G96" s="85" t="n"/>
      <c r="H96" s="2124">
        <f>H47*H118</f>
        <v/>
      </c>
      <c r="I96" s="2124">
        <f>I47*I118</f>
        <v/>
      </c>
      <c r="J96" s="2124">
        <f>J47*J118</f>
        <v/>
      </c>
      <c r="K96" s="2124">
        <f>K47*K118</f>
        <v/>
      </c>
      <c r="L96" s="2149">
        <f>IF(ytg.approach=Inputs!$C$39,K96*ytg.actual,IF(ytg.approach=Inputs!$C$40,ytg.mgt*M96,M96-K96))</f>
        <v/>
      </c>
      <c r="M96" s="2124">
        <f>M47*M118</f>
        <v/>
      </c>
      <c r="N96" s="2124">
        <f>N47*N118</f>
        <v/>
      </c>
      <c r="O96" s="2124">
        <f>O47*O118</f>
        <v/>
      </c>
      <c r="P96" s="2124">
        <f>P47*P118</f>
        <v/>
      </c>
      <c r="Q96" s="2124">
        <f>Q47*Q118</f>
        <v/>
      </c>
      <c r="R96" s="2148">
        <f>R47*R118</f>
        <v/>
      </c>
      <c r="T96" s="1973">
        <f>IFERROR((R96/N96)^(1/5)-1,"-")</f>
        <v/>
      </c>
      <c r="U96" s="1974">
        <f>IFERROR(IF(K96+L96=M96,"OK","VARIANCE"),"")</f>
        <v/>
      </c>
      <c r="V96" s="2120">
        <f>IFERROR((K96/ytd.months)*12,"NA")</f>
        <v/>
      </c>
    </row>
    <row r="97">
      <c r="C97" s="616">
        <f>C48</f>
        <v/>
      </c>
      <c r="D97" s="85" t="n"/>
      <c r="E97" s="85" t="n"/>
      <c r="F97" s="85" t="n"/>
      <c r="G97" s="85" t="n"/>
      <c r="H97" s="2124">
        <f>H48*H119</f>
        <v/>
      </c>
      <c r="I97" s="2124">
        <f>I48*I119</f>
        <v/>
      </c>
      <c r="J97" s="2124">
        <f>J48*J119</f>
        <v/>
      </c>
      <c r="K97" s="2124">
        <f>K48*K119</f>
        <v/>
      </c>
      <c r="L97" s="2149">
        <f>IF(ytg.approach=Inputs!$C$39,K97*ytg.actual,IF(ytg.approach=Inputs!$C$40,ytg.mgt*M97,M97-K97))</f>
        <v/>
      </c>
      <c r="M97" s="2124">
        <f>M48*M119</f>
        <v/>
      </c>
      <c r="N97" s="2124">
        <f>N48*N119</f>
        <v/>
      </c>
      <c r="O97" s="2124">
        <f>O48*O119</f>
        <v/>
      </c>
      <c r="P97" s="2124">
        <f>P48*P119</f>
        <v/>
      </c>
      <c r="Q97" s="2124">
        <f>Q48*Q119</f>
        <v/>
      </c>
      <c r="R97" s="2148">
        <f>R48*R119</f>
        <v/>
      </c>
      <c r="T97" s="1973">
        <f>IFERROR((R97/N97)^(1/5)-1,"-")</f>
        <v/>
      </c>
      <c r="U97" s="1974">
        <f>IFERROR(IF(K97+L97=M97,"OK","VARIANCE"),"")</f>
        <v/>
      </c>
      <c r="V97" s="2120">
        <f>IFERROR((K97/ytd.months)*12,"NA")</f>
        <v/>
      </c>
    </row>
    <row r="98">
      <c r="C98" s="616">
        <f>C49</f>
        <v/>
      </c>
      <c r="D98" s="85" t="n"/>
      <c r="E98" s="85" t="n"/>
      <c r="F98" s="85" t="n"/>
      <c r="G98" s="85" t="n"/>
      <c r="H98" s="2124">
        <f>H49*H120</f>
        <v/>
      </c>
      <c r="I98" s="2124">
        <f>I49*I120</f>
        <v/>
      </c>
      <c r="J98" s="2124">
        <f>J49*J120</f>
        <v/>
      </c>
      <c r="K98" s="2124">
        <f>K49*K120</f>
        <v/>
      </c>
      <c r="L98" s="2149">
        <f>IF(ytg.approach=Inputs!$C$39,K98*ytg.actual,IF(ytg.approach=Inputs!$C$40,ytg.mgt*M98,M98-K98))</f>
        <v/>
      </c>
      <c r="M98" s="2124">
        <f>M49*M120</f>
        <v/>
      </c>
      <c r="N98" s="2124">
        <f>N49*N120</f>
        <v/>
      </c>
      <c r="O98" s="2124">
        <f>O49*O120</f>
        <v/>
      </c>
      <c r="P98" s="2124">
        <f>P49*P120</f>
        <v/>
      </c>
      <c r="Q98" s="2124">
        <f>Q49*Q120</f>
        <v/>
      </c>
      <c r="R98" s="2148">
        <f>R49*R120</f>
        <v/>
      </c>
      <c r="T98" s="1973">
        <f>IFERROR((R98/N98)^(1/5)-1,"-")</f>
        <v/>
      </c>
      <c r="U98" s="1974">
        <f>IFERROR(IF(K98+L98=M98,"OK","VARIANCE"),"")</f>
        <v/>
      </c>
      <c r="V98" s="2120">
        <f>IFERROR((K98/ytd.months)*12,"NA")</f>
        <v/>
      </c>
    </row>
    <row r="99">
      <c r="C99" s="586" t="inlineStr">
        <is>
          <t>Total COGS on Existing Streams</t>
        </is>
      </c>
      <c r="D99" s="587" t="n"/>
      <c r="E99" s="587" t="n"/>
      <c r="F99" s="587" t="n"/>
      <c r="G99" s="587" t="n"/>
      <c r="H99" s="2126">
        <f>SUM(H95:H98)</f>
        <v/>
      </c>
      <c r="I99" s="2126">
        <f>SUM(I95:I98)</f>
        <v/>
      </c>
      <c r="J99" s="2126">
        <f>SUM(J95:J98)</f>
        <v/>
      </c>
      <c r="K99" s="2126">
        <f>SUM(K95:K98)</f>
        <v/>
      </c>
      <c r="L99" s="2126">
        <f>SUM(L95:L98)</f>
        <v/>
      </c>
      <c r="M99" s="2126">
        <f>SUM(M95:M98)</f>
        <v/>
      </c>
      <c r="N99" s="2126">
        <f>SUM(N95:N98)</f>
        <v/>
      </c>
      <c r="O99" s="2126">
        <f>SUM(O95:O98)</f>
        <v/>
      </c>
      <c r="P99" s="2126">
        <f>SUM(P95:P98)</f>
        <v/>
      </c>
      <c r="Q99" s="2126">
        <f>SUM(Q95:Q98)</f>
        <v/>
      </c>
      <c r="R99" s="2127">
        <f>SUM(R95:R98)</f>
        <v/>
      </c>
      <c r="T99" s="1973">
        <f>IFERROR((R99/N99)^(1/5)-1,"-")</f>
        <v/>
      </c>
      <c r="U99" s="1974">
        <f>IFERROR(IF(K99+L99=M99,"OK","VARIANCE"),"")</f>
        <v/>
      </c>
      <c r="V99" s="2120">
        <f>IFERROR((K99/ytd.months)*12,"NA")</f>
        <v/>
      </c>
    </row>
    <row r="100">
      <c r="C100" s="616" t="n"/>
      <c r="D100" s="85" t="n"/>
      <c r="E100" s="85" t="n"/>
      <c r="F100" s="85" t="n"/>
      <c r="G100" s="85" t="n"/>
      <c r="H100" s="2124" t="n"/>
      <c r="I100" s="2124" t="n"/>
      <c r="J100" s="2124" t="n"/>
      <c r="K100" s="2124" t="n"/>
      <c r="L100" s="2124" t="n"/>
      <c r="M100" s="2124" t="n"/>
      <c r="N100" s="2124" t="n"/>
      <c r="O100" s="2124" t="n"/>
      <c r="P100" s="2124" t="n"/>
      <c r="Q100" s="2124" t="n"/>
      <c r="R100" s="2148" t="n"/>
      <c r="T100" s="1973">
        <f>IFERROR((R100/N100)^(1/5)-1,"-")</f>
        <v/>
      </c>
      <c r="U100" s="1974">
        <f>IFERROR(IF(K100+L100=M100,"OK","VARIANCE"),"")</f>
        <v/>
      </c>
      <c r="V100" s="2120">
        <f>IFERROR((K100/ytd.months)*12,"NA")</f>
        <v/>
      </c>
    </row>
    <row r="101">
      <c r="C101" s="613" t="inlineStr">
        <is>
          <t>COGS on Pipeline Revenue</t>
        </is>
      </c>
      <c r="D101" s="85" t="n"/>
      <c r="E101" s="85" t="n"/>
      <c r="F101" s="85" t="n"/>
      <c r="G101" s="85" t="n"/>
      <c r="H101" s="2124" t="n"/>
      <c r="I101" s="2124" t="n"/>
      <c r="J101" s="2124" t="n"/>
      <c r="K101" s="2124" t="n"/>
      <c r="L101" s="2124" t="n"/>
      <c r="M101" s="2124" t="n"/>
      <c r="N101" s="2124" t="n"/>
      <c r="O101" s="2124" t="n"/>
      <c r="P101" s="2124" t="n"/>
      <c r="Q101" s="2124" t="n"/>
      <c r="R101" s="2148" t="n"/>
      <c r="T101" s="1973">
        <f>IFERROR((R101/N101)^(1/5)-1,"-")</f>
        <v/>
      </c>
      <c r="U101" s="1974">
        <f>IFERROR(IF(K101+L101=M101,"OK","VARIANCE"),"")</f>
        <v/>
      </c>
      <c r="V101" s="2120">
        <f>IFERROR((K101/ytd.months)*12,"NA")</f>
        <v/>
      </c>
    </row>
    <row r="102">
      <c r="C102" s="616">
        <f>C54</f>
        <v/>
      </c>
      <c r="D102" s="85" t="n"/>
      <c r="E102" s="85" t="n"/>
      <c r="F102" s="85" t="n"/>
      <c r="G102" s="85" t="n"/>
      <c r="H102" s="2150" t="n"/>
      <c r="I102" s="2150" t="n"/>
      <c r="J102" s="2150" t="n"/>
      <c r="K102" s="2150" t="n"/>
      <c r="L102" s="2124">
        <f>L54*L121</f>
        <v/>
      </c>
      <c r="M102" s="2124">
        <f>M54*M121</f>
        <v/>
      </c>
      <c r="N102" s="2124">
        <f>N54*N121</f>
        <v/>
      </c>
      <c r="O102" s="2124">
        <f>O54*O121</f>
        <v/>
      </c>
      <c r="P102" s="2124">
        <f>P54*P121</f>
        <v/>
      </c>
      <c r="Q102" s="2124">
        <f>Q54*Q121</f>
        <v/>
      </c>
      <c r="R102" s="2148">
        <f>R54*R121</f>
        <v/>
      </c>
      <c r="T102" s="1973">
        <f>IFERROR((R102/N102)^(1/5)-1,"-")</f>
        <v/>
      </c>
      <c r="U102" s="1974">
        <f>IFERROR(IF(K102+L102=M102,"OK","VARIANCE"),"")</f>
        <v/>
      </c>
      <c r="V102" s="2120">
        <f>IFERROR((K102/ytd.months)*12,"NA")</f>
        <v/>
      </c>
    </row>
    <row r="103">
      <c r="C103" s="616">
        <f>C55</f>
        <v/>
      </c>
      <c r="D103" s="85" t="n"/>
      <c r="E103" s="85" t="n"/>
      <c r="F103" s="85" t="n"/>
      <c r="G103" s="85" t="n"/>
      <c r="H103" s="2150" t="n"/>
      <c r="I103" s="2150" t="n"/>
      <c r="J103" s="2150" t="n"/>
      <c r="K103" s="2150" t="n"/>
      <c r="L103" s="2124">
        <f>L55*L122</f>
        <v/>
      </c>
      <c r="M103" s="2124">
        <f>M55*M122</f>
        <v/>
      </c>
      <c r="N103" s="2124">
        <f>N55*N122</f>
        <v/>
      </c>
      <c r="O103" s="2124">
        <f>O55*O122</f>
        <v/>
      </c>
      <c r="P103" s="2124">
        <f>P55*P122</f>
        <v/>
      </c>
      <c r="Q103" s="2124">
        <f>Q55*Q122</f>
        <v/>
      </c>
      <c r="R103" s="2148">
        <f>R55*R122</f>
        <v/>
      </c>
      <c r="T103" s="1973">
        <f>IFERROR((R103/N103)^(1/5)-1,"-")</f>
        <v/>
      </c>
      <c r="U103" s="1974">
        <f>IFERROR(IF(K103+L103=M103,"OK","VARIANCE"),"")</f>
        <v/>
      </c>
      <c r="V103" s="2120">
        <f>IFERROR((K103/ytd.months)*12,"NA")</f>
        <v/>
      </c>
    </row>
    <row r="104">
      <c r="C104" s="616">
        <f>C56</f>
        <v/>
      </c>
      <c r="D104" s="85" t="n"/>
      <c r="E104" s="85" t="n"/>
      <c r="F104" s="85" t="n"/>
      <c r="G104" s="85" t="n"/>
      <c r="H104" s="2150" t="n"/>
      <c r="I104" s="2150" t="n"/>
      <c r="J104" s="2150" t="n"/>
      <c r="K104" s="2150" t="n"/>
      <c r="L104" s="2124">
        <f>L56*L123</f>
        <v/>
      </c>
      <c r="M104" s="2124">
        <f>M56*M123</f>
        <v/>
      </c>
      <c r="N104" s="2124">
        <f>N56*N123</f>
        <v/>
      </c>
      <c r="O104" s="2124">
        <f>O56*O123</f>
        <v/>
      </c>
      <c r="P104" s="2124">
        <f>P56*P123</f>
        <v/>
      </c>
      <c r="Q104" s="2124">
        <f>Q56*Q123</f>
        <v/>
      </c>
      <c r="R104" s="2148">
        <f>R56*R123</f>
        <v/>
      </c>
      <c r="T104" s="1973">
        <f>IFERROR((R104/N104)^(1/5)-1,"-")</f>
        <v/>
      </c>
      <c r="U104" s="1974">
        <f>IFERROR(IF(K104+L104=M104,"OK","VARIANCE"),"")</f>
        <v/>
      </c>
      <c r="V104" s="2120">
        <f>IFERROR((K104/ytd.months)*12,"NA")</f>
        <v/>
      </c>
    </row>
    <row r="105">
      <c r="C105" s="616">
        <f>C57</f>
        <v/>
      </c>
      <c r="D105" s="85" t="n"/>
      <c r="E105" s="85" t="n"/>
      <c r="F105" s="85" t="n"/>
      <c r="G105" s="85" t="n"/>
      <c r="H105" s="2150" t="n"/>
      <c r="I105" s="2150" t="n"/>
      <c r="J105" s="2150" t="n"/>
      <c r="K105" s="2150" t="n"/>
      <c r="L105" s="2124">
        <f>L57*L124</f>
        <v/>
      </c>
      <c r="M105" s="2124">
        <f>M57*M124</f>
        <v/>
      </c>
      <c r="N105" s="2124">
        <f>N57*N124</f>
        <v/>
      </c>
      <c r="O105" s="2124">
        <f>O57*O124</f>
        <v/>
      </c>
      <c r="P105" s="2124">
        <f>P57*P124</f>
        <v/>
      </c>
      <c r="Q105" s="2124">
        <f>Q57*Q124</f>
        <v/>
      </c>
      <c r="R105" s="2148">
        <f>R57*R124</f>
        <v/>
      </c>
      <c r="T105" s="1973">
        <f>IFERROR((R105/N105)^(1/5)-1,"-")</f>
        <v/>
      </c>
      <c r="U105" s="1974">
        <f>IFERROR(IF(K105+L105=M105,"OK","VARIANCE"),"")</f>
        <v/>
      </c>
      <c r="V105" s="2120">
        <f>IFERROR((K105/ytd.months)*12,"NA")</f>
        <v/>
      </c>
    </row>
    <row r="106">
      <c r="C106" s="586" t="inlineStr">
        <is>
          <t>Total COGS on Pipeline Streams</t>
        </is>
      </c>
      <c r="D106" s="587" t="n"/>
      <c r="E106" s="587" t="n"/>
      <c r="F106" s="587" t="n"/>
      <c r="G106" s="587" t="n"/>
      <c r="H106" s="2126">
        <f>SUM(H102:H105)</f>
        <v/>
      </c>
      <c r="I106" s="2126">
        <f>SUM(I102:I105)</f>
        <v/>
      </c>
      <c r="J106" s="2126">
        <f>SUM(J102:J105)</f>
        <v/>
      </c>
      <c r="K106" s="2126">
        <f>SUM(K102:K105)</f>
        <v/>
      </c>
      <c r="L106" s="2126">
        <f>SUM(L102:L105)</f>
        <v/>
      </c>
      <c r="M106" s="2126">
        <f>SUM(M102:M105)</f>
        <v/>
      </c>
      <c r="N106" s="2126">
        <f>SUM(N102:N105)</f>
        <v/>
      </c>
      <c r="O106" s="2126">
        <f>SUM(O102:O105)</f>
        <v/>
      </c>
      <c r="P106" s="2126">
        <f>SUM(P102:P105)</f>
        <v/>
      </c>
      <c r="Q106" s="2126">
        <f>SUM(Q102:Q105)</f>
        <v/>
      </c>
      <c r="R106" s="2127">
        <f>SUM(R102:R105)</f>
        <v/>
      </c>
      <c r="T106" s="1973">
        <f>IFERROR((R106/N106)^(1/5)-1,"-")</f>
        <v/>
      </c>
      <c r="U106" s="1974">
        <f>IFERROR(IF(K106+L106=M106,"OK","VARIANCE"),"")</f>
        <v/>
      </c>
      <c r="V106" s="2120">
        <f>IFERROR((K106/ytd.months)*12,"NA")</f>
        <v/>
      </c>
    </row>
    <row r="107">
      <c r="C107" s="622" t="n"/>
      <c r="D107" s="623" t="n"/>
      <c r="E107" s="623" t="n"/>
      <c r="F107" s="623" t="n"/>
      <c r="G107" s="623" t="n"/>
      <c r="H107" s="2151" t="n"/>
      <c r="I107" s="2151" t="n"/>
      <c r="J107" s="2151" t="n"/>
      <c r="K107" s="2151" t="n"/>
      <c r="L107" s="2151" t="n"/>
      <c r="M107" s="2151" t="n"/>
      <c r="N107" s="2151" t="n"/>
      <c r="O107" s="2151" t="n"/>
      <c r="P107" s="2151" t="n"/>
      <c r="Q107" s="2151" t="n"/>
      <c r="R107" s="2152" t="n"/>
      <c r="T107" s="1973">
        <f>IFERROR((R107/N107)^(1/5)-1,"-")</f>
        <v/>
      </c>
      <c r="U107" s="1974">
        <f>IFERROR(IF(K107+L107=M107,"OK","VARIANCE"),"")</f>
        <v/>
      </c>
      <c r="V107" s="2120">
        <f>IFERROR((K107/ytd.months)*12,"NA")</f>
        <v/>
      </c>
    </row>
    <row r="108">
      <c r="C108" s="613" t="inlineStr">
        <is>
          <t>COGS on Pipeline Revenue</t>
        </is>
      </c>
      <c r="D108" s="85" t="n"/>
      <c r="E108" s="85" t="n"/>
      <c r="F108" s="85" t="n"/>
      <c r="G108" s="85" t="n"/>
      <c r="H108" s="2124" t="n"/>
      <c r="I108" s="2124" t="n"/>
      <c r="J108" s="2124" t="n"/>
      <c r="K108" s="2124" t="n"/>
      <c r="L108" s="2124" t="n"/>
      <c r="M108" s="2124" t="n"/>
      <c r="N108" s="2124" t="n"/>
      <c r="O108" s="2124" t="n"/>
      <c r="P108" s="2124" t="n"/>
      <c r="Q108" s="2124" t="n"/>
      <c r="R108" s="2148" t="n"/>
      <c r="T108" s="1973">
        <f>IFERROR((R108/N108)^(1/5)-1,"-")</f>
        <v/>
      </c>
      <c r="U108" s="1974">
        <f>IFERROR(IF(K108+L108=M108,"OK","VARIANCE"),"")</f>
        <v/>
      </c>
      <c r="V108" s="2120">
        <f>IFERROR((K108/ytd.months)*12,"NA")</f>
        <v/>
      </c>
    </row>
    <row r="109">
      <c r="C109" s="616">
        <f>C62</f>
        <v/>
      </c>
      <c r="D109" s="85" t="n"/>
      <c r="E109" s="85" t="n"/>
      <c r="F109" s="85" t="n"/>
      <c r="G109" s="85" t="n"/>
      <c r="H109" s="2150" t="n"/>
      <c r="I109" s="2150" t="n"/>
      <c r="J109" s="2150" t="n"/>
      <c r="K109" s="2150" t="n"/>
      <c r="L109" s="2124">
        <f>L62*L125</f>
        <v/>
      </c>
      <c r="M109" s="2124">
        <f>M62*M125</f>
        <v/>
      </c>
      <c r="N109" s="2124">
        <f>N62*N125</f>
        <v/>
      </c>
      <c r="O109" s="2124">
        <f>O62*O125</f>
        <v/>
      </c>
      <c r="P109" s="2124">
        <f>P62*P125</f>
        <v/>
      </c>
      <c r="Q109" s="2124">
        <f>Q62*Q125</f>
        <v/>
      </c>
      <c r="R109" s="2148">
        <f>R62*R125</f>
        <v/>
      </c>
      <c r="T109" s="1973">
        <f>IFERROR((R109/N109)^(1/5)-1,"-")</f>
        <v/>
      </c>
      <c r="U109" s="1974">
        <f>IFERROR(IF(K109+L109=M109,"OK","VARIANCE"),"")</f>
        <v/>
      </c>
      <c r="V109" s="2120">
        <f>IFERROR((K109/ytd.months)*12,"NA")</f>
        <v/>
      </c>
    </row>
    <row r="110">
      <c r="C110" s="616">
        <f>C63</f>
        <v/>
      </c>
      <c r="D110" s="85" t="n"/>
      <c r="E110" s="85" t="n"/>
      <c r="F110" s="85" t="n"/>
      <c r="G110" s="85" t="n"/>
      <c r="H110" s="2150" t="n"/>
      <c r="I110" s="2150" t="n"/>
      <c r="J110" s="2150" t="n"/>
      <c r="K110" s="2150" t="n"/>
      <c r="L110" s="2124">
        <f>L63*L126</f>
        <v/>
      </c>
      <c r="M110" s="2124">
        <f>M63*M126</f>
        <v/>
      </c>
      <c r="N110" s="2124">
        <f>N63*N126</f>
        <v/>
      </c>
      <c r="O110" s="2124">
        <f>O63*O126</f>
        <v/>
      </c>
      <c r="P110" s="2124">
        <f>P63*P126</f>
        <v/>
      </c>
      <c r="Q110" s="2124">
        <f>Q63*Q126</f>
        <v/>
      </c>
      <c r="R110" s="2148">
        <f>R63*R126</f>
        <v/>
      </c>
      <c r="T110" s="1973">
        <f>IFERROR((R110/N110)^(1/5)-1,"-")</f>
        <v/>
      </c>
      <c r="U110" s="1974">
        <f>IFERROR(IF(K110+L110=M110,"OK","VARIANCE"),"")</f>
        <v/>
      </c>
      <c r="V110" s="2120">
        <f>IFERROR((K110/ytd.months)*12,"NA")</f>
        <v/>
      </c>
    </row>
    <row r="111">
      <c r="C111" s="616">
        <f>C64</f>
        <v/>
      </c>
      <c r="D111" s="85" t="n"/>
      <c r="E111" s="85" t="n"/>
      <c r="F111" s="85" t="n"/>
      <c r="G111" s="85" t="n"/>
      <c r="H111" s="2150" t="n"/>
      <c r="I111" s="2150" t="n"/>
      <c r="J111" s="2150" t="n"/>
      <c r="K111" s="2150" t="n"/>
      <c r="L111" s="2124">
        <f>L64*L127</f>
        <v/>
      </c>
      <c r="M111" s="2124">
        <f>M64*M127</f>
        <v/>
      </c>
      <c r="N111" s="2124">
        <f>N64*N127</f>
        <v/>
      </c>
      <c r="O111" s="2124">
        <f>O64*O127</f>
        <v/>
      </c>
      <c r="P111" s="2124">
        <f>P64*P127</f>
        <v/>
      </c>
      <c r="Q111" s="2124">
        <f>Q64*Q127</f>
        <v/>
      </c>
      <c r="R111" s="2148">
        <f>R64*R127</f>
        <v/>
      </c>
      <c r="T111" s="1973">
        <f>IFERROR((R111/N111)^(1/5)-1,"-")</f>
        <v/>
      </c>
      <c r="U111" s="1974">
        <f>IFERROR(IF(K111+L111=M111,"OK","VARIANCE"),"")</f>
        <v/>
      </c>
      <c r="V111" s="2120">
        <f>IFERROR((K111/ytd.months)*12,"NA")</f>
        <v/>
      </c>
    </row>
    <row r="112">
      <c r="C112" s="616">
        <f>C65</f>
        <v/>
      </c>
      <c r="D112" s="85" t="n"/>
      <c r="E112" s="85" t="n"/>
      <c r="F112" s="85" t="n"/>
      <c r="G112" s="85" t="n"/>
      <c r="H112" s="2150" t="n"/>
      <c r="I112" s="2150" t="n"/>
      <c r="J112" s="2150" t="n"/>
      <c r="K112" s="2150" t="n"/>
      <c r="L112" s="2124">
        <f>L65*L128</f>
        <v/>
      </c>
      <c r="M112" s="2124">
        <f>M65*M128</f>
        <v/>
      </c>
      <c r="N112" s="2124">
        <f>N65*N128</f>
        <v/>
      </c>
      <c r="O112" s="2124">
        <f>O65*O128</f>
        <v/>
      </c>
      <c r="P112" s="2124">
        <f>P65*P128</f>
        <v/>
      </c>
      <c r="Q112" s="2124">
        <f>Q65*Q128</f>
        <v/>
      </c>
      <c r="R112" s="2148">
        <f>R65*R128</f>
        <v/>
      </c>
      <c r="T112" s="1973">
        <f>IFERROR((R112/N112)^(1/5)-1,"-")</f>
        <v/>
      </c>
      <c r="U112" s="1974">
        <f>IFERROR(IF(K112+L112=M112,"OK","VARIANCE"),"")</f>
        <v/>
      </c>
      <c r="V112" s="2120">
        <f>IFERROR((K112/ytd.months)*12,"NA")</f>
        <v/>
      </c>
    </row>
    <row r="113">
      <c r="C113" s="586" t="inlineStr">
        <is>
          <t>Total COGS on  Potential Streams</t>
        </is>
      </c>
      <c r="D113" s="587" t="n"/>
      <c r="E113" s="587" t="n"/>
      <c r="F113" s="587" t="n"/>
      <c r="G113" s="587" t="n"/>
      <c r="H113" s="2126">
        <f>SUM(H109:H112)</f>
        <v/>
      </c>
      <c r="I113" s="2126">
        <f>SUM(I109:I112)</f>
        <v/>
      </c>
      <c r="J113" s="2126">
        <f>SUM(J109:J112)</f>
        <v/>
      </c>
      <c r="K113" s="2126">
        <f>SUM(K109:K112)</f>
        <v/>
      </c>
      <c r="L113" s="2126">
        <f>SUM(L109:L112)</f>
        <v/>
      </c>
      <c r="M113" s="2126">
        <f>SUM(M109:M112)</f>
        <v/>
      </c>
      <c r="N113" s="2126">
        <f>SUM(N109:N112)</f>
        <v/>
      </c>
      <c r="O113" s="2126">
        <f>SUM(O109:O112)</f>
        <v/>
      </c>
      <c r="P113" s="2126">
        <f>SUM(P109:P112)</f>
        <v/>
      </c>
      <c r="Q113" s="2126">
        <f>SUM(Q109:Q112)</f>
        <v/>
      </c>
      <c r="R113" s="2127">
        <f>SUM(R109:R112)</f>
        <v/>
      </c>
      <c r="T113" s="1973">
        <f>IFERROR((R113/N113)^(1/5)-1,"-")</f>
        <v/>
      </c>
      <c r="U113" s="1974">
        <f>IFERROR(IF(K113+L113=M113,"OK","VARIANCE"),"")</f>
        <v/>
      </c>
      <c r="V113" s="2120">
        <f>IFERROR((K113/ytd.months)*12,"NA")</f>
        <v/>
      </c>
    </row>
    <row r="114">
      <c r="C114" s="626" t="inlineStr">
        <is>
          <t>Total Cost of Goods Sold</t>
        </is>
      </c>
      <c r="D114" s="627" t="n"/>
      <c r="E114" s="627" t="n"/>
      <c r="F114" s="627" t="n"/>
      <c r="G114" s="627" t="n"/>
      <c r="H114" s="2153">
        <f>H106+H99+H113</f>
        <v/>
      </c>
      <c r="I114" s="2153">
        <f>I106+I99+I113</f>
        <v/>
      </c>
      <c r="J114" s="2153">
        <f>J106+J99+J113</f>
        <v/>
      </c>
      <c r="K114" s="2153">
        <f>K106+K99+K113</f>
        <v/>
      </c>
      <c r="L114" s="2153">
        <f>L106+L99+L113</f>
        <v/>
      </c>
      <c r="M114" s="2153">
        <f>M106+M99+M113</f>
        <v/>
      </c>
      <c r="N114" s="2153">
        <f>N106+N99+N113</f>
        <v/>
      </c>
      <c r="O114" s="2153">
        <f>O106+O99+O113</f>
        <v/>
      </c>
      <c r="P114" s="2153">
        <f>P106+P99+P113</f>
        <v/>
      </c>
      <c r="Q114" s="2153">
        <f>Q106+Q99+Q113</f>
        <v/>
      </c>
      <c r="R114" s="2154">
        <f>R106+R99+R113</f>
        <v/>
      </c>
      <c r="T114" s="1973">
        <f>IFERROR((R114/N114)^(1/5)-1,"-")</f>
        <v/>
      </c>
      <c r="U114" s="1974">
        <f>IFERROR(IF(K114+L114=M114,"OK","VARIANCE"),"")</f>
        <v/>
      </c>
      <c r="V114" s="2120">
        <f>IFERROR((K114/ytd.months)*12,"NA")</f>
        <v/>
      </c>
    </row>
    <row r="115">
      <c r="C115" s="630" t="n"/>
      <c r="D115" s="631" t="n"/>
      <c r="E115" s="631" t="n"/>
      <c r="F115" s="631" t="n"/>
      <c r="G115" s="631" t="n"/>
      <c r="H115" s="631" t="n"/>
      <c r="I115" s="631" t="n"/>
      <c r="J115" s="631" t="n"/>
      <c r="K115" s="631" t="n"/>
      <c r="L115" s="631" t="n"/>
      <c r="M115" s="631" t="n"/>
      <c r="N115" s="631" t="n"/>
      <c r="O115" s="631" t="n"/>
      <c r="P115" s="631" t="n"/>
      <c r="Q115" s="631" t="n"/>
      <c r="R115" s="632" t="n"/>
      <c r="T115" s="1973">
        <f>IFERROR((R115/N115)^(1/5)-1,"-")</f>
        <v/>
      </c>
      <c r="U115" s="1974">
        <f>IFERROR(IF(K115+L115=M115,"OK","VARIANCE"),"")</f>
        <v/>
      </c>
      <c r="V115" s="2120">
        <f>IFERROR((K115/ytd.months)*12,"NA")</f>
        <v/>
      </c>
    </row>
    <row r="116">
      <c r="C116" s="633" t="inlineStr">
        <is>
          <t>COGS as a % of Revenue</t>
        </is>
      </c>
      <c r="D116" s="634" t="n"/>
      <c r="E116" s="634" t="n"/>
      <c r="F116" s="634" t="n"/>
      <c r="G116" s="634" t="n"/>
      <c r="H116" s="635" t="n"/>
      <c r="I116" s="635" t="n"/>
      <c r="J116" s="635" t="n"/>
      <c r="K116" s="635" t="n"/>
      <c r="L116" s="635" t="n"/>
      <c r="M116" s="635" t="n"/>
      <c r="N116" s="635" t="n"/>
      <c r="O116" s="635" t="n"/>
      <c r="P116" s="635" t="n"/>
      <c r="Q116" s="635" t="n"/>
      <c r="R116" s="636" t="n"/>
      <c r="T116" s="1973">
        <f>IFERROR((R116/N116)^(1/5)-1,"-")</f>
        <v/>
      </c>
      <c r="U116" s="1974">
        <f>IFERROR(IF(K116+L116=M116,"OK","VARIANCE"),"")</f>
        <v/>
      </c>
      <c r="V116" s="2120">
        <f>IFERROR((K116/ytd.months)*12,"NA")</f>
        <v/>
      </c>
    </row>
    <row r="117">
      <c r="C117" s="582">
        <f>D18</f>
        <v/>
      </c>
      <c r="D117" s="85" t="n"/>
      <c r="E117" s="85" t="n"/>
      <c r="F117" s="85" t="n"/>
      <c r="G117" s="85" t="n"/>
      <c r="H117" s="639">
        <f>1-H131</f>
        <v/>
      </c>
      <c r="I117" s="639">
        <f>1-I131</f>
        <v/>
      </c>
      <c r="J117" s="639">
        <f>1-J131</f>
        <v/>
      </c>
      <c r="K117" s="639">
        <f>1-K131</f>
        <v/>
      </c>
      <c r="L117" s="151">
        <f>1-L131</f>
        <v/>
      </c>
      <c r="M117" s="151">
        <f>1-M131</f>
        <v/>
      </c>
      <c r="N117" s="151">
        <f>1-N131</f>
        <v/>
      </c>
      <c r="O117" s="151">
        <f>1-O131</f>
        <v/>
      </c>
      <c r="P117" s="151">
        <f>1-P131</f>
        <v/>
      </c>
      <c r="Q117" s="151">
        <f>1-Q131</f>
        <v/>
      </c>
      <c r="R117" s="1354">
        <f>1-R131</f>
        <v/>
      </c>
      <c r="T117" s="1973">
        <f>IFERROR((R117/N117)^(1/5)-1,"-")</f>
        <v/>
      </c>
      <c r="U117" s="1974">
        <f>IFERROR(IF(K117+L117=M117,"OK","VARIANCE"),"")</f>
        <v/>
      </c>
      <c r="V117" s="2120">
        <f>IFERROR((K117/ytd.months)*12,"NA")</f>
        <v/>
      </c>
    </row>
    <row r="118">
      <c r="C118" s="582">
        <f>D19</f>
        <v/>
      </c>
      <c r="D118" s="85" t="n"/>
      <c r="E118" s="85" t="n"/>
      <c r="F118" s="85" t="n"/>
      <c r="G118" s="85" t="n"/>
      <c r="H118" s="639">
        <f>1-H132</f>
        <v/>
      </c>
      <c r="I118" s="639">
        <f>1-I132</f>
        <v/>
      </c>
      <c r="J118" s="639">
        <f>1-J132</f>
        <v/>
      </c>
      <c r="K118" s="639">
        <f>1-K132</f>
        <v/>
      </c>
      <c r="L118" s="151">
        <f>1-L132</f>
        <v/>
      </c>
      <c r="M118" s="151">
        <f>1-M132</f>
        <v/>
      </c>
      <c r="N118" s="151">
        <f>1-N132</f>
        <v/>
      </c>
      <c r="O118" s="151">
        <f>1-O132</f>
        <v/>
      </c>
      <c r="P118" s="151">
        <f>1-P132</f>
        <v/>
      </c>
      <c r="Q118" s="151">
        <f>1-Q132</f>
        <v/>
      </c>
      <c r="R118" s="1354">
        <f>1-R132</f>
        <v/>
      </c>
      <c r="T118" s="1973">
        <f>IFERROR((R118/N118)^(1/5)-1,"-")</f>
        <v/>
      </c>
      <c r="U118" s="1974">
        <f>IFERROR(IF(K118+L118=M118,"OK","VARIANCE"),"")</f>
        <v/>
      </c>
      <c r="V118" s="2120">
        <f>IFERROR((K118/ytd.months)*12,"NA")</f>
        <v/>
      </c>
    </row>
    <row r="119">
      <c r="C119" s="582">
        <f>D20</f>
        <v/>
      </c>
      <c r="D119" s="85" t="n"/>
      <c r="E119" s="85" t="n"/>
      <c r="F119" s="85" t="n"/>
      <c r="G119" s="85" t="n"/>
      <c r="H119" s="639">
        <f>1-H133</f>
        <v/>
      </c>
      <c r="I119" s="639">
        <f>1-I133</f>
        <v/>
      </c>
      <c r="J119" s="639">
        <f>1-J133</f>
        <v/>
      </c>
      <c r="K119" s="639">
        <f>1-K133</f>
        <v/>
      </c>
      <c r="L119" s="151">
        <f>1-L133</f>
        <v/>
      </c>
      <c r="M119" s="151">
        <f>1-M133</f>
        <v/>
      </c>
      <c r="N119" s="151">
        <f>1-N133</f>
        <v/>
      </c>
      <c r="O119" s="151">
        <f>1-O133</f>
        <v/>
      </c>
      <c r="P119" s="151">
        <f>1-P133</f>
        <v/>
      </c>
      <c r="Q119" s="151">
        <f>1-Q133</f>
        <v/>
      </c>
      <c r="R119" s="1354">
        <f>1-R133</f>
        <v/>
      </c>
      <c r="T119" s="1973">
        <f>IFERROR((R119/N119)^(1/5)-1,"-")</f>
        <v/>
      </c>
      <c r="U119" s="1974">
        <f>IFERROR(IF(K119+L119=M119,"OK","VARIANCE"),"")</f>
        <v/>
      </c>
      <c r="V119" s="2120">
        <f>IFERROR((K119/ytd.months)*12,"NA")</f>
        <v/>
      </c>
    </row>
    <row r="120">
      <c r="C120" s="582">
        <f>D21</f>
        <v/>
      </c>
      <c r="D120" s="85" t="n"/>
      <c r="E120" s="85" t="n"/>
      <c r="F120" s="85" t="n"/>
      <c r="G120" s="85" t="n"/>
      <c r="H120" s="639">
        <f>1-H134</f>
        <v/>
      </c>
      <c r="I120" s="639">
        <f>1-I134</f>
        <v/>
      </c>
      <c r="J120" s="639">
        <f>1-J134</f>
        <v/>
      </c>
      <c r="K120" s="639">
        <f>1-K134</f>
        <v/>
      </c>
      <c r="L120" s="151">
        <f>1-L134</f>
        <v/>
      </c>
      <c r="M120" s="151">
        <f>1-M134</f>
        <v/>
      </c>
      <c r="N120" s="151">
        <f>1-N134</f>
        <v/>
      </c>
      <c r="O120" s="151">
        <f>1-O134</f>
        <v/>
      </c>
      <c r="P120" s="151">
        <f>1-P134</f>
        <v/>
      </c>
      <c r="Q120" s="151">
        <f>1-Q134</f>
        <v/>
      </c>
      <c r="R120" s="1354">
        <f>1-R134</f>
        <v/>
      </c>
      <c r="T120" s="1973">
        <f>IFERROR((R120/N120)^(1/5)-1,"-")</f>
        <v/>
      </c>
      <c r="U120" s="1974">
        <f>IFERROR(IF(K120+L120=M120,"OK","VARIANCE"),"")</f>
        <v/>
      </c>
      <c r="V120" s="2120">
        <f>IFERROR((K120/ytd.months)*12,"NA")</f>
        <v/>
      </c>
    </row>
    <row r="121">
      <c r="C121" s="582">
        <f>D22</f>
        <v/>
      </c>
      <c r="D121" s="85" t="n"/>
      <c r="E121" s="85" t="n"/>
      <c r="F121" s="85" t="n"/>
      <c r="G121" s="85" t="n"/>
      <c r="H121" s="1359" t="n"/>
      <c r="I121" s="1359" t="n"/>
      <c r="J121" s="1359" t="n"/>
      <c r="K121" s="1359" t="n"/>
      <c r="L121" s="151">
        <f>1-L135</f>
        <v/>
      </c>
      <c r="M121" s="151">
        <f>1-M135</f>
        <v/>
      </c>
      <c r="N121" s="151">
        <f>1-N135</f>
        <v/>
      </c>
      <c r="O121" s="151">
        <f>1-O135</f>
        <v/>
      </c>
      <c r="P121" s="151">
        <f>1-P135</f>
        <v/>
      </c>
      <c r="Q121" s="151">
        <f>1-Q135</f>
        <v/>
      </c>
      <c r="R121" s="1354">
        <f>1-R135</f>
        <v/>
      </c>
      <c r="T121" s="1973">
        <f>IFERROR((R121/N121)^(1/5)-1,"-")</f>
        <v/>
      </c>
      <c r="U121" s="1974">
        <f>IFERROR(IF(K121+L121=M121,"OK","VARIANCE"),"")</f>
        <v/>
      </c>
      <c r="V121" s="2120">
        <f>IFERROR((K121/ytd.months)*12,"NA")</f>
        <v/>
      </c>
    </row>
    <row r="122">
      <c r="C122" s="582">
        <f>D23</f>
        <v/>
      </c>
      <c r="D122" s="85" t="n"/>
      <c r="E122" s="85" t="n"/>
      <c r="F122" s="85" t="n"/>
      <c r="G122" s="85" t="n"/>
      <c r="H122" s="1359" t="n"/>
      <c r="I122" s="1359" t="n"/>
      <c r="J122" s="1359" t="n"/>
      <c r="K122" s="1359" t="n"/>
      <c r="L122" s="151">
        <f>1-L136</f>
        <v/>
      </c>
      <c r="M122" s="151">
        <f>1-M136</f>
        <v/>
      </c>
      <c r="N122" s="151">
        <f>1-N136</f>
        <v/>
      </c>
      <c r="O122" s="151">
        <f>1-O136</f>
        <v/>
      </c>
      <c r="P122" s="151">
        <f>1-P136</f>
        <v/>
      </c>
      <c r="Q122" s="151">
        <f>1-Q136</f>
        <v/>
      </c>
      <c r="R122" s="1354">
        <f>1-R136</f>
        <v/>
      </c>
      <c r="T122" s="1973">
        <f>IFERROR((R122/N122)^(1/5)-1,"-")</f>
        <v/>
      </c>
      <c r="U122" s="1974">
        <f>IFERROR(IF(K122+L122=M122,"OK","VARIANCE"),"")</f>
        <v/>
      </c>
      <c r="V122" s="2120">
        <f>IFERROR((K122/ytd.months)*12,"NA")</f>
        <v/>
      </c>
    </row>
    <row r="123">
      <c r="C123" s="582">
        <f>D24</f>
        <v/>
      </c>
      <c r="D123" s="85" t="n"/>
      <c r="E123" s="85" t="n"/>
      <c r="F123" s="85" t="n"/>
      <c r="G123" s="85" t="n"/>
      <c r="H123" s="1359" t="n"/>
      <c r="I123" s="1359" t="n"/>
      <c r="J123" s="1359" t="n"/>
      <c r="K123" s="1359" t="n"/>
      <c r="L123" s="151">
        <f>1-L137</f>
        <v/>
      </c>
      <c r="M123" s="151">
        <f>1-M137</f>
        <v/>
      </c>
      <c r="N123" s="151">
        <f>1-N137</f>
        <v/>
      </c>
      <c r="O123" s="151">
        <f>1-O137</f>
        <v/>
      </c>
      <c r="P123" s="151">
        <f>1-P137</f>
        <v/>
      </c>
      <c r="Q123" s="151">
        <f>1-Q137</f>
        <v/>
      </c>
      <c r="R123" s="1354">
        <f>1-R137</f>
        <v/>
      </c>
      <c r="T123" s="1973">
        <f>IFERROR((R123/N123)^(1/5)-1,"-")</f>
        <v/>
      </c>
      <c r="U123" s="1974">
        <f>IFERROR(IF(K123+L123=M123,"OK","VARIANCE"),"")</f>
        <v/>
      </c>
      <c r="V123" s="2120">
        <f>IFERROR((K123/ytd.months)*12,"NA")</f>
        <v/>
      </c>
    </row>
    <row r="124">
      <c r="C124" s="582">
        <f>D25</f>
        <v/>
      </c>
      <c r="D124" s="85" t="n"/>
      <c r="E124" s="85" t="n"/>
      <c r="F124" s="85" t="n"/>
      <c r="G124" s="85" t="n"/>
      <c r="H124" s="1359" t="n"/>
      <c r="I124" s="1359" t="n"/>
      <c r="J124" s="1359" t="n"/>
      <c r="K124" s="1359" t="n"/>
      <c r="L124" s="151">
        <f>1-L138</f>
        <v/>
      </c>
      <c r="M124" s="151">
        <f>1-M138</f>
        <v/>
      </c>
      <c r="N124" s="151">
        <f>1-N138</f>
        <v/>
      </c>
      <c r="O124" s="151">
        <f>1-O138</f>
        <v/>
      </c>
      <c r="P124" s="151">
        <f>1-P138</f>
        <v/>
      </c>
      <c r="Q124" s="151">
        <f>1-Q138</f>
        <v/>
      </c>
      <c r="R124" s="1354">
        <f>1-R138</f>
        <v/>
      </c>
      <c r="T124" s="1973">
        <f>IFERROR((R124/N124)^(1/5)-1,"-")</f>
        <v/>
      </c>
      <c r="U124" s="1974">
        <f>IFERROR(IF(K124+L124=M124,"OK","VARIANCE"),"")</f>
        <v/>
      </c>
      <c r="V124" s="2120">
        <f>IFERROR((K124/ytd.months)*12,"NA")</f>
        <v/>
      </c>
    </row>
    <row r="125">
      <c r="C125" s="582">
        <f>D26</f>
        <v/>
      </c>
      <c r="D125" s="85" t="n"/>
      <c r="E125" s="85" t="n"/>
      <c r="F125" s="85" t="n"/>
      <c r="G125" s="85" t="n"/>
      <c r="H125" s="1359" t="n"/>
      <c r="I125" s="1359" t="n"/>
      <c r="J125" s="1359" t="n"/>
      <c r="K125" s="1359" t="n"/>
      <c r="L125" s="151">
        <f>1-L139</f>
        <v/>
      </c>
      <c r="M125" s="151">
        <f>1-M139</f>
        <v/>
      </c>
      <c r="N125" s="151">
        <f>1-N139</f>
        <v/>
      </c>
      <c r="O125" s="151">
        <f>1-O139</f>
        <v/>
      </c>
      <c r="P125" s="151">
        <f>1-P139</f>
        <v/>
      </c>
      <c r="Q125" s="151">
        <f>1-Q139</f>
        <v/>
      </c>
      <c r="R125" s="1354">
        <f>1-R139</f>
        <v/>
      </c>
      <c r="T125" s="1973">
        <f>IFERROR((R125/N125)^(1/5)-1,"-")</f>
        <v/>
      </c>
      <c r="U125" s="1974">
        <f>IFERROR(IF(K125+L125=M125,"OK","VARIANCE"),"")</f>
        <v/>
      </c>
      <c r="V125" s="2120">
        <f>IFERROR((K125/ytd.months)*12,"NA")</f>
        <v/>
      </c>
    </row>
    <row r="126">
      <c r="C126" s="582">
        <f>D27</f>
        <v/>
      </c>
      <c r="D126" s="85" t="n"/>
      <c r="E126" s="85" t="n"/>
      <c r="F126" s="85" t="n"/>
      <c r="G126" s="85" t="n"/>
      <c r="H126" s="1359" t="n"/>
      <c r="I126" s="1359" t="n"/>
      <c r="J126" s="1359" t="n"/>
      <c r="K126" s="1359" t="n"/>
      <c r="L126" s="151">
        <f>1-L140</f>
        <v/>
      </c>
      <c r="M126" s="151">
        <f>1-M140</f>
        <v/>
      </c>
      <c r="N126" s="151">
        <f>1-N140</f>
        <v/>
      </c>
      <c r="O126" s="151">
        <f>1-O140</f>
        <v/>
      </c>
      <c r="P126" s="151">
        <f>1-P140</f>
        <v/>
      </c>
      <c r="Q126" s="151">
        <f>1-Q140</f>
        <v/>
      </c>
      <c r="R126" s="1354">
        <f>1-R140</f>
        <v/>
      </c>
      <c r="T126" s="1973">
        <f>IFERROR((R126/N126)^(1/5)-1,"-")</f>
        <v/>
      </c>
      <c r="U126" s="1974">
        <f>IFERROR(IF(K126+L126=M126,"OK","VARIANCE"),"")</f>
        <v/>
      </c>
      <c r="V126" s="2120">
        <f>IFERROR((K126/ytd.months)*12,"NA")</f>
        <v/>
      </c>
    </row>
    <row r="127">
      <c r="C127" s="582">
        <f>D28</f>
        <v/>
      </c>
      <c r="D127" s="85" t="n"/>
      <c r="E127" s="85" t="n"/>
      <c r="F127" s="85" t="n"/>
      <c r="G127" s="85" t="n"/>
      <c r="H127" s="1359" t="n"/>
      <c r="I127" s="1359" t="n"/>
      <c r="J127" s="1359" t="n"/>
      <c r="K127" s="1359" t="n"/>
      <c r="L127" s="151">
        <f>1-L141</f>
        <v/>
      </c>
      <c r="M127" s="151">
        <f>1-M141</f>
        <v/>
      </c>
      <c r="N127" s="151">
        <f>1-N141</f>
        <v/>
      </c>
      <c r="O127" s="151">
        <f>1-O141</f>
        <v/>
      </c>
      <c r="P127" s="151">
        <f>1-P141</f>
        <v/>
      </c>
      <c r="Q127" s="151">
        <f>1-Q141</f>
        <v/>
      </c>
      <c r="R127" s="1354">
        <f>1-R141</f>
        <v/>
      </c>
      <c r="T127" s="1973">
        <f>IFERROR((R127/N127)^(1/5)-1,"-")</f>
        <v/>
      </c>
      <c r="U127" s="1974">
        <f>IFERROR(IF(K127+L127=M127,"OK","VARIANCE"),"")</f>
        <v/>
      </c>
      <c r="V127" s="2120">
        <f>IFERROR((K127/ytd.months)*12,"NA")</f>
        <v/>
      </c>
    </row>
    <row r="128">
      <c r="C128" s="582">
        <f>D29</f>
        <v/>
      </c>
      <c r="D128" s="85" t="n"/>
      <c r="E128" s="85" t="n"/>
      <c r="F128" s="85" t="n"/>
      <c r="G128" s="85" t="n"/>
      <c r="H128" s="1359" t="n"/>
      <c r="I128" s="1359" t="n"/>
      <c r="J128" s="1359" t="n"/>
      <c r="K128" s="1359" t="n"/>
      <c r="L128" s="151">
        <f>1-L142</f>
        <v/>
      </c>
      <c r="M128" s="151">
        <f>1-M142</f>
        <v/>
      </c>
      <c r="N128" s="151">
        <f>1-N142</f>
        <v/>
      </c>
      <c r="O128" s="151">
        <f>1-O142</f>
        <v/>
      </c>
      <c r="P128" s="151">
        <f>1-P142</f>
        <v/>
      </c>
      <c r="Q128" s="151">
        <f>1-Q142</f>
        <v/>
      </c>
      <c r="R128" s="1354">
        <f>1-R142</f>
        <v/>
      </c>
      <c r="T128" s="1973">
        <f>IFERROR((R128/N128)^(1/5)-1,"-")</f>
        <v/>
      </c>
      <c r="U128" s="1974">
        <f>IFERROR(IF(K128+L128=M128,"OK","VARIANCE"),"")</f>
        <v/>
      </c>
      <c r="V128" s="2120">
        <f>IFERROR((K128/ytd.months)*12,"NA")</f>
        <v/>
      </c>
    </row>
    <row r="129">
      <c r="C129" s="637" t="n"/>
      <c r="D129" s="638" t="n"/>
      <c r="E129" s="638" t="n"/>
      <c r="F129" s="638" t="n"/>
      <c r="G129" s="638" t="n"/>
      <c r="H129" s="639" t="n"/>
      <c r="I129" s="639" t="n"/>
      <c r="J129" s="639" t="n"/>
      <c r="K129" s="639" t="n"/>
      <c r="L129" s="639" t="n"/>
      <c r="M129" s="639" t="n"/>
      <c r="N129" s="639" t="n"/>
      <c r="O129" s="639" t="n"/>
      <c r="P129" s="639" t="n"/>
      <c r="Q129" s="639" t="n"/>
      <c r="R129" s="640" t="n"/>
      <c r="T129" s="1973">
        <f>IFERROR((R129/N129)^(1/5)-1,"-")</f>
        <v/>
      </c>
      <c r="U129" s="1974">
        <f>IFERROR(IF(K129+L129=M129,"OK","VARIANCE"),"")</f>
        <v/>
      </c>
      <c r="V129" s="2120">
        <f>IFERROR((K129/ytd.months)*12,"NA")</f>
        <v/>
      </c>
    </row>
    <row r="130">
      <c r="C130" s="633" t="inlineStr">
        <is>
          <t>Gross Margin</t>
        </is>
      </c>
      <c r="D130" s="634" t="n"/>
      <c r="E130" s="634" t="n"/>
      <c r="F130" s="634" t="n"/>
      <c r="G130" s="634" t="n"/>
      <c r="H130" s="635" t="n"/>
      <c r="I130" s="635" t="n"/>
      <c r="J130" s="635" t="n"/>
      <c r="K130" s="635" t="n"/>
      <c r="L130" s="635" t="n"/>
      <c r="M130" s="635" t="n"/>
      <c r="N130" s="635" t="n"/>
      <c r="O130" s="635" t="n"/>
      <c r="P130" s="635" t="n"/>
      <c r="Q130" s="635" t="n"/>
      <c r="R130" s="636" t="n"/>
      <c r="T130" s="1973">
        <f>IFERROR((R130/N130)^(1/5)-1,"-")</f>
        <v/>
      </c>
      <c r="U130" s="1974">
        <f>IFERROR(IF(K130+L130=M130,"OK","VARIANCE"),"")</f>
        <v/>
      </c>
      <c r="V130" s="2120">
        <f>IFERROR((K130/ytd.months)*12,"NA")</f>
        <v/>
      </c>
    </row>
    <row r="131">
      <c r="C131" s="582">
        <f>C117</f>
        <v/>
      </c>
      <c r="D131" s="109" t="n"/>
      <c r="E131" s="109" t="n"/>
      <c r="F131" s="109" t="n"/>
      <c r="G131" s="109" t="n"/>
      <c r="H131" s="2155">
        <f>Hist.Fin!H31</f>
        <v/>
      </c>
      <c r="I131" s="2155">
        <f>Hist.Fin!I31</f>
        <v/>
      </c>
      <c r="J131" s="2155">
        <f>Hist.Fin!J31</f>
        <v/>
      </c>
      <c r="K131" s="2155">
        <f>Hist.Fin!K31</f>
        <v/>
      </c>
      <c r="L131" s="2142">
        <f>M131</f>
        <v/>
      </c>
      <c r="M131" s="2156">
        <f>Inputs!L167</f>
        <v/>
      </c>
      <c r="N131" s="1988">
        <f>Inputs!M167</f>
        <v/>
      </c>
      <c r="O131" s="2156">
        <f>Inputs!N167</f>
        <v/>
      </c>
      <c r="P131" s="2156">
        <f>Inputs!O167</f>
        <v/>
      </c>
      <c r="Q131" s="2156">
        <f>Inputs!P167</f>
        <v/>
      </c>
      <c r="R131" s="2157">
        <f>Inputs!Q167</f>
        <v/>
      </c>
      <c r="T131" s="1973">
        <f>IFERROR((R131/N131)^(1/5)-1,"-")</f>
        <v/>
      </c>
      <c r="U131" s="1974">
        <f>IFERROR(IF(K131+L131=M131,"OK","VARIANCE"),"")</f>
        <v/>
      </c>
      <c r="V131" s="2120">
        <f>IFERROR((K131/ytd.months)*12,"NA")</f>
        <v/>
      </c>
    </row>
    <row r="132">
      <c r="C132" s="582">
        <f>C118</f>
        <v/>
      </c>
      <c r="D132" s="109" t="n"/>
      <c r="E132" s="109" t="n"/>
      <c r="F132" s="109" t="n"/>
      <c r="G132" s="109" t="n"/>
      <c r="H132" s="2155">
        <f>Hist.Fin!H32</f>
        <v/>
      </c>
      <c r="I132" s="2155">
        <f>Hist.Fin!I32</f>
        <v/>
      </c>
      <c r="J132" s="2155">
        <f>Hist.Fin!J32</f>
        <v/>
      </c>
      <c r="K132" s="2155">
        <f>Hist.Fin!K32</f>
        <v/>
      </c>
      <c r="L132" s="2142">
        <f>M132</f>
        <v/>
      </c>
      <c r="M132" s="2156">
        <f>Inputs!L168</f>
        <v/>
      </c>
      <c r="N132" s="2156">
        <f>Inputs!M168</f>
        <v/>
      </c>
      <c r="O132" s="2156">
        <f>Inputs!N168</f>
        <v/>
      </c>
      <c r="P132" s="2156">
        <f>Inputs!O168</f>
        <v/>
      </c>
      <c r="Q132" s="2156">
        <f>Inputs!P168</f>
        <v/>
      </c>
      <c r="R132" s="2157">
        <f>Inputs!Q168</f>
        <v/>
      </c>
      <c r="T132" s="1973">
        <f>IFERROR((R132/N132)^(1/5)-1,"-")</f>
        <v/>
      </c>
      <c r="U132" s="1974">
        <f>IFERROR(IF(K132+L132=M132,"OK","VARIANCE"),"")</f>
        <v/>
      </c>
      <c r="V132" s="2120">
        <f>IFERROR((K132/ytd.months)*12,"NA")</f>
        <v/>
      </c>
    </row>
    <row r="133">
      <c r="C133" s="582">
        <f>C119</f>
        <v/>
      </c>
      <c r="D133" s="109" t="n"/>
      <c r="E133" s="109" t="n"/>
      <c r="F133" s="109" t="n"/>
      <c r="G133" s="109" t="n"/>
      <c r="H133" s="2155">
        <f>Hist.Fin!H33</f>
        <v/>
      </c>
      <c r="I133" s="2155">
        <f>Hist.Fin!I33</f>
        <v/>
      </c>
      <c r="J133" s="2155">
        <f>Hist.Fin!J33</f>
        <v/>
      </c>
      <c r="K133" s="2155">
        <f>Hist.Fin!K33</f>
        <v/>
      </c>
      <c r="L133" s="2142">
        <f>M133</f>
        <v/>
      </c>
      <c r="M133" s="2156">
        <f>Inputs!L169</f>
        <v/>
      </c>
      <c r="N133" s="2156">
        <f>Inputs!M169</f>
        <v/>
      </c>
      <c r="O133" s="2156">
        <f>Inputs!N169</f>
        <v/>
      </c>
      <c r="P133" s="2156">
        <f>Inputs!O169</f>
        <v/>
      </c>
      <c r="Q133" s="2156">
        <f>Inputs!P169</f>
        <v/>
      </c>
      <c r="R133" s="2157">
        <f>Inputs!Q169</f>
        <v/>
      </c>
      <c r="T133" s="1973">
        <f>IFERROR((R133/N133)^(1/5)-1,"-")</f>
        <v/>
      </c>
      <c r="U133" s="1974">
        <f>IFERROR(IF(K133+L133=M133,"OK","VARIANCE"),"")</f>
        <v/>
      </c>
      <c r="V133" s="2120">
        <f>IFERROR((K133/ytd.months)*12,"NA")</f>
        <v/>
      </c>
    </row>
    <row r="134">
      <c r="C134" s="582">
        <f>C120</f>
        <v/>
      </c>
      <c r="D134" s="109" t="n"/>
      <c r="E134" s="109" t="n"/>
      <c r="F134" s="109" t="n"/>
      <c r="G134" s="109" t="n"/>
      <c r="H134" s="2155">
        <f>Hist.Fin!H34</f>
        <v/>
      </c>
      <c r="I134" s="2155">
        <f>Hist.Fin!I34</f>
        <v/>
      </c>
      <c r="J134" s="2155">
        <f>Hist.Fin!J34</f>
        <v/>
      </c>
      <c r="K134" s="2155">
        <f>Hist.Fin!K34</f>
        <v/>
      </c>
      <c r="L134" s="2142">
        <f>M134</f>
        <v/>
      </c>
      <c r="M134" s="2156">
        <f>Inputs!L170</f>
        <v/>
      </c>
      <c r="N134" s="2156">
        <f>Inputs!M170</f>
        <v/>
      </c>
      <c r="O134" s="2156">
        <f>Inputs!N170</f>
        <v/>
      </c>
      <c r="P134" s="2156">
        <f>Inputs!O170</f>
        <v/>
      </c>
      <c r="Q134" s="2156">
        <f>Inputs!P170</f>
        <v/>
      </c>
      <c r="R134" s="2157">
        <f>Inputs!Q170</f>
        <v/>
      </c>
      <c r="T134" s="1973">
        <f>IFERROR((R134/N134)^(1/5)-1,"-")</f>
        <v/>
      </c>
      <c r="U134" s="1974">
        <f>IFERROR(IF(K134+L134=M134,"OK","VARIANCE"),"")</f>
        <v/>
      </c>
      <c r="V134" s="2120">
        <f>IFERROR((K134/ytd.months)*12,"NA")</f>
        <v/>
      </c>
    </row>
    <row r="135">
      <c r="C135" s="582">
        <f>C121</f>
        <v/>
      </c>
      <c r="D135" s="109" t="n"/>
      <c r="E135" s="109" t="n"/>
      <c r="F135" s="109" t="n"/>
      <c r="G135" s="109" t="n"/>
      <c r="H135" s="2158" t="n"/>
      <c r="I135" s="2158" t="n"/>
      <c r="J135" s="2158" t="n"/>
      <c r="K135" s="2158" t="n"/>
      <c r="L135" s="2142">
        <f>M135</f>
        <v/>
      </c>
      <c r="M135" s="2156">
        <f>Inputs!L171</f>
        <v/>
      </c>
      <c r="N135" s="2156">
        <f>Inputs!M171</f>
        <v/>
      </c>
      <c r="O135" s="2156">
        <f>Inputs!N171</f>
        <v/>
      </c>
      <c r="P135" s="2156">
        <f>Inputs!O171</f>
        <v/>
      </c>
      <c r="Q135" s="2156">
        <f>Inputs!P171</f>
        <v/>
      </c>
      <c r="R135" s="2157">
        <f>Inputs!Q171</f>
        <v/>
      </c>
      <c r="T135" s="1973">
        <f>IFERROR((R135/N135)^(1/5)-1,"-")</f>
        <v/>
      </c>
      <c r="U135" s="1974">
        <f>IFERROR(IF(K135+L135=M135,"OK","VARIANCE"),"")</f>
        <v/>
      </c>
      <c r="V135" s="2120">
        <f>IFERROR((K135/ytd.months)*12,"NA")</f>
        <v/>
      </c>
    </row>
    <row r="136">
      <c r="C136" s="582">
        <f>C122</f>
        <v/>
      </c>
      <c r="D136" s="109" t="n"/>
      <c r="E136" s="109" t="n"/>
      <c r="F136" s="109" t="n"/>
      <c r="G136" s="109" t="n"/>
      <c r="H136" s="2158" t="n"/>
      <c r="I136" s="2158" t="n"/>
      <c r="J136" s="2158" t="n"/>
      <c r="K136" s="2158" t="n"/>
      <c r="L136" s="2142">
        <f>M136</f>
        <v/>
      </c>
      <c r="M136" s="2156">
        <f>Inputs!L172</f>
        <v/>
      </c>
      <c r="N136" s="2156">
        <f>Inputs!M172</f>
        <v/>
      </c>
      <c r="O136" s="2156">
        <f>Inputs!N172</f>
        <v/>
      </c>
      <c r="P136" s="2156">
        <f>Inputs!O172</f>
        <v/>
      </c>
      <c r="Q136" s="2156">
        <f>Inputs!P172</f>
        <v/>
      </c>
      <c r="R136" s="2157">
        <f>Inputs!Q172</f>
        <v/>
      </c>
      <c r="T136" s="1973">
        <f>IFERROR((R136/N136)^(1/5)-1,"-")</f>
        <v/>
      </c>
      <c r="U136" s="1974">
        <f>IFERROR(IF(K136+L136=M136,"OK","VARIANCE"),"")</f>
        <v/>
      </c>
      <c r="V136" s="2120">
        <f>IFERROR((K136/ytd.months)*12,"NA")</f>
        <v/>
      </c>
    </row>
    <row r="137">
      <c r="C137" s="582">
        <f>C123</f>
        <v/>
      </c>
      <c r="D137" s="109" t="n"/>
      <c r="E137" s="109" t="n"/>
      <c r="F137" s="109" t="n"/>
      <c r="G137" s="109" t="n"/>
      <c r="H137" s="2158" t="n"/>
      <c r="I137" s="2158" t="n"/>
      <c r="J137" s="2158" t="n"/>
      <c r="K137" s="2158" t="n"/>
      <c r="L137" s="2142">
        <f>M137</f>
        <v/>
      </c>
      <c r="M137" s="2156">
        <f>Inputs!L173</f>
        <v/>
      </c>
      <c r="N137" s="2156">
        <f>Inputs!M173</f>
        <v/>
      </c>
      <c r="O137" s="2156">
        <f>Inputs!N173</f>
        <v/>
      </c>
      <c r="P137" s="2156">
        <f>Inputs!O173</f>
        <v/>
      </c>
      <c r="Q137" s="2156">
        <f>Inputs!P173</f>
        <v/>
      </c>
      <c r="R137" s="2157">
        <f>Inputs!Q173</f>
        <v/>
      </c>
      <c r="T137" s="1973">
        <f>IFERROR((R137/N137)^(1/5)-1,"-")</f>
        <v/>
      </c>
      <c r="U137" s="1974">
        <f>IFERROR(IF(K137+L137=M137,"OK","VARIANCE"),"")</f>
        <v/>
      </c>
      <c r="V137" s="2120">
        <f>IFERROR((K137/ytd.months)*12,"NA")</f>
        <v/>
      </c>
    </row>
    <row r="138">
      <c r="C138" s="582">
        <f>C124</f>
        <v/>
      </c>
      <c r="D138" s="109" t="n"/>
      <c r="E138" s="109" t="n"/>
      <c r="F138" s="109" t="n"/>
      <c r="G138" s="109" t="n"/>
      <c r="H138" s="2158" t="n"/>
      <c r="I138" s="2158" t="n"/>
      <c r="J138" s="2158" t="n"/>
      <c r="K138" s="2158" t="n"/>
      <c r="L138" s="2142">
        <f>M138</f>
        <v/>
      </c>
      <c r="M138" s="2156">
        <f>Inputs!L174</f>
        <v/>
      </c>
      <c r="N138" s="2156">
        <f>Inputs!M174</f>
        <v/>
      </c>
      <c r="O138" s="2156">
        <f>Inputs!N174</f>
        <v/>
      </c>
      <c r="P138" s="2156">
        <f>Inputs!O174</f>
        <v/>
      </c>
      <c r="Q138" s="2156">
        <f>Inputs!P174</f>
        <v/>
      </c>
      <c r="R138" s="2157">
        <f>Inputs!Q174</f>
        <v/>
      </c>
      <c r="T138" s="1973">
        <f>IFERROR((R138/N138)^(1/5)-1,"-")</f>
        <v/>
      </c>
      <c r="U138" s="1974">
        <f>IFERROR(IF(K138+L138=M138,"OK","VARIANCE"),"")</f>
        <v/>
      </c>
      <c r="V138" s="2120">
        <f>IFERROR((K138/ytd.months)*12,"NA")</f>
        <v/>
      </c>
    </row>
    <row r="139">
      <c r="C139" s="582">
        <f>C125</f>
        <v/>
      </c>
      <c r="D139" s="109" t="n"/>
      <c r="E139" s="109" t="n"/>
      <c r="F139" s="109" t="n"/>
      <c r="G139" s="109" t="n"/>
      <c r="H139" s="2158" t="n"/>
      <c r="I139" s="2158" t="n"/>
      <c r="J139" s="2158" t="n"/>
      <c r="K139" s="2158" t="n"/>
      <c r="L139" s="2142">
        <f>M139</f>
        <v/>
      </c>
      <c r="M139" s="2156">
        <f>Inputs!L175</f>
        <v/>
      </c>
      <c r="N139" s="2156">
        <f>Inputs!M175</f>
        <v/>
      </c>
      <c r="O139" s="2156">
        <f>Inputs!N175</f>
        <v/>
      </c>
      <c r="P139" s="2156">
        <f>Inputs!O175</f>
        <v/>
      </c>
      <c r="Q139" s="2156">
        <f>Inputs!P175</f>
        <v/>
      </c>
      <c r="R139" s="2157">
        <f>Inputs!Q175</f>
        <v/>
      </c>
      <c r="T139" s="1973">
        <f>IFERROR((R139/N139)^(1/5)-1,"-")</f>
        <v/>
      </c>
      <c r="U139" s="1974">
        <f>IFERROR(IF(K139+L139=M139,"OK","VARIANCE"),"")</f>
        <v/>
      </c>
      <c r="V139" s="2120">
        <f>IFERROR((K139/ytd.months)*12,"NA")</f>
        <v/>
      </c>
    </row>
    <row r="140">
      <c r="C140" s="582">
        <f>C126</f>
        <v/>
      </c>
      <c r="D140" s="109" t="n"/>
      <c r="E140" s="109" t="n"/>
      <c r="F140" s="109" t="n"/>
      <c r="G140" s="109" t="n"/>
      <c r="H140" s="2158" t="n"/>
      <c r="I140" s="2158" t="n"/>
      <c r="J140" s="2158" t="n"/>
      <c r="K140" s="2158" t="n"/>
      <c r="L140" s="2142">
        <f>M140</f>
        <v/>
      </c>
      <c r="M140" s="2156">
        <f>Inputs!L176</f>
        <v/>
      </c>
      <c r="N140" s="2156">
        <f>Inputs!M176</f>
        <v/>
      </c>
      <c r="O140" s="2156">
        <f>Inputs!N176</f>
        <v/>
      </c>
      <c r="P140" s="2156">
        <f>Inputs!O176</f>
        <v/>
      </c>
      <c r="Q140" s="2156">
        <f>Inputs!P176</f>
        <v/>
      </c>
      <c r="R140" s="2157">
        <f>Inputs!Q176</f>
        <v/>
      </c>
      <c r="T140" s="1973">
        <f>IFERROR((R140/N140)^(1/5)-1,"-")</f>
        <v/>
      </c>
      <c r="U140" s="1974">
        <f>IFERROR(IF(K140+L140=M140,"OK","VARIANCE"),"")</f>
        <v/>
      </c>
      <c r="V140" s="2120">
        <f>IFERROR((K140/ytd.months)*12,"NA")</f>
        <v/>
      </c>
    </row>
    <row r="141">
      <c r="C141" s="582">
        <f>C127</f>
        <v/>
      </c>
      <c r="D141" s="109" t="n"/>
      <c r="E141" s="109" t="n"/>
      <c r="F141" s="109" t="n"/>
      <c r="G141" s="109" t="n"/>
      <c r="H141" s="2158" t="n"/>
      <c r="I141" s="2158" t="n"/>
      <c r="J141" s="2158" t="n"/>
      <c r="K141" s="2158" t="n"/>
      <c r="L141" s="2142">
        <f>M141</f>
        <v/>
      </c>
      <c r="M141" s="2156">
        <f>Inputs!L177</f>
        <v/>
      </c>
      <c r="N141" s="2156">
        <f>Inputs!M177</f>
        <v/>
      </c>
      <c r="O141" s="2156">
        <f>Inputs!N177</f>
        <v/>
      </c>
      <c r="P141" s="2156">
        <f>Inputs!O177</f>
        <v/>
      </c>
      <c r="Q141" s="2156">
        <f>Inputs!P177</f>
        <v/>
      </c>
      <c r="R141" s="2157">
        <f>Inputs!Q177</f>
        <v/>
      </c>
      <c r="T141" s="1973">
        <f>IFERROR((R141/N141)^(1/5)-1,"-")</f>
        <v/>
      </c>
      <c r="U141" s="1974">
        <f>IFERROR(IF(K141+L141=M141,"OK","VARIANCE"),"")</f>
        <v/>
      </c>
      <c r="V141" s="2120">
        <f>IFERROR((K141/ytd.months)*12,"NA")</f>
        <v/>
      </c>
    </row>
    <row r="142">
      <c r="C142" s="603">
        <f>C128</f>
        <v/>
      </c>
      <c r="D142" s="126" t="n"/>
      <c r="E142" s="126" t="n"/>
      <c r="F142" s="126" t="n"/>
      <c r="G142" s="126" t="n"/>
      <c r="H142" s="2159" t="n"/>
      <c r="I142" s="2159" t="n"/>
      <c r="J142" s="2159" t="n"/>
      <c r="K142" s="2159" t="n"/>
      <c r="L142" s="2160">
        <f>M142</f>
        <v/>
      </c>
      <c r="M142" s="2161">
        <f>Inputs!L178</f>
        <v/>
      </c>
      <c r="N142" s="2161">
        <f>Inputs!M178</f>
        <v/>
      </c>
      <c r="O142" s="2161">
        <f>Inputs!N178</f>
        <v/>
      </c>
      <c r="P142" s="2161">
        <f>Inputs!O178</f>
        <v/>
      </c>
      <c r="Q142" s="2161">
        <f>Inputs!P178</f>
        <v/>
      </c>
      <c r="R142" s="2162">
        <f>Inputs!Q178</f>
        <v/>
      </c>
      <c r="T142" s="1973">
        <f>IFERROR((R142/N142)^(1/5)-1,"-")</f>
        <v/>
      </c>
      <c r="U142" s="1974">
        <f>IFERROR(IF(K142+L142=M142,"OK","VARIANCE"),"")</f>
        <v/>
      </c>
      <c r="V142" s="2120">
        <f>IFERROR((K142/ytd.months)*12,"NA")</f>
        <v/>
      </c>
    </row>
    <row r="143">
      <c r="C143" s="109" t="n"/>
      <c r="D143" s="109" t="n"/>
      <c r="E143" s="109" t="n"/>
      <c r="F143" s="109" t="n"/>
      <c r="G143" s="109" t="n"/>
      <c r="H143" s="109" t="n"/>
      <c r="I143" s="109" t="n"/>
      <c r="J143" s="109" t="n"/>
      <c r="K143" s="109" t="n"/>
      <c r="L143" s="109" t="n"/>
      <c r="M143" s="109" t="n"/>
      <c r="N143" s="109" t="n"/>
      <c r="O143" s="109" t="n"/>
      <c r="P143" s="109" t="n"/>
      <c r="Q143" s="109" t="n"/>
      <c r="R143" s="109" t="n"/>
      <c r="T143" s="1973">
        <f>IFERROR((R143/N143)^(1/5)-1,"-")</f>
        <v/>
      </c>
      <c r="U143" s="1974">
        <f>IFERROR(IF(K143+L143=M143,"OK","VARIANCE"),"")</f>
        <v/>
      </c>
      <c r="V143" s="2120">
        <f>IFERROR((K143/ytd.months)*12,"NA")</f>
        <v/>
      </c>
    </row>
    <row r="144">
      <c r="C144" s="607" t="inlineStr">
        <is>
          <t>Selling, general and admin expenses</t>
        </is>
      </c>
      <c r="D144" s="608" t="n"/>
      <c r="E144" s="608" t="n"/>
      <c r="F144" s="608" t="n"/>
      <c r="G144" s="608" t="n"/>
      <c r="H144" s="609">
        <f>H7</f>
        <v/>
      </c>
      <c r="I144" s="609">
        <f>I7</f>
        <v/>
      </c>
      <c r="J144" s="610">
        <f>J7</f>
        <v/>
      </c>
      <c r="K144" s="610">
        <f>K7</f>
        <v/>
      </c>
      <c r="L144" s="610">
        <f>L7</f>
        <v/>
      </c>
      <c r="M144" s="611">
        <f>M7</f>
        <v/>
      </c>
      <c r="N144" s="609">
        <f>N7</f>
        <v/>
      </c>
      <c r="O144" s="609">
        <f>O7</f>
        <v/>
      </c>
      <c r="P144" s="609">
        <f>P7</f>
        <v/>
      </c>
      <c r="Q144" s="609">
        <f>Q7</f>
        <v/>
      </c>
      <c r="R144" s="612">
        <f>R7</f>
        <v/>
      </c>
      <c r="T144" s="1973">
        <f>IFERROR((R144/N144)^(1/5)-1,"-")</f>
        <v/>
      </c>
      <c r="U144" s="1974">
        <f>IFERROR(IF(K144+L144=M144,"OK","VARIANCE"),"")</f>
        <v/>
      </c>
      <c r="V144" s="2120">
        <f>IFERROR((K144/ytd.months)*12,"NA")</f>
        <v/>
      </c>
    </row>
    <row r="145">
      <c r="C145" s="568">
        <f>currency.heading1</f>
        <v/>
      </c>
      <c r="D145" s="562" t="n"/>
      <c r="E145" s="562" t="n"/>
      <c r="F145" s="562" t="n"/>
      <c r="G145" s="562" t="n"/>
      <c r="H145" s="69">
        <f>H8</f>
        <v/>
      </c>
      <c r="I145" s="69">
        <f>I8</f>
        <v/>
      </c>
      <c r="J145" s="643">
        <f>J8</f>
        <v/>
      </c>
      <c r="K145" s="643">
        <f>K8</f>
        <v/>
      </c>
      <c r="L145" s="643">
        <f>L8</f>
        <v/>
      </c>
      <c r="M145" s="644">
        <f>M8</f>
        <v/>
      </c>
      <c r="N145" s="644">
        <f>N8</f>
        <v/>
      </c>
      <c r="O145" s="69">
        <f>O8</f>
        <v/>
      </c>
      <c r="P145" s="69">
        <f>P8</f>
        <v/>
      </c>
      <c r="Q145" s="69">
        <f>Q8</f>
        <v/>
      </c>
      <c r="R145" s="643">
        <f>R8</f>
        <v/>
      </c>
      <c r="T145" s="1973">
        <f>IFERROR((R145/N145)^(1/5)-1,"-")</f>
        <v/>
      </c>
      <c r="U145" s="1974">
        <f>IFERROR(IF(K145+L145=M145,"OK","VARIANCE"),"")</f>
        <v/>
      </c>
      <c r="V145" s="2120">
        <f>IFERROR((K145/ytd.months)*12,"NA")</f>
        <v/>
      </c>
    </row>
    <row r="146">
      <c r="C146" s="616">
        <f>Inputs!C182</f>
        <v/>
      </c>
      <c r="D146" s="85" t="n"/>
      <c r="E146" s="85" t="n"/>
      <c r="F146" s="85" t="n"/>
      <c r="G146" s="85" t="n"/>
      <c r="H146" s="2163">
        <f>Hist.Fin!H37</f>
        <v/>
      </c>
      <c r="I146" s="2163">
        <f>Hist.Fin!I37</f>
        <v/>
      </c>
      <c r="J146" s="2163">
        <f>Hist.Fin!J37</f>
        <v/>
      </c>
      <c r="K146" s="2163">
        <f>Hist.Fin!K37</f>
        <v/>
      </c>
      <c r="L146" s="2164">
        <f>IF(ytg.approach=Inputs!$C$39,K146*ytg.actual,IF(ytg.approach=Inputs!$C$40,ytg.mgt*M146,M146-K146))</f>
        <v/>
      </c>
      <c r="M146" s="2165">
        <f>IF(Inputs!$D$181="Selected",Inputs!L182,Inputs!L196)</f>
        <v/>
      </c>
      <c r="N146" s="2165">
        <f>IF(Inputs!$D$181="Selected",Inputs!M182,M146*(1+N159))</f>
        <v/>
      </c>
      <c r="O146" s="2165">
        <f>IF(Inputs!$D$181="Selected",Inputs!N182,N146*(1+O159))</f>
        <v/>
      </c>
      <c r="P146" s="2165">
        <f>IF(Inputs!$D$181="Selected",Inputs!O182,O146*(1+P159))</f>
        <v/>
      </c>
      <c r="Q146" s="2165">
        <f>IF(Inputs!$D$181="Selected",Inputs!P182,P146*(1+Q159))</f>
        <v/>
      </c>
      <c r="R146" s="2166">
        <f>IF(Inputs!$D$181="Selected",Inputs!Q182,Q146*(1+R159))</f>
        <v/>
      </c>
      <c r="T146" s="1973">
        <f>IFERROR((R146/N146)^(1/5)-1,"-")</f>
        <v/>
      </c>
      <c r="U146" s="1974">
        <f>IFERROR(IF(K146+L146=M146,"OK","VARIANCE"),"")</f>
        <v/>
      </c>
      <c r="V146" s="2120">
        <f>IFERROR((K146/ytd.months)*12,"NA")</f>
        <v/>
      </c>
    </row>
    <row r="147">
      <c r="C147" s="616">
        <f>Inputs!C183</f>
        <v/>
      </c>
      <c r="D147" s="85" t="n"/>
      <c r="E147" s="85" t="n"/>
      <c r="F147" s="85" t="n"/>
      <c r="G147" s="85" t="n"/>
      <c r="H147" s="2163">
        <f>Hist.Fin!H38</f>
        <v/>
      </c>
      <c r="I147" s="2163">
        <f>Hist.Fin!I38</f>
        <v/>
      </c>
      <c r="J147" s="2163">
        <f>Hist.Fin!J38</f>
        <v/>
      </c>
      <c r="K147" s="2163">
        <f>Hist.Fin!K38</f>
        <v/>
      </c>
      <c r="L147" s="2164">
        <f>IF(ytg.approach=Inputs!$C$39,K147*ytg.actual,IF(ytg.approach=Inputs!$C$40,ytg.mgt*M147,M147-K147))</f>
        <v/>
      </c>
      <c r="M147" s="2165">
        <f>IF(Inputs!$D$181="Selected",Inputs!L183,Inputs!L197)</f>
        <v/>
      </c>
      <c r="N147" s="2165">
        <f>IF(Inputs!$D$181="Selected",Inputs!M183,M147*(1+N160))</f>
        <v/>
      </c>
      <c r="O147" s="2165">
        <f>IF(Inputs!$D$181="Selected",Inputs!N183,N147*(1+O160))</f>
        <v/>
      </c>
      <c r="P147" s="2165">
        <f>IF(Inputs!$D$181="Selected",Inputs!O183,O147*(1+P160))</f>
        <v/>
      </c>
      <c r="Q147" s="2165">
        <f>IF(Inputs!$D$181="Selected",Inputs!P183,P147*(1+Q160))</f>
        <v/>
      </c>
      <c r="R147" s="2166">
        <f>IF(Inputs!$D$181="Selected",Inputs!Q183,Q147*(1+R160))</f>
        <v/>
      </c>
      <c r="T147" s="1973">
        <f>IFERROR((R147/N147)^(1/5)-1,"-")</f>
        <v/>
      </c>
      <c r="U147" s="1974">
        <f>IFERROR(IF(K147+L147=M147,"OK","VARIANCE"),"")</f>
        <v/>
      </c>
      <c r="V147" s="2120">
        <f>IFERROR((K147/ytd.months)*12,"NA")</f>
        <v/>
      </c>
    </row>
    <row r="148">
      <c r="C148" s="616">
        <f>Inputs!C184</f>
        <v/>
      </c>
      <c r="D148" s="85" t="n"/>
      <c r="E148" s="85" t="n"/>
      <c r="F148" s="85" t="n"/>
      <c r="G148" s="85" t="n"/>
      <c r="H148" s="2163">
        <f>Hist.Fin!H39</f>
        <v/>
      </c>
      <c r="I148" s="2163">
        <f>Hist.Fin!I39</f>
        <v/>
      </c>
      <c r="J148" s="2163">
        <f>Hist.Fin!J39</f>
        <v/>
      </c>
      <c r="K148" s="2163">
        <f>Hist.Fin!K39</f>
        <v/>
      </c>
      <c r="L148" s="2164">
        <f>IF(ytg.approach=Inputs!$C$39,K148*ytg.actual,IF(ytg.approach=Inputs!$C$40,ytg.mgt*M148,M148-K148))</f>
        <v/>
      </c>
      <c r="M148" s="2165">
        <f>IF(Inputs!$D$181="Selected",Inputs!L184,Inputs!L198)</f>
        <v/>
      </c>
      <c r="N148" s="2165">
        <f>IF(Inputs!$D$181="Selected",Inputs!M184,M148*(1+N161))</f>
        <v/>
      </c>
      <c r="O148" s="2165">
        <f>IF(Inputs!$D$181="Selected",Inputs!N184,N148*(1+O161))</f>
        <v/>
      </c>
      <c r="P148" s="2165">
        <f>IF(Inputs!$D$181="Selected",Inputs!O184,O148*(1+P161))</f>
        <v/>
      </c>
      <c r="Q148" s="2165">
        <f>IF(Inputs!$D$181="Selected",Inputs!P184,P148*(1+Q161))</f>
        <v/>
      </c>
      <c r="R148" s="2166">
        <f>IF(Inputs!$D$181="Selected",Inputs!Q184,Q148*(1+R161))</f>
        <v/>
      </c>
      <c r="T148" s="1973">
        <f>IFERROR((R148/N148)^(1/5)-1,"-")</f>
        <v/>
      </c>
      <c r="U148" s="1974">
        <f>IFERROR(IF(K148+L148=M148,"OK","VARIANCE"),"")</f>
        <v/>
      </c>
      <c r="V148" s="2120">
        <f>IFERROR((K148/ytd.months)*12,"NA")</f>
        <v/>
      </c>
    </row>
    <row r="149">
      <c r="C149" s="616">
        <f>Inputs!C185</f>
        <v/>
      </c>
      <c r="D149" s="85" t="n"/>
      <c r="E149" s="85" t="n"/>
      <c r="F149" s="85" t="n"/>
      <c r="G149" s="85" t="n"/>
      <c r="H149" s="2163">
        <f>Hist.Fin!H40</f>
        <v/>
      </c>
      <c r="I149" s="2163">
        <f>Hist.Fin!I40</f>
        <v/>
      </c>
      <c r="J149" s="2163">
        <f>Hist.Fin!J40</f>
        <v/>
      </c>
      <c r="K149" s="2163">
        <f>Hist.Fin!K40</f>
        <v/>
      </c>
      <c r="L149" s="2164">
        <f>IF(ytg.approach=Inputs!$C$39,K149*ytg.actual,IF(ytg.approach=Inputs!$C$40,ytg.mgt*M149,M149-K149))</f>
        <v/>
      </c>
      <c r="M149" s="2165">
        <f>IF(Inputs!$D$181="Selected",Inputs!L185,Inputs!L199)</f>
        <v/>
      </c>
      <c r="N149" s="2165">
        <f>IF(Inputs!$D$181="Selected",Inputs!M185,M149*(1+N162))</f>
        <v/>
      </c>
      <c r="O149" s="2165">
        <f>IF(Inputs!$D$181="Selected",Inputs!N185,N149*(1+O162))</f>
        <v/>
      </c>
      <c r="P149" s="2165">
        <f>IF(Inputs!$D$181="Selected",Inputs!O185,O149*(1+P162))</f>
        <v/>
      </c>
      <c r="Q149" s="2165">
        <f>IF(Inputs!$D$181="Selected",Inputs!P185,P149*(1+Q162))</f>
        <v/>
      </c>
      <c r="R149" s="2166">
        <f>IF(Inputs!$D$181="Selected",Inputs!Q185,Q149*(1+R162))</f>
        <v/>
      </c>
      <c r="T149" s="1973">
        <f>IFERROR((R149/N149)^(1/5)-1,"-")</f>
        <v/>
      </c>
      <c r="U149" s="1974">
        <f>IFERROR(IF(K149+L149=M149,"OK","VARIANCE"),"")</f>
        <v/>
      </c>
      <c r="V149" s="2120">
        <f>IFERROR((K149/ytd.months)*12,"NA")</f>
        <v/>
      </c>
    </row>
    <row r="150">
      <c r="C150" s="616">
        <f>Inputs!C186</f>
        <v/>
      </c>
      <c r="D150" s="85" t="n"/>
      <c r="E150" s="85" t="n"/>
      <c r="F150" s="85" t="n"/>
      <c r="G150" s="85" t="n"/>
      <c r="H150" s="2163">
        <f>Hist.Fin!H41</f>
        <v/>
      </c>
      <c r="I150" s="2163">
        <f>Hist.Fin!I41</f>
        <v/>
      </c>
      <c r="J150" s="2163">
        <f>Hist.Fin!J41</f>
        <v/>
      </c>
      <c r="K150" s="2163">
        <f>Hist.Fin!K41</f>
        <v/>
      </c>
      <c r="L150" s="2164">
        <f>IF(ytg.approach=Inputs!$C$39,K150*ytg.actual,IF(ytg.approach=Inputs!$C$40,ytg.mgt*M150,M150-K150))</f>
        <v/>
      </c>
      <c r="M150" s="2165">
        <f>IF(Inputs!$D$181="Selected",Inputs!L186,Inputs!L200)</f>
        <v/>
      </c>
      <c r="N150" s="2165">
        <f>IF(Inputs!$D$181="Selected",Inputs!M186,M150*(1+N163))</f>
        <v/>
      </c>
      <c r="O150" s="2165">
        <f>IF(Inputs!$D$181="Selected",Inputs!N186,N150*(1+O163))</f>
        <v/>
      </c>
      <c r="P150" s="2165">
        <f>IF(Inputs!$D$181="Selected",Inputs!O186,O150*(1+P163))</f>
        <v/>
      </c>
      <c r="Q150" s="2165">
        <f>IF(Inputs!$D$181="Selected",Inputs!P186,P150*(1+Q163))</f>
        <v/>
      </c>
      <c r="R150" s="2166">
        <f>IF(Inputs!$D$181="Selected",Inputs!Q186,Q150*(1+R163))</f>
        <v/>
      </c>
      <c r="T150" s="1973">
        <f>IFERROR((R150/N150)^(1/5)-1,"-")</f>
        <v/>
      </c>
      <c r="U150" s="1974">
        <f>IFERROR(IF(K150+L150=M150,"OK","VARIANCE"),"")</f>
        <v/>
      </c>
      <c r="V150" s="2120">
        <f>IFERROR((K150/ytd.months)*12,"NA")</f>
        <v/>
      </c>
    </row>
    <row r="151">
      <c r="C151" s="616">
        <f>Inputs!C187</f>
        <v/>
      </c>
      <c r="D151" s="85" t="n"/>
      <c r="E151" s="85" t="n"/>
      <c r="F151" s="85" t="n"/>
      <c r="G151" s="85" t="n"/>
      <c r="H151" s="2163">
        <f>Hist.Fin!H42</f>
        <v/>
      </c>
      <c r="I151" s="2163">
        <f>Hist.Fin!I42</f>
        <v/>
      </c>
      <c r="J151" s="2163">
        <f>Hist.Fin!J42</f>
        <v/>
      </c>
      <c r="K151" s="2163">
        <f>Hist.Fin!K42</f>
        <v/>
      </c>
      <c r="L151" s="2164">
        <f>IF(ytg.approach=Inputs!$C$39,K151*ytg.actual,IF(ytg.approach=Inputs!$C$40,ytg.mgt*M151,M151-K151))</f>
        <v/>
      </c>
      <c r="M151" s="2165">
        <f>IF(Inputs!$D$181="Selected",Inputs!L187,Inputs!L201)</f>
        <v/>
      </c>
      <c r="N151" s="2165">
        <f>IF(Inputs!$D$181="Selected",Inputs!M187,M151*(1+N164))</f>
        <v/>
      </c>
      <c r="O151" s="2165">
        <f>IF(Inputs!$D$181="Selected",Inputs!N187,N151*(1+O164))</f>
        <v/>
      </c>
      <c r="P151" s="2165">
        <f>IF(Inputs!$D$181="Selected",Inputs!O187,O151*(1+P164))</f>
        <v/>
      </c>
      <c r="Q151" s="2165">
        <f>IF(Inputs!$D$181="Selected",Inputs!P187,P151*(1+Q164))</f>
        <v/>
      </c>
      <c r="R151" s="2166">
        <f>IF(Inputs!$D$181="Selected",Inputs!Q187,Q151*(1+R164))</f>
        <v/>
      </c>
      <c r="T151" s="1973">
        <f>IFERROR((R151/N151)^(1/5)-1,"-")</f>
        <v/>
      </c>
      <c r="U151" s="1974">
        <f>IFERROR(IF(K151+L151=M151,"OK","VARIANCE"),"")</f>
        <v/>
      </c>
      <c r="V151" s="2120">
        <f>IFERROR((K151/ytd.months)*12,"NA")</f>
        <v/>
      </c>
    </row>
    <row r="152">
      <c r="C152" s="616">
        <f>Inputs!C188</f>
        <v/>
      </c>
      <c r="D152" s="85" t="n"/>
      <c r="E152" s="85" t="n"/>
      <c r="F152" s="85" t="n"/>
      <c r="G152" s="85" t="n"/>
      <c r="H152" s="2163">
        <f>Hist.Fin!H44</f>
        <v/>
      </c>
      <c r="I152" s="2163">
        <f>Hist.Fin!I44</f>
        <v/>
      </c>
      <c r="J152" s="2163">
        <f>Hist.Fin!J44</f>
        <v/>
      </c>
      <c r="K152" s="2163">
        <f>Hist.Fin!K44</f>
        <v/>
      </c>
      <c r="L152" s="2164">
        <f>IF(ytg.approach=Inputs!$C$39,K152*ytg.actual,IF(ytg.approach=Inputs!$C$40,ytg.mgt*M152,M152-K152))</f>
        <v/>
      </c>
      <c r="M152" s="2165">
        <f>IF(Inputs!$D$181="Selected",Inputs!L188,Inputs!L202)</f>
        <v/>
      </c>
      <c r="N152" s="2165">
        <f>IF(Inputs!$D$181="Selected",Inputs!M188,M152*(1+N165))</f>
        <v/>
      </c>
      <c r="O152" s="2165">
        <f>IF(Inputs!$D$181="Selected",Inputs!N188,N152*(1+O165))</f>
        <v/>
      </c>
      <c r="P152" s="2165">
        <f>IF(Inputs!$D$181="Selected",Inputs!O188,O152*(1+P165))</f>
        <v/>
      </c>
      <c r="Q152" s="2165">
        <f>IF(Inputs!$D$181="Selected",Inputs!P188,P152*(1+Q165))</f>
        <v/>
      </c>
      <c r="R152" s="2166">
        <f>IF(Inputs!$D$181="Selected",Inputs!Q188,Q152*(1+R165))</f>
        <v/>
      </c>
      <c r="T152" s="1973" t="n"/>
      <c r="U152" s="1974" t="n"/>
      <c r="V152" s="2120" t="n"/>
    </row>
    <row r="153">
      <c r="C153" s="616">
        <f>Inputs!C189</f>
        <v/>
      </c>
      <c r="D153" s="85" t="n"/>
      <c r="E153" s="85" t="n"/>
      <c r="F153" s="85" t="n"/>
      <c r="G153" s="85" t="n"/>
      <c r="H153" s="2163">
        <f>Hist.Fin!H45</f>
        <v/>
      </c>
      <c r="I153" s="2163">
        <f>Hist.Fin!I45</f>
        <v/>
      </c>
      <c r="J153" s="2163">
        <f>Hist.Fin!J45</f>
        <v/>
      </c>
      <c r="K153" s="2163">
        <f>Hist.Fin!K45</f>
        <v/>
      </c>
      <c r="L153" s="2164">
        <f>IF(ytg.approach=Inputs!$C$39,K153*ytg.actual,IF(ytg.approach=Inputs!$C$40,ytg.mgt*M153,M153-K153))</f>
        <v/>
      </c>
      <c r="M153" s="2165">
        <f>IF(Inputs!$D$181="Selected",Inputs!L189,Inputs!L203)</f>
        <v/>
      </c>
      <c r="N153" s="2165">
        <f>IF(Inputs!$D$181="Selected",Inputs!M189,M153*(1+N166))</f>
        <v/>
      </c>
      <c r="O153" s="2165">
        <f>IF(Inputs!$D$181="Selected",Inputs!N189,N153*(1+O166))</f>
        <v/>
      </c>
      <c r="P153" s="2165">
        <f>IF(Inputs!$D$181="Selected",Inputs!O189,O153*(1+P166))</f>
        <v/>
      </c>
      <c r="Q153" s="2165">
        <f>IF(Inputs!$D$181="Selected",Inputs!P189,P153*(1+Q166))</f>
        <v/>
      </c>
      <c r="R153" s="2166">
        <f>IF(Inputs!$D$181="Selected",Inputs!Q189,Q153*(1+R166))</f>
        <v/>
      </c>
      <c r="T153" s="1973">
        <f>IFERROR((R153/N153)^(1/5)-1,"-")</f>
        <v/>
      </c>
      <c r="U153" s="1974">
        <f>IFERROR(IF(K153+L153=M153,"OK","VARIANCE"),"")</f>
        <v/>
      </c>
      <c r="V153" s="2120">
        <f>IFERROR((K153/ytd.months)*12,"NA")</f>
        <v/>
      </c>
    </row>
    <row r="154">
      <c r="C154" s="616">
        <f>Inputs!C190</f>
        <v/>
      </c>
      <c r="D154" s="85" t="n"/>
      <c r="E154" s="85" t="n"/>
      <c r="F154" s="85" t="n"/>
      <c r="G154" s="85" t="n"/>
      <c r="H154" s="2163">
        <f>Hist.Fin!H46</f>
        <v/>
      </c>
      <c r="I154" s="2163">
        <f>Hist.Fin!I46</f>
        <v/>
      </c>
      <c r="J154" s="2163">
        <f>Hist.Fin!J46</f>
        <v/>
      </c>
      <c r="K154" s="2163">
        <f>Hist.Fin!K46</f>
        <v/>
      </c>
      <c r="L154" s="2164">
        <f>IF(ytg.approach=Inputs!$C$39,K154*ytg.actual,IF(ytg.approach=Inputs!$C$40,ytg.mgt*M154,M154-K154))</f>
        <v/>
      </c>
      <c r="M154" s="2165">
        <f>IF(Inputs!$D$181="Selected",Inputs!L190,Inputs!L204)</f>
        <v/>
      </c>
      <c r="N154" s="2165">
        <f>IF(Inputs!$D$181="Selected",Inputs!M190,M154*(1+N167))</f>
        <v/>
      </c>
      <c r="O154" s="2165">
        <f>IF(Inputs!$D$181="Selected",Inputs!N190,N154*(1+O167))</f>
        <v/>
      </c>
      <c r="P154" s="2165">
        <f>IF(Inputs!$D$181="Selected",Inputs!O190,O154*(1+P167))</f>
        <v/>
      </c>
      <c r="Q154" s="2165">
        <f>IF(Inputs!$D$181="Selected",Inputs!P190,P154*(1+Q167))</f>
        <v/>
      </c>
      <c r="R154" s="2166">
        <f>IF(Inputs!$D$181="Selected",Inputs!Q190,Q154*(1+R167))</f>
        <v/>
      </c>
      <c r="T154" s="1973">
        <f>IFERROR((R154/N154)^(1/5)-1,"-")</f>
        <v/>
      </c>
      <c r="U154" s="1974">
        <f>IFERROR(IF(K154+L154=M154,"OK","VARIANCE"),"")</f>
        <v/>
      </c>
      <c r="V154" s="2120">
        <f>IFERROR((K154/ytd.months)*12,"NA")</f>
        <v/>
      </c>
    </row>
    <row r="155">
      <c r="C155" s="648" t="inlineStr">
        <is>
          <t>Total G&amp;A expenses</t>
        </is>
      </c>
      <c r="D155" s="649" t="n"/>
      <c r="E155" s="649" t="n"/>
      <c r="F155" s="649" t="n"/>
      <c r="G155" s="649" t="n"/>
      <c r="H155" s="2167">
        <f>SUM(H146:H154)</f>
        <v/>
      </c>
      <c r="I155" s="2167">
        <f>SUM(I146:I154)</f>
        <v/>
      </c>
      <c r="J155" s="2167">
        <f>SUM(J146:J154)</f>
        <v/>
      </c>
      <c r="K155" s="2167">
        <f>SUM(K146:K154)</f>
        <v/>
      </c>
      <c r="L155" s="2167">
        <f>SUM(L146:L154)</f>
        <v/>
      </c>
      <c r="M155" s="2167">
        <f>SUM(M146:M154)</f>
        <v/>
      </c>
      <c r="N155" s="2167">
        <f>SUM(N146:N154)</f>
        <v/>
      </c>
      <c r="O155" s="2167">
        <f>SUM(O146:O154)</f>
        <v/>
      </c>
      <c r="P155" s="2167">
        <f>SUM(P146:P154)</f>
        <v/>
      </c>
      <c r="Q155" s="2167">
        <f>SUM(Q146:Q154)</f>
        <v/>
      </c>
      <c r="R155" s="2168">
        <f>SUM(R146:R154)</f>
        <v/>
      </c>
      <c r="T155" s="1973">
        <f>IFERROR((R155/N155)^(1/5)-1,"-")</f>
        <v/>
      </c>
      <c r="U155" s="1974">
        <f>IFERROR(IF(K155+L155=M155,"OK","VARIANCE"),"")</f>
        <v/>
      </c>
      <c r="V155" s="2120">
        <f>IFERROR((K155/ytd.months)*12,"NA")</f>
        <v/>
      </c>
    </row>
    <row r="156">
      <c r="C156" s="109" t="n"/>
      <c r="D156" s="109" t="n"/>
      <c r="E156" s="109" t="n"/>
      <c r="F156" s="109" t="n"/>
      <c r="G156" s="109" t="n"/>
      <c r="H156" s="109" t="n"/>
      <c r="I156" s="109" t="n"/>
      <c r="J156" s="109" t="n"/>
      <c r="K156" s="109" t="n"/>
      <c r="L156" s="109" t="n"/>
      <c r="M156" s="109" t="n"/>
      <c r="N156" s="109" t="n"/>
      <c r="O156" s="109" t="n"/>
      <c r="P156" s="109" t="n"/>
      <c r="Q156" s="109" t="n"/>
      <c r="R156" s="109" t="n"/>
      <c r="T156" s="1973">
        <f>IFERROR((R156/N156)^(1/5)-1,"-")</f>
        <v/>
      </c>
      <c r="U156" s="1974">
        <f>IFERROR(IF(K156+L156=M156,"OK","VARIANCE"),"")</f>
        <v/>
      </c>
      <c r="V156" s="2120">
        <f>IFERROR((K156/ytd.months)*12,"NA")</f>
        <v/>
      </c>
    </row>
    <row r="157">
      <c r="C157" s="607" t="inlineStr">
        <is>
          <t>Selling, general and admin expenses as % of revenue</t>
        </is>
      </c>
      <c r="D157" s="608" t="n"/>
      <c r="E157" s="608" t="n"/>
      <c r="F157" s="608" t="n"/>
      <c r="G157" s="608" t="n"/>
      <c r="H157" s="609">
        <f>H7</f>
        <v/>
      </c>
      <c r="I157" s="609">
        <f>I7</f>
        <v/>
      </c>
      <c r="J157" s="610">
        <f>J7</f>
        <v/>
      </c>
      <c r="K157" s="610">
        <f>K7</f>
        <v/>
      </c>
      <c r="L157" s="610">
        <f>L7</f>
        <v/>
      </c>
      <c r="M157" s="611">
        <f>M7</f>
        <v/>
      </c>
      <c r="N157" s="609">
        <f>N7</f>
        <v/>
      </c>
      <c r="O157" s="609">
        <f>O7</f>
        <v/>
      </c>
      <c r="P157" s="609">
        <f>P7</f>
        <v/>
      </c>
      <c r="Q157" s="609">
        <f>Q7</f>
        <v/>
      </c>
      <c r="R157" s="612">
        <f>R7</f>
        <v/>
      </c>
      <c r="T157" s="1973">
        <f>IFERROR((R157/N157)^(1/5)-1,"-")</f>
        <v/>
      </c>
      <c r="U157" s="1974">
        <f>IFERROR(IF(K157+L157=M157,"OK","VARIANCE"),"")</f>
        <v/>
      </c>
      <c r="V157" s="2120">
        <f>IFERROR((K157/ytd.months)*12,"NA")</f>
        <v/>
      </c>
    </row>
    <row r="158">
      <c r="C158" s="568">
        <f>currency.heading1</f>
        <v/>
      </c>
      <c r="D158" s="652" t="n"/>
      <c r="E158" s="652" t="n"/>
      <c r="F158" s="652" t="n"/>
      <c r="G158" s="652" t="n"/>
      <c r="H158" s="653">
        <f>H8</f>
        <v/>
      </c>
      <c r="I158" s="653">
        <f>I8</f>
        <v/>
      </c>
      <c r="J158" s="654">
        <f>J8</f>
        <v/>
      </c>
      <c r="K158" s="654">
        <f>K8</f>
        <v/>
      </c>
      <c r="L158" s="654">
        <f>L8</f>
        <v/>
      </c>
      <c r="M158" s="655">
        <f>M8</f>
        <v/>
      </c>
      <c r="N158" s="655">
        <f>N8</f>
        <v/>
      </c>
      <c r="O158" s="653">
        <f>O8</f>
        <v/>
      </c>
      <c r="P158" s="653">
        <f>P8</f>
        <v/>
      </c>
      <c r="Q158" s="653">
        <f>Q8</f>
        <v/>
      </c>
      <c r="R158" s="654">
        <f>R8</f>
        <v/>
      </c>
      <c r="T158" s="1973">
        <f>IFERROR((R158/N158)^(1/5)-1,"-")</f>
        <v/>
      </c>
      <c r="U158" s="1974">
        <f>IFERROR(IF(K158+L158=M158,"OK","VARIANCE"),"")</f>
        <v/>
      </c>
      <c r="V158" s="2120">
        <f>IFERROR((K158/ytd.months)*12,"NA")</f>
        <v/>
      </c>
    </row>
    <row r="159">
      <c r="C159" s="616">
        <f>C146</f>
        <v/>
      </c>
      <c r="D159" s="109" t="n"/>
      <c r="E159" s="109" t="n"/>
      <c r="F159" s="109" t="n"/>
      <c r="G159" s="109" t="n"/>
      <c r="H159" s="1907">
        <f>H146/H$69</f>
        <v/>
      </c>
      <c r="I159" s="1907">
        <f>I146/I$69</f>
        <v/>
      </c>
      <c r="J159" s="1907">
        <f>J146/J$69</f>
        <v/>
      </c>
      <c r="K159" s="1907">
        <f>K146/K$69</f>
        <v/>
      </c>
      <c r="L159" s="1907">
        <f>L146/L$69</f>
        <v/>
      </c>
      <c r="M159" s="1907">
        <f>M146/M$69</f>
        <v/>
      </c>
      <c r="N159" s="2169">
        <f>Inputs!M196</f>
        <v/>
      </c>
      <c r="O159" s="2169">
        <f>Inputs!N196</f>
        <v/>
      </c>
      <c r="P159" s="2169">
        <f>Inputs!O196</f>
        <v/>
      </c>
      <c r="Q159" s="2169">
        <f>Inputs!P196</f>
        <v/>
      </c>
      <c r="R159" s="2170">
        <f>Inputs!Q196</f>
        <v/>
      </c>
      <c r="T159" s="1973">
        <f>IFERROR((R159/N159)^(1/5)-1,"-")</f>
        <v/>
      </c>
      <c r="U159" s="1974">
        <f>IFERROR(IF(K159+L159=M159,"OK","VARIANCE"),"")</f>
        <v/>
      </c>
      <c r="V159" s="2120">
        <f>IFERROR((K159/ytd.months)*12,"NA")</f>
        <v/>
      </c>
    </row>
    <row r="160">
      <c r="C160" s="616">
        <f>C147</f>
        <v/>
      </c>
      <c r="D160" s="109" t="n"/>
      <c r="E160" s="109" t="n"/>
      <c r="F160" s="109" t="n"/>
      <c r="G160" s="109" t="n"/>
      <c r="H160" s="1907">
        <f>H147/H$69</f>
        <v/>
      </c>
      <c r="I160" s="1907">
        <f>I147/I$69</f>
        <v/>
      </c>
      <c r="J160" s="1907">
        <f>J147/J$69</f>
        <v/>
      </c>
      <c r="K160" s="1907">
        <f>K147/K$69</f>
        <v/>
      </c>
      <c r="L160" s="1907">
        <f>L147/L$69</f>
        <v/>
      </c>
      <c r="M160" s="1907">
        <f>M147/M$69</f>
        <v/>
      </c>
      <c r="N160" s="2169">
        <f>Inputs!M197</f>
        <v/>
      </c>
      <c r="O160" s="2169">
        <f>Inputs!N197</f>
        <v/>
      </c>
      <c r="P160" s="2169">
        <f>Inputs!O197</f>
        <v/>
      </c>
      <c r="Q160" s="2169">
        <f>Inputs!P197</f>
        <v/>
      </c>
      <c r="R160" s="2170">
        <f>Inputs!Q197</f>
        <v/>
      </c>
      <c r="T160" s="1973">
        <f>IFERROR((R160/N160)^(1/5)-1,"-")</f>
        <v/>
      </c>
      <c r="U160" s="1974">
        <f>IFERROR(IF(K160+L160=M160,"OK","VARIANCE"),"")</f>
        <v/>
      </c>
      <c r="V160" s="2120">
        <f>IFERROR((K160/ytd.months)*12,"NA")</f>
        <v/>
      </c>
    </row>
    <row r="161">
      <c r="C161" s="616">
        <f>C148</f>
        <v/>
      </c>
      <c r="D161" s="109" t="n"/>
      <c r="E161" s="109" t="n"/>
      <c r="F161" s="109" t="n"/>
      <c r="G161" s="109" t="n"/>
      <c r="H161" s="1907">
        <f>H148/H$69</f>
        <v/>
      </c>
      <c r="I161" s="1907">
        <f>I148/I$69</f>
        <v/>
      </c>
      <c r="J161" s="1907">
        <f>J148/J$69</f>
        <v/>
      </c>
      <c r="K161" s="1907">
        <f>K148/K$69</f>
        <v/>
      </c>
      <c r="L161" s="1907">
        <f>L148/L$69</f>
        <v/>
      </c>
      <c r="M161" s="1907">
        <f>M148/M$69</f>
        <v/>
      </c>
      <c r="N161" s="2169">
        <f>Inputs!M198</f>
        <v/>
      </c>
      <c r="O161" s="2169">
        <f>Inputs!N198</f>
        <v/>
      </c>
      <c r="P161" s="2169">
        <f>Inputs!O198</f>
        <v/>
      </c>
      <c r="Q161" s="2169">
        <f>Inputs!P198</f>
        <v/>
      </c>
      <c r="R161" s="2170">
        <f>Inputs!Q198</f>
        <v/>
      </c>
      <c r="T161" s="1973">
        <f>IFERROR((R161/N161)^(1/5)-1,"-")</f>
        <v/>
      </c>
      <c r="U161" s="1974">
        <f>IFERROR(IF(K161+L161=M161,"OK","VARIANCE"),"")</f>
        <v/>
      </c>
      <c r="V161" s="2120">
        <f>IFERROR((K161/ytd.months)*12,"NA")</f>
        <v/>
      </c>
    </row>
    <row r="162">
      <c r="C162" s="616">
        <f>C149</f>
        <v/>
      </c>
      <c r="D162" s="109" t="n"/>
      <c r="E162" s="109" t="n"/>
      <c r="F162" s="109" t="n"/>
      <c r="G162" s="109" t="n"/>
      <c r="H162" s="1907">
        <f>H149/H$69</f>
        <v/>
      </c>
      <c r="I162" s="1907">
        <f>I149/I$69</f>
        <v/>
      </c>
      <c r="J162" s="1907">
        <f>J149/J$69</f>
        <v/>
      </c>
      <c r="K162" s="1907">
        <f>K149/K$69</f>
        <v/>
      </c>
      <c r="L162" s="1907">
        <f>L149/L$69</f>
        <v/>
      </c>
      <c r="M162" s="1907">
        <f>M149/M$69</f>
        <v/>
      </c>
      <c r="N162" s="2169">
        <f>Inputs!M199</f>
        <v/>
      </c>
      <c r="O162" s="2169">
        <f>Inputs!N199</f>
        <v/>
      </c>
      <c r="P162" s="2169">
        <f>Inputs!O199</f>
        <v/>
      </c>
      <c r="Q162" s="2169">
        <f>Inputs!P199</f>
        <v/>
      </c>
      <c r="R162" s="2170">
        <f>Inputs!Q199</f>
        <v/>
      </c>
      <c r="T162" s="1973">
        <f>IFERROR((R162/N162)^(1/5)-1,"-")</f>
        <v/>
      </c>
      <c r="U162" s="1974">
        <f>IFERROR(IF(K162+L162=M162,"OK","VARIANCE"),"")</f>
        <v/>
      </c>
      <c r="V162" s="2120">
        <f>IFERROR((K162/ytd.months)*12,"NA")</f>
        <v/>
      </c>
    </row>
    <row r="163">
      <c r="C163" s="616">
        <f>C150</f>
        <v/>
      </c>
      <c r="D163" s="109" t="n"/>
      <c r="E163" s="109" t="n"/>
      <c r="F163" s="109" t="n"/>
      <c r="G163" s="109" t="n"/>
      <c r="H163" s="1907">
        <f>H150/H$69</f>
        <v/>
      </c>
      <c r="I163" s="1907">
        <f>I150/I$69</f>
        <v/>
      </c>
      <c r="J163" s="1907">
        <f>J150/J$69</f>
        <v/>
      </c>
      <c r="K163" s="1907">
        <f>K150/K$69</f>
        <v/>
      </c>
      <c r="L163" s="1907">
        <f>L150/L$69</f>
        <v/>
      </c>
      <c r="M163" s="1907">
        <f>M150/M$69</f>
        <v/>
      </c>
      <c r="N163" s="2169">
        <f>Inputs!M200</f>
        <v/>
      </c>
      <c r="O163" s="2169">
        <f>Inputs!N200</f>
        <v/>
      </c>
      <c r="P163" s="2169">
        <f>Inputs!O200</f>
        <v/>
      </c>
      <c r="Q163" s="2169">
        <f>Inputs!P200</f>
        <v/>
      </c>
      <c r="R163" s="2170">
        <f>Inputs!Q200</f>
        <v/>
      </c>
      <c r="T163" s="1973">
        <f>IFERROR((R163/N163)^(1/5)-1,"-")</f>
        <v/>
      </c>
      <c r="U163" s="1974">
        <f>IFERROR(IF(K163+L163=M163,"OK","VARIANCE"),"")</f>
        <v/>
      </c>
      <c r="V163" s="2120">
        <f>IFERROR((K163/ytd.months)*12,"NA")</f>
        <v/>
      </c>
    </row>
    <row r="164">
      <c r="C164" s="616">
        <f>C151</f>
        <v/>
      </c>
      <c r="D164" s="109" t="n"/>
      <c r="E164" s="109" t="n"/>
      <c r="F164" s="109" t="n"/>
      <c r="G164" s="109" t="n"/>
      <c r="H164" s="1907">
        <f>H151/H$69</f>
        <v/>
      </c>
      <c r="I164" s="1907">
        <f>I151/I$69</f>
        <v/>
      </c>
      <c r="J164" s="1907">
        <f>J151/J$69</f>
        <v/>
      </c>
      <c r="K164" s="1907">
        <f>K151/K$69</f>
        <v/>
      </c>
      <c r="L164" s="1907">
        <f>L151/L$69</f>
        <v/>
      </c>
      <c r="M164" s="1907">
        <f>M151/M$69</f>
        <v/>
      </c>
      <c r="N164" s="2169">
        <f>Inputs!M201</f>
        <v/>
      </c>
      <c r="O164" s="2169">
        <f>Inputs!N201</f>
        <v/>
      </c>
      <c r="P164" s="2169">
        <f>Inputs!O201</f>
        <v/>
      </c>
      <c r="Q164" s="2169">
        <f>Inputs!P201</f>
        <v/>
      </c>
      <c r="R164" s="2170">
        <f>Inputs!Q201</f>
        <v/>
      </c>
      <c r="T164" s="1973" t="n"/>
      <c r="U164" s="1974" t="n"/>
      <c r="V164" s="2120" t="n"/>
    </row>
    <row r="165">
      <c r="C165" s="616">
        <f>C152</f>
        <v/>
      </c>
      <c r="D165" s="109" t="n"/>
      <c r="E165" s="109" t="n"/>
      <c r="F165" s="109" t="n"/>
      <c r="G165" s="109" t="n"/>
      <c r="H165" s="1907">
        <f>H152/H$69</f>
        <v/>
      </c>
      <c r="I165" s="1907">
        <f>I152/I$69</f>
        <v/>
      </c>
      <c r="J165" s="1907">
        <f>J152/J$69</f>
        <v/>
      </c>
      <c r="K165" s="1907">
        <f>K152/K$69</f>
        <v/>
      </c>
      <c r="L165" s="1907">
        <f>L152/L$69</f>
        <v/>
      </c>
      <c r="M165" s="1907">
        <f>M152/M$69</f>
        <v/>
      </c>
      <c r="N165" s="2169">
        <f>Inputs!M202</f>
        <v/>
      </c>
      <c r="O165" s="2169">
        <f>Inputs!N202</f>
        <v/>
      </c>
      <c r="P165" s="2169">
        <f>Inputs!O202</f>
        <v/>
      </c>
      <c r="Q165" s="2169">
        <f>Inputs!P202</f>
        <v/>
      </c>
      <c r="R165" s="2170">
        <f>Inputs!Q202</f>
        <v/>
      </c>
      <c r="T165" s="1973">
        <f>IFERROR((R165/N165)^(1/5)-1,"-")</f>
        <v/>
      </c>
      <c r="U165" s="1974">
        <f>IFERROR(IF(K165+L165=M165,"OK","VARIANCE"),"")</f>
        <v/>
      </c>
      <c r="V165" s="2120">
        <f>IFERROR((K165/ytd.months)*12,"NA")</f>
        <v/>
      </c>
    </row>
    <row r="166">
      <c r="C166" s="616">
        <f>C153</f>
        <v/>
      </c>
      <c r="D166" s="109" t="n"/>
      <c r="E166" s="109" t="n"/>
      <c r="F166" s="109" t="n"/>
      <c r="G166" s="109" t="n"/>
      <c r="H166" s="1907">
        <f>H153/H$69</f>
        <v/>
      </c>
      <c r="I166" s="1907">
        <f>I153/I$69</f>
        <v/>
      </c>
      <c r="J166" s="1907">
        <f>J153/J$69</f>
        <v/>
      </c>
      <c r="K166" s="1907">
        <f>K153/K$69</f>
        <v/>
      </c>
      <c r="L166" s="1907">
        <f>L153/L$69</f>
        <v/>
      </c>
      <c r="M166" s="1907">
        <f>M153/M$69</f>
        <v/>
      </c>
      <c r="N166" s="2169">
        <f>Inputs!M203</f>
        <v/>
      </c>
      <c r="O166" s="2169">
        <f>Inputs!N203</f>
        <v/>
      </c>
      <c r="P166" s="2169">
        <f>Inputs!O203</f>
        <v/>
      </c>
      <c r="Q166" s="2169">
        <f>Inputs!P203</f>
        <v/>
      </c>
      <c r="R166" s="2170">
        <f>Inputs!Q203</f>
        <v/>
      </c>
      <c r="T166" s="1973" t="n"/>
      <c r="U166" s="1974" t="n"/>
      <c r="V166" s="2120" t="n"/>
    </row>
    <row r="167">
      <c r="C167" s="616">
        <f>C154</f>
        <v/>
      </c>
      <c r="D167" s="658" t="n"/>
      <c r="E167" s="658" t="n"/>
      <c r="F167" s="658" t="n"/>
      <c r="G167" s="658" t="n"/>
      <c r="H167" s="1907">
        <f>H154/H$69</f>
        <v/>
      </c>
      <c r="I167" s="1907">
        <f>I154/I$69</f>
        <v/>
      </c>
      <c r="J167" s="1907">
        <f>J154/J$69</f>
        <v/>
      </c>
      <c r="K167" s="1907">
        <f>K154/K$69</f>
        <v/>
      </c>
      <c r="L167" s="1907">
        <f>L154/L$69</f>
        <v/>
      </c>
      <c r="M167" s="1907">
        <f>M154/M$69</f>
        <v/>
      </c>
      <c r="N167" s="2169">
        <f>Inputs!M204</f>
        <v/>
      </c>
      <c r="O167" s="2169">
        <f>Inputs!N204</f>
        <v/>
      </c>
      <c r="P167" s="2169">
        <f>Inputs!O204</f>
        <v/>
      </c>
      <c r="Q167" s="2169">
        <f>Inputs!P204</f>
        <v/>
      </c>
      <c r="R167" s="2170">
        <f>Inputs!Q204</f>
        <v/>
      </c>
      <c r="T167" s="1973">
        <f>IFERROR((R167/N167)^(1/5)-1,"-")</f>
        <v/>
      </c>
      <c r="U167" s="1974">
        <f>IFERROR(IF(K167+L167=M167,"OK","VARIANCE"),"")</f>
        <v/>
      </c>
      <c r="V167" s="2120">
        <f>IFERROR((K167/ytd.months)*12,"NA")</f>
        <v/>
      </c>
    </row>
    <row r="168">
      <c r="C168" s="648" t="inlineStr">
        <is>
          <t>Total G&amp;A expenses</t>
        </is>
      </c>
      <c r="D168" s="660" t="n"/>
      <c r="E168" s="660" t="n"/>
      <c r="F168" s="660" t="n"/>
      <c r="G168" s="660" t="n"/>
      <c r="H168" s="2171">
        <f>SUM(H159:H167)</f>
        <v/>
      </c>
      <c r="I168" s="2171">
        <f>SUM(I159:I167)</f>
        <v/>
      </c>
      <c r="J168" s="2172">
        <f>SUM(J159:J167)</f>
        <v/>
      </c>
      <c r="K168" s="2172">
        <f>SUM(K159:K167)</f>
        <v/>
      </c>
      <c r="L168" s="2172">
        <f>SUM(L159:L167)</f>
        <v/>
      </c>
      <c r="M168" s="2172">
        <f>SUM(M159:M167)</f>
        <v/>
      </c>
      <c r="N168" s="2172">
        <f>SUM(N159:N167)</f>
        <v/>
      </c>
      <c r="O168" s="2172">
        <f>SUM(O159:O167)</f>
        <v/>
      </c>
      <c r="P168" s="2172">
        <f>SUM(P159:P167)</f>
        <v/>
      </c>
      <c r="Q168" s="2172">
        <f>SUM(Q159:Q167)</f>
        <v/>
      </c>
      <c r="R168" s="2173">
        <f>SUM(R159:R167)</f>
        <v/>
      </c>
      <c r="T168" s="1973">
        <f>IFERROR((R168/N168)^(1/5)-1,"-")</f>
        <v/>
      </c>
      <c r="U168" s="1974">
        <f>IFERROR(IF(K168+L168=M168,"OK","VARIANCE"),"")</f>
        <v/>
      </c>
      <c r="V168" s="2120">
        <f>IFERROR((K168/ytd.months)*12,"NA")</f>
        <v/>
      </c>
    </row>
    <row r="169">
      <c r="T169" s="1973">
        <f>IFERROR((R169/N169)^(1/5)-1,"-")</f>
        <v/>
      </c>
      <c r="U169" s="1974">
        <f>IFERROR(IF(K169+L169=M169,"OK","VARIANCE"),"")</f>
        <v/>
      </c>
      <c r="V169" s="2120">
        <f>IFERROR((K169/ytd.months)*12,"NA")</f>
        <v/>
      </c>
    </row>
    <row r="170">
      <c r="C170" s="607" t="inlineStr">
        <is>
          <t>Finance Cost</t>
        </is>
      </c>
      <c r="D170" s="608" t="n"/>
      <c r="E170" s="608" t="n"/>
      <c r="F170" s="608" t="n"/>
      <c r="G170" s="608" t="n"/>
      <c r="H170" s="609">
        <f>H7</f>
        <v/>
      </c>
      <c r="I170" s="609">
        <f>I7</f>
        <v/>
      </c>
      <c r="J170" s="610">
        <f>J7</f>
        <v/>
      </c>
      <c r="K170" s="610">
        <f>K7</f>
        <v/>
      </c>
      <c r="L170" s="610">
        <f>L7</f>
        <v/>
      </c>
      <c r="M170" s="611">
        <f>M7</f>
        <v/>
      </c>
      <c r="N170" s="609">
        <f>N7</f>
        <v/>
      </c>
      <c r="O170" s="609">
        <f>O7</f>
        <v/>
      </c>
      <c r="P170" s="609">
        <f>P7</f>
        <v/>
      </c>
      <c r="Q170" s="609">
        <f>Q7</f>
        <v/>
      </c>
      <c r="R170" s="612">
        <f>R7</f>
        <v/>
      </c>
      <c r="T170" s="1973">
        <f>IFERROR((R170/N170)^(1/5)-1,"-")</f>
        <v/>
      </c>
      <c r="U170" s="1974">
        <f>IFERROR(IF(K170+L170=M170,"OK","VARIANCE"),"")</f>
        <v/>
      </c>
      <c r="V170" s="2120">
        <f>IFERROR((K170/ytd.months)*12,"NA")</f>
        <v/>
      </c>
    </row>
    <row r="171">
      <c r="C171" s="568">
        <f>currency.heading1</f>
        <v/>
      </c>
      <c r="D171" s="562" t="n"/>
      <c r="E171" s="562" t="n"/>
      <c r="F171" s="562" t="n"/>
      <c r="G171" s="562" t="n"/>
      <c r="H171" s="69">
        <f>H8</f>
        <v/>
      </c>
      <c r="I171" s="69">
        <f>I8</f>
        <v/>
      </c>
      <c r="J171" s="643">
        <f>J8</f>
        <v/>
      </c>
      <c r="K171" s="643">
        <f>K8</f>
        <v/>
      </c>
      <c r="L171" s="643">
        <f>L8</f>
        <v/>
      </c>
      <c r="M171" s="644">
        <f>M8</f>
        <v/>
      </c>
      <c r="N171" s="644">
        <f>N8</f>
        <v/>
      </c>
      <c r="O171" s="69">
        <f>O8</f>
        <v/>
      </c>
      <c r="P171" s="69">
        <f>P8</f>
        <v/>
      </c>
      <c r="Q171" s="69">
        <f>Q8</f>
        <v/>
      </c>
      <c r="R171" s="643">
        <f>R8</f>
        <v/>
      </c>
      <c r="T171" s="1973">
        <f>IFERROR((R171/N171)^(1/5)-1,"-")</f>
        <v/>
      </c>
      <c r="U171" s="1974">
        <f>IFERROR(IF(K171+L171=M171,"OK","VARIANCE"),"")</f>
        <v/>
      </c>
      <c r="V171" s="2120">
        <f>IFERROR((K171/ytd.months)*12,"NA")</f>
        <v/>
      </c>
    </row>
    <row r="172">
      <c r="C172" s="616" t="inlineStr">
        <is>
          <t>Finance cost - Interest</t>
        </is>
      </c>
      <c r="D172" s="85" t="n"/>
      <c r="E172" s="85" t="n"/>
      <c r="F172" s="85" t="n"/>
      <c r="G172" s="85" t="n"/>
      <c r="H172" s="2163">
        <f>Hist.Fin!H52</f>
        <v/>
      </c>
      <c r="I172" s="2163">
        <f>Hist.Fin!I52</f>
        <v/>
      </c>
      <c r="J172" s="2163">
        <f>Hist.Fin!J52</f>
        <v/>
      </c>
      <c r="K172" s="2163">
        <f>Hist.Fin!K52</f>
        <v/>
      </c>
      <c r="L172" s="2164">
        <f>IF(ytg.approach=Inputs!$C$39,K172*ytg.actual,IF(ytg.approach=Inputs!$C$40,ytg.mgt*M172,M172-K172))</f>
        <v/>
      </c>
      <c r="M172" s="2174">
        <f>IF(Inputs!$D$181="Selected",Inputs!L191,Inputs!L205)</f>
        <v/>
      </c>
      <c r="N172" s="2174">
        <f>IF(Inputs!$D$181="Selected",Inputs!M191,M172*(1+Inputs!M205))</f>
        <v/>
      </c>
      <c r="O172" s="2174">
        <f>IF(Inputs!$D$181="Selected",Inputs!N191,N172*(1+Inputs!N205))</f>
        <v/>
      </c>
      <c r="P172" s="2174">
        <f>IF(Inputs!$D$181="Selected",Inputs!O191,O172*(1+Inputs!O205))</f>
        <v/>
      </c>
      <c r="Q172" s="2174">
        <f>IF(Inputs!$D$181="Selected",Inputs!P191,P172*(1+Inputs!P205))</f>
        <v/>
      </c>
      <c r="R172" s="2175">
        <f>IF(Inputs!$D$181="Selected",Inputs!Q191,Q172*(1+Inputs!Q205))</f>
        <v/>
      </c>
      <c r="T172" s="1973">
        <f>IFERROR((R172/N172)^(1/5)-1,"-")</f>
        <v/>
      </c>
      <c r="U172" s="1974">
        <f>IFERROR(IF(K172+L172=M172,"OK","VARIANCE"),"")</f>
        <v/>
      </c>
      <c r="V172" s="2120">
        <f>IFERROR((K172/ytd.months)*12,"NA")</f>
        <v/>
      </c>
    </row>
    <row r="173">
      <c r="C173" s="616" t="inlineStr">
        <is>
          <t>Bank Charges</t>
        </is>
      </c>
      <c r="D173" s="85" t="n"/>
      <c r="E173" s="85" t="n"/>
      <c r="F173" s="85" t="n"/>
      <c r="G173" s="85" t="n"/>
      <c r="H173" s="2163">
        <f>Hist.Fin!H53</f>
        <v/>
      </c>
      <c r="I173" s="2163">
        <f>Hist.Fin!I53</f>
        <v/>
      </c>
      <c r="J173" s="2163">
        <f>Hist.Fin!J53</f>
        <v/>
      </c>
      <c r="K173" s="2163">
        <f>Hist.Fin!K53</f>
        <v/>
      </c>
      <c r="L173" s="2164">
        <f>IF(ytg.approach=Inputs!$C$39,K173*ytg.actual,IF(ytg.approach=Inputs!$C$40,ytg.mgt*M173,M173-K173))</f>
        <v/>
      </c>
      <c r="M173" s="2174">
        <f>IF(Inputs!$D$181="Selected",Inputs!L192,Inputs!L206)</f>
        <v/>
      </c>
      <c r="N173" s="2174">
        <f>IF(Inputs!$D$181="Selected",Inputs!M192,M173*(1+Inputs!M206))</f>
        <v/>
      </c>
      <c r="O173" s="2174">
        <f>IF(Inputs!$D$181="Selected",Inputs!N192,N173*(1+Inputs!N206))</f>
        <v/>
      </c>
      <c r="P173" s="2174">
        <f>IF(Inputs!$D$181="Selected",Inputs!O192,O173*(1+Inputs!O206))</f>
        <v/>
      </c>
      <c r="Q173" s="2174">
        <f>IF(Inputs!$D$181="Selected",Inputs!P192,P173*(1+Inputs!P206))</f>
        <v/>
      </c>
      <c r="R173" s="2176">
        <f>IF(Inputs!$D$181="Selected",Inputs!Q192,Q173*(1+Inputs!Q206))</f>
        <v/>
      </c>
      <c r="T173" s="1973">
        <f>IFERROR((R173/N173)^(1/5)-1,"-")</f>
        <v/>
      </c>
      <c r="U173" s="1974">
        <f>IFERROR(IF(K173+L173=M173,"OK","VARIANCE"),"")</f>
        <v/>
      </c>
      <c r="V173" s="2120">
        <f>IFERROR((K173/ytd.months)*12,"NA")</f>
        <v/>
      </c>
    </row>
    <row r="174">
      <c r="C174" s="648" t="inlineStr">
        <is>
          <t>Total Finance Cost</t>
        </is>
      </c>
      <c r="D174" s="649" t="n"/>
      <c r="E174" s="649" t="n"/>
      <c r="F174" s="649" t="n"/>
      <c r="G174" s="649" t="n"/>
      <c r="H174" s="2167">
        <f>SUM(H172:H173)</f>
        <v/>
      </c>
      <c r="I174" s="2167">
        <f>SUM(I172:I173)</f>
        <v/>
      </c>
      <c r="J174" s="2167">
        <f>SUM(J172:J173)</f>
        <v/>
      </c>
      <c r="K174" s="2167">
        <f>SUM(K172:K173)</f>
        <v/>
      </c>
      <c r="L174" s="2167">
        <f>SUM(L172:L173)</f>
        <v/>
      </c>
      <c r="M174" s="2167">
        <f>SUM(M172:M173)</f>
        <v/>
      </c>
      <c r="N174" s="2167">
        <f>SUM(N172:N173)</f>
        <v/>
      </c>
      <c r="O174" s="2167">
        <f>SUM(O172:O173)</f>
        <v/>
      </c>
      <c r="P174" s="2167">
        <f>SUM(P172:P173)</f>
        <v/>
      </c>
      <c r="Q174" s="2167">
        <f>SUM(Q172:Q173)</f>
        <v/>
      </c>
      <c r="R174" s="2168">
        <f>SUM(R172:R173)</f>
        <v/>
      </c>
      <c r="T174" s="2177">
        <f>IFERROR((R174/N174)^(1/5)-1,"-")</f>
        <v/>
      </c>
      <c r="U174" s="2178">
        <f>IFERROR(IF(K174+L174=M174,"OK","VARIANCE"),"")</f>
        <v/>
      </c>
      <c r="V174" s="2179">
        <f>IFERROR((K174/ytd.months)*12,"NA")</f>
        <v/>
      </c>
    </row>
    <row r="176">
      <c r="C176" s="113" t="inlineStr">
        <is>
          <t>Tax Expense</t>
        </is>
      </c>
      <c r="D176" s="114" t="n"/>
      <c r="E176" s="114" t="n"/>
      <c r="F176" s="114" t="n"/>
      <c r="G176" s="114" t="n"/>
      <c r="H176" s="115">
        <f>H7</f>
        <v/>
      </c>
      <c r="I176" s="115">
        <f>I7</f>
        <v/>
      </c>
      <c r="J176" s="115">
        <f>J7</f>
        <v/>
      </c>
      <c r="K176" s="115">
        <f>K7</f>
        <v/>
      </c>
      <c r="L176" s="115">
        <f>L7</f>
        <v/>
      </c>
      <c r="M176" s="115">
        <f>M7</f>
        <v/>
      </c>
      <c r="N176" s="115">
        <f>N7</f>
        <v/>
      </c>
      <c r="O176" s="115">
        <f>O7</f>
        <v/>
      </c>
      <c r="P176" s="115">
        <f>P7</f>
        <v/>
      </c>
      <c r="Q176" s="115">
        <f>Q7</f>
        <v/>
      </c>
      <c r="R176" s="281">
        <f>R7</f>
        <v/>
      </c>
    </row>
    <row r="177">
      <c r="C177" s="665">
        <f>currency.heading1</f>
        <v/>
      </c>
      <c r="D177" s="562" t="n"/>
      <c r="E177" s="562" t="n"/>
      <c r="F177" s="562" t="n"/>
      <c r="G177" s="562" t="n"/>
      <c r="H177" s="69">
        <f>H8</f>
        <v/>
      </c>
      <c r="I177" s="69">
        <f>I8</f>
        <v/>
      </c>
      <c r="J177" s="69">
        <f>J8</f>
        <v/>
      </c>
      <c r="K177" s="69">
        <f>K8</f>
        <v/>
      </c>
      <c r="L177" s="69">
        <f>L8</f>
        <v/>
      </c>
      <c r="M177" s="69">
        <f>M8</f>
        <v/>
      </c>
      <c r="N177" s="69">
        <f>N8</f>
        <v/>
      </c>
      <c r="O177" s="69">
        <f>O8</f>
        <v/>
      </c>
      <c r="P177" s="69">
        <f>P8</f>
        <v/>
      </c>
      <c r="Q177" s="69">
        <f>Q8</f>
        <v/>
      </c>
      <c r="R177" s="282">
        <f>R8</f>
        <v/>
      </c>
    </row>
    <row r="178">
      <c r="C178" s="582" t="inlineStr">
        <is>
          <t>Primary Business Tax Region</t>
        </is>
      </c>
      <c r="D178" s="85" t="n"/>
      <c r="E178" s="85" t="n"/>
      <c r="F178" s="1277">
        <f>Inputs!E56</f>
        <v/>
      </c>
      <c r="G178" s="1278">
        <f>_xlfn.XLOOKUP(IS_Calcs!F178,Tax!$A$5:$A$168,Tax!$B$5:$B$168)/100</f>
        <v/>
      </c>
      <c r="H178" s="2150" t="n"/>
      <c r="I178" s="2150" t="n"/>
      <c r="J178" s="2150" t="n"/>
      <c r="K178" s="2150" t="n"/>
      <c r="L178" s="2150" t="n"/>
      <c r="M178" s="2150" t="n"/>
      <c r="N178" s="2150" t="n"/>
      <c r="O178" s="2150" t="n"/>
      <c r="P178" s="2150" t="n"/>
      <c r="Q178" s="2150" t="n"/>
      <c r="R178" s="2180" t="n"/>
    </row>
    <row r="179">
      <c r="C179" s="582" t="inlineStr">
        <is>
          <t>Primary Business Revenue Contribution</t>
        </is>
      </c>
      <c r="D179" s="85" t="n"/>
      <c r="E179" s="85" t="n"/>
      <c r="F179" s="1279">
        <f>1-F182</f>
        <v/>
      </c>
      <c r="G179" s="85" t="n"/>
      <c r="H179" s="2150" t="n"/>
      <c r="I179" s="2150" t="n"/>
      <c r="J179" s="2150" t="n"/>
      <c r="K179" s="2150" t="n"/>
      <c r="L179" s="2150" t="n"/>
      <c r="M179" s="2150" t="n"/>
      <c r="N179" s="2150" t="n"/>
      <c r="O179" s="2150" t="n"/>
      <c r="P179" s="2150" t="n"/>
      <c r="Q179" s="2150" t="n"/>
      <c r="R179" s="2180" t="n"/>
    </row>
    <row r="180">
      <c r="C180" s="582" t="n"/>
      <c r="D180" s="85" t="n"/>
      <c r="E180" s="85" t="n"/>
      <c r="F180" s="85" t="n"/>
      <c r="G180" s="85" t="n"/>
      <c r="H180" s="2150" t="n"/>
      <c r="I180" s="2150" t="n"/>
      <c r="J180" s="2150" t="n"/>
      <c r="K180" s="2150" t="n"/>
      <c r="L180" s="2150" t="n"/>
      <c r="M180" s="2150" t="n"/>
      <c r="N180" s="2150" t="n"/>
      <c r="O180" s="2150" t="n"/>
      <c r="P180" s="2150" t="n"/>
      <c r="Q180" s="2150" t="n"/>
      <c r="R180" s="2180" t="n"/>
    </row>
    <row r="181">
      <c r="C181" s="582" t="inlineStr">
        <is>
          <t>Secondary Business Tax Region</t>
        </is>
      </c>
      <c r="D181" s="85" t="n"/>
      <c r="E181" s="85" t="n"/>
      <c r="F181" s="1277">
        <f>Inputs!E67</f>
        <v/>
      </c>
      <c r="G181" s="1278">
        <f>_xlfn.XLOOKUP(IS_Calcs!F181,Tax!$A$5:$A$168,Tax!$B$5:$B$168)/100</f>
        <v/>
      </c>
      <c r="H181" s="2150" t="n"/>
      <c r="I181" s="2150" t="n"/>
      <c r="J181" s="2150" t="n"/>
      <c r="K181" s="2150" t="n"/>
      <c r="L181" s="2150" t="n"/>
      <c r="M181" s="2150" t="n"/>
      <c r="N181" s="2150" t="n"/>
      <c r="O181" s="2150" t="n"/>
      <c r="P181" s="2150" t="n"/>
      <c r="Q181" s="2150" t="n"/>
      <c r="R181" s="2180" t="n"/>
    </row>
    <row r="182">
      <c r="C182" s="582" t="inlineStr">
        <is>
          <t>Secondary Business Revenue Contribution</t>
        </is>
      </c>
      <c r="D182" s="85" t="n"/>
      <c r="E182" s="85" t="n"/>
      <c r="F182" s="1280">
        <f>Inputs!E68</f>
        <v/>
      </c>
      <c r="G182" s="85" t="n"/>
      <c r="H182" s="2150" t="n"/>
      <c r="I182" s="2150" t="n"/>
      <c r="J182" s="2150" t="n"/>
      <c r="K182" s="2150" t="n"/>
      <c r="L182" s="2150" t="n"/>
      <c r="M182" s="2150" t="n"/>
      <c r="N182" s="2150" t="n"/>
      <c r="O182" s="2150" t="n"/>
      <c r="P182" s="2150" t="n"/>
      <c r="Q182" s="2150" t="n"/>
      <c r="R182" s="2180" t="n"/>
    </row>
    <row r="183">
      <c r="C183" s="582" t="n"/>
      <c r="D183" s="85" t="n"/>
      <c r="E183" s="85" t="n"/>
      <c r="F183" s="85" t="n"/>
      <c r="G183" s="85" t="n"/>
      <c r="H183" s="2150" t="n"/>
      <c r="I183" s="2150" t="n"/>
      <c r="J183" s="2150" t="n"/>
      <c r="K183" s="2150" t="n"/>
      <c r="L183" s="2150" t="n"/>
      <c r="M183" s="2150" t="n"/>
      <c r="N183" s="2150" t="n"/>
      <c r="O183" s="2150" t="n"/>
      <c r="P183" s="2150" t="n"/>
      <c r="Q183" s="2150" t="n"/>
      <c r="R183" s="2180" t="n"/>
    </row>
    <row r="184">
      <c r="C184" s="582" t="inlineStr">
        <is>
          <t>Effective Tax Rate</t>
        </is>
      </c>
      <c r="D184" s="85" t="n"/>
      <c r="E184" s="85" t="n"/>
      <c r="F184" s="2181">
        <f>(G178*F179)+(G181*F182)</f>
        <v/>
      </c>
      <c r="G184" s="85" t="n"/>
      <c r="H184" s="2150" t="n"/>
      <c r="I184" s="2150" t="n"/>
      <c r="J184" s="2150" t="n"/>
      <c r="K184" s="2150" t="n"/>
      <c r="L184" s="2150" t="n"/>
      <c r="M184" s="2150" t="n"/>
      <c r="N184" s="2150" t="n"/>
      <c r="O184" s="2150" t="n"/>
      <c r="P184" s="2150" t="n"/>
      <c r="Q184" s="2150" t="n"/>
      <c r="R184" s="2180" t="n"/>
    </row>
    <row r="185">
      <c r="C185" s="582" t="n"/>
      <c r="D185" s="85" t="n"/>
      <c r="E185" s="85" t="n"/>
      <c r="F185" s="85" t="n"/>
      <c r="G185" s="85" t="n"/>
      <c r="H185" s="2150" t="n"/>
      <c r="I185" s="2150" t="n"/>
      <c r="J185" s="2150" t="n"/>
      <c r="K185" s="2150" t="n"/>
      <c r="L185" s="2150" t="n"/>
      <c r="M185" s="2150" t="n"/>
      <c r="N185" s="2150" t="n"/>
      <c r="O185" s="2150" t="n"/>
      <c r="P185" s="2150" t="n"/>
      <c r="Q185" s="2150" t="n"/>
      <c r="R185" s="2180" t="n"/>
    </row>
    <row r="186">
      <c r="C186" s="582" t="inlineStr">
        <is>
          <t>Profit before taxes</t>
        </is>
      </c>
      <c r="D186" s="85" t="n"/>
      <c r="E186" s="85" t="n"/>
      <c r="F186" s="85" t="n"/>
      <c r="G186" s="85" t="n"/>
      <c r="H186" s="2174">
        <f>IS!G60</f>
        <v/>
      </c>
      <c r="I186" s="2174">
        <f>IS!I60</f>
        <v/>
      </c>
      <c r="J186" s="2174">
        <f>IS!J60</f>
        <v/>
      </c>
      <c r="K186" s="2174">
        <f>IS!K60</f>
        <v/>
      </c>
      <c r="L186" s="2174">
        <f>IS!L60</f>
        <v/>
      </c>
      <c r="M186" s="2174">
        <f>IS!M60</f>
        <v/>
      </c>
      <c r="N186" s="2174">
        <f>IS!N60</f>
        <v/>
      </c>
      <c r="O186" s="2174">
        <f>IS!O60</f>
        <v/>
      </c>
      <c r="P186" s="2174">
        <f>IS!P60</f>
        <v/>
      </c>
      <c r="Q186" s="2174">
        <f>IS!Q60</f>
        <v/>
      </c>
      <c r="R186" s="2175">
        <f>IS!R60</f>
        <v/>
      </c>
    </row>
    <row r="187">
      <c r="C187" s="603" t="inlineStr">
        <is>
          <t>Corporate Tax Expense</t>
        </is>
      </c>
      <c r="D187" s="1281" t="n"/>
      <c r="E187" s="1281" t="n"/>
      <c r="F187" s="1281" t="n"/>
      <c r="G187" s="1281" t="n"/>
      <c r="H187" s="2182">
        <f>IF(H186&lt;0,0,H186*$F$184)</f>
        <v/>
      </c>
      <c r="I187" s="2182">
        <f>IF(I186&lt;0,0,I186*$F$184)</f>
        <v/>
      </c>
      <c r="J187" s="2182">
        <f>IF(J186&lt;0,0,J186*$F$184)</f>
        <v/>
      </c>
      <c r="K187" s="2182">
        <f>IF(K186&lt;0,0,K186*$F$184)</f>
        <v/>
      </c>
      <c r="L187" s="2182">
        <f>IF(L186&lt;0,0,L186*$F$184)</f>
        <v/>
      </c>
      <c r="M187" s="2182">
        <f>IF(M186&lt;0,0,M186*$F$184)</f>
        <v/>
      </c>
      <c r="N187" s="2182">
        <f>IF(N186&lt;0,0,N186*$F$184)</f>
        <v/>
      </c>
      <c r="O187" s="2182">
        <f>IF(O186&lt;0,0,O186*$F$184)</f>
        <v/>
      </c>
      <c r="P187" s="2182">
        <f>IF(P186&lt;0,0,P186*$F$184)</f>
        <v/>
      </c>
      <c r="Q187" s="2182">
        <f>IF(Q186&lt;0,0,Q186*$F$184)</f>
        <v/>
      </c>
      <c r="R187" s="2183">
        <f>IF(R186&lt;0,0,R186*$F$184)</f>
        <v/>
      </c>
    </row>
    <row r="188">
      <c r="C188" s="659" t="inlineStr">
        <is>
          <t>Total Tax Expense</t>
        </is>
      </c>
      <c r="D188" s="660" t="n"/>
      <c r="E188" s="660" t="n"/>
      <c r="F188" s="660" t="n"/>
      <c r="G188" s="660" t="n"/>
      <c r="H188" s="2184">
        <f>Hist.Fin!H54</f>
        <v/>
      </c>
      <c r="I188" s="2184">
        <f>Hist.Fin!I54</f>
        <v/>
      </c>
      <c r="J188" s="2184">
        <f>Hist.Fin!J54</f>
        <v/>
      </c>
      <c r="K188" s="2184">
        <f>Hist.Fin!K54</f>
        <v/>
      </c>
      <c r="L188" s="2185">
        <f>L187</f>
        <v/>
      </c>
      <c r="M188" s="2185">
        <f>M187</f>
        <v/>
      </c>
      <c r="N188" s="2185">
        <f>N187</f>
        <v/>
      </c>
      <c r="O188" s="2185">
        <f>O187</f>
        <v/>
      </c>
      <c r="P188" s="2185">
        <f>P187</f>
        <v/>
      </c>
      <c r="Q188" s="2185">
        <f>Q187</f>
        <v/>
      </c>
      <c r="R188" s="2186">
        <f>R187</f>
        <v/>
      </c>
    </row>
  </sheetData>
  <pageMargins left="0.7" right="0.7" top="0.75" bottom="0.75" header="0.3" footer="0.3"/>
  <pageSetup orientation="portrait"/>
</worksheet>
</file>

<file path=xl/worksheets/sheet24.xml><?xml version="1.0" encoding="utf-8"?>
<worksheet xmlns="http://schemas.openxmlformats.org/spreadsheetml/2006/main">
  <sheetPr>
    <tabColor rgb="FF92A4FC"/>
    <outlinePr summaryBelow="1" summaryRight="1"/>
    <pageSetUpPr autoPageBreaks="0"/>
  </sheetPr>
  <dimension ref="A2:T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baseColWidth="8" defaultColWidth="0" defaultRowHeight="11.5"/>
  <cols>
    <col width="2" customWidth="1" style="63" min="1" max="1"/>
    <col width="8.69140625" customWidth="1" style="63" min="2" max="2"/>
    <col width="22.61328125" customWidth="1" style="63" min="3" max="3"/>
    <col width="8.69140625" customWidth="1" style="63" min="4" max="4"/>
    <col hidden="1" width="8.69140625" customWidth="1" style="63" min="5" max="6"/>
    <col width="8.69140625" customWidth="1" style="63" min="7" max="7"/>
    <col width="7" bestFit="1" customWidth="1" style="63" min="8" max="9"/>
    <col width="6.15234375" bestFit="1" customWidth="1" style="63" min="10" max="11"/>
    <col width="5.53515625" bestFit="1" customWidth="1" style="63" min="12" max="12"/>
    <col width="6.15234375" bestFit="1" customWidth="1" style="63" min="13" max="13"/>
    <col width="5.53515625" bestFit="1" customWidth="1" style="63" min="14" max="14"/>
    <col width="5.4609375" bestFit="1" customWidth="1" style="63" min="15" max="18"/>
    <col width="8.69140625" customWidth="1" style="63" min="19" max="21"/>
    <col hidden="1" width="8.69140625" customWidth="1" style="63" min="22" max="16384"/>
  </cols>
  <sheetData>
    <row r="2">
      <c r="B2" s="62">
        <f>Inputs!B2</f>
        <v/>
      </c>
    </row>
    <row r="3">
      <c r="B3" s="64">
        <f>Inputs!$B$3</f>
        <v/>
      </c>
    </row>
    <row r="4">
      <c r="B4" s="65" t="inlineStr">
        <is>
          <t>Balance Sheet Calculations</t>
        </is>
      </c>
    </row>
    <row r="5" ht="12" customHeight="1" thickBot="1">
      <c r="B5" s="66" t="n"/>
      <c r="C5" s="66" t="n"/>
      <c r="D5" s="66" t="n"/>
      <c r="E5" s="66" t="n"/>
      <c r="F5" s="66" t="n"/>
      <c r="G5" s="66" t="n"/>
      <c r="H5" s="66" t="n"/>
      <c r="I5" s="66" t="n"/>
      <c r="J5" s="66" t="n"/>
      <c r="K5" s="66" t="n"/>
      <c r="L5" s="66" t="n"/>
      <c r="M5" s="66" t="n"/>
      <c r="N5" s="66" t="n"/>
      <c r="O5" s="66" t="n"/>
      <c r="P5" s="66" t="n"/>
      <c r="Q5" s="66" t="n"/>
      <c r="R5" s="66" t="n"/>
      <c r="S5" s="66" t="n"/>
      <c r="T5" s="66" t="n"/>
    </row>
    <row r="6" ht="12" customHeight="1" thickTop="1"/>
    <row r="7">
      <c r="C7" s="67">
        <f>"All amounts in "&amp;currency.heading1</f>
        <v/>
      </c>
      <c r="D7" s="68" t="n"/>
      <c r="E7" s="68" t="n"/>
      <c r="F7" s="68" t="n"/>
      <c r="G7" s="68" t="n"/>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c r="C8" s="68"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82" t="inlineStr">
        <is>
          <t>References</t>
        </is>
      </c>
      <c r="T9" s="2003" t="n"/>
    </row>
    <row r="10">
      <c r="C10" s="63" t="inlineStr">
        <is>
          <t>Revenue</t>
        </is>
      </c>
      <c r="H10" s="1923">
        <f>IS!H23</f>
        <v/>
      </c>
      <c r="I10" s="1923">
        <f>IS!I23</f>
        <v/>
      </c>
      <c r="J10" s="1923">
        <f>IS!J23</f>
        <v/>
      </c>
      <c r="K10" s="1923">
        <f>IS!K23</f>
        <v/>
      </c>
      <c r="L10" s="1923">
        <f>IS!L23</f>
        <v/>
      </c>
      <c r="M10" s="1923">
        <f>IS!M23</f>
        <v/>
      </c>
      <c r="N10" s="1923">
        <f>IS!N23</f>
        <v/>
      </c>
      <c r="O10" s="1923">
        <f>IS!O23</f>
        <v/>
      </c>
      <c r="P10" s="1923">
        <f>IS!P23</f>
        <v/>
      </c>
      <c r="Q10" s="1923">
        <f>IS!Q23</f>
        <v/>
      </c>
      <c r="R10" s="1923">
        <f>IS!R23</f>
        <v/>
      </c>
      <c r="T10" s="2003" t="n"/>
    </row>
    <row r="11">
      <c r="C11" s="63" t="inlineStr">
        <is>
          <t>COGS</t>
        </is>
      </c>
      <c r="H11" s="1923">
        <f>IS!H38</f>
        <v/>
      </c>
      <c r="I11" s="1923">
        <f>IS!I38</f>
        <v/>
      </c>
      <c r="J11" s="1923">
        <f>IS!J38</f>
        <v/>
      </c>
      <c r="K11" s="1923">
        <f>IS!K38</f>
        <v/>
      </c>
      <c r="L11" s="1923">
        <f>IS!L38</f>
        <v/>
      </c>
      <c r="M11" s="1923">
        <f>IS!M38</f>
        <v/>
      </c>
      <c r="N11" s="1923">
        <f>IS!N38</f>
        <v/>
      </c>
      <c r="O11" s="1923">
        <f>IS!O38</f>
        <v/>
      </c>
      <c r="P11" s="1923">
        <f>IS!P38</f>
        <v/>
      </c>
      <c r="Q11" s="1923">
        <f>IS!Q38</f>
        <v/>
      </c>
      <c r="R11" s="1923">
        <f>IS!R38</f>
        <v/>
      </c>
      <c r="T11" s="2003" t="n"/>
    </row>
    <row r="12">
      <c r="C12" s="63" t="inlineStr">
        <is>
          <t>G&amp;A</t>
        </is>
      </c>
      <c r="H12" s="1923">
        <f>IS!H52</f>
        <v/>
      </c>
      <c r="I12" s="1923">
        <f>IS!I52</f>
        <v/>
      </c>
      <c r="J12" s="1923">
        <f>IS!J52</f>
        <v/>
      </c>
      <c r="K12" s="1923">
        <f>IS!K52</f>
        <v/>
      </c>
      <c r="L12" s="1923">
        <f>IS!L52</f>
        <v/>
      </c>
      <c r="M12" s="1923">
        <f>IS!M52</f>
        <v/>
      </c>
      <c r="N12" s="1923">
        <f>IS!N52</f>
        <v/>
      </c>
      <c r="O12" s="1923">
        <f>IS!O52</f>
        <v/>
      </c>
      <c r="P12" s="1923">
        <f>IS!P52</f>
        <v/>
      </c>
      <c r="Q12" s="1923">
        <f>IS!Q52</f>
        <v/>
      </c>
      <c r="R12" s="1923">
        <f>IS!R52</f>
        <v/>
      </c>
      <c r="T12" s="2003" t="n"/>
    </row>
    <row r="13">
      <c r="C13" s="63" t="inlineStr">
        <is>
          <t>Staff cost</t>
        </is>
      </c>
      <c r="H13" s="1923">
        <f>IS!H43</f>
        <v/>
      </c>
      <c r="I13" s="1923">
        <f>IS!I43</f>
        <v/>
      </c>
      <c r="J13" s="1923">
        <f>IS!J43</f>
        <v/>
      </c>
      <c r="K13" s="1923">
        <f>IS!K43</f>
        <v/>
      </c>
      <c r="L13" s="1923">
        <f>IS!L43</f>
        <v/>
      </c>
      <c r="M13" s="1923">
        <f>IS!M43</f>
        <v/>
      </c>
      <c r="N13" s="1923">
        <f>IS!N43</f>
        <v/>
      </c>
      <c r="O13" s="1923">
        <f>IS!O43</f>
        <v/>
      </c>
      <c r="P13" s="1923">
        <f>IS!P43</f>
        <v/>
      </c>
      <c r="Q13" s="1923">
        <f>IS!Q43</f>
        <v/>
      </c>
      <c r="R13" s="1923">
        <f>IS!R43</f>
        <v/>
      </c>
      <c r="T13" s="2003" t="n"/>
    </row>
    <row r="14">
      <c r="C14" s="63" t="inlineStr">
        <is>
          <t>Tax Expense</t>
        </is>
      </c>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t="n"/>
    </row>
    <row r="15">
      <c r="T15" s="2003" t="n"/>
    </row>
    <row r="16">
      <c r="C16" s="113" t="inlineStr">
        <is>
          <t>Net Working Capital - Balance</t>
        </is>
      </c>
      <c r="D16" s="114" t="n"/>
      <c r="E16" s="114" t="n"/>
      <c r="F16" s="114" t="n"/>
      <c r="G16" s="114" t="n"/>
      <c r="H16" s="115">
        <f>IS_Calcs!H14</f>
        <v/>
      </c>
      <c r="I16" s="115">
        <f>IS_Calcs!I14</f>
        <v/>
      </c>
      <c r="J16" s="115">
        <f>IS_Calcs!J14</f>
        <v/>
      </c>
      <c r="K16" s="115">
        <f>IS_Calcs!K14</f>
        <v/>
      </c>
      <c r="L16" s="115">
        <f>IS_Calcs!L14</f>
        <v/>
      </c>
      <c r="M16" s="115">
        <f>IS_Calcs!M14</f>
        <v/>
      </c>
      <c r="N16" s="115">
        <f>IS_Calcs!N14</f>
        <v/>
      </c>
      <c r="O16" s="115">
        <f>IS_Calcs!O14</f>
        <v/>
      </c>
      <c r="P16" s="115">
        <f>IS_Calcs!P14</f>
        <v/>
      </c>
      <c r="Q16" s="115">
        <f>IS_Calcs!Q14</f>
        <v/>
      </c>
      <c r="R16" s="281">
        <f>IS_Calcs!R14</f>
        <v/>
      </c>
      <c r="T16" s="2003" t="n"/>
    </row>
    <row r="17">
      <c r="C17" s="665">
        <f>currency.heading1</f>
        <v/>
      </c>
      <c r="D17" s="562" t="n"/>
      <c r="E17" s="562" t="n"/>
      <c r="F17" s="562" t="n"/>
      <c r="G17" s="562" t="n"/>
      <c r="H17" s="69">
        <f>IS_Calcs!H15</f>
        <v/>
      </c>
      <c r="I17" s="69">
        <f>IS_Calcs!I15</f>
        <v/>
      </c>
      <c r="J17" s="69">
        <f>IS_Calcs!J15</f>
        <v/>
      </c>
      <c r="K17" s="69">
        <f>IS_Calcs!K15</f>
        <v/>
      </c>
      <c r="L17" s="69">
        <f>IS_Calcs!L15</f>
        <v/>
      </c>
      <c r="M17" s="69">
        <f>IS_Calcs!M15</f>
        <v/>
      </c>
      <c r="N17" s="69">
        <f>IS_Calcs!N15</f>
        <v/>
      </c>
      <c r="O17" s="69">
        <f>IS_Calcs!O15</f>
        <v/>
      </c>
      <c r="P17" s="69">
        <f>IS_Calcs!P15</f>
        <v/>
      </c>
      <c r="Q17" s="69">
        <f>IS_Calcs!Q15</f>
        <v/>
      </c>
      <c r="R17" s="282">
        <f>IS_Calcs!R15</f>
        <v/>
      </c>
      <c r="T17" s="2003" t="n"/>
    </row>
    <row r="18">
      <c r="C18" s="666" t="inlineStr">
        <is>
          <t>Current Assets</t>
        </is>
      </c>
      <c r="D18" s="294" t="n"/>
      <c r="E18" s="294" t="n"/>
      <c r="F18" s="294" t="n"/>
      <c r="G18" s="294" t="n"/>
      <c r="H18" s="580" t="n"/>
      <c r="I18" s="580" t="n"/>
      <c r="J18" s="580" t="n"/>
      <c r="K18" s="580" t="n"/>
      <c r="L18" s="580" t="n"/>
      <c r="M18" s="580" t="n"/>
      <c r="N18" s="580" t="n"/>
      <c r="O18" s="580" t="n"/>
      <c r="P18" s="580" t="n"/>
      <c r="Q18" s="580" t="n"/>
      <c r="R18" s="667" t="n"/>
      <c r="T18" s="2003" t="n"/>
    </row>
    <row r="19">
      <c r="C19" s="582">
        <f>C40</f>
        <v/>
      </c>
      <c r="D19" s="85" t="n"/>
      <c r="E19" s="85" t="n"/>
      <c r="F19" s="85" t="n"/>
      <c r="G19" s="85" t="n"/>
      <c r="H19" s="2187" t="n"/>
      <c r="I19" s="2187" t="n"/>
      <c r="J19" s="2187" t="n"/>
      <c r="K19" s="2187" t="n"/>
      <c r="L19" s="2188">
        <f>L10*L40/365</f>
        <v/>
      </c>
      <c r="M19" s="2188">
        <f>M10*M40/365</f>
        <v/>
      </c>
      <c r="N19" s="2188">
        <f>N10*N40/365</f>
        <v/>
      </c>
      <c r="O19" s="2188">
        <f>O10*O40/365</f>
        <v/>
      </c>
      <c r="P19" s="2188">
        <f>P10*P40/365</f>
        <v/>
      </c>
      <c r="Q19" s="2188">
        <f>Q10*Q40/365</f>
        <v/>
      </c>
      <c r="R19" s="2189">
        <f>R10*R40/365</f>
        <v/>
      </c>
      <c r="T19" s="2003" t="n"/>
    </row>
    <row r="20">
      <c r="C20" s="582">
        <f>C41</f>
        <v/>
      </c>
      <c r="D20" s="85" t="n"/>
      <c r="E20" s="85" t="n"/>
      <c r="F20" s="85" t="n"/>
      <c r="G20" s="85" t="n"/>
      <c r="H20" s="2187" t="n"/>
      <c r="I20" s="2187" t="n"/>
      <c r="J20" s="2187" t="n"/>
      <c r="K20" s="2187" t="n"/>
      <c r="L20" s="2188">
        <f>-L11*L41/365</f>
        <v/>
      </c>
      <c r="M20" s="2188">
        <f>-M11*M41/365</f>
        <v/>
      </c>
      <c r="N20" s="2188">
        <f>-N11*N41/365</f>
        <v/>
      </c>
      <c r="O20" s="2188">
        <f>-O11*O41/365</f>
        <v/>
      </c>
      <c r="P20" s="2188">
        <f>-P11*P41/365</f>
        <v/>
      </c>
      <c r="Q20" s="2188">
        <f>-Q11*Q41/365</f>
        <v/>
      </c>
      <c r="R20" s="2189">
        <f>-R11*R41/365</f>
        <v/>
      </c>
      <c r="T20" s="2003" t="n"/>
    </row>
    <row r="21">
      <c r="C21" s="582">
        <f>C42</f>
        <v/>
      </c>
      <c r="D21" s="85" t="n"/>
      <c r="E21" s="85" t="n"/>
      <c r="F21" s="85" t="n"/>
      <c r="G21" s="85" t="n"/>
      <c r="H21" s="2187" t="n"/>
      <c r="I21" s="2187" t="n"/>
      <c r="J21" s="2187" t="n"/>
      <c r="K21" s="2187" t="n"/>
      <c r="L21" s="2188">
        <f>L10*L42/365</f>
        <v/>
      </c>
      <c r="M21" s="2188">
        <f>M10*M42/365</f>
        <v/>
      </c>
      <c r="N21" s="2188">
        <f>N10*N42/365</f>
        <v/>
      </c>
      <c r="O21" s="2188">
        <f>O10*O42/365</f>
        <v/>
      </c>
      <c r="P21" s="2188">
        <f>P10*P42/365</f>
        <v/>
      </c>
      <c r="Q21" s="2188">
        <f>Q10*Q42/365</f>
        <v/>
      </c>
      <c r="R21" s="2189">
        <f>R10*R42/365</f>
        <v/>
      </c>
      <c r="T21" s="2003">
        <f>IFERROR((R21/N21)^(1/5)-1,"-")</f>
        <v/>
      </c>
    </row>
    <row r="22">
      <c r="C22" s="582">
        <f>C43</f>
        <v/>
      </c>
      <c r="D22" s="85" t="n"/>
      <c r="E22" s="85" t="n"/>
      <c r="F22" s="85" t="n"/>
      <c r="G22" s="85" t="n"/>
      <c r="H22" s="2187" t="n"/>
      <c r="I22" s="2187" t="n"/>
      <c r="J22" s="2187" t="n"/>
      <c r="K22" s="2187" t="n"/>
      <c r="L22" s="2188">
        <f>-L11*L43/365</f>
        <v/>
      </c>
      <c r="M22" s="2188">
        <f>-M11*M43/365</f>
        <v/>
      </c>
      <c r="N22" s="2188">
        <f>-N11*N43/365</f>
        <v/>
      </c>
      <c r="O22" s="2188">
        <f>-O11*O43/365</f>
        <v/>
      </c>
      <c r="P22" s="2188">
        <f>-P11*P43/365</f>
        <v/>
      </c>
      <c r="Q22" s="2188">
        <f>-Q11*Q43/365</f>
        <v/>
      </c>
      <c r="R22" s="2189">
        <f>-R11*R43/365</f>
        <v/>
      </c>
      <c r="T22" s="2003">
        <f>IFERROR((R22/N22)^(1/5)-1,"-")</f>
        <v/>
      </c>
    </row>
    <row r="23">
      <c r="C23" s="582">
        <f>C44</f>
        <v/>
      </c>
      <c r="D23" s="85" t="n"/>
      <c r="E23" s="85" t="n"/>
      <c r="F23" s="85" t="n"/>
      <c r="G23" s="85" t="n"/>
      <c r="H23" s="2187" t="n"/>
      <c r="I23" s="2187" t="n"/>
      <c r="J23" s="2187" t="n"/>
      <c r="K23" s="2187" t="n"/>
      <c r="L23" s="2188">
        <f>-L12*L44/365</f>
        <v/>
      </c>
      <c r="M23" s="2188">
        <f>-M12*M44/365</f>
        <v/>
      </c>
      <c r="N23" s="2188">
        <f>-N12*N44/365</f>
        <v/>
      </c>
      <c r="O23" s="2188">
        <f>-O12*O44/365</f>
        <v/>
      </c>
      <c r="P23" s="2188">
        <f>-P12*P44/365</f>
        <v/>
      </c>
      <c r="Q23" s="2188">
        <f>-Q12*Q44/365</f>
        <v/>
      </c>
      <c r="R23" s="2189">
        <f>-R12*R44/365</f>
        <v/>
      </c>
      <c r="T23" s="2003">
        <f>IFERROR((R23/N23)^(1/5)-1,"-")</f>
        <v/>
      </c>
    </row>
    <row r="24">
      <c r="C24" s="582" t="n"/>
      <c r="D24" s="85" t="n"/>
      <c r="E24" s="85" t="n"/>
      <c r="F24" s="85" t="n"/>
      <c r="G24" s="85" t="n"/>
      <c r="H24" s="2187" t="n"/>
      <c r="I24" s="2187" t="n"/>
      <c r="J24" s="2187" t="n"/>
      <c r="K24" s="2187" t="n"/>
      <c r="L24" s="2124" t="n"/>
      <c r="M24" s="2124" t="n"/>
      <c r="N24" s="2124" t="n"/>
      <c r="O24" s="2124" t="n"/>
      <c r="P24" s="2124" t="n"/>
      <c r="Q24" s="2124" t="n"/>
      <c r="R24" s="2125" t="n"/>
      <c r="T24" s="2003">
        <f>IFERROR((R24/N24)^(1/5)-1,"-")</f>
        <v/>
      </c>
    </row>
    <row r="25">
      <c r="C25" s="666" t="inlineStr">
        <is>
          <t>Current Liabilities</t>
        </is>
      </c>
      <c r="D25" s="85" t="n"/>
      <c r="E25" s="85" t="n"/>
      <c r="F25" s="85" t="n"/>
      <c r="G25" s="85" t="n"/>
      <c r="H25" s="2187" t="n"/>
      <c r="I25" s="2187" t="n"/>
      <c r="J25" s="2187" t="n"/>
      <c r="K25" s="2187" t="n"/>
      <c r="L25" s="2124" t="n"/>
      <c r="M25" s="2124" t="n"/>
      <c r="N25" s="2124" t="n"/>
      <c r="O25" s="2124" t="n"/>
      <c r="P25" s="2124" t="n"/>
      <c r="Q25" s="2124" t="n"/>
      <c r="R25" s="2125" t="n"/>
      <c r="T25" s="2003">
        <f>IFERROR((R25/N25)^(1/5)-1,"-")</f>
        <v/>
      </c>
    </row>
    <row r="26">
      <c r="C26" s="582">
        <f>C47</f>
        <v/>
      </c>
      <c r="D26" s="85" t="n"/>
      <c r="E26" s="85" t="n"/>
      <c r="F26" s="85" t="n"/>
      <c r="G26" s="85" t="n"/>
      <c r="H26" s="2187" t="n"/>
      <c r="I26" s="2187" t="n"/>
      <c r="J26" s="2187" t="n"/>
      <c r="K26" s="2187" t="n"/>
      <c r="L26" s="2190">
        <f>L47*-L11/365</f>
        <v/>
      </c>
      <c r="M26" s="2190">
        <f>M47*-M11/365</f>
        <v/>
      </c>
      <c r="N26" s="2124">
        <f>N47*-N11/365</f>
        <v/>
      </c>
      <c r="O26" s="2124">
        <f>O47*-O11/365</f>
        <v/>
      </c>
      <c r="P26" s="2124">
        <f>P47*-P11/365</f>
        <v/>
      </c>
      <c r="Q26" s="2124">
        <f>Q47*-Q11/365</f>
        <v/>
      </c>
      <c r="R26" s="2125">
        <f>R47*-R11/365</f>
        <v/>
      </c>
      <c r="T26" s="2003">
        <f>IFERROR((R26/N26)^(1/5)-1,"-")</f>
        <v/>
      </c>
    </row>
    <row r="27">
      <c r="C27" s="582">
        <f>C48</f>
        <v/>
      </c>
      <c r="D27" s="85" t="n"/>
      <c r="E27" s="85" t="n"/>
      <c r="F27" s="85" t="n"/>
      <c r="G27" s="85" t="n"/>
      <c r="H27" s="2187" t="n"/>
      <c r="I27" s="2187" t="n"/>
      <c r="J27" s="2187" t="n"/>
      <c r="K27" s="2187" t="n"/>
      <c r="L27" s="2190">
        <f>L48*L10/365</f>
        <v/>
      </c>
      <c r="M27" s="2190">
        <f>M48*M10/365</f>
        <v/>
      </c>
      <c r="N27" s="2124">
        <f>N48*N10/365</f>
        <v/>
      </c>
      <c r="O27" s="2124">
        <f>O48*O10/365</f>
        <v/>
      </c>
      <c r="P27" s="2124">
        <f>P48*P10/365</f>
        <v/>
      </c>
      <c r="Q27" s="2124">
        <f>Q48*Q10/365</f>
        <v/>
      </c>
      <c r="R27" s="2125">
        <f>R48*R10/365</f>
        <v/>
      </c>
      <c r="T27" s="2003" t="n"/>
    </row>
    <row r="28">
      <c r="C28" s="582">
        <f>C49</f>
        <v/>
      </c>
      <c r="D28" s="85" t="n"/>
      <c r="E28" s="85" t="n"/>
      <c r="F28" s="85" t="n"/>
      <c r="G28" s="85" t="n"/>
      <c r="H28" s="2187" t="n"/>
      <c r="I28" s="2187" t="n"/>
      <c r="J28" s="2187" t="n"/>
      <c r="K28" s="2187" t="n"/>
      <c r="L28" s="2190">
        <f>L49*-L13/365</f>
        <v/>
      </c>
      <c r="M28" s="2190">
        <f>M49*-M13/365</f>
        <v/>
      </c>
      <c r="N28" s="2124">
        <f>N49*-N13/365</f>
        <v/>
      </c>
      <c r="O28" s="2124">
        <f>O49*-O13/365</f>
        <v/>
      </c>
      <c r="P28" s="2124">
        <f>P49*-P13/365</f>
        <v/>
      </c>
      <c r="Q28" s="2124">
        <f>Q49*-Q13/365</f>
        <v/>
      </c>
      <c r="R28" s="2125">
        <f>R49*-R13/365</f>
        <v/>
      </c>
      <c r="T28" s="2003">
        <f>IFERROR((R28/N28)^(1/5)-1,"-")</f>
        <v/>
      </c>
    </row>
    <row r="29">
      <c r="C29" s="582">
        <f>C50</f>
        <v/>
      </c>
      <c r="D29" s="85" t="n"/>
      <c r="E29" s="85" t="n"/>
      <c r="F29" s="85" t="n"/>
      <c r="G29" s="85" t="n"/>
      <c r="H29" s="2187" t="n"/>
      <c r="I29" s="2187" t="n"/>
      <c r="J29" s="2187" t="n"/>
      <c r="K29" s="2187" t="n"/>
      <c r="L29" s="2190">
        <f>L50*-L12/365</f>
        <v/>
      </c>
      <c r="M29" s="2190">
        <f>M50*-M12/365</f>
        <v/>
      </c>
      <c r="N29" s="2188">
        <f>N50*-N12/365</f>
        <v/>
      </c>
      <c r="O29" s="2124">
        <f>O50*-O12/365</f>
        <v/>
      </c>
      <c r="P29" s="2124">
        <f>P50*-P12/365</f>
        <v/>
      </c>
      <c r="Q29" s="2124">
        <f>Q50*-Q12/365</f>
        <v/>
      </c>
      <c r="R29" s="2125">
        <f>R50*-R12/365</f>
        <v/>
      </c>
      <c r="T29" s="2003">
        <f>IFERROR((R29/N29)^(1/5)-1,"-")</f>
        <v/>
      </c>
    </row>
    <row r="30">
      <c r="C30" s="582">
        <f>C51</f>
        <v/>
      </c>
      <c r="D30" s="85" t="n"/>
      <c r="E30" s="85" t="n"/>
      <c r="F30" s="85" t="n"/>
      <c r="G30" s="85" t="n"/>
      <c r="H30" s="2187" t="n"/>
      <c r="I30" s="2187" t="n"/>
      <c r="J30" s="2187" t="n"/>
      <c r="K30" s="2187" t="n"/>
      <c r="L30" s="2190">
        <f>L51*-L14/365</f>
        <v/>
      </c>
      <c r="M30" s="2190">
        <f>M51*-M14/365</f>
        <v/>
      </c>
      <c r="N30" s="2188">
        <f>N51*-N14/365</f>
        <v/>
      </c>
      <c r="O30" s="2124">
        <f>O51*-O14/365</f>
        <v/>
      </c>
      <c r="P30" s="2124">
        <f>P51*-P14/365</f>
        <v/>
      </c>
      <c r="Q30" s="2124">
        <f>Q51*-Q14/365</f>
        <v/>
      </c>
      <c r="R30" s="2125">
        <f>R51*-R14/365</f>
        <v/>
      </c>
      <c r="T30" s="2003">
        <f>IFERROR((R30/N30)^(1/5)-1,"-")</f>
        <v/>
      </c>
    </row>
    <row r="31">
      <c r="C31" s="582">
        <f>C52</f>
        <v/>
      </c>
      <c r="D31" s="85" t="n"/>
      <c r="E31" s="85" t="n"/>
      <c r="F31" s="85" t="n"/>
      <c r="G31" s="85" t="n"/>
      <c r="H31" s="2187" t="n"/>
      <c r="I31" s="2187" t="n"/>
      <c r="J31" s="2187" t="n"/>
      <c r="K31" s="2187" t="n"/>
      <c r="L31" s="2191">
        <f>-L12*L52/365</f>
        <v/>
      </c>
      <c r="M31" s="2191">
        <f>-M12*M52/365</f>
        <v/>
      </c>
      <c r="N31" s="2188">
        <f>-N12*N52/365</f>
        <v/>
      </c>
      <c r="O31" s="2124">
        <f>-O12*O52/365</f>
        <v/>
      </c>
      <c r="P31" s="2124">
        <f>-P12*P52/365</f>
        <v/>
      </c>
      <c r="Q31" s="2124">
        <f>-Q12*Q52/365</f>
        <v/>
      </c>
      <c r="R31" s="2125">
        <f>-R12*R52/365</f>
        <v/>
      </c>
      <c r="T31" s="2003">
        <f>IFERROR((R31/N31)^(1/5)-1,"-")</f>
        <v/>
      </c>
    </row>
    <row r="32">
      <c r="C32" s="670" t="inlineStr">
        <is>
          <t>Total Net Working Capital</t>
        </is>
      </c>
      <c r="D32" s="671" t="n"/>
      <c r="E32" s="671" t="n"/>
      <c r="F32" s="671" t="n"/>
      <c r="G32" s="671" t="n"/>
      <c r="H32" s="2192">
        <f>SUM(H19:H23)-SUM(H26:H31)</f>
        <v/>
      </c>
      <c r="I32" s="2192">
        <f>SUM(I19:I23)-SUM(I26:I31)</f>
        <v/>
      </c>
      <c r="J32" s="2192">
        <f>SUM(J19:J23)-SUM(J26:J31)</f>
        <v/>
      </c>
      <c r="K32" s="2192">
        <f>SUM(K19:K23)-SUM(K26:K31)</f>
        <v/>
      </c>
      <c r="L32" s="2192">
        <f>SUM(L19:L23)-SUM(L26:L31)</f>
        <v/>
      </c>
      <c r="M32" s="2192">
        <f>SUM(M19:M23)-SUM(M26:M31)</f>
        <v/>
      </c>
      <c r="N32" s="2192">
        <f>SUM(N19:N23)-SUM(N26:N31)</f>
        <v/>
      </c>
      <c r="O32" s="2192">
        <f>SUM(O19:O23)-SUM(O26:O31)</f>
        <v/>
      </c>
      <c r="P32" s="2192">
        <f>SUM(P19:P23)-SUM(P26:P31)</f>
        <v/>
      </c>
      <c r="Q32" s="2192">
        <f>SUM(Q19:Q23)-SUM(Q26:Q31)</f>
        <v/>
      </c>
      <c r="R32" s="2193">
        <f>SUM(R19:R23)-SUM(R26:R31)</f>
        <v/>
      </c>
      <c r="T32" s="2003">
        <f>IFERROR((R32/N32)^(1/5)-1,"-")</f>
        <v/>
      </c>
    </row>
    <row r="33">
      <c r="C33" s="117" t="inlineStr">
        <is>
          <t>Change in NWC</t>
        </is>
      </c>
      <c r="D33" s="674" t="n"/>
      <c r="E33" s="674" t="n"/>
      <c r="F33" s="674" t="n"/>
      <c r="G33" s="674" t="n"/>
      <c r="H33" s="2151">
        <f>H32-F32</f>
        <v/>
      </c>
      <c r="I33" s="2151">
        <f>I32-H32</f>
        <v/>
      </c>
      <c r="J33" s="2151">
        <f>J32-I32</f>
        <v/>
      </c>
      <c r="K33" s="2151">
        <f>K32-J32</f>
        <v/>
      </c>
      <c r="L33" s="2194">
        <f>L32-K32</f>
        <v/>
      </c>
      <c r="M33" s="2195">
        <f>M32-K32</f>
        <v/>
      </c>
      <c r="N33" s="2195">
        <f>N32-M32</f>
        <v/>
      </c>
      <c r="O33" s="2151">
        <f>O32-N32</f>
        <v/>
      </c>
      <c r="P33" s="2151">
        <f>P32-O32</f>
        <v/>
      </c>
      <c r="Q33" s="2151">
        <f>Q32-P32</f>
        <v/>
      </c>
      <c r="R33" s="2152">
        <f>R32-Q32</f>
        <v/>
      </c>
      <c r="T33" s="2003" t="n"/>
    </row>
    <row r="34">
      <c r="C34" s="117" t="inlineStr">
        <is>
          <t>NWC as a % of Sales</t>
        </is>
      </c>
      <c r="D34" s="109" t="n"/>
      <c r="E34" s="109" t="n"/>
      <c r="F34" s="109" t="n"/>
      <c r="G34" s="109" t="n"/>
      <c r="H34" s="676">
        <f>H32/IS!H23</f>
        <v/>
      </c>
      <c r="I34" s="676">
        <f>I32/IS!I23</f>
        <v/>
      </c>
      <c r="J34" s="676">
        <f>J32/IS!J23</f>
        <v/>
      </c>
      <c r="K34" s="676">
        <f>K32/IS!K23</f>
        <v/>
      </c>
      <c r="L34" s="676">
        <f>L32/L10</f>
        <v/>
      </c>
      <c r="M34" s="676">
        <f>M32/M10</f>
        <v/>
      </c>
      <c r="N34" s="676">
        <f>N32/N10</f>
        <v/>
      </c>
      <c r="O34" s="676">
        <f>O32/O10</f>
        <v/>
      </c>
      <c r="P34" s="676">
        <f>P32/P10</f>
        <v/>
      </c>
      <c r="Q34" s="676">
        <f>Q32/Q10</f>
        <v/>
      </c>
      <c r="R34" s="677">
        <f>R32/R10</f>
        <v/>
      </c>
      <c r="T34" s="2003" t="n"/>
    </row>
    <row r="35">
      <c r="C35" s="125" t="inlineStr">
        <is>
          <t>Benchmark NWC as a % of sales</t>
        </is>
      </c>
      <c r="D35" s="678" t="n"/>
      <c r="E35" s="678" t="n"/>
      <c r="F35" s="678" t="n"/>
      <c r="G35" s="678" t="n"/>
      <c r="H35" s="2196" t="n"/>
      <c r="I35" s="2196" t="n"/>
      <c r="J35" s="2196" t="n"/>
      <c r="K35" s="2196" t="n"/>
      <c r="L35" s="2196" t="n"/>
      <c r="M35" s="2196" t="n"/>
      <c r="N35" s="2196" t="n"/>
      <c r="O35" s="2196" t="n"/>
      <c r="P35" s="2196" t="n"/>
      <c r="Q35" s="2196" t="n"/>
      <c r="R35" s="2197" t="n"/>
      <c r="T35" s="2003" t="n"/>
    </row>
    <row r="36">
      <c r="T36" s="2003">
        <f>IFERROR((R36/N36)^(1/5)-1,"-")</f>
        <v/>
      </c>
    </row>
    <row r="37">
      <c r="C37" s="113" t="inlineStr">
        <is>
          <t>Net Working Capital - Days</t>
        </is>
      </c>
      <c r="D37" s="114" t="n"/>
      <c r="E37" s="114" t="n"/>
      <c r="F37" s="114" t="n"/>
      <c r="G37" s="114" t="n"/>
      <c r="H37" s="115">
        <f>IS_Calcs!H14</f>
        <v/>
      </c>
      <c r="I37" s="115">
        <f>IS_Calcs!I14</f>
        <v/>
      </c>
      <c r="J37" s="115">
        <f>IS_Calcs!J14</f>
        <v/>
      </c>
      <c r="K37" s="115">
        <f>IS_Calcs!K14</f>
        <v/>
      </c>
      <c r="L37" s="115">
        <f>IS_Calcs!L14</f>
        <v/>
      </c>
      <c r="M37" s="115">
        <f>IS_Calcs!M14</f>
        <v/>
      </c>
      <c r="N37" s="115">
        <f>IS_Calcs!N14</f>
        <v/>
      </c>
      <c r="O37" s="115">
        <f>IS_Calcs!O14</f>
        <v/>
      </c>
      <c r="P37" s="115">
        <f>IS_Calcs!P14</f>
        <v/>
      </c>
      <c r="Q37" s="115">
        <f>IS_Calcs!Q14</f>
        <v/>
      </c>
      <c r="R37" s="281">
        <f>IS_Calcs!R14</f>
        <v/>
      </c>
      <c r="T37" s="2003">
        <f>IFERROR((R37/N37)^(1/5)-1,"-")</f>
        <v/>
      </c>
    </row>
    <row r="38">
      <c r="C38" s="665" t="n"/>
      <c r="D38" s="562" t="n"/>
      <c r="E38" s="562" t="n"/>
      <c r="F38" s="562" t="n"/>
      <c r="G38" s="562" t="n"/>
      <c r="H38" s="69">
        <f>IS_Calcs!H15</f>
        <v/>
      </c>
      <c r="I38" s="69">
        <f>IS_Calcs!I15</f>
        <v/>
      </c>
      <c r="J38" s="69">
        <f>IS_Calcs!J15</f>
        <v/>
      </c>
      <c r="K38" s="69">
        <f>IS_Calcs!K15</f>
        <v/>
      </c>
      <c r="L38" s="69">
        <f>IS_Calcs!L15</f>
        <v/>
      </c>
      <c r="M38" s="69">
        <f>IS_Calcs!M15</f>
        <v/>
      </c>
      <c r="N38" s="69">
        <f>IS_Calcs!N15</f>
        <v/>
      </c>
      <c r="O38" s="69">
        <f>IS_Calcs!O15</f>
        <v/>
      </c>
      <c r="P38" s="69">
        <f>IS_Calcs!P15</f>
        <v/>
      </c>
      <c r="Q38" s="69">
        <f>IS_Calcs!Q15</f>
        <v/>
      </c>
      <c r="R38" s="282">
        <f>IS_Calcs!R15</f>
        <v/>
      </c>
      <c r="T38" s="2003">
        <f>IFERROR((R38/N38)^(1/5)-1,"-")</f>
        <v/>
      </c>
    </row>
    <row r="39">
      <c r="C39" s="679">
        <f>C18</f>
        <v/>
      </c>
      <c r="D39" s="680" t="n"/>
      <c r="E39" s="680" t="n"/>
      <c r="F39" s="680" t="n"/>
      <c r="G39" s="680" t="n"/>
      <c r="H39" s="681" t="n"/>
      <c r="I39" s="681" t="n"/>
      <c r="J39" s="681" t="n"/>
      <c r="K39" s="681" t="n"/>
      <c r="L39" s="681" t="n"/>
      <c r="M39" s="681" t="n"/>
      <c r="N39" s="681" t="n"/>
      <c r="O39" s="681" t="n"/>
      <c r="P39" s="681" t="n"/>
      <c r="Q39" s="681" t="n"/>
      <c r="R39" s="682" t="n"/>
      <c r="T39" s="2003">
        <f>IFERROR((R39/N39)^(1/5)-1,"-")</f>
        <v/>
      </c>
    </row>
    <row r="40">
      <c r="C40" s="582" t="inlineStr">
        <is>
          <t>Trade Receivables Days</t>
        </is>
      </c>
      <c r="D40" s="85" t="n"/>
      <c r="E40" s="85" t="n"/>
      <c r="F40" s="85" t="n"/>
      <c r="G40" s="85" t="n"/>
      <c r="H40" s="2187" t="n"/>
      <c r="I40" s="2187" t="n"/>
      <c r="J40" s="2187" t="n"/>
      <c r="K40" s="2187" t="n"/>
      <c r="L40" s="2198">
        <f>M40</f>
        <v/>
      </c>
      <c r="M40" s="2165">
        <f>IF(Inputs!L232&lt;0,0,Inputs!L232)</f>
        <v/>
      </c>
      <c r="N40" s="2165">
        <f>IF(Inputs!M232&lt;0,0,Inputs!M232)</f>
        <v/>
      </c>
      <c r="O40" s="2165">
        <f>IF(Inputs!N232&lt;0,0,Inputs!N232)</f>
        <v/>
      </c>
      <c r="P40" s="2165">
        <f>IF(Inputs!O232&lt;0,0,Inputs!O232)</f>
        <v/>
      </c>
      <c r="Q40" s="2165">
        <f>IF(Inputs!P232&lt;0,0,Inputs!P232)</f>
        <v/>
      </c>
      <c r="R40" s="2166">
        <f>IF(Inputs!Q232&lt;0,0,Inputs!Q232)</f>
        <v/>
      </c>
      <c r="T40" s="2003">
        <f>IFERROR((R40/N40)^(1/5)-1,"-")</f>
        <v/>
      </c>
    </row>
    <row r="41">
      <c r="C41" s="582" t="inlineStr">
        <is>
          <t>Advances to Suppliers</t>
        </is>
      </c>
      <c r="D41" s="85" t="n"/>
      <c r="E41" s="85" t="n"/>
      <c r="F41" s="85" t="n"/>
      <c r="G41" s="85" t="n"/>
      <c r="H41" s="2187" t="n"/>
      <c r="I41" s="2187" t="n"/>
      <c r="J41" s="2187" t="n"/>
      <c r="K41" s="2187" t="n"/>
      <c r="L41" s="2198">
        <f>M41</f>
        <v/>
      </c>
      <c r="M41" s="2165">
        <f>IF(Inputs!L237&lt;0,-Inputs!L237,0)</f>
        <v/>
      </c>
      <c r="N41" s="2165">
        <f>IF(Inputs!M237&lt;0,-Inputs!M237,0)</f>
        <v/>
      </c>
      <c r="O41" s="2165">
        <f>IF(Inputs!N237&lt;0,-Inputs!N237,0)</f>
        <v/>
      </c>
      <c r="P41" s="2165">
        <f>IF(Inputs!O237&lt;0,-Inputs!O237,0)</f>
        <v/>
      </c>
      <c r="Q41" s="2165">
        <f>IF(Inputs!P237&lt;0,-Inputs!P237,0)</f>
        <v/>
      </c>
      <c r="R41" s="2166">
        <f>IF(Inputs!Q237&lt;0,-Inputs!Q237,0)</f>
        <v/>
      </c>
      <c r="T41" s="2003" t="n"/>
    </row>
    <row r="42">
      <c r="C42" s="582" t="inlineStr">
        <is>
          <t>Other Receivables Days</t>
        </is>
      </c>
      <c r="D42" s="85" t="n"/>
      <c r="E42" s="85" t="n"/>
      <c r="F42" s="85" t="n"/>
      <c r="G42" s="85" t="n"/>
      <c r="H42" s="2187" t="n"/>
      <c r="I42" s="2187" t="n"/>
      <c r="J42" s="2187" t="n"/>
      <c r="K42" s="2187" t="n"/>
      <c r="L42" s="2198">
        <f>M42</f>
        <v/>
      </c>
      <c r="M42" s="2165">
        <f>Inputs!L233</f>
        <v/>
      </c>
      <c r="N42" s="2165">
        <f>Inputs!M233</f>
        <v/>
      </c>
      <c r="O42" s="2165">
        <f>Inputs!N233</f>
        <v/>
      </c>
      <c r="P42" s="2165">
        <f>Inputs!O233</f>
        <v/>
      </c>
      <c r="Q42" s="2165">
        <f>Inputs!P233</f>
        <v/>
      </c>
      <c r="R42" s="2166">
        <f>Inputs!Q233</f>
        <v/>
      </c>
      <c r="T42" s="2003">
        <f>IFERROR((R42/N42)^(1/5)-1,"-")</f>
        <v/>
      </c>
    </row>
    <row r="43">
      <c r="C43" s="582" t="inlineStr">
        <is>
          <t xml:space="preserve">Inventory Days </t>
        </is>
      </c>
      <c r="D43" s="85" t="n"/>
      <c r="E43" s="85" t="n"/>
      <c r="F43" s="85" t="n"/>
      <c r="G43" s="85" t="n"/>
      <c r="H43" s="2187" t="n"/>
      <c r="I43" s="2187" t="n"/>
      <c r="J43" s="2187" t="n"/>
      <c r="K43" s="2187" t="n"/>
      <c r="L43" s="2198">
        <f>M43</f>
        <v/>
      </c>
      <c r="M43" s="2165">
        <f>Inputs!L234</f>
        <v/>
      </c>
      <c r="N43" s="2165">
        <f>Inputs!M234</f>
        <v/>
      </c>
      <c r="O43" s="2165">
        <f>Inputs!N234</f>
        <v/>
      </c>
      <c r="P43" s="2165">
        <f>Inputs!O234</f>
        <v/>
      </c>
      <c r="Q43" s="2165">
        <f>Inputs!P234</f>
        <v/>
      </c>
      <c r="R43" s="2166">
        <f>Inputs!Q234</f>
        <v/>
      </c>
      <c r="T43" s="2003">
        <f>IFERROR((R43/N43)^(1/5)-1,"-")</f>
        <v/>
      </c>
    </row>
    <row r="44">
      <c r="C44" s="582" t="inlineStr">
        <is>
          <t xml:space="preserve">Prepaid Expenses &amp; Other Days </t>
        </is>
      </c>
      <c r="D44" s="85" t="n"/>
      <c r="E44" s="85" t="n"/>
      <c r="F44" s="85" t="n"/>
      <c r="G44" s="85" t="n"/>
      <c r="H44" s="2187" t="n"/>
      <c r="I44" s="2187" t="n"/>
      <c r="J44" s="2187" t="n"/>
      <c r="K44" s="2187" t="n"/>
      <c r="L44" s="2198">
        <f>M44</f>
        <v/>
      </c>
      <c r="M44" s="2165">
        <f>Inputs!L235</f>
        <v/>
      </c>
      <c r="N44" s="2165">
        <f>Inputs!M235</f>
        <v/>
      </c>
      <c r="O44" s="2165">
        <f>Inputs!N235</f>
        <v/>
      </c>
      <c r="P44" s="2165">
        <f>Inputs!O235</f>
        <v/>
      </c>
      <c r="Q44" s="2165">
        <f>Inputs!P235</f>
        <v/>
      </c>
      <c r="R44" s="2166">
        <f>Inputs!Q235</f>
        <v/>
      </c>
      <c r="T44" s="2003">
        <f>IFERROR((R44/N44)^(1/5)-1,"-")</f>
        <v/>
      </c>
    </row>
    <row r="45">
      <c r="C45" s="582" t="n"/>
      <c r="D45" s="85" t="n"/>
      <c r="E45" s="85" t="n"/>
      <c r="F45" s="85" t="n"/>
      <c r="G45" s="85" t="n"/>
      <c r="H45" s="2187" t="n"/>
      <c r="I45" s="2187" t="n"/>
      <c r="J45" s="2187" t="n"/>
      <c r="K45" s="2187" t="n"/>
      <c r="L45" s="2198" t="n"/>
      <c r="M45" s="2124" t="n"/>
      <c r="N45" s="2124" t="n"/>
      <c r="O45" s="2124" t="n"/>
      <c r="P45" s="2124" t="n"/>
      <c r="Q45" s="2124" t="n"/>
      <c r="R45" s="2125" t="n"/>
      <c r="T45" s="2003">
        <f>IFERROR((R45/N45)^(1/5)-1,"-")</f>
        <v/>
      </c>
    </row>
    <row r="46">
      <c r="C46" s="666">
        <f>C25</f>
        <v/>
      </c>
      <c r="D46" s="85" t="n"/>
      <c r="E46" s="85" t="n"/>
      <c r="F46" s="85" t="n"/>
      <c r="G46" s="85" t="n"/>
      <c r="H46" s="2187" t="n"/>
      <c r="I46" s="2187" t="n"/>
      <c r="J46" s="2187" t="n"/>
      <c r="K46" s="2187" t="n"/>
      <c r="L46" s="2198" t="n"/>
      <c r="M46" s="2124" t="n"/>
      <c r="N46" s="2124" t="n"/>
      <c r="O46" s="2124" t="n"/>
      <c r="P46" s="2124" t="n"/>
      <c r="Q46" s="2124" t="n"/>
      <c r="R46" s="2125" t="n"/>
      <c r="T46" s="2003">
        <f>IFERROR((R46/N46)^(1/5)-1,"-")</f>
        <v/>
      </c>
    </row>
    <row r="47">
      <c r="C47" s="582" t="inlineStr">
        <is>
          <t xml:space="preserve">Trade Payables Days </t>
        </is>
      </c>
      <c r="D47" s="85" t="n"/>
      <c r="E47" s="85" t="n"/>
      <c r="F47" s="85" t="n"/>
      <c r="G47" s="85" t="n"/>
      <c r="H47" s="2187" t="n"/>
      <c r="I47" s="2187" t="n"/>
      <c r="J47" s="2187" t="n"/>
      <c r="K47" s="2187" t="n"/>
      <c r="L47" s="2198" t="n"/>
      <c r="M47" s="2165">
        <f>IF(Inputs!L237&lt;0,0,Inputs!L237)</f>
        <v/>
      </c>
      <c r="N47" s="2165">
        <f>IF(Inputs!M237&lt;0,0,Inputs!M237)</f>
        <v/>
      </c>
      <c r="O47" s="2165">
        <f>IF(Inputs!N237&lt;0,0,Inputs!N237)</f>
        <v/>
      </c>
      <c r="P47" s="2165">
        <f>IF(Inputs!O237&lt;0,0,Inputs!O237)</f>
        <v/>
      </c>
      <c r="Q47" s="2165">
        <f>IF(Inputs!P237&lt;0,0,Inputs!P237)</f>
        <v/>
      </c>
      <c r="R47" s="2166">
        <f>IF(Inputs!Q237&lt;0,0,Inputs!Q237)</f>
        <v/>
      </c>
      <c r="T47" s="2003">
        <f>IFERROR((R47/N47)^(1/5)-1,"-")</f>
        <v/>
      </c>
    </row>
    <row r="48">
      <c r="C48" s="582" t="inlineStr">
        <is>
          <t>Advances from Customers</t>
        </is>
      </c>
      <c r="D48" s="85" t="n"/>
      <c r="E48" s="85" t="n"/>
      <c r="F48" s="85" t="n"/>
      <c r="G48" s="85" t="n"/>
      <c r="H48" s="2187" t="n"/>
      <c r="I48" s="2187" t="n"/>
      <c r="J48" s="2187" t="n"/>
      <c r="K48" s="2187" t="n"/>
      <c r="L48" s="2198">
        <f>M48</f>
        <v/>
      </c>
      <c r="M48" s="2165">
        <f>IF(Inputs!L232&lt;0,-Inputs!L232,0)</f>
        <v/>
      </c>
      <c r="N48" s="2165">
        <f>IF(Inputs!M232&lt;0,-Inputs!M232,0)</f>
        <v/>
      </c>
      <c r="O48" s="2165">
        <f>IF(Inputs!N232&lt;0,-Inputs!N232,0)</f>
        <v/>
      </c>
      <c r="P48" s="2165">
        <f>IF(Inputs!O232&lt;0,-Inputs!O232,0)</f>
        <v/>
      </c>
      <c r="Q48" s="2165">
        <f>IF(Inputs!P232&lt;0,-Inputs!P232,0)</f>
        <v/>
      </c>
      <c r="R48" s="2166">
        <f>IF(Inputs!Q232&lt;0,-Inputs!Q232,0)</f>
        <v/>
      </c>
      <c r="T48" s="2003" t="n"/>
    </row>
    <row r="49">
      <c r="C49" s="582" t="inlineStr">
        <is>
          <t>Salaries Payable</t>
        </is>
      </c>
      <c r="D49" s="85" t="n"/>
      <c r="E49" s="85" t="n"/>
      <c r="F49" s="85" t="n"/>
      <c r="G49" s="85" t="n"/>
      <c r="H49" s="2187" t="n"/>
      <c r="I49" s="2187" t="n"/>
      <c r="J49" s="2187" t="n"/>
      <c r="K49" s="2187" t="n"/>
      <c r="L49" s="2198">
        <f>M49</f>
        <v/>
      </c>
      <c r="M49" s="2165">
        <f>Inputs!L238</f>
        <v/>
      </c>
      <c r="N49" s="2165">
        <f>Inputs!M238</f>
        <v/>
      </c>
      <c r="O49" s="2165">
        <f>Inputs!N238</f>
        <v/>
      </c>
      <c r="P49" s="2165">
        <f>Inputs!O238</f>
        <v/>
      </c>
      <c r="Q49" s="2165">
        <f>Inputs!P238</f>
        <v/>
      </c>
      <c r="R49" s="2166">
        <f>Inputs!Q238</f>
        <v/>
      </c>
      <c r="T49" s="2003">
        <f>IFERROR((R49/N49)^(1/5)-1,"-")</f>
        <v/>
      </c>
    </row>
    <row r="50">
      <c r="C50" s="582" t="inlineStr">
        <is>
          <t xml:space="preserve">Accrued Expenses Days </t>
        </is>
      </c>
      <c r="D50" s="85" t="n"/>
      <c r="E50" s="85" t="n"/>
      <c r="F50" s="85" t="n"/>
      <c r="G50" s="85" t="n"/>
      <c r="H50" s="2187" t="n"/>
      <c r="I50" s="2187" t="n"/>
      <c r="J50" s="2187" t="n"/>
      <c r="K50" s="2187" t="n"/>
      <c r="L50" s="2198">
        <f>M50</f>
        <v/>
      </c>
      <c r="M50" s="2165">
        <f>Inputs!L239</f>
        <v/>
      </c>
      <c r="N50" s="2165">
        <f>Inputs!M239</f>
        <v/>
      </c>
      <c r="O50" s="2165">
        <f>Inputs!N239</f>
        <v/>
      </c>
      <c r="P50" s="2165">
        <f>Inputs!O239</f>
        <v/>
      </c>
      <c r="Q50" s="2165">
        <f>Inputs!P239</f>
        <v/>
      </c>
      <c r="R50" s="2166">
        <f>Inputs!Q239</f>
        <v/>
      </c>
      <c r="T50" s="2003">
        <f>IFERROR((R50/N50)^(1/5)-1,"-")</f>
        <v/>
      </c>
    </row>
    <row r="51">
      <c r="C51" s="582" t="inlineStr">
        <is>
          <t xml:space="preserve">Tax Payables Days </t>
        </is>
      </c>
      <c r="D51" s="85" t="n"/>
      <c r="E51" s="85" t="n"/>
      <c r="F51" s="85" t="n"/>
      <c r="G51" s="85" t="n"/>
      <c r="H51" s="2187" t="n"/>
      <c r="I51" s="2187" t="n"/>
      <c r="J51" s="2187" t="n"/>
      <c r="K51" s="2187" t="n"/>
      <c r="L51" s="2198">
        <f>M51</f>
        <v/>
      </c>
      <c r="M51" s="2165">
        <f>Inputs!L240</f>
        <v/>
      </c>
      <c r="N51" s="2165">
        <f>Inputs!M240</f>
        <v/>
      </c>
      <c r="O51" s="2165">
        <f>Inputs!N240</f>
        <v/>
      </c>
      <c r="P51" s="2165">
        <f>Inputs!O240</f>
        <v/>
      </c>
      <c r="Q51" s="2165">
        <f>Inputs!P240</f>
        <v/>
      </c>
      <c r="R51" s="2166">
        <f>Inputs!Q240</f>
        <v/>
      </c>
      <c r="T51" s="2003">
        <f>IFERROR((R51/N51)^(1/5)-1,"-")</f>
        <v/>
      </c>
    </row>
    <row r="52">
      <c r="C52" s="582" t="inlineStr">
        <is>
          <t xml:space="preserve">Other Payables Days </t>
        </is>
      </c>
      <c r="D52" s="85" t="n"/>
      <c r="E52" s="85" t="n"/>
      <c r="F52" s="85" t="n"/>
      <c r="G52" s="85" t="n"/>
      <c r="H52" s="2187" t="n"/>
      <c r="I52" s="2187" t="n"/>
      <c r="J52" s="2187" t="n"/>
      <c r="K52" s="2187" t="n"/>
      <c r="L52" s="2198">
        <f>M52</f>
        <v/>
      </c>
      <c r="M52" s="2165">
        <f>Inputs!L241</f>
        <v/>
      </c>
      <c r="N52" s="2124">
        <f>Inputs!M241</f>
        <v/>
      </c>
      <c r="O52" s="2124">
        <f>Inputs!N241</f>
        <v/>
      </c>
      <c r="P52" s="2124">
        <f>Inputs!O241</f>
        <v/>
      </c>
      <c r="Q52" s="2124">
        <f>Inputs!P241</f>
        <v/>
      </c>
      <c r="R52" s="2125">
        <f>Inputs!Q241</f>
        <v/>
      </c>
      <c r="T52" s="2003">
        <f>IFERROR((R52/N52)^(1/5)-1,"-")</f>
        <v/>
      </c>
    </row>
    <row r="53">
      <c r="C53" s="670" t="inlineStr">
        <is>
          <t>Total Net Working Capital Days</t>
        </is>
      </c>
      <c r="D53" s="671" t="n"/>
      <c r="E53" s="671" t="n"/>
      <c r="F53" s="671" t="n"/>
      <c r="G53" s="671" t="n"/>
      <c r="H53" s="2192">
        <f>SUM(H40:H44)-SUM(H47:H52)</f>
        <v/>
      </c>
      <c r="I53" s="2192">
        <f>SUM(I40:I44)-SUM(I47:I52)</f>
        <v/>
      </c>
      <c r="J53" s="2192">
        <f>SUM(J40:J44)-SUM(J47:J52)</f>
        <v/>
      </c>
      <c r="K53" s="2192" t="n"/>
      <c r="L53" s="2192" t="n"/>
      <c r="M53" s="2192">
        <f>SUM(M40:M44)-SUM(M47:M52)</f>
        <v/>
      </c>
      <c r="N53" s="2192">
        <f>SUM(N40:N44)-SUM(N47:N52)</f>
        <v/>
      </c>
      <c r="O53" s="2192">
        <f>SUM(O40:O44)-SUM(O47:O52)</f>
        <v/>
      </c>
      <c r="P53" s="2192">
        <f>SUM(P40:P44)-SUM(P47:P52)</f>
        <v/>
      </c>
      <c r="Q53" s="2192">
        <f>SUM(Q40:Q44)-SUM(Q47:Q52)</f>
        <v/>
      </c>
      <c r="R53" s="2193">
        <f>SUM(R40:R44)-SUM(R47:R52)</f>
        <v/>
      </c>
      <c r="T53" s="2003">
        <f>IFERROR((R53/N53)^(1/5)-1,"-")</f>
        <v/>
      </c>
    </row>
    <row r="54">
      <c r="T54" s="2003">
        <f>IFERROR((R54/N54)^(1/5)-1,"-")</f>
        <v/>
      </c>
    </row>
    <row r="55">
      <c r="C55" s="113" t="inlineStr">
        <is>
          <t>Assets &amp; Depreciation</t>
        </is>
      </c>
      <c r="D55" s="114" t="n"/>
      <c r="E55" s="114" t="n"/>
      <c r="F55" s="114" t="n"/>
      <c r="G55" s="114" t="n"/>
      <c r="H55" s="115">
        <f>H7</f>
        <v/>
      </c>
      <c r="I55" s="115">
        <f>I7</f>
        <v/>
      </c>
      <c r="J55" s="115">
        <f>J7</f>
        <v/>
      </c>
      <c r="K55" s="115">
        <f>K7</f>
        <v/>
      </c>
      <c r="L55" s="115">
        <f>L7</f>
        <v/>
      </c>
      <c r="M55" s="115">
        <f>M7</f>
        <v/>
      </c>
      <c r="N55" s="115">
        <f>N7</f>
        <v/>
      </c>
      <c r="O55" s="115">
        <f>O7</f>
        <v/>
      </c>
      <c r="P55" s="115">
        <f>P7</f>
        <v/>
      </c>
      <c r="Q55" s="115">
        <f>Q7</f>
        <v/>
      </c>
      <c r="R55" s="281">
        <f>R7</f>
        <v/>
      </c>
      <c r="T55" s="2003">
        <f>IFERROR((R55/N55)^(1/5)-1,"-")</f>
        <v/>
      </c>
    </row>
    <row r="56">
      <c r="C56" s="665">
        <f>currency.heading1</f>
        <v/>
      </c>
      <c r="D56" s="562" t="n"/>
      <c r="E56" s="562" t="n"/>
      <c r="F56" s="562" t="n"/>
      <c r="G56" s="562" t="n"/>
      <c r="H56" s="69">
        <f>H8</f>
        <v/>
      </c>
      <c r="I56" s="69">
        <f>I8</f>
        <v/>
      </c>
      <c r="J56" s="69">
        <f>J8</f>
        <v/>
      </c>
      <c r="K56" s="69">
        <f>K8</f>
        <v/>
      </c>
      <c r="L56" s="69">
        <f>L8</f>
        <v/>
      </c>
      <c r="M56" s="69">
        <f>M8</f>
        <v/>
      </c>
      <c r="N56" s="69">
        <f>N8</f>
        <v/>
      </c>
      <c r="O56" s="69">
        <f>O8</f>
        <v/>
      </c>
      <c r="P56" s="69">
        <f>P8</f>
        <v/>
      </c>
      <c r="Q56" s="69">
        <f>Q8</f>
        <v/>
      </c>
      <c r="R56" s="282">
        <f>R8</f>
        <v/>
      </c>
      <c r="T56" s="2003">
        <f>IFERROR((R56/N56)^(1/5)-1,"-")</f>
        <v/>
      </c>
    </row>
    <row r="57">
      <c r="H57" s="1923" t="n"/>
      <c r="I57" s="1923" t="n"/>
      <c r="T57" s="2003">
        <f>IFERROR((R57/N57)^(1/5)-1,"-")</f>
        <v/>
      </c>
    </row>
    <row r="58">
      <c r="C58" s="683" t="inlineStr">
        <is>
          <t>Total gross block</t>
        </is>
      </c>
      <c r="D58" s="684" t="n"/>
      <c r="E58" s="684" t="n"/>
      <c r="F58" s="684" t="n"/>
      <c r="G58" s="684" t="n"/>
      <c r="H58" s="2199" t="n"/>
      <c r="I58" s="2199" t="n"/>
      <c r="J58" s="2199" t="n"/>
      <c r="K58" s="2199" t="n"/>
      <c r="L58" s="2199" t="n"/>
      <c r="M58" s="2199" t="n"/>
      <c r="N58" s="2199" t="n"/>
      <c r="O58" s="2199" t="n"/>
      <c r="P58" s="684" t="n"/>
      <c r="Q58" s="684" t="n"/>
      <c r="R58" s="686" t="n"/>
      <c r="T58" s="2003">
        <f>IFERROR((R58/N58)^(1/5)-1,"-")</f>
        <v/>
      </c>
    </row>
    <row r="59">
      <c r="C59" s="687" t="inlineStr">
        <is>
          <t>Total accumulated depreciation</t>
        </is>
      </c>
      <c r="L59" s="2200">
        <f>L82</f>
        <v/>
      </c>
      <c r="M59" s="2200">
        <f>M82</f>
        <v/>
      </c>
      <c r="N59" s="2200">
        <f>N82</f>
        <v/>
      </c>
      <c r="O59" s="1923">
        <f>O82</f>
        <v/>
      </c>
      <c r="P59" s="1923">
        <f>P82</f>
        <v/>
      </c>
      <c r="Q59" s="1923">
        <f>Q82</f>
        <v/>
      </c>
      <c r="R59" s="1976">
        <f>R82</f>
        <v/>
      </c>
      <c r="T59" s="2003">
        <f>IFERROR((R59/N59)^(1/5)-1,"-")</f>
        <v/>
      </c>
    </row>
    <row r="60">
      <c r="C60" s="687" t="inlineStr">
        <is>
          <t>Closing balance</t>
        </is>
      </c>
      <c r="L60" s="2200">
        <f>L75</f>
        <v/>
      </c>
      <c r="M60" s="2200">
        <f>M75</f>
        <v/>
      </c>
      <c r="N60" s="2200">
        <f>N75</f>
        <v/>
      </c>
      <c r="O60" s="1923">
        <f>O75</f>
        <v/>
      </c>
      <c r="P60" s="1923">
        <f>P75</f>
        <v/>
      </c>
      <c r="Q60" s="1923">
        <f>Q75</f>
        <v/>
      </c>
      <c r="R60" s="1976">
        <f>R75</f>
        <v/>
      </c>
      <c r="T60" s="2003">
        <f>IFERROR((R60/N60)^(1/5)-1,"-")</f>
        <v/>
      </c>
    </row>
    <row r="61">
      <c r="C61" s="687" t="inlineStr">
        <is>
          <t>Total Capex</t>
        </is>
      </c>
      <c r="L61" s="1923">
        <f>SUM(L71:L74)</f>
        <v/>
      </c>
      <c r="M61" s="1923">
        <f>SUM(M71:M74)</f>
        <v/>
      </c>
      <c r="N61" s="1923">
        <f>SUM(N71:N74)</f>
        <v/>
      </c>
      <c r="O61" s="1923">
        <f>SUM(O71:O74)</f>
        <v/>
      </c>
      <c r="P61" s="1923">
        <f>SUM(P71:P74)</f>
        <v/>
      </c>
      <c r="Q61" s="1923">
        <f>SUM(Q71:Q74)</f>
        <v/>
      </c>
      <c r="R61" s="1976">
        <f>SUM(R71:R74)</f>
        <v/>
      </c>
      <c r="T61" s="2003">
        <f>IFERROR((R61/N61)^(1/5)-1,"-")</f>
        <v/>
      </c>
    </row>
    <row r="62">
      <c r="C62" s="691" t="inlineStr">
        <is>
          <t>Total depreciation charge</t>
        </is>
      </c>
      <c r="D62" s="102" t="n"/>
      <c r="E62" s="102" t="n"/>
      <c r="F62" s="102" t="n"/>
      <c r="G62" s="102" t="n"/>
      <c r="H62" s="102" t="n"/>
      <c r="I62" s="102" t="n"/>
      <c r="J62" s="102" t="n"/>
      <c r="K62" s="102" t="n"/>
      <c r="L62" s="2201">
        <f>L96</f>
        <v/>
      </c>
      <c r="M62" s="2201">
        <f>M96</f>
        <v/>
      </c>
      <c r="N62" s="2201">
        <f>N96</f>
        <v/>
      </c>
      <c r="O62" s="2202">
        <f>O96</f>
        <v/>
      </c>
      <c r="P62" s="2202">
        <f>P96</f>
        <v/>
      </c>
      <c r="Q62" s="2202">
        <f>Q96</f>
        <v/>
      </c>
      <c r="R62" s="2203">
        <f>R96</f>
        <v/>
      </c>
      <c r="T62" s="2003">
        <f>IFERROR((R62/N62)^(1/5)-1,"-")</f>
        <v/>
      </c>
    </row>
    <row r="63">
      <c r="T63" s="2003">
        <f>IFERROR((R63/N63)^(1/5)-1,"-")</f>
        <v/>
      </c>
    </row>
    <row r="64">
      <c r="C64" s="695" t="inlineStr">
        <is>
          <t>Cost</t>
        </is>
      </c>
      <c r="T64" s="2003">
        <f>IFERROR((R64/N64)^(1/5)-1,"-")</f>
        <v/>
      </c>
    </row>
    <row r="65">
      <c r="C65" s="696" t="inlineStr">
        <is>
          <t>Opening balance of fixed assets</t>
        </is>
      </c>
      <c r="T65" s="2003">
        <f>IFERROR((R65/N65)^(1/5)-1,"-")</f>
        <v/>
      </c>
    </row>
    <row r="66">
      <c r="C66" s="697" t="inlineStr">
        <is>
          <t>Gross Block A - 30 Years UEL</t>
        </is>
      </c>
      <c r="L66" s="2200">
        <f>L102</f>
        <v/>
      </c>
      <c r="M66" s="2200">
        <f>M102</f>
        <v/>
      </c>
      <c r="N66" s="2200">
        <f>N102</f>
        <v/>
      </c>
      <c r="O66" s="2200">
        <f>O102</f>
        <v/>
      </c>
      <c r="P66" s="2200">
        <f>P102</f>
        <v/>
      </c>
      <c r="Q66" s="2200">
        <f>Q102</f>
        <v/>
      </c>
      <c r="R66" s="2200">
        <f>R102</f>
        <v/>
      </c>
      <c r="T66" s="2003">
        <f>IFERROR((R66/N66)^(1/5)-1,"-")</f>
        <v/>
      </c>
    </row>
    <row r="67">
      <c r="C67" s="697" t="inlineStr">
        <is>
          <t>Gross Block B - 20 Years UEL</t>
        </is>
      </c>
      <c r="L67" s="2200">
        <f>L123</f>
        <v/>
      </c>
      <c r="M67" s="2200">
        <f>M123</f>
        <v/>
      </c>
      <c r="N67" s="2200">
        <f>N123</f>
        <v/>
      </c>
      <c r="O67" s="2200">
        <f>O123</f>
        <v/>
      </c>
      <c r="P67" s="2200">
        <f>P123</f>
        <v/>
      </c>
      <c r="Q67" s="2200">
        <f>Q123</f>
        <v/>
      </c>
      <c r="R67" s="2200">
        <f>R123</f>
        <v/>
      </c>
      <c r="T67" s="2003">
        <f>IFERROR((R67/N67)^(1/5)-1,"-")</f>
        <v/>
      </c>
    </row>
    <row r="68">
      <c r="C68" s="697" t="inlineStr">
        <is>
          <t>Gross Block C - 10 Years UEL</t>
        </is>
      </c>
      <c r="L68" s="2200">
        <f>L144</f>
        <v/>
      </c>
      <c r="M68" s="2200">
        <f>M144</f>
        <v/>
      </c>
      <c r="N68" s="2200">
        <f>N144</f>
        <v/>
      </c>
      <c r="O68" s="2200">
        <f>O144</f>
        <v/>
      </c>
      <c r="P68" s="2200">
        <f>P144</f>
        <v/>
      </c>
      <c r="Q68" s="2200">
        <f>Q144</f>
        <v/>
      </c>
      <c r="R68" s="2200">
        <f>R144</f>
        <v/>
      </c>
      <c r="T68" s="2003">
        <f>IFERROR((R68/N68)^(1/5)-1,"-")</f>
        <v/>
      </c>
    </row>
    <row r="69">
      <c r="C69" s="697" t="inlineStr">
        <is>
          <t>Gross Block D - 5 Years UEL</t>
        </is>
      </c>
      <c r="L69" s="2200">
        <f>L165</f>
        <v/>
      </c>
      <c r="M69" s="2200">
        <f>M165</f>
        <v/>
      </c>
      <c r="N69" s="2200">
        <f>N165</f>
        <v/>
      </c>
      <c r="O69" s="2200">
        <f>O165</f>
        <v/>
      </c>
      <c r="P69" s="2200">
        <f>P165</f>
        <v/>
      </c>
      <c r="Q69" s="2200">
        <f>Q165</f>
        <v/>
      </c>
      <c r="R69" s="2200">
        <f>R165</f>
        <v/>
      </c>
      <c r="T69" s="2003">
        <f>IFERROR((R69/N69)^(1/5)-1,"-")</f>
        <v/>
      </c>
    </row>
    <row r="70">
      <c r="C70" s="696" t="inlineStr">
        <is>
          <t>Capex Additions</t>
        </is>
      </c>
      <c r="T70" s="2003">
        <f>IFERROR((R70/N70)^(1/5)-1,"-")</f>
        <v/>
      </c>
    </row>
    <row r="71">
      <c r="C71" s="697" t="inlineStr">
        <is>
          <t>Gross Block A - 30 Years UEL</t>
        </is>
      </c>
      <c r="L71" s="63">
        <f>L103</f>
        <v/>
      </c>
      <c r="M71" s="63">
        <f>M103</f>
        <v/>
      </c>
      <c r="N71" s="63">
        <f>N103</f>
        <v/>
      </c>
      <c r="O71" s="63">
        <f>O103</f>
        <v/>
      </c>
      <c r="P71" s="63">
        <f>P103</f>
        <v/>
      </c>
      <c r="Q71" s="63">
        <f>Q103</f>
        <v/>
      </c>
      <c r="R71" s="63">
        <f>R103</f>
        <v/>
      </c>
      <c r="T71" s="2003">
        <f>IFERROR((R71/N71)^(1/5)-1,"-")</f>
        <v/>
      </c>
    </row>
    <row r="72">
      <c r="C72" s="697" t="inlineStr">
        <is>
          <t>Gross Block B - 20 Years UEL</t>
        </is>
      </c>
      <c r="L72" s="63">
        <f>L124</f>
        <v/>
      </c>
      <c r="M72" s="63">
        <f>M124</f>
        <v/>
      </c>
      <c r="N72" s="63">
        <f>N124</f>
        <v/>
      </c>
      <c r="O72" s="63">
        <f>O124</f>
        <v/>
      </c>
      <c r="P72" s="63">
        <f>P124</f>
        <v/>
      </c>
      <c r="Q72" s="63">
        <f>Q124</f>
        <v/>
      </c>
      <c r="R72" s="63">
        <f>R124</f>
        <v/>
      </c>
      <c r="T72" s="2003">
        <f>IFERROR((R72/N72)^(1/5)-1,"-")</f>
        <v/>
      </c>
    </row>
    <row r="73">
      <c r="C73" s="697" t="inlineStr">
        <is>
          <t>Gross Block C - 10 Years UEL</t>
        </is>
      </c>
      <c r="L73" s="63">
        <f>L145</f>
        <v/>
      </c>
      <c r="M73" s="63">
        <f>M145</f>
        <v/>
      </c>
      <c r="N73" s="63">
        <f>N145</f>
        <v/>
      </c>
      <c r="O73" s="63">
        <f>O145</f>
        <v/>
      </c>
      <c r="P73" s="63">
        <f>P145</f>
        <v/>
      </c>
      <c r="Q73" s="63">
        <f>Q145</f>
        <v/>
      </c>
      <c r="R73" s="63">
        <f>R145</f>
        <v/>
      </c>
      <c r="T73" s="2003">
        <f>IFERROR((R73/N73)^(1/5)-1,"-")</f>
        <v/>
      </c>
    </row>
    <row r="74">
      <c r="C74" s="697" t="inlineStr">
        <is>
          <t>Gross Block D - 5 Years UEL</t>
        </is>
      </c>
      <c r="L74" s="63">
        <f>L166</f>
        <v/>
      </c>
      <c r="M74" s="63">
        <f>M166</f>
        <v/>
      </c>
      <c r="N74" s="63">
        <f>N166</f>
        <v/>
      </c>
      <c r="O74" s="63">
        <f>O166</f>
        <v/>
      </c>
      <c r="P74" s="63">
        <f>P166</f>
        <v/>
      </c>
      <c r="Q74" s="63">
        <f>Q166</f>
        <v/>
      </c>
      <c r="R74" s="63">
        <f>R166</f>
        <v/>
      </c>
      <c r="T74" s="2003">
        <f>IFERROR((R74/N74)^(1/5)-1,"-")</f>
        <v/>
      </c>
    </row>
    <row r="75">
      <c r="C75" s="698" t="inlineStr">
        <is>
          <t>Closing balance of fixed assets</t>
        </is>
      </c>
      <c r="D75" s="359" t="n"/>
      <c r="E75" s="359" t="n"/>
      <c r="F75" s="359" t="n"/>
      <c r="G75" s="359" t="n"/>
      <c r="H75" s="359" t="n"/>
      <c r="I75" s="359" t="n"/>
      <c r="J75" s="359" t="n"/>
      <c r="K75" s="359" t="n"/>
      <c r="L75" s="2204">
        <f>SUM(L66:L74)</f>
        <v/>
      </c>
      <c r="M75" s="2204">
        <f>SUM(M66:M74)</f>
        <v/>
      </c>
      <c r="N75" s="2204">
        <f>SUM(N66:N74)</f>
        <v/>
      </c>
      <c r="O75" s="2204">
        <f>SUM(O66:O74)</f>
        <v/>
      </c>
      <c r="P75" s="2204">
        <f>SUM(P66:P74)</f>
        <v/>
      </c>
      <c r="Q75" s="2204">
        <f>SUM(Q66:Q74)</f>
        <v/>
      </c>
      <c r="R75" s="2204">
        <f>SUM(R66:R74)</f>
        <v/>
      </c>
      <c r="T75" s="2003">
        <f>IFERROR((R75/N75)^(1/5)-1,"-")</f>
        <v/>
      </c>
    </row>
    <row r="76">
      <c r="T76" s="2003">
        <f>IFERROR((R76/N76)^(1/5)-1,"-")</f>
        <v/>
      </c>
    </row>
    <row r="77">
      <c r="C77" s="696" t="inlineStr">
        <is>
          <t>Accumulated Depreciation</t>
        </is>
      </c>
      <c r="T77" s="2003">
        <f>IFERROR((R77/N77)^(1/5)-1,"-")</f>
        <v/>
      </c>
    </row>
    <row r="78">
      <c r="C78" s="697" t="inlineStr">
        <is>
          <t>Gross Block A</t>
        </is>
      </c>
      <c r="L78" s="2200">
        <f>L116</f>
        <v/>
      </c>
      <c r="M78" s="2200">
        <f>M116</f>
        <v/>
      </c>
      <c r="N78" s="2200">
        <f>N116</f>
        <v/>
      </c>
      <c r="O78" s="2200">
        <f>O116</f>
        <v/>
      </c>
      <c r="P78" s="2200">
        <f>P116</f>
        <v/>
      </c>
      <c r="Q78" s="2200">
        <f>Q116</f>
        <v/>
      </c>
      <c r="R78" s="2200">
        <f>R116</f>
        <v/>
      </c>
      <c r="T78" s="2003">
        <f>IFERROR((R78/N78)^(1/5)-1,"-")</f>
        <v/>
      </c>
    </row>
    <row r="79">
      <c r="C79" s="697" t="inlineStr">
        <is>
          <t>Gross Block B</t>
        </is>
      </c>
      <c r="L79" s="2200">
        <f>L137</f>
        <v/>
      </c>
      <c r="M79" s="2200">
        <f>M137</f>
        <v/>
      </c>
      <c r="N79" s="2200">
        <f>N137</f>
        <v/>
      </c>
      <c r="O79" s="2200">
        <f>O137</f>
        <v/>
      </c>
      <c r="P79" s="2200">
        <f>P137</f>
        <v/>
      </c>
      <c r="Q79" s="2200">
        <f>Q137</f>
        <v/>
      </c>
      <c r="R79" s="2200">
        <f>R137</f>
        <v/>
      </c>
      <c r="T79" s="2003">
        <f>IFERROR((R79/N79)^(1/5)-1,"-")</f>
        <v/>
      </c>
    </row>
    <row r="80">
      <c r="C80" s="697" t="inlineStr">
        <is>
          <t>Gross Block C</t>
        </is>
      </c>
      <c r="L80" s="2200">
        <f>L158</f>
        <v/>
      </c>
      <c r="M80" s="2200">
        <f>M158</f>
        <v/>
      </c>
      <c r="N80" s="2200">
        <f>N158</f>
        <v/>
      </c>
      <c r="O80" s="2200">
        <f>O158</f>
        <v/>
      </c>
      <c r="P80" s="2200">
        <f>P158</f>
        <v/>
      </c>
      <c r="Q80" s="2200">
        <f>Q158</f>
        <v/>
      </c>
      <c r="R80" s="2200">
        <f>R158</f>
        <v/>
      </c>
      <c r="T80" s="2003">
        <f>IFERROR((R80/N80)^(1/5)-1,"-")</f>
        <v/>
      </c>
    </row>
    <row r="81">
      <c r="C81" s="697" t="inlineStr">
        <is>
          <t>Gross Block D</t>
        </is>
      </c>
      <c r="L81" s="2200">
        <f>L179</f>
        <v/>
      </c>
      <c r="M81" s="2200">
        <f>M179</f>
        <v/>
      </c>
      <c r="N81" s="2200">
        <f>N179</f>
        <v/>
      </c>
      <c r="O81" s="2200">
        <f>O179</f>
        <v/>
      </c>
      <c r="P81" s="2200">
        <f>P179</f>
        <v/>
      </c>
      <c r="Q81" s="2200">
        <f>Q179</f>
        <v/>
      </c>
      <c r="R81" s="2200">
        <f>R179</f>
        <v/>
      </c>
      <c r="T81" s="2003">
        <f>IFERROR((R81/N81)^(1/5)-1,"-")</f>
        <v/>
      </c>
    </row>
    <row r="82">
      <c r="C82" s="698" t="inlineStr">
        <is>
          <t>Total Accumulated Depreciation</t>
        </is>
      </c>
      <c r="D82" s="359" t="n"/>
      <c r="E82" s="359" t="n"/>
      <c r="F82" s="359" t="n"/>
      <c r="G82" s="359" t="n"/>
      <c r="H82" s="359" t="n"/>
      <c r="I82" s="359" t="n"/>
      <c r="J82" s="359" t="n"/>
      <c r="K82" s="359" t="n"/>
      <c r="L82" s="2204">
        <f>SUM(L78:L81)</f>
        <v/>
      </c>
      <c r="M82" s="2204">
        <f>SUM(M78:M81)</f>
        <v/>
      </c>
      <c r="N82" s="2204">
        <f>SUM(N78:N81)</f>
        <v/>
      </c>
      <c r="O82" s="2204">
        <f>SUM(O78:O81)</f>
        <v/>
      </c>
      <c r="P82" s="2204">
        <f>SUM(P78:P81)</f>
        <v/>
      </c>
      <c r="Q82" s="2204">
        <f>SUM(Q78:Q81)</f>
        <v/>
      </c>
      <c r="R82" s="2204">
        <f>SUM(R78:R81)</f>
        <v/>
      </c>
      <c r="T82" s="2003">
        <f>IFERROR((R82/N82)^(1/5)-1,"-")</f>
        <v/>
      </c>
    </row>
    <row r="83">
      <c r="C83" s="697" t="n"/>
      <c r="T83" s="2003">
        <f>IFERROR((R83/N83)^(1/5)-1,"-")</f>
        <v/>
      </c>
    </row>
    <row r="84">
      <c r="C84" s="696" t="inlineStr">
        <is>
          <t>Net Book Value</t>
        </is>
      </c>
      <c r="T84" s="2003">
        <f>IFERROR((R84/N84)^(1/5)-1,"-")</f>
        <v/>
      </c>
    </row>
    <row r="85">
      <c r="C85" s="697" t="inlineStr">
        <is>
          <t>Gross Block A</t>
        </is>
      </c>
      <c r="L85" s="2200">
        <f>L117</f>
        <v/>
      </c>
      <c r="M85" s="2200">
        <f>M117</f>
        <v/>
      </c>
      <c r="N85" s="2200">
        <f>N117</f>
        <v/>
      </c>
      <c r="O85" s="2200">
        <f>O117</f>
        <v/>
      </c>
      <c r="P85" s="2200">
        <f>P117</f>
        <v/>
      </c>
      <c r="Q85" s="2200">
        <f>Q117</f>
        <v/>
      </c>
      <c r="R85" s="2200">
        <f>R117</f>
        <v/>
      </c>
      <c r="T85" s="2003">
        <f>IFERROR((R85/N85)^(1/5)-1,"-")</f>
        <v/>
      </c>
    </row>
    <row r="86">
      <c r="C86" s="697" t="inlineStr">
        <is>
          <t>Gross Block B</t>
        </is>
      </c>
      <c r="L86" s="2200">
        <f>L138</f>
        <v/>
      </c>
      <c r="M86" s="2200">
        <f>M138</f>
        <v/>
      </c>
      <c r="N86" s="2200">
        <f>N138</f>
        <v/>
      </c>
      <c r="O86" s="2200">
        <f>O138</f>
        <v/>
      </c>
      <c r="P86" s="2200">
        <f>P138</f>
        <v/>
      </c>
      <c r="Q86" s="2200">
        <f>Q138</f>
        <v/>
      </c>
      <c r="R86" s="2200">
        <f>R138</f>
        <v/>
      </c>
      <c r="T86" s="2003">
        <f>IFERROR((R86/N86)^(1/5)-1,"-")</f>
        <v/>
      </c>
    </row>
    <row r="87">
      <c r="C87" s="697" t="inlineStr">
        <is>
          <t>Gross Block C</t>
        </is>
      </c>
      <c r="L87" s="2200">
        <f>L159</f>
        <v/>
      </c>
      <c r="M87" s="2200">
        <f>M159</f>
        <v/>
      </c>
      <c r="N87" s="2200">
        <f>N159</f>
        <v/>
      </c>
      <c r="O87" s="2200">
        <f>O159</f>
        <v/>
      </c>
      <c r="P87" s="2200">
        <f>P159</f>
        <v/>
      </c>
      <c r="Q87" s="2200">
        <f>Q159</f>
        <v/>
      </c>
      <c r="R87" s="2200">
        <f>R159</f>
        <v/>
      </c>
      <c r="T87" s="2003">
        <f>IFERROR((R87/N87)^(1/5)-1,"-")</f>
        <v/>
      </c>
    </row>
    <row r="88">
      <c r="C88" s="697" t="inlineStr">
        <is>
          <t>Gross Block D</t>
        </is>
      </c>
      <c r="L88" s="2200">
        <f>L180</f>
        <v/>
      </c>
      <c r="M88" s="2200">
        <f>M180</f>
        <v/>
      </c>
      <c r="N88" s="2200">
        <f>N180</f>
        <v/>
      </c>
      <c r="O88" s="2200">
        <f>O180</f>
        <v/>
      </c>
      <c r="P88" s="2200">
        <f>P180</f>
        <v/>
      </c>
      <c r="Q88" s="2200">
        <f>Q180</f>
        <v/>
      </c>
      <c r="R88" s="2200">
        <f>R180</f>
        <v/>
      </c>
      <c r="T88" s="2003">
        <f>IFERROR((R88/N88)^(1/5)-1,"-")</f>
        <v/>
      </c>
    </row>
    <row r="89">
      <c r="C89" s="698" t="inlineStr">
        <is>
          <t>Total Net Book Value</t>
        </is>
      </c>
      <c r="D89" s="359" t="n"/>
      <c r="E89" s="359" t="n"/>
      <c r="F89" s="359" t="n"/>
      <c r="G89" s="359" t="n"/>
      <c r="H89" s="359" t="n"/>
      <c r="I89" s="359" t="n"/>
      <c r="J89" s="359" t="n"/>
      <c r="K89" s="359" t="n"/>
      <c r="L89" s="2204">
        <f>SUM(L85:L88)</f>
        <v/>
      </c>
      <c r="M89" s="2204">
        <f>SUM(M85:M88)</f>
        <v/>
      </c>
      <c r="N89" s="2204">
        <f>SUM(N85:N88)</f>
        <v/>
      </c>
      <c r="O89" s="2204">
        <f>SUM(O85:O88)</f>
        <v/>
      </c>
      <c r="P89" s="2204">
        <f>SUM(P85:P88)</f>
        <v/>
      </c>
      <c r="Q89" s="2204">
        <f>SUM(Q85:Q88)</f>
        <v/>
      </c>
      <c r="R89" s="2204">
        <f>SUM(R85:R88)</f>
        <v/>
      </c>
      <c r="T89" s="2003">
        <f>IFERROR((R89/N89)^(1/5)-1,"-")</f>
        <v/>
      </c>
    </row>
    <row r="90">
      <c r="C90" s="697" t="n"/>
      <c r="T90" s="2003">
        <f>IFERROR((R90/N90)^(1/5)-1,"-")</f>
        <v/>
      </c>
    </row>
    <row r="91">
      <c r="C91" s="696" t="inlineStr">
        <is>
          <t>Depreciation Charge</t>
        </is>
      </c>
      <c r="T91" s="2003">
        <f>IFERROR((R91/N91)^(1/5)-1,"-")</f>
        <v/>
      </c>
    </row>
    <row r="92">
      <c r="C92" s="697" t="inlineStr">
        <is>
          <t>Gross Block A</t>
        </is>
      </c>
      <c r="L92" s="2200">
        <f>L115</f>
        <v/>
      </c>
      <c r="M92" s="2200">
        <f>M115</f>
        <v/>
      </c>
      <c r="N92" s="2200">
        <f>N115</f>
        <v/>
      </c>
      <c r="O92" s="2200">
        <f>O115</f>
        <v/>
      </c>
      <c r="P92" s="2200">
        <f>P115</f>
        <v/>
      </c>
      <c r="Q92" s="2200">
        <f>Q115</f>
        <v/>
      </c>
      <c r="R92" s="2200">
        <f>R115</f>
        <v/>
      </c>
      <c r="T92" s="2003">
        <f>IFERROR((R92/N92)^(1/5)-1,"-")</f>
        <v/>
      </c>
    </row>
    <row r="93">
      <c r="C93" s="697" t="inlineStr">
        <is>
          <t>Gross Block B</t>
        </is>
      </c>
      <c r="L93" s="2200">
        <f>L136</f>
        <v/>
      </c>
      <c r="M93" s="2200">
        <f>M136</f>
        <v/>
      </c>
      <c r="N93" s="2200">
        <f>N136</f>
        <v/>
      </c>
      <c r="O93" s="2200">
        <f>O136</f>
        <v/>
      </c>
      <c r="P93" s="2200">
        <f>P136</f>
        <v/>
      </c>
      <c r="Q93" s="2200">
        <f>Q136</f>
        <v/>
      </c>
      <c r="R93" s="2200">
        <f>R136</f>
        <v/>
      </c>
      <c r="T93" s="2003">
        <f>IFERROR((R93/N93)^(1/5)-1,"-")</f>
        <v/>
      </c>
    </row>
    <row r="94">
      <c r="C94" s="697" t="inlineStr">
        <is>
          <t>Gross Block C</t>
        </is>
      </c>
      <c r="L94" s="2200">
        <f>L157</f>
        <v/>
      </c>
      <c r="M94" s="2200">
        <f>M157</f>
        <v/>
      </c>
      <c r="N94" s="2200">
        <f>N157</f>
        <v/>
      </c>
      <c r="O94" s="2200">
        <f>O157</f>
        <v/>
      </c>
      <c r="P94" s="2200">
        <f>P157</f>
        <v/>
      </c>
      <c r="Q94" s="2200">
        <f>Q157</f>
        <v/>
      </c>
      <c r="R94" s="2200">
        <f>R157</f>
        <v/>
      </c>
      <c r="T94" s="2003">
        <f>IFERROR((R94/N94)^(1/5)-1,"-")</f>
        <v/>
      </c>
    </row>
    <row r="95">
      <c r="C95" s="697" t="inlineStr">
        <is>
          <t>Gross Block D</t>
        </is>
      </c>
      <c r="L95" s="2200">
        <f>L178</f>
        <v/>
      </c>
      <c r="M95" s="2200">
        <f>M178</f>
        <v/>
      </c>
      <c r="N95" s="2200">
        <f>N178</f>
        <v/>
      </c>
      <c r="O95" s="2200">
        <f>O178</f>
        <v/>
      </c>
      <c r="P95" s="2200">
        <f>P178</f>
        <v/>
      </c>
      <c r="Q95" s="2200">
        <f>Q178</f>
        <v/>
      </c>
      <c r="R95" s="2200">
        <f>R178</f>
        <v/>
      </c>
      <c r="T95" s="2003">
        <f>IFERROR((R95/N95)^(1/5)-1,"-")</f>
        <v/>
      </c>
    </row>
    <row r="96">
      <c r="C96" s="698" t="inlineStr">
        <is>
          <t>Total Depreciation Charge</t>
        </is>
      </c>
      <c r="D96" s="359" t="n"/>
      <c r="E96" s="359" t="n"/>
      <c r="F96" s="359" t="n"/>
      <c r="G96" s="359" t="n"/>
      <c r="H96" s="359" t="n"/>
      <c r="I96" s="359" t="n"/>
      <c r="J96" s="359" t="n"/>
      <c r="K96" s="359" t="n"/>
      <c r="L96" s="2204">
        <f>SUM(L92:L95)</f>
        <v/>
      </c>
      <c r="M96" s="2204">
        <f>SUM(M92:M95)</f>
        <v/>
      </c>
      <c r="N96" s="2204">
        <f>SUM(N92:N95)</f>
        <v/>
      </c>
      <c r="O96" s="2204">
        <f>SUM(O92:O95)</f>
        <v/>
      </c>
      <c r="P96" s="2204">
        <f>SUM(P92:P95)</f>
        <v/>
      </c>
      <c r="Q96" s="2204">
        <f>SUM(Q92:Q95)</f>
        <v/>
      </c>
      <c r="R96" s="2204">
        <f>SUM(R92:R95)</f>
        <v/>
      </c>
      <c r="T96" s="2003">
        <f>IFERROR((R96/N96)^(1/5)-1,"-")</f>
        <v/>
      </c>
    </row>
    <row r="97">
      <c r="T97" s="2003">
        <f>IFERROR((R97/N97)^(1/5)-1,"-")</f>
        <v/>
      </c>
    </row>
    <row r="98">
      <c r="B98" s="697" t="n"/>
      <c r="C98" s="2205" t="inlineStr">
        <is>
          <t>GROSS BLOCK A - (30 years)</t>
        </is>
      </c>
      <c r="D98" s="701" t="n"/>
      <c r="T98" s="2003">
        <f>IFERROR((R98/N98)^(1/5)-1,"-")</f>
        <v/>
      </c>
    </row>
    <row r="99">
      <c r="A99" s="697" t="n"/>
      <c r="B99" s="697" t="n"/>
      <c r="C99" s="697" t="inlineStr">
        <is>
          <t>Useful Life</t>
        </is>
      </c>
      <c r="D99" s="2206" t="n">
        <v>30</v>
      </c>
      <c r="E99" s="703" t="n"/>
      <c r="F99" s="703" t="n"/>
      <c r="G99" s="703" t="n"/>
      <c r="H99" s="704" t="inlineStr">
        <is>
          <t>years</t>
        </is>
      </c>
      <c r="I99" s="704" t="inlineStr">
        <is>
          <t>years</t>
        </is>
      </c>
      <c r="T99" s="2003">
        <f>IFERROR((R99/N99)^(1/5)-1,"-")</f>
        <v/>
      </c>
    </row>
    <row r="100">
      <c r="A100" s="697" t="n"/>
      <c r="B100" s="697" t="n"/>
      <c r="C100" s="697" t="n"/>
      <c r="D100" s="2207" t="n"/>
      <c r="E100" s="697" t="n"/>
      <c r="F100" s="697" t="n"/>
      <c r="G100" s="697" t="n"/>
      <c r="H100" s="706" t="n"/>
      <c r="I100" s="706" t="n"/>
      <c r="T100" s="2003">
        <f>IFERROR((R100/N100)^(1/5)-1,"-")</f>
        <v/>
      </c>
    </row>
    <row r="101">
      <c r="A101" s="697" t="n"/>
      <c r="B101" s="697" t="n"/>
      <c r="C101" s="695" t="inlineStr">
        <is>
          <t>Cost</t>
        </is>
      </c>
      <c r="D101" s="2207" t="n"/>
      <c r="E101" s="697" t="n"/>
      <c r="F101" s="697" t="n"/>
      <c r="G101" s="697" t="n"/>
      <c r="H101" s="706" t="n"/>
      <c r="I101" s="706" t="n"/>
      <c r="T101" s="2003">
        <f>IFERROR((R101/N101)^(1/5)-1,"-")</f>
        <v/>
      </c>
    </row>
    <row r="102">
      <c r="A102" s="697" t="n"/>
      <c r="B102" s="697" t="n"/>
      <c r="C102" s="697" t="inlineStr">
        <is>
          <t>Opening balance</t>
        </is>
      </c>
      <c r="D102" s="695" t="n"/>
      <c r="E102" s="703" t="n"/>
      <c r="F102" s="703" t="n"/>
      <c r="G102" s="703" t="n"/>
      <c r="H102" s="707">
        <f>currency.heading1</f>
        <v/>
      </c>
      <c r="I102" s="707" t="n"/>
      <c r="J102" s="708" t="n"/>
      <c r="K102" s="708" t="n"/>
      <c r="L102" s="2208">
        <f>Inputs!J213</f>
        <v/>
      </c>
      <c r="M102" s="2200">
        <f>L104</f>
        <v/>
      </c>
      <c r="N102" s="2200">
        <f>M104</f>
        <v/>
      </c>
      <c r="O102" s="2200">
        <f>N104</f>
        <v/>
      </c>
      <c r="P102" s="2200">
        <f>O104</f>
        <v/>
      </c>
      <c r="Q102" s="2200">
        <f>P104</f>
        <v/>
      </c>
      <c r="R102" s="2200">
        <f>Q104</f>
        <v/>
      </c>
      <c r="T102" s="2003">
        <f>IFERROR((R102/N102)^(1/5)-1,"-")</f>
        <v/>
      </c>
    </row>
    <row r="103" ht="10.5" customHeight="1">
      <c r="A103" s="697" t="n"/>
      <c r="B103" s="697" t="n"/>
      <c r="C103" s="697" t="inlineStr">
        <is>
          <t>Capex Additions</t>
        </is>
      </c>
      <c r="D103" s="2207" t="n"/>
      <c r="E103" s="703" t="n"/>
      <c r="F103" s="703" t="n"/>
      <c r="G103" s="703" t="n"/>
      <c r="H103" s="707">
        <f>currency.heading1</f>
        <v/>
      </c>
      <c r="I103" s="707" t="n"/>
      <c r="J103" s="708" t="n"/>
      <c r="K103" s="708" t="n"/>
      <c r="L103" s="2121">
        <f>IF(ytg.approach=Inputs!$C$39,K103*ytg.actual,IF(ytg.approach=Inputs!$C$40,ytg.mgt*M103,M103-K103))</f>
        <v/>
      </c>
      <c r="M103" s="710">
        <f>Inputs!L214</f>
        <v/>
      </c>
      <c r="N103" s="1993">
        <f>Inputs!M214</f>
        <v/>
      </c>
      <c r="O103" s="1993">
        <f>Inputs!N214</f>
        <v/>
      </c>
      <c r="P103" s="1993">
        <f>Inputs!O214</f>
        <v/>
      </c>
      <c r="Q103" s="1993">
        <f>Inputs!P214</f>
        <v/>
      </c>
      <c r="R103" s="1993">
        <f>Inputs!Q214</f>
        <v/>
      </c>
      <c r="T103" s="2003">
        <f>IFERROR((R103/N103)^(1/5)-1,"-")</f>
        <v/>
      </c>
    </row>
    <row r="104" ht="10.5" customHeight="1">
      <c r="A104" s="697" t="n"/>
      <c r="B104" s="697" t="n"/>
      <c r="C104" s="698" t="inlineStr">
        <is>
          <t>Closing balance of fixed assets</t>
        </is>
      </c>
      <c r="D104" s="2209" t="n"/>
      <c r="E104" s="712" t="n"/>
      <c r="F104" s="712" t="n"/>
      <c r="G104" s="712" t="n"/>
      <c r="H104" s="713">
        <f>currency.heading1</f>
        <v/>
      </c>
      <c r="I104" s="713" t="n"/>
      <c r="J104" s="2210" t="n"/>
      <c r="K104" s="2210" t="n"/>
      <c r="L104" s="2211">
        <f>SUM(L102:L103)</f>
        <v/>
      </c>
      <c r="M104" s="2211">
        <f>SUM(M102:M103)</f>
        <v/>
      </c>
      <c r="N104" s="2211">
        <f>SUM(N102:N103)</f>
        <v/>
      </c>
      <c r="O104" s="2211">
        <f>SUM(O102:O103)</f>
        <v/>
      </c>
      <c r="P104" s="2211">
        <f>SUM(P102:P103)</f>
        <v/>
      </c>
      <c r="Q104" s="2211">
        <f>SUM(Q102:Q103)</f>
        <v/>
      </c>
      <c r="R104" s="2211">
        <f>SUM(R102:R103)</f>
        <v/>
      </c>
      <c r="T104" s="2003">
        <f>IFERROR((R104/N104)^(1/5)-1,"-")</f>
        <v/>
      </c>
    </row>
    <row r="105" ht="10.5" customHeight="1">
      <c r="A105" s="697" t="n"/>
      <c r="B105" s="697" t="n"/>
      <c r="C105" s="697" t="n"/>
      <c r="D105" s="2207" t="n"/>
      <c r="E105" s="697" t="n"/>
      <c r="F105" s="697" t="n"/>
      <c r="G105" s="697" t="n"/>
      <c r="H105" s="706" t="n"/>
      <c r="I105" s="706" t="n"/>
      <c r="T105" s="2003">
        <f>IFERROR((R105/N105)^(1/5)-1,"-")</f>
        <v/>
      </c>
    </row>
    <row r="106" ht="10.5" customHeight="1">
      <c r="A106" s="697" t="n"/>
      <c r="B106" s="697" t="n"/>
      <c r="C106" s="695" t="inlineStr">
        <is>
          <t>Accumulated depreciation</t>
        </is>
      </c>
      <c r="D106" s="695" t="n"/>
      <c r="E106" s="697" t="n"/>
      <c r="F106" s="697" t="n"/>
      <c r="G106" s="697" t="n"/>
      <c r="H106" s="706" t="n"/>
      <c r="I106" s="706" t="n"/>
      <c r="T106" s="2003">
        <f>IFERROR((R106/N106)^(1/5)-1,"-")</f>
        <v/>
      </c>
    </row>
    <row r="107" ht="10.5" customHeight="1">
      <c r="A107" s="697" t="n"/>
      <c r="B107" s="697" t="n"/>
      <c r="C107" s="697" t="inlineStr">
        <is>
          <t>Opening Balance</t>
        </is>
      </c>
      <c r="D107" s="697" t="n"/>
      <c r="E107" s="703" t="n"/>
      <c r="F107" s="703" t="n"/>
      <c r="G107" s="703" t="n"/>
      <c r="H107" s="707">
        <f>currency.heading1</f>
        <v/>
      </c>
      <c r="I107" s="707" t="n"/>
      <c r="J107" s="708" t="n"/>
      <c r="K107" s="708" t="n"/>
      <c r="L107" s="2212" t="n">
        <v>0</v>
      </c>
      <c r="M107" s="2212" t="n">
        <v>0</v>
      </c>
      <c r="N107" s="1923">
        <f>M116</f>
        <v/>
      </c>
      <c r="O107" s="1923">
        <f>N116</f>
        <v/>
      </c>
      <c r="P107" s="1923">
        <f>O116</f>
        <v/>
      </c>
      <c r="Q107" s="1923">
        <f>P116</f>
        <v/>
      </c>
      <c r="R107" s="1923">
        <f>Q116</f>
        <v/>
      </c>
      <c r="T107" s="2003">
        <f>IFERROR((R107/N107)^(1/5)-1,"-")</f>
        <v/>
      </c>
    </row>
    <row r="108" ht="10.5" customHeight="1">
      <c r="A108" s="697" t="n"/>
      <c r="B108" s="697" t="n"/>
      <c r="C108" s="697" t="inlineStr">
        <is>
          <t>Depreciation charge - existing assets</t>
        </is>
      </c>
      <c r="D108" s="695" t="n"/>
      <c r="E108" s="703" t="n"/>
      <c r="F108" s="703" t="n"/>
      <c r="G108" s="703" t="n"/>
      <c r="H108" s="707">
        <f>currency.heading1</f>
        <v/>
      </c>
      <c r="I108" s="707" t="n"/>
      <c r="J108" s="708" t="n"/>
      <c r="K108" s="708" t="n"/>
      <c r="L108" s="1923">
        <f>MAX(0,$N102/$D99)</f>
        <v/>
      </c>
      <c r="M108" s="1923">
        <f>MAX(0,$N102/$D99)</f>
        <v/>
      </c>
      <c r="N108" s="1923">
        <f>MAX(0,$N102/$D99)</f>
        <v/>
      </c>
      <c r="O108" s="1923">
        <f>MAX(0,$N102/$D99)</f>
        <v/>
      </c>
      <c r="P108" s="1923">
        <f>MAX(0,$N102/$D99)</f>
        <v/>
      </c>
      <c r="Q108" s="1923">
        <f>MAX(0,$N102/$D99)</f>
        <v/>
      </c>
      <c r="R108" s="1923">
        <f>MAX(0,$N102/$D99)</f>
        <v/>
      </c>
      <c r="T108" s="2003">
        <f>IFERROR((R108/N108)^(1/5)-1,"-")</f>
        <v/>
      </c>
    </row>
    <row r="109" ht="10.5" customHeight="1">
      <c r="A109" s="697" t="n"/>
      <c r="B109" s="697" t="n"/>
      <c r="C109" s="697" t="inlineStr">
        <is>
          <t>Depreciation charge - year 0 Capex</t>
        </is>
      </c>
      <c r="D109" s="2213">
        <f t="array" ref="D109:D114">TRANSPOSE(M103:R103)</f>
        <v/>
      </c>
      <c r="E109" s="703" t="n"/>
      <c r="F109" s="703" t="n"/>
      <c r="G109" s="703" t="n"/>
      <c r="H109" s="707">
        <f>currency.heading1</f>
        <v/>
      </c>
      <c r="I109" s="707" t="n"/>
      <c r="J109" s="708" t="n"/>
      <c r="K109" s="708" t="n"/>
      <c r="L109" s="2214" t="n"/>
      <c r="M109" s="1923">
        <f>MIN($D109/$D$99,$D109-SUM(L109:$L109))</f>
        <v/>
      </c>
      <c r="N109" s="1923">
        <f>MIN($D109/$D$99,$D109-SUM($M109:M109))</f>
        <v/>
      </c>
      <c r="O109" s="1923">
        <f>MIN($D109/$D$99,$D109-SUM($M109:N109))</f>
        <v/>
      </c>
      <c r="P109" s="1923">
        <f>MIN($D109/$D$99,$D109-SUM($M109:O109))</f>
        <v/>
      </c>
      <c r="Q109" s="1923">
        <f>MIN($D109/$D$99,$D109-SUM($M109:P109))</f>
        <v/>
      </c>
      <c r="R109" s="1923">
        <f>MIN($D109/$D$99,$D109-SUM($M109:Q109))</f>
        <v/>
      </c>
      <c r="T109" s="2003">
        <f>IFERROR((R109/N109)^(1/5)-1,"-")</f>
        <v/>
      </c>
    </row>
    <row r="110" ht="10.5" customHeight="1">
      <c r="A110" s="697" t="n"/>
      <c r="B110" s="697" t="n"/>
      <c r="C110" s="697" t="inlineStr">
        <is>
          <t>Depreciation charge - year 1 Capex</t>
        </is>
      </c>
      <c r="D110" s="2213" t="n">
        <v>15000</v>
      </c>
      <c r="E110" s="703" t="n"/>
      <c r="F110" s="703" t="n"/>
      <c r="G110" s="703" t="n"/>
      <c r="H110" s="707">
        <f>currency.heading1</f>
        <v/>
      </c>
      <c r="I110" s="707" t="n"/>
      <c r="J110" s="708" t="n"/>
      <c r="K110" s="708" t="n"/>
      <c r="L110" s="2214" t="n"/>
      <c r="M110" s="2214" t="n"/>
      <c r="N110" s="1923">
        <f>MIN($D110/$D$99,$D110-SUM($M110:M110))</f>
        <v/>
      </c>
      <c r="O110" s="1923">
        <f>MIN($D110/$D$99,$D110-SUM($M110:N110))</f>
        <v/>
      </c>
      <c r="P110" s="1923">
        <f>MIN($D110/$D$99,$D110-SUM($M110:O110))</f>
        <v/>
      </c>
      <c r="Q110" s="1923">
        <f>MIN($D110/$D$99,$D110-SUM($M110:P110))</f>
        <v/>
      </c>
      <c r="R110" s="1923">
        <f>MIN($D110/$D$99,$D110-SUM($M110:Q110))</f>
        <v/>
      </c>
      <c r="T110" s="2003">
        <f>IFERROR((R110/N110)^(1/5)-1,"-")</f>
        <v/>
      </c>
    </row>
    <row r="111" ht="10.5" customHeight="1">
      <c r="A111" s="697" t="n"/>
      <c r="B111" s="697" t="n"/>
      <c r="C111" s="697" t="inlineStr">
        <is>
          <t>Depreciation charge - year 2 Capex</t>
        </is>
      </c>
      <c r="D111" s="2213" t="n">
        <v>15000</v>
      </c>
      <c r="E111" s="703" t="n"/>
      <c r="F111" s="703" t="n"/>
      <c r="G111" s="703" t="n"/>
      <c r="H111" s="707">
        <f>currency.heading1</f>
        <v/>
      </c>
      <c r="I111" s="707" t="n"/>
      <c r="J111" s="708" t="n"/>
      <c r="K111" s="708" t="n"/>
      <c r="L111" s="2214" t="n"/>
      <c r="M111" s="2214" t="n"/>
      <c r="N111" s="2214" t="n"/>
      <c r="O111" s="1923">
        <f>MIN($D111/$D$99,$D111-SUM($M111:N111))</f>
        <v/>
      </c>
      <c r="P111" s="1923">
        <f>MIN($D111/$D$99,$D111-SUM($M111:O111))</f>
        <v/>
      </c>
      <c r="Q111" s="1923">
        <f>MIN($D111/$D$99,$D111-SUM($M111:P111))</f>
        <v/>
      </c>
      <c r="R111" s="1923">
        <f>MIN($D111/$D$99,$D111-SUM($M111:Q111))</f>
        <v/>
      </c>
      <c r="T111" s="2003">
        <f>IFERROR((R111/N111)^(1/5)-1,"-")</f>
        <v/>
      </c>
    </row>
    <row r="112" ht="10.5" customHeight="1">
      <c r="A112" s="697" t="n"/>
      <c r="B112" s="697" t="n"/>
      <c r="C112" s="697" t="inlineStr">
        <is>
          <t>Depreciation charge - year 3 Capex</t>
        </is>
      </c>
      <c r="D112" s="2213" t="n">
        <v>15000</v>
      </c>
      <c r="E112" s="703" t="n"/>
      <c r="F112" s="703" t="n"/>
      <c r="G112" s="703" t="n"/>
      <c r="H112" s="707">
        <f>currency.heading1</f>
        <v/>
      </c>
      <c r="I112" s="707" t="n"/>
      <c r="J112" s="708" t="n"/>
      <c r="K112" s="708" t="n"/>
      <c r="L112" s="2214" t="n"/>
      <c r="M112" s="2214" t="n"/>
      <c r="N112" s="2214" t="n"/>
      <c r="O112" s="2214" t="n"/>
      <c r="P112" s="1923">
        <f>MIN($D112/$D$99,$D112-SUM($M112:O112))</f>
        <v/>
      </c>
      <c r="Q112" s="1923">
        <f>MIN($D112/$D$99,$D112-SUM($M112:P112))</f>
        <v/>
      </c>
      <c r="R112" s="1923">
        <f>MIN($D112/$D$99,$D112-SUM($M112:Q112))</f>
        <v/>
      </c>
      <c r="T112" s="2003">
        <f>IFERROR((R112/N112)^(1/5)-1,"-")</f>
        <v/>
      </c>
    </row>
    <row r="113" ht="10.5" customHeight="1">
      <c r="A113" s="697" t="n"/>
      <c r="B113" s="697" t="n"/>
      <c r="C113" s="697" t="inlineStr">
        <is>
          <t>Depreciation charge - year 4 Capex</t>
        </is>
      </c>
      <c r="D113" s="2213" t="n">
        <v>15000</v>
      </c>
      <c r="E113" s="703" t="n"/>
      <c r="F113" s="703" t="n"/>
      <c r="G113" s="703" t="n"/>
      <c r="H113" s="707">
        <f>currency.heading1</f>
        <v/>
      </c>
      <c r="I113" s="707" t="n"/>
      <c r="J113" s="708" t="n"/>
      <c r="K113" s="708" t="n"/>
      <c r="L113" s="2214" t="n"/>
      <c r="M113" s="2214" t="n"/>
      <c r="N113" s="2214" t="n"/>
      <c r="O113" s="2214" t="n"/>
      <c r="P113" s="2214" t="n"/>
      <c r="Q113" s="1923">
        <f>MIN($D113/$D$99,$D113-SUM($M113:P113))</f>
        <v/>
      </c>
      <c r="R113" s="1923">
        <f>MIN($D113/$D$99,$D113-SUM($M113:Q113))</f>
        <v/>
      </c>
      <c r="T113" s="2003">
        <f>IFERROR((R113/N113)^(1/5)-1,"-")</f>
        <v/>
      </c>
    </row>
    <row r="114" ht="10.5" customHeight="1">
      <c r="A114" s="697" t="n"/>
      <c r="B114" s="697" t="n"/>
      <c r="C114" s="697" t="inlineStr">
        <is>
          <t>Depreciation charge - year 5 Capex</t>
        </is>
      </c>
      <c r="D114" s="2213" t="n">
        <v>15000</v>
      </c>
      <c r="E114" s="703" t="n"/>
      <c r="F114" s="703" t="n"/>
      <c r="G114" s="703" t="n"/>
      <c r="H114" s="707">
        <f>currency.heading1</f>
        <v/>
      </c>
      <c r="I114" s="707" t="n"/>
      <c r="J114" s="708" t="n"/>
      <c r="K114" s="708" t="n"/>
      <c r="L114" s="2214" t="n"/>
      <c r="M114" s="2214" t="n"/>
      <c r="N114" s="2214" t="n"/>
      <c r="O114" s="2214" t="n"/>
      <c r="P114" s="2214" t="n"/>
      <c r="Q114" s="2214" t="n"/>
      <c r="R114" s="1923">
        <f>MIN($D114/$D$99,$D114-SUM($M114:Q114))</f>
        <v/>
      </c>
      <c r="T114" s="2003">
        <f>IFERROR((R114/N114)^(1/5)-1,"-")</f>
        <v/>
      </c>
    </row>
    <row r="115" ht="10.5" customHeight="1">
      <c r="A115" s="697" t="n"/>
      <c r="B115" s="697" t="n"/>
      <c r="C115" s="719" t="inlineStr">
        <is>
          <t>Total depreciation charge for the year</t>
        </is>
      </c>
      <c r="D115" s="698" t="n"/>
      <c r="E115" s="720" t="n"/>
      <c r="F115" s="720" t="n"/>
      <c r="G115" s="720" t="n"/>
      <c r="H115" s="721">
        <f>currency.heading1</f>
        <v/>
      </c>
      <c r="I115" s="721" t="n"/>
      <c r="J115" s="722" t="n"/>
      <c r="K115" s="722" t="n"/>
      <c r="L115" s="2215">
        <f>SUM(L108:L114)</f>
        <v/>
      </c>
      <c r="M115" s="2215">
        <f>SUM(M108:M114)</f>
        <v/>
      </c>
      <c r="N115" s="2215">
        <f>SUM(N108:N114)</f>
        <v/>
      </c>
      <c r="O115" s="2215">
        <f>SUM(O108:O114)</f>
        <v/>
      </c>
      <c r="P115" s="2215">
        <f>SUM(P108:P114)</f>
        <v/>
      </c>
      <c r="Q115" s="2215">
        <f>SUM(Q108:Q114)</f>
        <v/>
      </c>
      <c r="R115" s="2215">
        <f>SUM(R108:R114)</f>
        <v/>
      </c>
      <c r="T115" s="2003">
        <f>IFERROR((R115/N115)^(1/5)-1,"-")</f>
        <v/>
      </c>
    </row>
    <row r="116" ht="10.5" customHeight="1">
      <c r="A116" s="697" t="n"/>
      <c r="B116" s="697" t="n"/>
      <c r="C116" s="698" t="inlineStr">
        <is>
          <t>Ending balance - Accumulated Depreciation</t>
        </is>
      </c>
      <c r="D116" s="698" t="n"/>
      <c r="E116" s="724" t="n"/>
      <c r="F116" s="724" t="n"/>
      <c r="G116" s="724" t="n"/>
      <c r="H116" s="721">
        <f>currency.heading1</f>
        <v/>
      </c>
      <c r="I116" s="721" t="n"/>
      <c r="J116" s="725" t="n"/>
      <c r="K116" s="725" t="n"/>
      <c r="L116" s="2089">
        <f>L107+L115</f>
        <v/>
      </c>
      <c r="M116" s="2089">
        <f>M107+M115</f>
        <v/>
      </c>
      <c r="N116" s="2089">
        <f>N107+N115</f>
        <v/>
      </c>
      <c r="O116" s="2089">
        <f>O107+O115</f>
        <v/>
      </c>
      <c r="P116" s="2089">
        <f>P107+P115</f>
        <v/>
      </c>
      <c r="Q116" s="2089">
        <f>Q107+Q115</f>
        <v/>
      </c>
      <c r="R116" s="2089">
        <f>R107+R115</f>
        <v/>
      </c>
      <c r="T116" s="2003">
        <f>IFERROR((R116/N116)^(1/5)-1,"-")</f>
        <v/>
      </c>
    </row>
    <row r="117" ht="10.5" customHeight="1">
      <c r="A117" s="697" t="n"/>
      <c r="B117" s="697" t="n"/>
      <c r="C117" s="698" t="inlineStr">
        <is>
          <t>NBV - Gross Block A</t>
        </is>
      </c>
      <c r="D117" s="698" t="n"/>
      <c r="E117" s="727" t="n"/>
      <c r="F117" s="727" t="n"/>
      <c r="G117" s="727" t="n"/>
      <c r="H117" s="713">
        <f>currency.heading1</f>
        <v/>
      </c>
      <c r="I117" s="713" t="n"/>
      <c r="J117" s="728" t="n"/>
      <c r="K117" s="728" t="n"/>
      <c r="L117" s="2216">
        <f>L104-L116</f>
        <v/>
      </c>
      <c r="M117" s="2216">
        <f>M104-M116</f>
        <v/>
      </c>
      <c r="N117" s="2216">
        <f>N104-N116</f>
        <v/>
      </c>
      <c r="O117" s="2216">
        <f>O104-O116</f>
        <v/>
      </c>
      <c r="P117" s="2216">
        <f>P104-P116</f>
        <v/>
      </c>
      <c r="Q117" s="2216">
        <f>Q104-Q116</f>
        <v/>
      </c>
      <c r="R117" s="2216">
        <f>R104-R116</f>
        <v/>
      </c>
      <c r="T117" s="2003">
        <f>IFERROR((R117/N117)^(1/5)-1,"-")</f>
        <v/>
      </c>
    </row>
    <row r="118" ht="10.5" customHeight="1">
      <c r="L118" s="1923" t="n"/>
      <c r="M118" s="1923" t="n"/>
      <c r="N118" s="1923" t="n"/>
      <c r="O118" s="1923" t="n"/>
      <c r="P118" s="1923" t="n"/>
      <c r="Q118" s="1923" t="n"/>
      <c r="R118" s="1923" t="n"/>
      <c r="T118" s="2003">
        <f>IFERROR((R118/N118)^(1/5)-1,"-")</f>
        <v/>
      </c>
    </row>
    <row r="119" ht="10.5" customHeight="1">
      <c r="C119" s="2205" t="inlineStr">
        <is>
          <t>GROSS BLOCK B - (20 years)</t>
        </is>
      </c>
      <c r="D119" s="701" t="n"/>
      <c r="T119" s="2003">
        <f>IFERROR((R119/N119)^(1/5)-1,"-")</f>
        <v/>
      </c>
    </row>
    <row r="120" ht="10.5" customHeight="1">
      <c r="C120" s="697" t="inlineStr">
        <is>
          <t>Useful Life</t>
        </is>
      </c>
      <c r="D120" s="2206" t="n">
        <v>20</v>
      </c>
      <c r="E120" s="703" t="n"/>
      <c r="F120" s="703" t="n"/>
      <c r="G120" s="703" t="n"/>
      <c r="H120" s="704" t="inlineStr">
        <is>
          <t>years</t>
        </is>
      </c>
      <c r="I120" s="704" t="n"/>
      <c r="T120" s="2003">
        <f>IFERROR((R120/N120)^(1/5)-1,"-")</f>
        <v/>
      </c>
    </row>
    <row r="121" ht="10.5" customHeight="1">
      <c r="C121" s="697" t="n"/>
      <c r="D121" s="2207" t="n"/>
      <c r="E121" s="697" t="n"/>
      <c r="F121" s="697" t="n"/>
      <c r="G121" s="697" t="n"/>
      <c r="H121" s="706" t="n"/>
      <c r="I121" s="706" t="n"/>
      <c r="T121" s="2003">
        <f>IFERROR((R121/N121)^(1/5)-1,"-")</f>
        <v/>
      </c>
    </row>
    <row r="122" ht="10.5" customHeight="1">
      <c r="C122" s="695" t="inlineStr">
        <is>
          <t>Cost</t>
        </is>
      </c>
      <c r="D122" s="2207" t="n"/>
      <c r="E122" s="697" t="n"/>
      <c r="F122" s="697" t="n"/>
      <c r="G122" s="697" t="n"/>
      <c r="H122" s="706" t="n"/>
      <c r="I122" s="706" t="n"/>
      <c r="T122" s="2003">
        <f>IFERROR((R122/N122)^(1/5)-1,"-")</f>
        <v/>
      </c>
    </row>
    <row r="123" ht="10.5" customHeight="1">
      <c r="C123" s="697" t="inlineStr">
        <is>
          <t>Opening balance</t>
        </is>
      </c>
      <c r="D123" s="695" t="n"/>
      <c r="E123" s="703" t="n"/>
      <c r="F123" s="703" t="n"/>
      <c r="G123" s="703" t="n"/>
      <c r="H123" s="707">
        <f>currency.heading1</f>
        <v/>
      </c>
      <c r="I123" s="707" t="n"/>
      <c r="J123" s="708" t="n"/>
      <c r="K123" s="708" t="n"/>
      <c r="L123" s="2208">
        <f>Inputs!J216</f>
        <v/>
      </c>
      <c r="M123" s="2200">
        <f>L125</f>
        <v/>
      </c>
      <c r="N123" s="2200">
        <f>M125</f>
        <v/>
      </c>
      <c r="O123" s="2200">
        <f>N125</f>
        <v/>
      </c>
      <c r="P123" s="2200">
        <f>O125</f>
        <v/>
      </c>
      <c r="Q123" s="2200">
        <f>P125</f>
        <v/>
      </c>
      <c r="R123" s="2200">
        <f>Q125</f>
        <v/>
      </c>
      <c r="T123" s="2003">
        <f>IFERROR((R123/N123)^(1/5)-1,"-")</f>
        <v/>
      </c>
    </row>
    <row r="124" ht="10.5" customHeight="1">
      <c r="C124" s="697" t="inlineStr">
        <is>
          <t>Capex Additions</t>
        </is>
      </c>
      <c r="D124" s="2207" t="n"/>
      <c r="E124" s="703" t="n"/>
      <c r="F124" s="703" t="n"/>
      <c r="G124" s="703" t="n"/>
      <c r="H124" s="707">
        <f>currency.heading1</f>
        <v/>
      </c>
      <c r="I124" s="707" t="n"/>
      <c r="J124" s="708" t="n"/>
      <c r="K124" s="708" t="n"/>
      <c r="L124" s="2121">
        <f>IF(ytg.approach=Inputs!$C$39,K124*ytg.actual,IF(ytg.approach=Inputs!$C$40,ytg.mgt*M124,M124-K124))</f>
        <v/>
      </c>
      <c r="M124" s="710">
        <f>Inputs!L217</f>
        <v/>
      </c>
      <c r="N124" s="1993">
        <f>Inputs!M217</f>
        <v/>
      </c>
      <c r="O124" s="1993">
        <f>Inputs!N217</f>
        <v/>
      </c>
      <c r="P124" s="1993">
        <f>Inputs!O217</f>
        <v/>
      </c>
      <c r="Q124" s="1993">
        <f>Inputs!P217</f>
        <v/>
      </c>
      <c r="R124" s="1993">
        <f>Inputs!Q217</f>
        <v/>
      </c>
      <c r="T124" s="2003">
        <f>IFERROR((R124/N124)^(1/5)-1,"-")</f>
        <v/>
      </c>
    </row>
    <row r="125" ht="10.5" customHeight="1">
      <c r="C125" s="698" t="inlineStr">
        <is>
          <t>Closing balance of fixed assets</t>
        </is>
      </c>
      <c r="D125" s="2209" t="n"/>
      <c r="E125" s="712" t="n"/>
      <c r="F125" s="712" t="n"/>
      <c r="G125" s="712" t="n"/>
      <c r="H125" s="713">
        <f>currency.heading1</f>
        <v/>
      </c>
      <c r="I125" s="713" t="n"/>
      <c r="J125" s="2210" t="n"/>
      <c r="K125" s="2210" t="n"/>
      <c r="L125" s="2211">
        <f>SUM(L123:L124)</f>
        <v/>
      </c>
      <c r="M125" s="2211">
        <f>SUM(M123:M124)</f>
        <v/>
      </c>
      <c r="N125" s="2211">
        <f>SUM(N123:N124)</f>
        <v/>
      </c>
      <c r="O125" s="2211">
        <f>SUM(O123:O124)</f>
        <v/>
      </c>
      <c r="P125" s="2211">
        <f>SUM(P123:P124)</f>
        <v/>
      </c>
      <c r="Q125" s="2211">
        <f>SUM(Q123:Q124)</f>
        <v/>
      </c>
      <c r="R125" s="2211">
        <f>SUM(R123:R124)</f>
        <v/>
      </c>
      <c r="T125" s="2003">
        <f>IFERROR((R125/N125)^(1/5)-1,"-")</f>
        <v/>
      </c>
    </row>
    <row r="126" ht="10.5" customHeight="1">
      <c r="C126" s="697" t="n"/>
      <c r="D126" s="2207" t="n"/>
      <c r="E126" s="697" t="n"/>
      <c r="F126" s="697" t="n"/>
      <c r="G126" s="697" t="n"/>
      <c r="H126" s="706" t="n"/>
      <c r="I126" s="706" t="n"/>
      <c r="T126" s="2003">
        <f>IFERROR((R126/N126)^(1/5)-1,"-")</f>
        <v/>
      </c>
    </row>
    <row r="127" ht="10.5" customHeight="1">
      <c r="C127" s="695" t="inlineStr">
        <is>
          <t>Accumulated depreciation</t>
        </is>
      </c>
      <c r="D127" s="695" t="n"/>
      <c r="E127" s="697" t="n"/>
      <c r="F127" s="697" t="n"/>
      <c r="G127" s="697" t="n"/>
      <c r="H127" s="706" t="n"/>
      <c r="I127" s="706" t="n"/>
      <c r="T127" s="2003">
        <f>IFERROR((R127/N127)^(1/5)-1,"-")</f>
        <v/>
      </c>
    </row>
    <row r="128" ht="10.5" customHeight="1">
      <c r="C128" s="697" t="inlineStr">
        <is>
          <t>Opening Balance</t>
        </is>
      </c>
      <c r="D128" s="697" t="n"/>
      <c r="E128" s="703" t="n"/>
      <c r="F128" s="703" t="n"/>
      <c r="G128" s="703" t="n"/>
      <c r="H128" s="707">
        <f>currency.heading1</f>
        <v/>
      </c>
      <c r="I128" s="707" t="n"/>
      <c r="J128" s="708" t="n"/>
      <c r="K128" s="708" t="n"/>
      <c r="L128" s="2212" t="n">
        <v>0</v>
      </c>
      <c r="M128" s="2212" t="n">
        <v>0</v>
      </c>
      <c r="N128" s="1923">
        <f>M137</f>
        <v/>
      </c>
      <c r="O128" s="1923">
        <f>N137</f>
        <v/>
      </c>
      <c r="P128" s="1923">
        <f>O137</f>
        <v/>
      </c>
      <c r="Q128" s="1923">
        <f>P137</f>
        <v/>
      </c>
      <c r="R128" s="1923">
        <f>Q137</f>
        <v/>
      </c>
      <c r="T128" s="2003">
        <f>IFERROR((R128/N128)^(1/5)-1,"-")</f>
        <v/>
      </c>
    </row>
    <row r="129" ht="10.5" customHeight="1">
      <c r="C129" s="697" t="inlineStr">
        <is>
          <t>Depreciation charge - existing assets</t>
        </is>
      </c>
      <c r="D129" s="695" t="n"/>
      <c r="E129" s="703" t="n"/>
      <c r="F129" s="703" t="n"/>
      <c r="G129" s="703" t="n"/>
      <c r="H129" s="707">
        <f>currency.heading1</f>
        <v/>
      </c>
      <c r="I129" s="707" t="n"/>
      <c r="J129" s="708" t="n"/>
      <c r="K129" s="708" t="n"/>
      <c r="L129" s="1923">
        <f>MAX(0,$N123/$D120)</f>
        <v/>
      </c>
      <c r="M129" s="1923">
        <f>MAX(0,$N123/$D120)</f>
        <v/>
      </c>
      <c r="N129" s="1923">
        <f>MAX(0,$N123/$D120)</f>
        <v/>
      </c>
      <c r="O129" s="1923">
        <f>MAX(0,$N123/$D120)</f>
        <v/>
      </c>
      <c r="P129" s="1923">
        <f>MAX(0,$N123/$D120)</f>
        <v/>
      </c>
      <c r="Q129" s="1923">
        <f>MAX(0,$N123/$D120)</f>
        <v/>
      </c>
      <c r="R129" s="1923">
        <f>MAX(0,$N123/$D120)</f>
        <v/>
      </c>
      <c r="T129" s="2003">
        <f>IFERROR((R129/N129)^(1/5)-1,"-")</f>
        <v/>
      </c>
    </row>
    <row r="130" ht="10.5" customHeight="1">
      <c r="C130" s="697" t="inlineStr">
        <is>
          <t>Depreciation charge - year 0 Capex</t>
        </is>
      </c>
      <c r="D130" s="2213">
        <f t="array" ref="D130:D135">TRANSPOSE(M124:R124)</f>
        <v/>
      </c>
      <c r="E130" s="703" t="n"/>
      <c r="F130" s="703" t="n"/>
      <c r="G130" s="703" t="n"/>
      <c r="H130" s="707">
        <f>currency.heading1</f>
        <v/>
      </c>
      <c r="I130" s="707" t="n"/>
      <c r="J130" s="708" t="n"/>
      <c r="K130" s="708" t="n"/>
      <c r="L130" s="2214" t="n"/>
      <c r="M130" s="1923">
        <f>MIN($D130/$D$99,$D130-SUM(L130:$L130))</f>
        <v/>
      </c>
      <c r="N130" s="1923">
        <f>MIN($D130/$D$99,$D130-SUM($M130:M130))</f>
        <v/>
      </c>
      <c r="O130" s="1923">
        <f>MIN($D130/$D$99,$D130-SUM($M130:N130))</f>
        <v/>
      </c>
      <c r="P130" s="1923">
        <f>MIN($D130/$D$99,$D130-SUM($M130:O130))</f>
        <v/>
      </c>
      <c r="Q130" s="1923">
        <f>MIN($D130/$D$99,$D130-SUM($M130:P130))</f>
        <v/>
      </c>
      <c r="R130" s="1923">
        <f>MIN($D130/$D$99,$D130-SUM($M130:Q130))</f>
        <v/>
      </c>
      <c r="T130" s="2003">
        <f>IFERROR((R130/N130)^(1/5)-1,"-")</f>
        <v/>
      </c>
    </row>
    <row r="131" ht="10.5" customHeight="1">
      <c r="C131" s="697" t="inlineStr">
        <is>
          <t>Depreciation charge - year 1 Capex</t>
        </is>
      </c>
      <c r="D131" s="2213" t="n">
        <v>2000</v>
      </c>
      <c r="E131" s="703" t="n"/>
      <c r="F131" s="703" t="n"/>
      <c r="G131" s="703" t="n"/>
      <c r="H131" s="707">
        <f>currency.heading1</f>
        <v/>
      </c>
      <c r="I131" s="707" t="n"/>
      <c r="J131" s="708" t="n"/>
      <c r="K131" s="708" t="n"/>
      <c r="L131" s="2214" t="n"/>
      <c r="M131" s="2214" t="n"/>
      <c r="N131" s="1923">
        <f>MIN($D131/$D$99,$D131-SUM($M131:M131))</f>
        <v/>
      </c>
      <c r="O131" s="1923">
        <f>MIN($D131/$D$99,$D131-SUM($M131:N131))</f>
        <v/>
      </c>
      <c r="P131" s="1923">
        <f>MIN($D131/$D$99,$D131-SUM($M131:O131))</f>
        <v/>
      </c>
      <c r="Q131" s="1923">
        <f>MIN($D131/$D$99,$D131-SUM($M131:P131))</f>
        <v/>
      </c>
      <c r="R131" s="1923">
        <f>MIN($D131/$D$99,$D131-SUM($M131:Q131))</f>
        <v/>
      </c>
      <c r="T131" s="2003">
        <f>IFERROR((R131/N131)^(1/5)-1,"-")</f>
        <v/>
      </c>
    </row>
    <row r="132" ht="10.5" customHeight="1">
      <c r="C132" s="697" t="inlineStr">
        <is>
          <t>Depreciation charge - year 2 Capex</t>
        </is>
      </c>
      <c r="D132" s="2213" t="n">
        <v>2000</v>
      </c>
      <c r="E132" s="703" t="n"/>
      <c r="F132" s="703" t="n"/>
      <c r="G132" s="703" t="n"/>
      <c r="H132" s="707">
        <f>currency.heading1</f>
        <v/>
      </c>
      <c r="I132" s="707" t="n"/>
      <c r="J132" s="708" t="n"/>
      <c r="K132" s="708" t="n"/>
      <c r="L132" s="2214" t="n"/>
      <c r="M132" s="2214" t="n"/>
      <c r="N132" s="2214" t="n"/>
      <c r="O132" s="1923">
        <f>MIN($D132/$D$99,$D132-SUM($M132:N132))</f>
        <v/>
      </c>
      <c r="P132" s="1923">
        <f>MIN($D132/$D$99,$D132-SUM($M132:O132))</f>
        <v/>
      </c>
      <c r="Q132" s="1923">
        <f>MIN($D132/$D$99,$D132-SUM($M132:P132))</f>
        <v/>
      </c>
      <c r="R132" s="1923">
        <f>MIN($D132/$D$99,$D132-SUM($M132:Q132))</f>
        <v/>
      </c>
      <c r="T132" s="2003">
        <f>IFERROR((R132/N132)^(1/5)-1,"-")</f>
        <v/>
      </c>
    </row>
    <row r="133" ht="10.5" customHeight="1">
      <c r="C133" s="697" t="inlineStr">
        <is>
          <t>Depreciation charge - year 3 Capex</t>
        </is>
      </c>
      <c r="D133" s="2213" t="n">
        <v>2000</v>
      </c>
      <c r="E133" s="703" t="n"/>
      <c r="F133" s="703" t="n"/>
      <c r="G133" s="703" t="n"/>
      <c r="H133" s="707">
        <f>currency.heading1</f>
        <v/>
      </c>
      <c r="I133" s="707" t="n"/>
      <c r="J133" s="708" t="n"/>
      <c r="K133" s="708" t="n"/>
      <c r="L133" s="2214" t="n"/>
      <c r="M133" s="2214" t="n"/>
      <c r="N133" s="2214" t="n"/>
      <c r="O133" s="2214" t="n"/>
      <c r="P133" s="1923">
        <f>MIN($D133/$D$99,$D133-SUM($M133:O133))</f>
        <v/>
      </c>
      <c r="Q133" s="1923">
        <f>MIN($D133/$D$99,$D133-SUM($M133:P133))</f>
        <v/>
      </c>
      <c r="R133" s="1923">
        <f>MIN($D133/$D$99,$D133-SUM($M133:Q133))</f>
        <v/>
      </c>
      <c r="T133" s="2003">
        <f>IFERROR((R133/N133)^(1/5)-1,"-")</f>
        <v/>
      </c>
    </row>
    <row r="134" ht="10.5" customHeight="1">
      <c r="C134" s="697" t="inlineStr">
        <is>
          <t>Depreciation charge - year 4 Capex</t>
        </is>
      </c>
      <c r="D134" s="2213" t="n">
        <v>2000</v>
      </c>
      <c r="E134" s="703" t="n"/>
      <c r="F134" s="703" t="n"/>
      <c r="G134" s="703" t="n"/>
      <c r="H134" s="707">
        <f>currency.heading1</f>
        <v/>
      </c>
      <c r="I134" s="707" t="n"/>
      <c r="J134" s="708" t="n"/>
      <c r="K134" s="708" t="n"/>
      <c r="L134" s="2214" t="n"/>
      <c r="M134" s="2214" t="n"/>
      <c r="N134" s="2214" t="n"/>
      <c r="O134" s="2214" t="n"/>
      <c r="P134" s="2214" t="n"/>
      <c r="Q134" s="1923">
        <f>MIN($D134/$D$99,$D134-SUM($M134:P134))</f>
        <v/>
      </c>
      <c r="R134" s="1923">
        <f>MIN($D134/$D$99,$D134-SUM($M134:Q134))</f>
        <v/>
      </c>
      <c r="T134" s="2003">
        <f>IFERROR((R134/N134)^(1/5)-1,"-")</f>
        <v/>
      </c>
    </row>
    <row r="135" ht="10.5" customHeight="1">
      <c r="C135" s="697" t="inlineStr">
        <is>
          <t>Depreciation charge - year 5 Capex</t>
        </is>
      </c>
      <c r="D135" s="2213" t="n">
        <v>2000</v>
      </c>
      <c r="E135" s="703" t="n"/>
      <c r="F135" s="703" t="n"/>
      <c r="G135" s="703" t="n"/>
      <c r="H135" s="707">
        <f>currency.heading1</f>
        <v/>
      </c>
      <c r="I135" s="707" t="n"/>
      <c r="J135" s="708" t="n"/>
      <c r="K135" s="708" t="n"/>
      <c r="L135" s="2214" t="n"/>
      <c r="M135" s="2214" t="n"/>
      <c r="N135" s="2214" t="n"/>
      <c r="O135" s="2214" t="n"/>
      <c r="P135" s="2214" t="n"/>
      <c r="Q135" s="2214" t="n"/>
      <c r="R135" s="1923">
        <f>MIN($D135/$D$99,$D135-SUM($M135:Q135))</f>
        <v/>
      </c>
      <c r="T135" s="2003">
        <f>IFERROR((R135/N135)^(1/5)-1,"-")</f>
        <v/>
      </c>
    </row>
    <row r="136" ht="10.5" customHeight="1">
      <c r="C136" s="719" t="inlineStr">
        <is>
          <t>Total depreciation charge for the year</t>
        </is>
      </c>
      <c r="D136" s="698" t="n"/>
      <c r="E136" s="720" t="n"/>
      <c r="F136" s="720" t="n"/>
      <c r="G136" s="720" t="n"/>
      <c r="H136" s="721">
        <f>currency.heading1</f>
        <v/>
      </c>
      <c r="I136" s="721" t="n"/>
      <c r="J136" s="722" t="n"/>
      <c r="K136" s="722" t="n"/>
      <c r="L136" s="2215">
        <f>SUM(L129:L135)</f>
        <v/>
      </c>
      <c r="M136" s="2215">
        <f>SUM(M129:M135)</f>
        <v/>
      </c>
      <c r="N136" s="2215">
        <f>SUM(N129:N135)</f>
        <v/>
      </c>
      <c r="O136" s="2215">
        <f>SUM(O129:O135)</f>
        <v/>
      </c>
      <c r="P136" s="2215">
        <f>SUM(P129:P135)</f>
        <v/>
      </c>
      <c r="Q136" s="2215">
        <f>SUM(Q129:Q135)</f>
        <v/>
      </c>
      <c r="R136" s="2215">
        <f>SUM(R129:R135)</f>
        <v/>
      </c>
      <c r="T136" s="2003">
        <f>IFERROR((R136/N136)^(1/5)-1,"-")</f>
        <v/>
      </c>
    </row>
    <row r="137" ht="10.5" customHeight="1">
      <c r="C137" s="698" t="inlineStr">
        <is>
          <t>Ending balance - Accumulated Depreciation</t>
        </is>
      </c>
      <c r="D137" s="698" t="n"/>
      <c r="E137" s="724" t="n"/>
      <c r="F137" s="724" t="n"/>
      <c r="G137" s="724" t="n"/>
      <c r="H137" s="721">
        <f>currency.heading1</f>
        <v/>
      </c>
      <c r="I137" s="721" t="n"/>
      <c r="J137" s="725" t="n"/>
      <c r="K137" s="725" t="n"/>
      <c r="L137" s="2089">
        <f>L128+L136</f>
        <v/>
      </c>
      <c r="M137" s="2089">
        <f>M128+M136</f>
        <v/>
      </c>
      <c r="N137" s="2089">
        <f>N128+N136</f>
        <v/>
      </c>
      <c r="O137" s="2089">
        <f>O128+O136</f>
        <v/>
      </c>
      <c r="P137" s="2089">
        <f>P128+P136</f>
        <v/>
      </c>
      <c r="Q137" s="2089">
        <f>Q128+Q136</f>
        <v/>
      </c>
      <c r="R137" s="2089">
        <f>R128+R136</f>
        <v/>
      </c>
      <c r="T137" s="2003">
        <f>IFERROR((R137/N137)^(1/5)-1,"-")</f>
        <v/>
      </c>
    </row>
    <row r="138" ht="10.5" customHeight="1">
      <c r="C138" s="698" t="inlineStr">
        <is>
          <t>NBV - Gross Block B</t>
        </is>
      </c>
      <c r="D138" s="698" t="n"/>
      <c r="E138" s="727" t="n"/>
      <c r="F138" s="727" t="n"/>
      <c r="G138" s="727" t="n"/>
      <c r="H138" s="713">
        <f>currency.heading1</f>
        <v/>
      </c>
      <c r="I138" s="713" t="n"/>
      <c r="J138" s="728" t="n"/>
      <c r="K138" s="728" t="n"/>
      <c r="L138" s="2216">
        <f>L125-L137</f>
        <v/>
      </c>
      <c r="M138" s="2216">
        <f>M125-M137</f>
        <v/>
      </c>
      <c r="N138" s="2216">
        <f>N125-N137</f>
        <v/>
      </c>
      <c r="O138" s="2216">
        <f>O125-O137</f>
        <v/>
      </c>
      <c r="P138" s="2216">
        <f>P125-P137</f>
        <v/>
      </c>
      <c r="Q138" s="2216">
        <f>Q125-Q137</f>
        <v/>
      </c>
      <c r="R138" s="2216">
        <f>R125-R137</f>
        <v/>
      </c>
      <c r="T138" s="2003">
        <f>IFERROR((R138/N138)^(1/5)-1,"-")</f>
        <v/>
      </c>
    </row>
    <row r="139" ht="10.5" customHeight="1">
      <c r="T139" s="2003">
        <f>IFERROR((R139/N139)^(1/5)-1,"-")</f>
        <v/>
      </c>
    </row>
    <row r="140" ht="10.5" customHeight="1">
      <c r="C140" s="2205" t="inlineStr">
        <is>
          <t>GROSS BLOCK C - (10 years)</t>
        </is>
      </c>
      <c r="D140" s="701" t="n"/>
      <c r="T140" s="2003">
        <f>IFERROR((R140/N140)^(1/5)-1,"-")</f>
        <v/>
      </c>
    </row>
    <row r="141" ht="10.5" customHeight="1">
      <c r="C141" s="697" t="inlineStr">
        <is>
          <t>Useful Life</t>
        </is>
      </c>
      <c r="D141" s="2206" t="n">
        <v>10</v>
      </c>
      <c r="E141" s="703" t="n"/>
      <c r="F141" s="703" t="n"/>
      <c r="G141" s="703" t="n"/>
      <c r="H141" s="704" t="inlineStr">
        <is>
          <t>years</t>
        </is>
      </c>
      <c r="I141" s="704" t="n"/>
      <c r="T141" s="2003">
        <f>IFERROR((R141/N141)^(1/5)-1,"-")</f>
        <v/>
      </c>
    </row>
    <row r="142" ht="10.5" customHeight="1">
      <c r="C142" s="697" t="n"/>
      <c r="D142" s="2207" t="n"/>
      <c r="E142" s="697" t="n"/>
      <c r="F142" s="697" t="n"/>
      <c r="G142" s="697" t="n"/>
      <c r="H142" s="706" t="n"/>
      <c r="I142" s="706" t="n"/>
      <c r="T142" s="2003">
        <f>IFERROR((R142/N142)^(1/5)-1,"-")</f>
        <v/>
      </c>
    </row>
    <row r="143" ht="10.5" customHeight="1">
      <c r="C143" s="695" t="inlineStr">
        <is>
          <t>Cost</t>
        </is>
      </c>
      <c r="D143" s="2207" t="n"/>
      <c r="E143" s="697" t="n"/>
      <c r="F143" s="697" t="n"/>
      <c r="G143" s="697" t="n"/>
      <c r="H143" s="706" t="n"/>
      <c r="I143" s="706" t="n"/>
      <c r="T143" s="2003">
        <f>IFERROR((R143/N143)^(1/5)-1,"-")</f>
        <v/>
      </c>
    </row>
    <row r="144" ht="10.5" customHeight="1">
      <c r="C144" s="697" t="inlineStr">
        <is>
          <t>Opening balance</t>
        </is>
      </c>
      <c r="D144" s="695" t="n"/>
      <c r="E144" s="703" t="n"/>
      <c r="F144" s="703" t="n"/>
      <c r="G144" s="703" t="n"/>
      <c r="H144" s="707">
        <f>currency.heading1</f>
        <v/>
      </c>
      <c r="I144" s="707" t="n"/>
      <c r="J144" s="708" t="n"/>
      <c r="K144" s="708" t="n"/>
      <c r="L144" s="2208">
        <f>Inputs!J219</f>
        <v/>
      </c>
      <c r="M144" s="2200">
        <f>L146</f>
        <v/>
      </c>
      <c r="N144" s="2200">
        <f>M146</f>
        <v/>
      </c>
      <c r="O144" s="2200">
        <f>N146</f>
        <v/>
      </c>
      <c r="P144" s="2200">
        <f>O146</f>
        <v/>
      </c>
      <c r="Q144" s="2200">
        <f>P146</f>
        <v/>
      </c>
      <c r="R144" s="2200">
        <f>Q146</f>
        <v/>
      </c>
      <c r="T144" s="2003">
        <f>IFERROR((R144/N144)^(1/5)-1,"-")</f>
        <v/>
      </c>
    </row>
    <row r="145" ht="10.5" customHeight="1">
      <c r="C145" s="697" t="inlineStr">
        <is>
          <t>Capex Additions</t>
        </is>
      </c>
      <c r="D145" s="2207" t="n"/>
      <c r="E145" s="703" t="n"/>
      <c r="F145" s="703" t="n"/>
      <c r="G145" s="703" t="n"/>
      <c r="H145" s="707">
        <f>currency.heading1</f>
        <v/>
      </c>
      <c r="I145" s="707" t="n"/>
      <c r="J145" s="708" t="n"/>
      <c r="K145" s="708" t="n"/>
      <c r="L145" s="2121">
        <f>IF(ytg.approach=Inputs!$C$39,K145*ytg.actual,IF(ytg.approach=Inputs!$C$40,ytg.mgt*M145,M145-K145))</f>
        <v/>
      </c>
      <c r="M145" s="710">
        <f>Inputs!L220</f>
        <v/>
      </c>
      <c r="N145" s="1993">
        <f>Inputs!M220</f>
        <v/>
      </c>
      <c r="O145" s="1993">
        <f>Inputs!N220</f>
        <v/>
      </c>
      <c r="P145" s="1993">
        <f>Inputs!O220</f>
        <v/>
      </c>
      <c r="Q145" s="1993">
        <f>Inputs!P220</f>
        <v/>
      </c>
      <c r="R145" s="1993">
        <f>Inputs!Q220</f>
        <v/>
      </c>
      <c r="T145" s="2003">
        <f>IFERROR((R145/N145)^(1/5)-1,"-")</f>
        <v/>
      </c>
    </row>
    <row r="146" ht="10.5" customHeight="1">
      <c r="C146" s="698" t="inlineStr">
        <is>
          <t>Closing balance of fixed assets</t>
        </is>
      </c>
      <c r="D146" s="2209" t="n"/>
      <c r="E146" s="712" t="n"/>
      <c r="F146" s="712" t="n"/>
      <c r="G146" s="712" t="n"/>
      <c r="H146" s="713">
        <f>currency.heading1</f>
        <v/>
      </c>
      <c r="I146" s="713" t="n"/>
      <c r="J146" s="2210" t="n"/>
      <c r="K146" s="2210" t="n"/>
      <c r="L146" s="2211">
        <f>SUM(L144:L145)</f>
        <v/>
      </c>
      <c r="M146" s="2211">
        <f>SUM(M144:M145)</f>
        <v/>
      </c>
      <c r="N146" s="2211">
        <f>SUM(N144:N145)</f>
        <v/>
      </c>
      <c r="O146" s="2211">
        <f>SUM(O144:O145)</f>
        <v/>
      </c>
      <c r="P146" s="2211">
        <f>SUM(P144:P145)</f>
        <v/>
      </c>
      <c r="Q146" s="2211">
        <f>SUM(Q144:Q145)</f>
        <v/>
      </c>
      <c r="R146" s="2211">
        <f>SUM(R144:R145)</f>
        <v/>
      </c>
      <c r="T146" s="2003">
        <f>IFERROR((R146/N146)^(1/5)-1,"-")</f>
        <v/>
      </c>
    </row>
    <row r="147" ht="10.5" customHeight="1">
      <c r="C147" s="697" t="n"/>
      <c r="D147" s="2207" t="n"/>
      <c r="E147" s="697" t="n"/>
      <c r="F147" s="697" t="n"/>
      <c r="G147" s="697" t="n"/>
      <c r="H147" s="706" t="n"/>
      <c r="I147" s="706" t="n"/>
      <c r="T147" s="2003">
        <f>IFERROR((R147/N147)^(1/5)-1,"-")</f>
        <v/>
      </c>
    </row>
    <row r="148" ht="10.5" customHeight="1">
      <c r="C148" s="695" t="inlineStr">
        <is>
          <t>Accumulated depreciation</t>
        </is>
      </c>
      <c r="D148" s="695" t="n"/>
      <c r="E148" s="697" t="n"/>
      <c r="F148" s="697" t="n"/>
      <c r="G148" s="697" t="n"/>
      <c r="H148" s="706" t="n"/>
      <c r="I148" s="706" t="n"/>
      <c r="T148" s="2003">
        <f>IFERROR((R148/N148)^(1/5)-1,"-")</f>
        <v/>
      </c>
    </row>
    <row r="149" ht="10.5" customHeight="1">
      <c r="C149" s="697" t="inlineStr">
        <is>
          <t>Opening Balance</t>
        </is>
      </c>
      <c r="D149" s="697" t="n"/>
      <c r="E149" s="703" t="n"/>
      <c r="F149" s="703" t="n"/>
      <c r="G149" s="703" t="n"/>
      <c r="H149" s="707">
        <f>currency.heading1</f>
        <v/>
      </c>
      <c r="I149" s="707" t="n"/>
      <c r="J149" s="708" t="n"/>
      <c r="K149" s="708" t="n"/>
      <c r="L149" s="2212" t="n">
        <v>0</v>
      </c>
      <c r="M149" s="2212" t="n">
        <v>0</v>
      </c>
      <c r="N149" s="1923">
        <f>M158</f>
        <v/>
      </c>
      <c r="O149" s="1923">
        <f>N158</f>
        <v/>
      </c>
      <c r="P149" s="1923">
        <f>O158</f>
        <v/>
      </c>
      <c r="Q149" s="1923">
        <f>P158</f>
        <v/>
      </c>
      <c r="R149" s="1923">
        <f>Q158</f>
        <v/>
      </c>
      <c r="T149" s="2003">
        <f>IFERROR((R149/N149)^(1/5)-1,"-")</f>
        <v/>
      </c>
    </row>
    <row r="150" ht="10.5" customHeight="1">
      <c r="C150" s="697" t="inlineStr">
        <is>
          <t>Depreciation charge - existing assets</t>
        </is>
      </c>
      <c r="D150" s="695" t="n"/>
      <c r="E150" s="703" t="n"/>
      <c r="F150" s="703" t="n"/>
      <c r="G150" s="703" t="n"/>
      <c r="H150" s="707">
        <f>currency.heading1</f>
        <v/>
      </c>
      <c r="I150" s="707" t="n"/>
      <c r="J150" s="708" t="n"/>
      <c r="K150" s="708" t="n"/>
      <c r="L150" s="1923">
        <f>MAX(0,$N144/$D141)</f>
        <v/>
      </c>
      <c r="M150" s="1923">
        <f>MAX(0,$N144/$D141)</f>
        <v/>
      </c>
      <c r="N150" s="1923">
        <f>MAX(0,$N144/$D141)</f>
        <v/>
      </c>
      <c r="O150" s="1923">
        <f>MAX(0,$N144/$D141)</f>
        <v/>
      </c>
      <c r="P150" s="1923">
        <f>MAX(0,$N144/$D141)</f>
        <v/>
      </c>
      <c r="Q150" s="1923">
        <f>MAX(0,$N144/$D141)</f>
        <v/>
      </c>
      <c r="R150" s="1923">
        <f>MAX(0,$N144/$D141)</f>
        <v/>
      </c>
      <c r="T150" s="2003">
        <f>IFERROR((R150/N150)^(1/5)-1,"-")</f>
        <v/>
      </c>
    </row>
    <row r="151" ht="10.5" customHeight="1">
      <c r="C151" s="697" t="inlineStr">
        <is>
          <t>Depreciation charge - year 0 Capex</t>
        </is>
      </c>
      <c r="D151" s="2213">
        <f t="array" ref="D151:D156">TRANSPOSE(M145:R145)</f>
        <v/>
      </c>
      <c r="E151" s="703" t="n"/>
      <c r="F151" s="703" t="n"/>
      <c r="G151" s="703" t="n"/>
      <c r="H151" s="707">
        <f>currency.heading1</f>
        <v/>
      </c>
      <c r="I151" s="707" t="n"/>
      <c r="J151" s="708" t="n"/>
      <c r="K151" s="708" t="n"/>
      <c r="L151" s="2214" t="n"/>
      <c r="M151" s="1923">
        <f>MIN($D151/$D$99,$D151-SUM(L151:$L151))</f>
        <v/>
      </c>
      <c r="N151" s="1923">
        <f>MIN($D151/$D$99,$D151-SUM($M151:M151))</f>
        <v/>
      </c>
      <c r="O151" s="1923">
        <f>MIN($D151/$D$99,$D151-SUM($M151:N151))</f>
        <v/>
      </c>
      <c r="P151" s="1923">
        <f>MIN($D151/$D$99,$D151-SUM($M151:O151))</f>
        <v/>
      </c>
      <c r="Q151" s="1923">
        <f>MIN($D151/$D$99,$D151-SUM($M151:P151))</f>
        <v/>
      </c>
      <c r="R151" s="1923">
        <f>MIN($D151/$D$99,$D151-SUM($M151:Q151))</f>
        <v/>
      </c>
      <c r="T151" s="2003">
        <f>IFERROR((R151/N151)^(1/5)-1,"-")</f>
        <v/>
      </c>
    </row>
    <row r="152" ht="10.5" customHeight="1">
      <c r="C152" s="697" t="inlineStr">
        <is>
          <t>Depreciation charge - year 1 Capex</t>
        </is>
      </c>
      <c r="D152" s="2213" t="n">
        <v>15000</v>
      </c>
      <c r="E152" s="703" t="n"/>
      <c r="F152" s="703" t="n"/>
      <c r="G152" s="703" t="n"/>
      <c r="H152" s="707">
        <f>currency.heading1</f>
        <v/>
      </c>
      <c r="I152" s="707" t="n"/>
      <c r="J152" s="708" t="n"/>
      <c r="K152" s="708" t="n"/>
      <c r="L152" s="2214" t="n"/>
      <c r="M152" s="2214" t="n"/>
      <c r="N152" s="1923">
        <f>MIN($D152/$D$99,$D152-SUM($M152:M152))</f>
        <v/>
      </c>
      <c r="O152" s="1923">
        <f>MIN($D152/$D$99,$D152-SUM($M152:N152))</f>
        <v/>
      </c>
      <c r="P152" s="1923">
        <f>MIN($D152/$D$99,$D152-SUM($M152:O152))</f>
        <v/>
      </c>
      <c r="Q152" s="1923">
        <f>MIN($D152/$D$99,$D152-SUM($M152:P152))</f>
        <v/>
      </c>
      <c r="R152" s="1923">
        <f>MIN($D152/$D$99,$D152-SUM($M152:Q152))</f>
        <v/>
      </c>
      <c r="T152" s="2003">
        <f>IFERROR((R152/N152)^(1/5)-1,"-")</f>
        <v/>
      </c>
    </row>
    <row r="153" ht="10.5" customHeight="1">
      <c r="C153" s="697" t="inlineStr">
        <is>
          <t>Depreciation charge - year 2 Capex</t>
        </is>
      </c>
      <c r="D153" s="2213" t="n">
        <v>15000</v>
      </c>
      <c r="E153" s="703" t="n"/>
      <c r="F153" s="703" t="n"/>
      <c r="G153" s="703" t="n"/>
      <c r="H153" s="707">
        <f>currency.heading1</f>
        <v/>
      </c>
      <c r="I153" s="707" t="n"/>
      <c r="J153" s="708" t="n"/>
      <c r="K153" s="708" t="n"/>
      <c r="L153" s="2214" t="n"/>
      <c r="M153" s="2214" t="n"/>
      <c r="N153" s="2214" t="n"/>
      <c r="O153" s="1923">
        <f>MIN($D153/$D$99,$D153-SUM($M153:N153))</f>
        <v/>
      </c>
      <c r="P153" s="1923">
        <f>MIN($D153/$D$99,$D153-SUM($M153:O153))</f>
        <v/>
      </c>
      <c r="Q153" s="1923">
        <f>MIN($D153/$D$99,$D153-SUM($M153:P153))</f>
        <v/>
      </c>
      <c r="R153" s="1923">
        <f>MIN($D153/$D$99,$D153-SUM($M153:Q153))</f>
        <v/>
      </c>
      <c r="T153" s="2003">
        <f>IFERROR((R153/N153)^(1/5)-1,"-")</f>
        <v/>
      </c>
    </row>
    <row r="154" ht="10.5" customHeight="1">
      <c r="C154" s="697" t="inlineStr">
        <is>
          <t>Depreciation charge - year 3 Capex</t>
        </is>
      </c>
      <c r="D154" s="2213" t="n">
        <v>15000</v>
      </c>
      <c r="E154" s="703" t="n"/>
      <c r="F154" s="703" t="n"/>
      <c r="G154" s="703" t="n"/>
      <c r="H154" s="707">
        <f>currency.heading1</f>
        <v/>
      </c>
      <c r="I154" s="707" t="n"/>
      <c r="J154" s="708" t="n"/>
      <c r="K154" s="708" t="n"/>
      <c r="L154" s="2214" t="n"/>
      <c r="M154" s="2214" t="n"/>
      <c r="N154" s="2214" t="n"/>
      <c r="O154" s="2214" t="n"/>
      <c r="P154" s="1923">
        <f>MIN($D154/$D$99,$D154-SUM($M154:O154))</f>
        <v/>
      </c>
      <c r="Q154" s="1923">
        <f>MIN($D154/$D$99,$D154-SUM($M154:P154))</f>
        <v/>
      </c>
      <c r="R154" s="1923">
        <f>MIN($D154/$D$99,$D154-SUM($M154:Q154))</f>
        <v/>
      </c>
      <c r="T154" s="2003">
        <f>IFERROR((R154/N154)^(1/5)-1,"-")</f>
        <v/>
      </c>
    </row>
    <row r="155" ht="10.5" customHeight="1">
      <c r="C155" s="697" t="inlineStr">
        <is>
          <t>Depreciation charge - year 4 Capex</t>
        </is>
      </c>
      <c r="D155" s="2213" t="n">
        <v>15000</v>
      </c>
      <c r="E155" s="703" t="n"/>
      <c r="F155" s="703" t="n"/>
      <c r="G155" s="703" t="n"/>
      <c r="H155" s="707">
        <f>currency.heading1</f>
        <v/>
      </c>
      <c r="I155" s="707" t="n"/>
      <c r="J155" s="708" t="n"/>
      <c r="K155" s="708" t="n"/>
      <c r="L155" s="2214" t="n"/>
      <c r="M155" s="2214" t="n"/>
      <c r="N155" s="2214" t="n"/>
      <c r="O155" s="2214" t="n"/>
      <c r="P155" s="2214" t="n"/>
      <c r="Q155" s="1923">
        <f>MIN($D155/$D$99,$D155-SUM($M155:P155))</f>
        <v/>
      </c>
      <c r="R155" s="1923">
        <f>MIN($D155/$D$99,$D155-SUM($M155:Q155))</f>
        <v/>
      </c>
      <c r="T155" s="2003">
        <f>IFERROR((R155/N155)^(1/5)-1,"-")</f>
        <v/>
      </c>
    </row>
    <row r="156" ht="10.5" customHeight="1">
      <c r="C156" s="697" t="inlineStr">
        <is>
          <t>Depreciation charge - year 5 Capex</t>
        </is>
      </c>
      <c r="D156" s="2213" t="n">
        <v>15000</v>
      </c>
      <c r="E156" s="703" t="n"/>
      <c r="F156" s="703" t="n"/>
      <c r="G156" s="703" t="n"/>
      <c r="H156" s="707">
        <f>currency.heading1</f>
        <v/>
      </c>
      <c r="I156" s="707" t="n"/>
      <c r="J156" s="708" t="n"/>
      <c r="K156" s="708" t="n"/>
      <c r="L156" s="2214" t="n"/>
      <c r="M156" s="2214" t="n"/>
      <c r="N156" s="2214" t="n"/>
      <c r="O156" s="2214" t="n"/>
      <c r="P156" s="2214" t="n"/>
      <c r="Q156" s="2214" t="n"/>
      <c r="R156" s="1923">
        <f>MIN($D156/$D$99,$D156-SUM($M156:Q156))</f>
        <v/>
      </c>
      <c r="T156" s="2003">
        <f>IFERROR((R156/N156)^(1/5)-1,"-")</f>
        <v/>
      </c>
    </row>
    <row r="157" ht="10.5" customHeight="1">
      <c r="C157" s="719" t="inlineStr">
        <is>
          <t>Total depreciation charge for the year</t>
        </is>
      </c>
      <c r="D157" s="698" t="n"/>
      <c r="E157" s="720" t="n"/>
      <c r="F157" s="720" t="n"/>
      <c r="G157" s="720" t="n"/>
      <c r="H157" s="721">
        <f>currency.heading1</f>
        <v/>
      </c>
      <c r="I157" s="721" t="n"/>
      <c r="J157" s="722" t="n"/>
      <c r="K157" s="722" t="n"/>
      <c r="L157" s="2215">
        <f>SUM(L150:L156)</f>
        <v/>
      </c>
      <c r="M157" s="2215">
        <f>SUM(M150:M156)</f>
        <v/>
      </c>
      <c r="N157" s="2215">
        <f>SUM(N150:N156)</f>
        <v/>
      </c>
      <c r="O157" s="2215">
        <f>SUM(O150:O156)</f>
        <v/>
      </c>
      <c r="P157" s="2215">
        <f>SUM(P150:P156)</f>
        <v/>
      </c>
      <c r="Q157" s="2215">
        <f>SUM(Q150:Q156)</f>
        <v/>
      </c>
      <c r="R157" s="2215">
        <f>SUM(R150:R156)</f>
        <v/>
      </c>
      <c r="T157" s="2003">
        <f>IFERROR((R157/N157)^(1/5)-1,"-")</f>
        <v/>
      </c>
    </row>
    <row r="158" ht="10.5" customHeight="1">
      <c r="C158" s="698" t="inlineStr">
        <is>
          <t>Ending balance - Accumulated Depreciation</t>
        </is>
      </c>
      <c r="D158" s="698" t="n"/>
      <c r="E158" s="724" t="n"/>
      <c r="F158" s="724" t="n"/>
      <c r="G158" s="724" t="n"/>
      <c r="H158" s="721">
        <f>currency.heading1</f>
        <v/>
      </c>
      <c r="I158" s="721" t="n"/>
      <c r="J158" s="725" t="n"/>
      <c r="K158" s="725" t="n"/>
      <c r="L158" s="2089">
        <f>L149+L157</f>
        <v/>
      </c>
      <c r="M158" s="2089">
        <f>M149+M157</f>
        <v/>
      </c>
      <c r="N158" s="2089">
        <f>N149+N157</f>
        <v/>
      </c>
      <c r="O158" s="2089">
        <f>O149+O157</f>
        <v/>
      </c>
      <c r="P158" s="2089">
        <f>P149+P157</f>
        <v/>
      </c>
      <c r="Q158" s="2089">
        <f>Q149+Q157</f>
        <v/>
      </c>
      <c r="R158" s="2089">
        <f>R149+R157</f>
        <v/>
      </c>
      <c r="T158" s="2003">
        <f>IFERROR((R158/N158)^(1/5)-1,"-")</f>
        <v/>
      </c>
    </row>
    <row r="159" ht="10.5" customHeight="1">
      <c r="C159" s="698" t="inlineStr">
        <is>
          <t>NBV - Gross Block C</t>
        </is>
      </c>
      <c r="D159" s="698" t="n"/>
      <c r="E159" s="727" t="n"/>
      <c r="F159" s="727" t="n"/>
      <c r="G159" s="727" t="n"/>
      <c r="H159" s="713">
        <f>currency.heading1</f>
        <v/>
      </c>
      <c r="I159" s="713" t="n"/>
      <c r="J159" s="728" t="n"/>
      <c r="K159" s="728" t="n"/>
      <c r="L159" s="2216">
        <f>L146-L158</f>
        <v/>
      </c>
      <c r="M159" s="2216">
        <f>M146-M158</f>
        <v/>
      </c>
      <c r="N159" s="2216">
        <f>N146-N158</f>
        <v/>
      </c>
      <c r="O159" s="2216">
        <f>O146-O158</f>
        <v/>
      </c>
      <c r="P159" s="2216">
        <f>P146-P158</f>
        <v/>
      </c>
      <c r="Q159" s="2216">
        <f>Q146-Q158</f>
        <v/>
      </c>
      <c r="R159" s="2216">
        <f>R146-R158</f>
        <v/>
      </c>
      <c r="T159" s="2003">
        <f>IFERROR((R159/N159)^(1/5)-1,"-")</f>
        <v/>
      </c>
    </row>
    <row r="160" ht="10.5" customHeight="1">
      <c r="T160" s="2003">
        <f>IFERROR((R160/N160)^(1/5)-1,"-")</f>
        <v/>
      </c>
    </row>
    <row r="161" ht="10.5" customHeight="1">
      <c r="C161" s="2205" t="inlineStr">
        <is>
          <t>GROSS BLOCK D - (5 years)</t>
        </is>
      </c>
      <c r="D161" s="701" t="n"/>
      <c r="T161" s="2003">
        <f>IFERROR((R161/N161)^(1/5)-1,"-")</f>
        <v/>
      </c>
    </row>
    <row r="162" ht="10.5" customHeight="1">
      <c r="C162" s="697" t="inlineStr">
        <is>
          <t>Useful Life</t>
        </is>
      </c>
      <c r="D162" s="2206" t="n">
        <v>5</v>
      </c>
      <c r="E162" s="703" t="n"/>
      <c r="F162" s="703" t="n"/>
      <c r="G162" s="703" t="n"/>
      <c r="H162" s="704" t="inlineStr">
        <is>
          <t>years</t>
        </is>
      </c>
      <c r="I162" s="704" t="n"/>
      <c r="T162" s="2003">
        <f>IFERROR((R162/N162)^(1/5)-1,"-")</f>
        <v/>
      </c>
    </row>
    <row r="163" ht="10.5" customHeight="1">
      <c r="C163" s="697" t="n"/>
      <c r="D163" s="2207" t="n"/>
      <c r="E163" s="697" t="n"/>
      <c r="F163" s="697" t="n"/>
      <c r="G163" s="697" t="n"/>
      <c r="H163" s="706" t="n"/>
      <c r="I163" s="706" t="n"/>
      <c r="T163" s="2003">
        <f>IFERROR((R163/N163)^(1/5)-1,"-")</f>
        <v/>
      </c>
    </row>
    <row r="164" ht="10.5" customHeight="1">
      <c r="C164" s="695" t="inlineStr">
        <is>
          <t>Cost</t>
        </is>
      </c>
      <c r="D164" s="2207" t="n"/>
      <c r="E164" s="697" t="n"/>
      <c r="F164" s="697" t="n"/>
      <c r="G164" s="697" t="n"/>
      <c r="H164" s="706" t="n"/>
      <c r="I164" s="706" t="n"/>
      <c r="T164" s="2003">
        <f>IFERROR((R164/N164)^(1/5)-1,"-")</f>
        <v/>
      </c>
    </row>
    <row r="165" ht="10.5" customHeight="1">
      <c r="C165" s="697" t="inlineStr">
        <is>
          <t>Opening balance</t>
        </is>
      </c>
      <c r="D165" s="695" t="n"/>
      <c r="E165" s="703" t="n"/>
      <c r="F165" s="703" t="n"/>
      <c r="G165" s="703" t="n"/>
      <c r="H165" s="707">
        <f>currency.heading1</f>
        <v/>
      </c>
      <c r="I165" s="707" t="n"/>
      <c r="J165" s="708" t="n"/>
      <c r="K165" s="708" t="n"/>
      <c r="L165" s="2208">
        <f>Inputs!J222</f>
        <v/>
      </c>
      <c r="M165" s="2200">
        <f>L167</f>
        <v/>
      </c>
      <c r="N165" s="2200">
        <f>M167</f>
        <v/>
      </c>
      <c r="O165" s="2200">
        <f>N167</f>
        <v/>
      </c>
      <c r="P165" s="2200">
        <f>O167</f>
        <v/>
      </c>
      <c r="Q165" s="2200">
        <f>P167</f>
        <v/>
      </c>
      <c r="R165" s="2200">
        <f>Q167</f>
        <v/>
      </c>
      <c r="T165" s="2003">
        <f>IFERROR((R165/N165)^(1/5)-1,"-")</f>
        <v/>
      </c>
    </row>
    <row r="166" ht="10.5" customHeight="1">
      <c r="C166" s="697" t="inlineStr">
        <is>
          <t>Capex Additions</t>
        </is>
      </c>
      <c r="D166" s="2207" t="n"/>
      <c r="E166" s="703" t="n"/>
      <c r="F166" s="703" t="n"/>
      <c r="G166" s="703" t="n"/>
      <c r="H166" s="707">
        <f>currency.heading1</f>
        <v/>
      </c>
      <c r="I166" s="707" t="n"/>
      <c r="J166" s="708" t="n"/>
      <c r="K166" s="708" t="n"/>
      <c r="L166" s="2121">
        <f>IF(ytg.approach=Inputs!$C$39,K166*ytg.actual,IF(ytg.approach=Inputs!$C$40,ytg.mgt*M166,M166-K166))</f>
        <v/>
      </c>
      <c r="M166" s="710">
        <f>Inputs!L223</f>
        <v/>
      </c>
      <c r="N166" s="710">
        <f>Inputs!M223</f>
        <v/>
      </c>
      <c r="O166" s="710">
        <f>Inputs!N223</f>
        <v/>
      </c>
      <c r="P166" s="710">
        <f>Inputs!O223</f>
        <v/>
      </c>
      <c r="Q166" s="710">
        <f>Inputs!P223</f>
        <v/>
      </c>
      <c r="R166" s="710">
        <f>Inputs!Q223</f>
        <v/>
      </c>
      <c r="T166" s="2003">
        <f>IFERROR((R166/N166)^(1/5)-1,"-")</f>
        <v/>
      </c>
    </row>
    <row r="167" ht="10.5" customHeight="1">
      <c r="C167" s="698" t="inlineStr">
        <is>
          <t>Closing balance of fixed assets</t>
        </is>
      </c>
      <c r="D167" s="2209" t="n"/>
      <c r="E167" s="712" t="n"/>
      <c r="F167" s="712" t="n"/>
      <c r="G167" s="712" t="n"/>
      <c r="H167" s="713">
        <f>currency.heading1</f>
        <v/>
      </c>
      <c r="I167" s="713" t="n"/>
      <c r="J167" s="2210" t="n"/>
      <c r="K167" s="2210" t="n"/>
      <c r="L167" s="2211">
        <f>SUM(L165:L166)</f>
        <v/>
      </c>
      <c r="M167" s="2211">
        <f>SUM(M165:M166)</f>
        <v/>
      </c>
      <c r="N167" s="2211">
        <f>SUM(N165:N166)</f>
        <v/>
      </c>
      <c r="O167" s="2211">
        <f>SUM(O165:O166)</f>
        <v/>
      </c>
      <c r="P167" s="2211">
        <f>SUM(P165:P166)</f>
        <v/>
      </c>
      <c r="Q167" s="2211">
        <f>SUM(Q165:Q166)</f>
        <v/>
      </c>
      <c r="R167" s="2211">
        <f>SUM(R165:R166)</f>
        <v/>
      </c>
      <c r="T167" s="2003">
        <f>IFERROR((R167/N167)^(1/5)-1,"-")</f>
        <v/>
      </c>
    </row>
    <row r="168" ht="10.5" customHeight="1">
      <c r="C168" s="697" t="n"/>
      <c r="D168" s="2207" t="n"/>
      <c r="E168" s="697" t="n"/>
      <c r="F168" s="697" t="n"/>
      <c r="G168" s="697" t="n"/>
      <c r="H168" s="706" t="n"/>
      <c r="I168" s="706" t="n"/>
      <c r="T168" s="2003">
        <f>IFERROR((R168/N168)^(1/5)-1,"-")</f>
        <v/>
      </c>
    </row>
    <row r="169" ht="10.5" customHeight="1">
      <c r="C169" s="695" t="inlineStr">
        <is>
          <t>Accumulated depreciation</t>
        </is>
      </c>
      <c r="D169" s="695" t="n"/>
      <c r="E169" s="697" t="n"/>
      <c r="F169" s="697" t="n"/>
      <c r="G169" s="697" t="n"/>
      <c r="H169" s="706" t="n"/>
      <c r="I169" s="706" t="n"/>
      <c r="T169" s="2003">
        <f>IFERROR((R169/N169)^(1/5)-1,"-")</f>
        <v/>
      </c>
    </row>
    <row r="170" ht="10.5" customHeight="1">
      <c r="C170" s="697" t="inlineStr">
        <is>
          <t>Opening Balance</t>
        </is>
      </c>
      <c r="D170" s="697" t="n"/>
      <c r="E170" s="703" t="n"/>
      <c r="F170" s="703" t="n"/>
      <c r="G170" s="703" t="n"/>
      <c r="H170" s="707">
        <f>currency.heading1</f>
        <v/>
      </c>
      <c r="I170" s="707" t="n"/>
      <c r="J170" s="708" t="n"/>
      <c r="K170" s="708" t="n"/>
      <c r="L170" s="2212" t="n">
        <v>0</v>
      </c>
      <c r="M170" s="2212" t="n">
        <v>0</v>
      </c>
      <c r="N170" s="1923">
        <f>M179</f>
        <v/>
      </c>
      <c r="O170" s="1923">
        <f>N179</f>
        <v/>
      </c>
      <c r="P170" s="1923">
        <f>O179</f>
        <v/>
      </c>
      <c r="Q170" s="1923">
        <f>P179</f>
        <v/>
      </c>
      <c r="R170" s="1923">
        <f>Q179</f>
        <v/>
      </c>
      <c r="T170" s="2003">
        <f>IFERROR((R170/N170)^(1/5)-1,"-")</f>
        <v/>
      </c>
    </row>
    <row r="171" ht="10.5" customHeight="1">
      <c r="C171" s="697" t="inlineStr">
        <is>
          <t>Depreciation charge - existing assets</t>
        </is>
      </c>
      <c r="D171" s="695" t="n"/>
      <c r="E171" s="703" t="n"/>
      <c r="F171" s="703" t="n"/>
      <c r="G171" s="703" t="n"/>
      <c r="H171" s="707">
        <f>currency.heading1</f>
        <v/>
      </c>
      <c r="I171" s="707" t="n"/>
      <c r="J171" s="708" t="n"/>
      <c r="K171" s="708" t="n"/>
      <c r="L171" s="1923">
        <f>MAX(0,$N165/$D162)</f>
        <v/>
      </c>
      <c r="M171" s="1923">
        <f>MAX(0,$N165/$D162)</f>
        <v/>
      </c>
      <c r="N171" s="1923">
        <f>MAX(0,$N165/$D162)</f>
        <v/>
      </c>
      <c r="O171" s="1923">
        <f>MAX(0,$N165/$D162)</f>
        <v/>
      </c>
      <c r="P171" s="1923">
        <f>MAX(0,$N165/$D162)</f>
        <v/>
      </c>
      <c r="Q171" s="1923">
        <f>MAX(0,$N165/$D162)</f>
        <v/>
      </c>
      <c r="R171" s="1923">
        <f>MAX(0,$N165/$D162)</f>
        <v/>
      </c>
      <c r="T171" s="2003">
        <f>IFERROR((R171/N171)^(1/5)-1,"-")</f>
        <v/>
      </c>
    </row>
    <row r="172" ht="10.5" customHeight="1">
      <c r="C172" s="697" t="inlineStr">
        <is>
          <t>Depreciation charge - year 0 Capex</t>
        </is>
      </c>
      <c r="D172" s="2213">
        <f t="array" ref="D172:D177">TRANSPOSE(M166:R166)</f>
        <v/>
      </c>
      <c r="E172" s="703" t="n"/>
      <c r="F172" s="703" t="n"/>
      <c r="G172" s="703" t="n"/>
      <c r="H172" s="707">
        <f>currency.heading1</f>
        <v/>
      </c>
      <c r="I172" s="707" t="n"/>
      <c r="J172" s="708" t="n"/>
      <c r="K172" s="708" t="n"/>
      <c r="L172" s="2214" t="n"/>
      <c r="M172" s="1923">
        <f>MIN($D172/$D$99,$D172-SUM(L172:$L172))</f>
        <v/>
      </c>
      <c r="N172" s="1923">
        <f>MIN($D172/$D$99,$D172-SUM($M172:M172))</f>
        <v/>
      </c>
      <c r="O172" s="1923">
        <f>MIN($D172/$D$99,$D172-SUM($M172:N172))</f>
        <v/>
      </c>
      <c r="P172" s="1923">
        <f>MIN($D172/$D$99,$D172-SUM($M172:O172))</f>
        <v/>
      </c>
      <c r="Q172" s="1923">
        <f>MIN($D172/$D$99,$D172-SUM($M172:P172))</f>
        <v/>
      </c>
      <c r="R172" s="1923">
        <f>MIN($D172/$D$99,$D172-SUM($M172:Q172))</f>
        <v/>
      </c>
      <c r="T172" s="2003">
        <f>IFERROR((R172/N172)^(1/5)-1,"-")</f>
        <v/>
      </c>
    </row>
    <row r="173" ht="10.5" customHeight="1">
      <c r="C173" s="697" t="inlineStr">
        <is>
          <t>Depreciation charge - year 1 Capex</t>
        </is>
      </c>
      <c r="D173" s="2213" t="n">
        <v>2000</v>
      </c>
      <c r="E173" s="703" t="n"/>
      <c r="F173" s="703" t="n"/>
      <c r="G173" s="703" t="n"/>
      <c r="H173" s="707">
        <f>currency.heading1</f>
        <v/>
      </c>
      <c r="I173" s="707" t="n"/>
      <c r="J173" s="708" t="n"/>
      <c r="K173" s="708" t="n"/>
      <c r="L173" s="2214" t="n"/>
      <c r="M173" s="2214" t="n"/>
      <c r="N173" s="1923">
        <f>MIN($D173/$D$99,$D173-SUM($M173:M173))</f>
        <v/>
      </c>
      <c r="O173" s="1923">
        <f>MIN($D173/$D$99,$D173-SUM($M173:N173))</f>
        <v/>
      </c>
      <c r="P173" s="1923">
        <f>MIN($D173/$D$99,$D173-SUM($M173:O173))</f>
        <v/>
      </c>
      <c r="Q173" s="1923">
        <f>MIN($D173/$D$99,$D173-SUM($M173:P173))</f>
        <v/>
      </c>
      <c r="R173" s="1923">
        <f>MIN($D173/$D$99,$D173-SUM($M173:Q173))</f>
        <v/>
      </c>
      <c r="T173" s="2003">
        <f>IFERROR((R173/N173)^(1/5)-1,"-")</f>
        <v/>
      </c>
    </row>
    <row r="174" ht="10.5" customHeight="1">
      <c r="C174" s="697" t="inlineStr">
        <is>
          <t>Depreciation charge - year 2 Capex</t>
        </is>
      </c>
      <c r="D174" s="2213" t="n">
        <v>2000</v>
      </c>
      <c r="E174" s="703" t="n"/>
      <c r="F174" s="703" t="n"/>
      <c r="G174" s="703" t="n"/>
      <c r="H174" s="707">
        <f>currency.heading1</f>
        <v/>
      </c>
      <c r="I174" s="707" t="n"/>
      <c r="J174" s="708" t="n"/>
      <c r="K174" s="708" t="n"/>
      <c r="L174" s="2214" t="n"/>
      <c r="M174" s="2214" t="n"/>
      <c r="N174" s="2214" t="n"/>
      <c r="O174" s="1923">
        <f>MIN($D174/$D$99,$D174-SUM($M174:N174))</f>
        <v/>
      </c>
      <c r="P174" s="1923">
        <f>MIN($D174/$D$99,$D174-SUM($M174:O174))</f>
        <v/>
      </c>
      <c r="Q174" s="1923">
        <f>MIN($D174/$D$99,$D174-SUM($M174:P174))</f>
        <v/>
      </c>
      <c r="R174" s="1923">
        <f>MIN($D174/$D$99,$D174-SUM($M174:Q174))</f>
        <v/>
      </c>
      <c r="T174" s="2003">
        <f>IFERROR((R174/N174)^(1/5)-1,"-")</f>
        <v/>
      </c>
    </row>
    <row r="175" ht="10.5" customHeight="1">
      <c r="C175" s="697" t="inlineStr">
        <is>
          <t>Depreciation charge - year 3 Capex</t>
        </is>
      </c>
      <c r="D175" s="2213" t="n">
        <v>2000</v>
      </c>
      <c r="E175" s="703" t="n"/>
      <c r="F175" s="703" t="n"/>
      <c r="G175" s="703" t="n"/>
      <c r="H175" s="707">
        <f>currency.heading1</f>
        <v/>
      </c>
      <c r="I175" s="707" t="n"/>
      <c r="J175" s="708" t="n"/>
      <c r="K175" s="708" t="n"/>
      <c r="L175" s="2214" t="n"/>
      <c r="M175" s="2214" t="n"/>
      <c r="N175" s="2214" t="n"/>
      <c r="O175" s="2214" t="n"/>
      <c r="P175" s="1923">
        <f>MIN($D175/$D$99,$D175-SUM($M175:O175))</f>
        <v/>
      </c>
      <c r="Q175" s="1923">
        <f>MIN($D175/$D$99,$D175-SUM($M175:P175))</f>
        <v/>
      </c>
      <c r="R175" s="1923">
        <f>MIN($D175/$D$99,$D175-SUM($M175:Q175))</f>
        <v/>
      </c>
      <c r="T175" s="2003">
        <f>IFERROR((R175/N175)^(1/5)-1,"-")</f>
        <v/>
      </c>
    </row>
    <row r="176" ht="10.5" customHeight="1">
      <c r="C176" s="697" t="inlineStr">
        <is>
          <t>Depreciation charge - year 4 Capex</t>
        </is>
      </c>
      <c r="D176" s="2213" t="n">
        <v>2000</v>
      </c>
      <c r="E176" s="703" t="n"/>
      <c r="F176" s="703" t="n"/>
      <c r="G176" s="703" t="n"/>
      <c r="H176" s="707">
        <f>currency.heading1</f>
        <v/>
      </c>
      <c r="I176" s="707" t="n"/>
      <c r="J176" s="708" t="n"/>
      <c r="K176" s="708" t="n"/>
      <c r="L176" s="2214" t="n"/>
      <c r="M176" s="2214" t="n"/>
      <c r="N176" s="2214" t="n"/>
      <c r="O176" s="2214" t="n"/>
      <c r="P176" s="2214" t="n"/>
      <c r="Q176" s="1923">
        <f>MIN($D176/$D$99,$D176-SUM($M176:P176))</f>
        <v/>
      </c>
      <c r="R176" s="1923">
        <f>MIN($D176/$D$99,$D176-SUM($M176:Q176))</f>
        <v/>
      </c>
      <c r="T176" s="2003">
        <f>IFERROR((R176/N176)^(1/5)-1,"-")</f>
        <v/>
      </c>
    </row>
    <row r="177" ht="10.5" customHeight="1">
      <c r="C177" s="697" t="inlineStr">
        <is>
          <t>Depreciation charge - year 5 Capex</t>
        </is>
      </c>
      <c r="D177" s="2213" t="n">
        <v>2000</v>
      </c>
      <c r="E177" s="703" t="n"/>
      <c r="F177" s="703" t="n"/>
      <c r="G177" s="703" t="n"/>
      <c r="H177" s="707">
        <f>currency.heading1</f>
        <v/>
      </c>
      <c r="I177" s="707" t="n"/>
      <c r="J177" s="708" t="n"/>
      <c r="K177" s="708" t="n"/>
      <c r="L177" s="2214" t="n"/>
      <c r="M177" s="2214" t="n"/>
      <c r="N177" s="2214" t="n"/>
      <c r="O177" s="2214" t="n"/>
      <c r="P177" s="2214" t="n"/>
      <c r="Q177" s="2214" t="n"/>
      <c r="R177" s="1923">
        <f>MIN($D177/$D$99,$D177-SUM($M177:Q177))</f>
        <v/>
      </c>
      <c r="T177" s="2003">
        <f>IFERROR((R177/N177)^(1/5)-1,"-")</f>
        <v/>
      </c>
    </row>
    <row r="178" ht="10.5" customHeight="1">
      <c r="C178" s="719" t="inlineStr">
        <is>
          <t>Total depreciation charge for the year</t>
        </is>
      </c>
      <c r="D178" s="698" t="n"/>
      <c r="E178" s="720" t="n"/>
      <c r="F178" s="720" t="n"/>
      <c r="G178" s="720" t="n"/>
      <c r="H178" s="721">
        <f>currency.heading1</f>
        <v/>
      </c>
      <c r="I178" s="721" t="n"/>
      <c r="J178" s="722" t="n"/>
      <c r="K178" s="722" t="n"/>
      <c r="L178" s="2215">
        <f>SUM(L171:L177)</f>
        <v/>
      </c>
      <c r="M178" s="2215">
        <f>SUM(M171:M177)</f>
        <v/>
      </c>
      <c r="N178" s="2215">
        <f>SUM(N171:N177)</f>
        <v/>
      </c>
      <c r="O178" s="2215">
        <f>SUM(O171:O177)</f>
        <v/>
      </c>
      <c r="P178" s="2215">
        <f>SUM(P171:P177)</f>
        <v/>
      </c>
      <c r="Q178" s="2215">
        <f>SUM(Q171:Q177)</f>
        <v/>
      </c>
      <c r="R178" s="2215">
        <f>SUM(R171:R177)</f>
        <v/>
      </c>
      <c r="T178" s="2003">
        <f>IFERROR((R178/N178)^(1/5)-1,"-")</f>
        <v/>
      </c>
    </row>
    <row r="179" ht="10.5" customHeight="1">
      <c r="C179" s="698" t="inlineStr">
        <is>
          <t>Ending balance - Accumulated Depreciation</t>
        </is>
      </c>
      <c r="D179" s="698" t="n"/>
      <c r="E179" s="724" t="n"/>
      <c r="F179" s="724" t="n"/>
      <c r="G179" s="724" t="n"/>
      <c r="H179" s="721">
        <f>currency.heading1</f>
        <v/>
      </c>
      <c r="I179" s="721" t="n"/>
      <c r="J179" s="725" t="n"/>
      <c r="K179" s="725" t="n"/>
      <c r="L179" s="2089">
        <f>L170+L178</f>
        <v/>
      </c>
      <c r="M179" s="2089">
        <f>M170+M178</f>
        <v/>
      </c>
      <c r="N179" s="2089">
        <f>N170+N178</f>
        <v/>
      </c>
      <c r="O179" s="2089">
        <f>O170+O178</f>
        <v/>
      </c>
      <c r="P179" s="2089">
        <f>P170+P178</f>
        <v/>
      </c>
      <c r="Q179" s="2089">
        <f>Q170+Q178</f>
        <v/>
      </c>
      <c r="R179" s="2089">
        <f>R170+R178</f>
        <v/>
      </c>
      <c r="T179" s="2003">
        <f>IFERROR((R179/N179)^(1/5)-1,"-")</f>
        <v/>
      </c>
    </row>
    <row r="180" ht="10.5" customHeight="1">
      <c r="C180" s="698" t="inlineStr">
        <is>
          <t>NBV - Gross Block D</t>
        </is>
      </c>
      <c r="D180" s="698" t="n"/>
      <c r="E180" s="727" t="n"/>
      <c r="F180" s="727" t="n"/>
      <c r="G180" s="727" t="n"/>
      <c r="H180" s="713">
        <f>currency.heading1</f>
        <v/>
      </c>
      <c r="I180" s="713" t="n"/>
      <c r="J180" s="728" t="n"/>
      <c r="K180" s="728" t="n"/>
      <c r="L180" s="2216">
        <f>L167-L179</f>
        <v/>
      </c>
      <c r="M180" s="2216">
        <f>M167-M179</f>
        <v/>
      </c>
      <c r="N180" s="2216">
        <f>N167-N179</f>
        <v/>
      </c>
      <c r="O180" s="2216">
        <f>O167-O179</f>
        <v/>
      </c>
      <c r="P180" s="2216">
        <f>P167-P179</f>
        <v/>
      </c>
      <c r="Q180" s="2216">
        <f>Q167-Q179</f>
        <v/>
      </c>
      <c r="R180" s="2216">
        <f>R167-R179</f>
        <v/>
      </c>
      <c r="T180" s="2003">
        <f>IFERROR((R180/N180)^(1/5)-1,"-")</f>
        <v/>
      </c>
    </row>
  </sheetData>
  <pageMargins left="0.7" right="0.7" top="0.75" bottom="0.75" header="0.3" footer="0.3"/>
  <pageSetup orientation="portrait" scale="54"/>
</worksheet>
</file>

<file path=xl/worksheets/sheet25.xml><?xml version="1.0" encoding="utf-8"?>
<worksheet xmlns="http://schemas.openxmlformats.org/spreadsheetml/2006/main">
  <sheetPr codeName="Sheet7">
    <tabColor rgb="FF92A4FC"/>
    <outlinePr summaryBelow="1" summaryRight="1"/>
    <pageSetUpPr fitToPage="1"/>
  </sheetPr>
  <dimension ref="B2:V106"/>
  <sheetViews>
    <sheetView showGridLines="0" view="pageBreakPreview" topLeftCell="A21" zoomScale="86" zoomScaleNormal="90" zoomScaleSheetLayoutView="86" workbookViewId="0">
      <selection activeCell="E36" sqref="E36"/>
    </sheetView>
  </sheetViews>
  <sheetFormatPr baseColWidth="8" defaultColWidth="8" defaultRowHeight="11.5" outlineLevelRow="1"/>
  <cols>
    <col width="3.53515625" customWidth="1" style="259" min="1" max="1"/>
    <col width="5.15234375" customWidth="1" style="259" min="2" max="2"/>
    <col width="27.3828125" customWidth="1" style="259" min="3" max="3"/>
    <col width="12.921875" customWidth="1" style="259" min="4" max="4"/>
    <col width="11.84375" customWidth="1" style="259" min="5" max="5"/>
    <col width="18.3828125" customWidth="1" style="259" min="6" max="6"/>
    <col width="20.84375" customWidth="1" style="259" min="7" max="7"/>
    <col width="11.84375" customWidth="1" style="259" min="8" max="8"/>
    <col width="10.84375" customWidth="1" style="259" min="9" max="10"/>
    <col width="21.3046875" bestFit="1" customWidth="1" style="259" min="11" max="11"/>
    <col width="2.84375" customWidth="1" style="259" min="12" max="12"/>
    <col width="8" customWidth="1" style="259" min="13" max="13"/>
    <col width="17.3828125" customWidth="1" style="259" min="14" max="14"/>
    <col width="13.4609375" customWidth="1" style="259" min="15" max="15"/>
    <col width="11.4609375" customWidth="1" style="259" min="16" max="16"/>
    <col width="10" customWidth="1" style="259" min="17" max="21"/>
    <col width="13.84375" customWidth="1" style="259" min="22" max="22"/>
    <col width="8" customWidth="1" style="259" min="23" max="16384"/>
  </cols>
  <sheetData>
    <row r="1" customFormat="1" s="752"/>
    <row r="2">
      <c r="B2" s="62" t="inlineStr">
        <is>
          <t>Valify - UAE Valuation Services</t>
        </is>
      </c>
      <c r="C2" s="393" t="n"/>
      <c r="D2" s="393" t="n"/>
      <c r="E2" s="393" t="n"/>
      <c r="F2" s="393" t="n"/>
      <c r="G2" s="394" t="n"/>
      <c r="H2" s="394" t="n"/>
      <c r="I2" s="394" t="n"/>
      <c r="J2" s="394" t="n"/>
      <c r="K2" s="395" t="n"/>
      <c r="L2" s="396" t="n"/>
      <c r="M2" s="259" t="n"/>
      <c r="N2" s="259" t="n"/>
      <c r="O2" s="259" t="n"/>
      <c r="P2" s="259" t="n"/>
      <c r="Q2" s="259" t="n"/>
      <c r="R2" s="259" t="n"/>
      <c r="S2" s="259" t="n"/>
      <c r="T2" s="259" t="n"/>
      <c r="U2" s="259" t="n"/>
      <c r="V2" s="259" t="n"/>
    </row>
    <row r="3">
      <c r="B3" s="397">
        <f>Inputs!B3</f>
        <v/>
      </c>
      <c r="C3" s="506" t="n"/>
      <c r="D3" s="506" t="n"/>
      <c r="E3" s="506" t="n"/>
      <c r="F3" s="506" t="n"/>
      <c r="G3" s="399" t="n"/>
      <c r="H3" s="399" t="n"/>
      <c r="I3" s="399" t="n"/>
      <c r="J3" s="399" t="n"/>
      <c r="K3" s="400" t="n"/>
      <c r="L3" s="401" t="n"/>
      <c r="M3" s="259" t="n"/>
      <c r="N3" s="259" t="n"/>
      <c r="O3" s="259" t="n"/>
      <c r="P3" s="259" t="n"/>
      <c r="Q3" s="259" t="n"/>
      <c r="R3" s="259" t="n"/>
      <c r="S3" s="259" t="n"/>
      <c r="T3" s="259" t="n"/>
      <c r="U3" s="259" t="n"/>
      <c r="V3" s="259" t="n"/>
    </row>
    <row r="4">
      <c r="B4" s="402" t="inlineStr">
        <is>
          <t>Beta, Capital Asset Pricing Model ("CAPM") &amp; Weighted Average Cost of Capital ("WACC") Analysis</t>
        </is>
      </c>
      <c r="C4" s="403" t="n"/>
      <c r="D4" s="403" t="n"/>
      <c r="E4" s="403" t="n"/>
      <c r="F4" s="403" t="n"/>
      <c r="G4" s="404" t="n"/>
      <c r="H4" s="404" t="n"/>
      <c r="I4" s="404" t="n"/>
      <c r="J4" s="404" t="n"/>
      <c r="K4" s="502">
        <f>valuation.date.header</f>
        <v/>
      </c>
      <c r="L4" s="401" t="n"/>
      <c r="M4" s="1739" t="n"/>
      <c r="N4" s="1739" t="n"/>
      <c r="O4" s="259" t="n"/>
      <c r="P4" s="1739" t="n"/>
      <c r="Q4" s="1739" t="n"/>
      <c r="R4" s="1739" t="n"/>
      <c r="S4" s="259" t="n"/>
      <c r="T4" s="259" t="n"/>
      <c r="U4" s="259" t="n"/>
      <c r="V4" s="259" t="n"/>
    </row>
    <row r="5">
      <c r="B5" s="510" t="n"/>
      <c r="C5" s="510" t="n"/>
      <c r="D5" s="510" t="n"/>
      <c r="E5" s="510" t="n"/>
      <c r="F5" s="510" t="n"/>
      <c r="G5" s="510" t="n"/>
      <c r="H5" s="510" t="n"/>
      <c r="I5" s="510" t="n"/>
      <c r="J5" s="510" t="n"/>
      <c r="K5" s="747" t="n"/>
      <c r="M5" s="461" t="n"/>
      <c r="N5" s="1739" t="n"/>
      <c r="O5" s="259" t="n"/>
      <c r="P5" s="461" t="n"/>
      <c r="Q5" s="1739" t="n"/>
      <c r="R5" s="461" t="n"/>
      <c r="S5" s="259" t="n"/>
      <c r="T5" s="259" t="n"/>
      <c r="U5" s="259" t="n"/>
      <c r="V5" s="259" t="n"/>
    </row>
    <row r="6">
      <c r="B6" s="510" t="n"/>
      <c r="C6" s="409" t="inlineStr">
        <is>
          <t>Primary Location</t>
        </is>
      </c>
      <c r="D6" s="410" t="inlineStr">
        <is>
          <t>United Arab Emirates</t>
        </is>
      </c>
      <c r="E6" s="510" t="n"/>
      <c r="F6" s="510" t="n"/>
      <c r="G6" s="510" t="n"/>
      <c r="H6" s="510" t="n"/>
      <c r="I6" s="510" t="n"/>
      <c r="J6" s="510" t="n"/>
      <c r="K6" s="747" t="n"/>
      <c r="M6" s="461" t="n"/>
      <c r="N6" s="1739" t="n"/>
      <c r="O6" s="259" t="n"/>
      <c r="P6" s="461" t="n"/>
      <c r="Q6" s="1739" t="n"/>
      <c r="R6" s="461" t="n"/>
      <c r="S6" s="259" t="n"/>
      <c r="T6" s="259" t="n"/>
      <c r="U6" s="259" t="n"/>
      <c r="V6" s="259" t="n"/>
    </row>
    <row r="7">
      <c r="B7" s="510" t="n"/>
      <c r="C7" s="510" t="n"/>
      <c r="D7" s="510" t="n"/>
      <c r="E7" s="510" t="n"/>
      <c r="F7" s="510" t="n"/>
      <c r="G7" s="510" t="n"/>
      <c r="H7" s="510" t="n"/>
      <c r="I7" s="510" t="n"/>
      <c r="J7" s="510" t="n"/>
      <c r="K7" s="747" t="n"/>
      <c r="M7" s="461" t="n"/>
      <c r="N7" s="1739" t="n"/>
      <c r="O7" s="259" t="n"/>
      <c r="P7" s="461" t="n"/>
      <c r="Q7" s="1739" t="n"/>
      <c r="R7" s="461" t="n"/>
      <c r="S7" s="259" t="n"/>
      <c r="T7" s="259" t="n"/>
      <c r="U7" s="259" t="n"/>
      <c r="V7" s="259" t="n"/>
    </row>
    <row r="8">
      <c r="C8" s="1663" t="inlineStr">
        <is>
          <t>Weighted Average Cost of Capital</t>
        </is>
      </c>
      <c r="D8" s="1664" t="inlineStr">
        <is>
          <t>Low</t>
        </is>
      </c>
      <c r="E8" s="2217" t="inlineStr">
        <is>
          <t>High</t>
        </is>
      </c>
      <c r="F8" s="1662" t="inlineStr">
        <is>
          <t>Sources</t>
        </is>
      </c>
      <c r="G8" s="411" t="inlineStr">
        <is>
          <t>Links</t>
        </is>
      </c>
      <c r="H8" s="412" t="n"/>
      <c r="I8" s="412" t="n"/>
      <c r="J8" s="412" t="n"/>
      <c r="M8" s="259" t="n"/>
      <c r="N8" s="259" t="n"/>
      <c r="O8" s="259" t="n"/>
      <c r="P8" s="259" t="n"/>
      <c r="Q8" s="259" t="n"/>
      <c r="R8" s="259" t="n"/>
      <c r="S8" s="259" t="n"/>
      <c r="T8" s="259" t="n"/>
      <c r="U8" s="259" t="n"/>
      <c r="V8" s="259" t="n"/>
    </row>
    <row r="9">
      <c r="C9" s="2218" t="inlineStr">
        <is>
          <t>Cost of debt</t>
        </is>
      </c>
      <c r="D9" s="413" t="n"/>
      <c r="E9" s="2219" t="n"/>
      <c r="M9" s="259" t="n"/>
      <c r="N9" s="259" t="n"/>
      <c r="O9" s="259" t="n"/>
      <c r="P9" s="259" t="n"/>
      <c r="Q9" s="259" t="n"/>
      <c r="R9" s="259" t="n"/>
      <c r="S9" s="259" t="n"/>
      <c r="T9" s="259" t="n"/>
      <c r="U9" s="259" t="n"/>
      <c r="V9" s="259" t="n"/>
    </row>
    <row r="10">
      <c r="C10" s="2220" t="inlineStr">
        <is>
          <t>Cost of debt</t>
        </is>
      </c>
      <c r="D10" s="2221" t="n">
        <v>0.07000000000000001</v>
      </c>
      <c r="E10" s="2222" t="n">
        <v>0.08</v>
      </c>
      <c r="F10" s="259" t="inlineStr">
        <is>
          <t>ICE corporate bond yields</t>
        </is>
      </c>
      <c r="M10" s="259" t="n"/>
      <c r="N10" s="259" t="n"/>
      <c r="O10" s="259" t="n"/>
      <c r="P10" s="259" t="n"/>
      <c r="Q10" s="259" t="n"/>
      <c r="R10" s="259" t="n"/>
      <c r="S10" s="259" t="n"/>
      <c r="T10" s="259" t="n"/>
      <c r="U10" s="259" t="n"/>
      <c r="V10" s="259" t="n"/>
    </row>
    <row r="11">
      <c r="C11" s="2223" t="inlineStr">
        <is>
          <t>Cost of debt net of tax</t>
        </is>
      </c>
      <c r="D11" s="2224">
        <f>D10*(1-effective.taxrate)</f>
        <v/>
      </c>
      <c r="E11" s="2225">
        <f>E10*(1-effective.taxrate)</f>
        <v/>
      </c>
      <c r="F11" s="259" t="inlineStr">
        <is>
          <t>Rd = Pre-tax Rd x (1 - T)</t>
        </is>
      </c>
      <c r="M11" s="259" t="n"/>
      <c r="N11" s="259" t="n"/>
      <c r="O11" s="259" t="n"/>
      <c r="P11" s="259" t="n"/>
      <c r="Q11" s="259" t="n"/>
      <c r="R11" s="259" t="n"/>
      <c r="S11" s="259" t="n"/>
      <c r="T11" s="259" t="n"/>
      <c r="U11" s="259" t="n"/>
      <c r="V11" s="259" t="n"/>
    </row>
    <row r="12">
      <c r="C12" s="2226" t="inlineStr">
        <is>
          <t>Debt ratio</t>
        </is>
      </c>
      <c r="D12" s="2227">
        <f>G75</f>
        <v/>
      </c>
      <c r="E12" s="2228">
        <f>#REF!</f>
        <v/>
      </c>
    </row>
    <row r="13">
      <c r="C13" s="2218" t="inlineStr">
        <is>
          <t>Cost of equity</t>
        </is>
      </c>
      <c r="D13" s="2229" t="n"/>
      <c r="E13" s="2230" t="n"/>
    </row>
    <row r="14">
      <c r="C14" s="2220" t="inlineStr">
        <is>
          <t>USD treasury risk free rate</t>
        </is>
      </c>
      <c r="D14" s="2231" t="n">
        <v>0.0449</v>
      </c>
      <c r="E14" s="2232" t="n">
        <v>0.0449</v>
      </c>
      <c r="F14" s="259" t="inlineStr">
        <is>
          <t>US 30 Year Treasury Bond Yields</t>
        </is>
      </c>
      <c r="G14" s="418" t="inlineStr">
        <is>
          <t>home.treasury.gov/resource-center/data-chart-center/interest-rates/TextView?type=daily_treasury_yield_curve&amp;field_tdr_date_value=2024</t>
        </is>
      </c>
    </row>
    <row r="15">
      <c r="C15" s="2220" t="inlineStr">
        <is>
          <t>USD inflation</t>
        </is>
      </c>
      <c r="D15" s="2231" t="n">
        <v>0.02</v>
      </c>
      <c r="E15" s="2232" t="n">
        <v>0.02</v>
      </c>
      <c r="F15" s="259" t="inlineStr">
        <is>
          <t>IMF Forecast</t>
        </is>
      </c>
      <c r="G15" s="418" t="inlineStr">
        <is>
          <t>www.imf.org/en/Countries/USA</t>
        </is>
      </c>
    </row>
    <row r="16">
      <c r="C16" s="2220" t="inlineStr">
        <is>
          <t>AED inflation</t>
        </is>
      </c>
      <c r="D16" s="2231">
        <f>D15</f>
        <v/>
      </c>
      <c r="E16" s="2232">
        <f>E15</f>
        <v/>
      </c>
      <c r="F16" s="259" t="inlineStr">
        <is>
          <t>IMF Forecast</t>
        </is>
      </c>
      <c r="G16" s="418" t="inlineStr">
        <is>
          <t>www.imf.org/en/Countries/ARE</t>
        </is>
      </c>
    </row>
    <row r="17">
      <c r="C17" s="2223" t="inlineStr">
        <is>
          <t>Adjusted risk free rate</t>
        </is>
      </c>
      <c r="D17" s="2233">
        <f>D14-D15+D16</f>
        <v/>
      </c>
      <c r="E17" s="2234">
        <f>E14-E15+E16</f>
        <v/>
      </c>
    </row>
    <row r="18">
      <c r="C18" s="2220" t="inlineStr">
        <is>
          <t>Equity risk premium</t>
        </is>
      </c>
      <c r="D18" s="420">
        <f>G99-D20</f>
        <v/>
      </c>
      <c r="E18" s="1678">
        <f>D18</f>
        <v/>
      </c>
      <c r="F18" s="259" t="inlineStr">
        <is>
          <t>Ashwath Damodaran - The expected return of the market in excess of the risk-free rate (3)</t>
        </is>
      </c>
    </row>
    <row r="19">
      <c r="C19" s="2220" t="inlineStr">
        <is>
          <t>Relevered beta</t>
        </is>
      </c>
      <c r="D19" s="2235">
        <f>$G$77</f>
        <v/>
      </c>
      <c r="E19" s="2236">
        <f>D19</f>
        <v/>
      </c>
      <c r="F19" s="259" t="inlineStr">
        <is>
          <t>Valify Comparable Company Analysis</t>
        </is>
      </c>
    </row>
    <row r="20">
      <c r="C20" s="2220" t="inlineStr">
        <is>
          <t>Country risk premium (weighted)</t>
        </is>
      </c>
      <c r="D20" s="422">
        <f>I99</f>
        <v/>
      </c>
      <c r="E20" s="2237">
        <f>D20</f>
        <v/>
      </c>
      <c r="F20" s="259" t="inlineStr">
        <is>
          <t>Risk premium specific to an investment in the subject Country (4)</t>
        </is>
      </c>
    </row>
    <row r="21">
      <c r="C21" s="2220" t="inlineStr">
        <is>
          <t>Size risk premium</t>
        </is>
      </c>
      <c r="D21" s="1681">
        <f>SizePremia!$BV$21</f>
        <v/>
      </c>
      <c r="E21" s="2238">
        <f>D21</f>
        <v/>
      </c>
      <c r="F21" s="259" t="inlineStr">
        <is>
          <t>2023 SBBI Valuation Yearbook, Duff &amp; Phelps: 10th decile</t>
        </is>
      </c>
    </row>
    <row r="22">
      <c r="C22" s="2239" t="inlineStr">
        <is>
          <t xml:space="preserve">Additional company specific risk premium </t>
        </is>
      </c>
      <c r="D22" s="2240">
        <f>F88-0.5%</f>
        <v/>
      </c>
      <c r="E22" s="2241">
        <f>D22+1%</f>
        <v/>
      </c>
      <c r="F22" s="259" t="inlineStr">
        <is>
          <t>Additional risk premium based on perceived uncertainties associated with operating forecast</t>
        </is>
      </c>
    </row>
    <row r="23">
      <c r="C23" s="2223" t="inlineStr">
        <is>
          <t>Cost of equity</t>
        </is>
      </c>
      <c r="D23" s="2224">
        <f>D17+(D18*D19)+D20+D21+D22</f>
        <v/>
      </c>
      <c r="E23" s="2225">
        <f>E17+(E18*E19)+E20+E21+E22</f>
        <v/>
      </c>
      <c r="F23" s="259" t="inlineStr">
        <is>
          <t>Re = Rf + Be (Rm - Rf) + SP + ARP + CRP</t>
        </is>
      </c>
    </row>
    <row r="24">
      <c r="C24" s="2226" t="inlineStr">
        <is>
          <t>Equity ratio</t>
        </is>
      </c>
      <c r="D24" s="2242">
        <f>1-D12</f>
        <v/>
      </c>
      <c r="E24" s="2243">
        <f>1-E12</f>
        <v/>
      </c>
    </row>
    <row r="25">
      <c r="C25" s="2244" t="inlineStr">
        <is>
          <t>Weighted Average Cost of Capital</t>
        </is>
      </c>
      <c r="D25" s="2245">
        <f>(D11*D12)+(D23*D24)</f>
        <v/>
      </c>
      <c r="E25" s="2246">
        <f>(E11*E12)+(E23*E24)</f>
        <v/>
      </c>
    </row>
    <row r="27" ht="15.65" customFormat="1" customHeight="1" s="432">
      <c r="C27" s="425" t="inlineStr">
        <is>
          <t>Beta Analysis</t>
        </is>
      </c>
      <c r="D27" s="426" t="n"/>
      <c r="E27" s="426" t="n"/>
      <c r="F27" s="426" t="n"/>
      <c r="G27" s="426" t="n"/>
      <c r="H27" s="426" t="n"/>
      <c r="I27" s="426" t="n"/>
      <c r="J27" s="426" t="n"/>
      <c r="M27" s="1833" t="n"/>
      <c r="O27" s="1833" t="n"/>
      <c r="P27" s="1833" t="n"/>
      <c r="Q27" s="428" t="n"/>
      <c r="R27" s="428" t="n"/>
      <c r="S27" s="428" t="n"/>
      <c r="T27" s="428" t="n"/>
      <c r="U27" s="433" t="n"/>
    </row>
    <row r="28" ht="59" customFormat="1" customHeight="1" s="432" thickBot="1">
      <c r="C28" s="430" t="inlineStr">
        <is>
          <t>Selected Guideline Public Companies</t>
        </is>
      </c>
      <c r="D28" s="431" t="n"/>
      <c r="E28" s="431" t="n"/>
      <c r="F28" s="431" t="inlineStr">
        <is>
          <t>Book Value of Debt to Equity</t>
        </is>
      </c>
      <c r="G28" s="431" t="inlineStr">
        <is>
          <t>Book Value of Debt to Capital (Wd)</t>
        </is>
      </c>
      <c r="H28" s="431" t="inlineStr">
        <is>
          <t>Effective Income Tax Rate (2)</t>
        </is>
      </c>
      <c r="I28" s="431">
        <f>$M$5&amp;IF(R5="No",""," Adjusted")&amp;" Equity Beta (Levered)"</f>
        <v/>
      </c>
      <c r="J28" s="431">
        <f>$M$5&amp;IF(R5="No",""," Adjusted")&amp;" Asset Beta (Unlevered)"</f>
        <v/>
      </c>
      <c r="L28" s="432" t="n"/>
      <c r="M28" s="432" t="n"/>
      <c r="N28" s="432" t="inlineStr">
        <is>
          <t>Exclude outliers?</t>
        </is>
      </c>
      <c r="O28" s="433" t="n"/>
      <c r="P28" s="1833" t="n"/>
      <c r="Q28" s="435" t="n"/>
      <c r="R28" s="435" t="n"/>
      <c r="S28" s="435" t="n"/>
      <c r="T28" s="435" t="n"/>
      <c r="U28" s="435" t="n"/>
    </row>
    <row r="29" ht="12" customHeight="1" thickBot="1">
      <c r="B29" s="436" t="n">
        <v>1</v>
      </c>
      <c r="C29" s="2247">
        <f>'GPC Data'!E22</f>
        <v/>
      </c>
      <c r="D29" s="2248" t="n"/>
      <c r="E29" s="2249" t="n"/>
      <c r="F29" s="2250">
        <f>'GPC Data'!X124</f>
        <v/>
      </c>
      <c r="G29" s="2250">
        <f>IF($P$5="Spot",'D|E'!R5,IF($P$5="5 Year",'D|E'!S5,'D|E'!T5))</f>
        <v/>
      </c>
      <c r="H29" s="2250">
        <f>'GPC Data'!R22</f>
        <v/>
      </c>
      <c r="I29" s="2251">
        <f>'GPC Data'!N22</f>
        <v/>
      </c>
      <c r="J29" s="2252">
        <f>IF(C29="","",I29/(1+F29*(1-H29)))</f>
        <v/>
      </c>
      <c r="L29" s="259" t="n"/>
      <c r="M29" s="259" t="n"/>
      <c r="N29" s="443" t="inlineStr">
        <is>
          <t>No</t>
        </is>
      </c>
      <c r="O29" s="1007" t="n"/>
      <c r="P29" s="445" t="n"/>
      <c r="Q29" s="446" t="n"/>
      <c r="R29" s="446" t="n"/>
      <c r="S29" s="447" t="n"/>
      <c r="T29" s="447" t="n"/>
      <c r="U29" s="1007" t="n"/>
    </row>
    <row r="30" ht="12" customHeight="1" thickBot="1">
      <c r="B30" s="436" t="n">
        <v>2</v>
      </c>
      <c r="C30" s="2253">
        <f>'GPC Data'!E23</f>
        <v/>
      </c>
      <c r="D30" s="2254" t="n"/>
      <c r="E30" s="2255" t="n"/>
      <c r="F30" s="2256">
        <f>'GPC Data'!X125</f>
        <v/>
      </c>
      <c r="G30" s="2256">
        <f>IF($P$5="Spot",'D|E'!R6,IF($P$5="5 Year",'D|E'!S6,'D|E'!T6))</f>
        <v/>
      </c>
      <c r="H30" s="2256">
        <f>'GPC Data'!R23</f>
        <v/>
      </c>
      <c r="I30" s="2257">
        <f>'GPC Data'!N23</f>
        <v/>
      </c>
      <c r="J30" s="2258">
        <f>IF(C30="","",I30/(1+F30*(1-H30)))</f>
        <v/>
      </c>
      <c r="L30" s="259" t="n"/>
      <c r="M30" s="259" t="n"/>
      <c r="N30" s="443" t="inlineStr">
        <is>
          <t>No</t>
        </is>
      </c>
      <c r="O30" s="1007" t="n"/>
      <c r="P30" s="445" t="n"/>
      <c r="Q30" s="446" t="n"/>
      <c r="R30" s="446" t="n"/>
      <c r="S30" s="447" t="n"/>
      <c r="T30" s="447" t="n"/>
      <c r="U30" s="1007" t="n"/>
    </row>
    <row r="31" ht="12" customHeight="1" thickBot="1">
      <c r="B31" s="436" t="n">
        <v>3</v>
      </c>
      <c r="C31" s="2253">
        <f>'GPC Data'!E24</f>
        <v/>
      </c>
      <c r="D31" s="2254" t="n"/>
      <c r="E31" s="2255" t="n"/>
      <c r="F31" s="2256">
        <f>'GPC Data'!X126</f>
        <v/>
      </c>
      <c r="G31" s="2256">
        <f>IF($P$5="Spot",'D|E'!R7,IF($P$5="5 Year",'D|E'!S7,'D|E'!T7))</f>
        <v/>
      </c>
      <c r="H31" s="2256">
        <f>'GPC Data'!R24</f>
        <v/>
      </c>
      <c r="I31" s="2257">
        <f>'GPC Data'!N24</f>
        <v/>
      </c>
      <c r="J31" s="2258">
        <f>IF(C31="","",I31/(1+F31*(1-H31)))</f>
        <v/>
      </c>
      <c r="L31" s="259" t="n"/>
      <c r="M31" s="259" t="n"/>
      <c r="N31" s="443" t="inlineStr">
        <is>
          <t>No</t>
        </is>
      </c>
      <c r="O31" s="1007" t="n"/>
      <c r="P31" s="445" t="n"/>
      <c r="Q31" s="446" t="n"/>
      <c r="R31" s="446" t="n"/>
      <c r="S31" s="447" t="n"/>
      <c r="T31" s="447" t="n"/>
      <c r="U31" s="1007" t="n"/>
    </row>
    <row r="32" ht="12" customHeight="1" thickBot="1">
      <c r="B32" s="436" t="n">
        <v>4</v>
      </c>
      <c r="C32" s="2253">
        <f>'GPC Data'!E25</f>
        <v/>
      </c>
      <c r="D32" s="2254" t="n"/>
      <c r="E32" s="2255" t="n"/>
      <c r="F32" s="2256">
        <f>'GPC Data'!X127</f>
        <v/>
      </c>
      <c r="G32" s="2256">
        <f>IF($P$5="Spot",'D|E'!R8,IF($P$5="5 Year",'D|E'!S8,'D|E'!T8))</f>
        <v/>
      </c>
      <c r="H32" s="2256">
        <f>'GPC Data'!R25</f>
        <v/>
      </c>
      <c r="I32" s="2257">
        <f>'GPC Data'!N25</f>
        <v/>
      </c>
      <c r="J32" s="2258">
        <f>IF(C32="","",I32/(1+F32*(1-H32)))</f>
        <v/>
      </c>
      <c r="L32" s="259" t="n"/>
      <c r="M32" s="259" t="n"/>
      <c r="N32" s="443" t="inlineStr">
        <is>
          <t>No</t>
        </is>
      </c>
      <c r="O32" s="1007" t="n"/>
      <c r="P32" s="445" t="n"/>
      <c r="Q32" s="446" t="n"/>
      <c r="R32" s="446" t="n"/>
      <c r="S32" s="447" t="n"/>
      <c r="T32" s="447" t="n"/>
      <c r="U32" s="1007" t="n"/>
    </row>
    <row r="33" ht="12" customHeight="1" thickBot="1">
      <c r="B33" s="436" t="n">
        <v>5</v>
      </c>
      <c r="C33" s="2253">
        <f>'GPC Data'!E26</f>
        <v/>
      </c>
      <c r="D33" s="2254" t="n"/>
      <c r="E33" s="2255" t="n"/>
      <c r="F33" s="2256">
        <f>'GPC Data'!X128</f>
        <v/>
      </c>
      <c r="G33" s="2256">
        <f>IF($P$5="Spot",'D|E'!R9,IF($P$5="5 Year",'D|E'!S9,'D|E'!T9))</f>
        <v/>
      </c>
      <c r="H33" s="2256">
        <f>'GPC Data'!R26</f>
        <v/>
      </c>
      <c r="I33" s="2257">
        <f>'GPC Data'!N26</f>
        <v/>
      </c>
      <c r="J33" s="2258">
        <f>IF(C33="","",I33/(1+F33*(1-H33)))</f>
        <v/>
      </c>
      <c r="L33" s="259" t="n"/>
      <c r="M33" s="259" t="n"/>
      <c r="N33" s="443" t="inlineStr">
        <is>
          <t>No</t>
        </is>
      </c>
      <c r="O33" s="1007" t="n"/>
      <c r="P33" s="445" t="n"/>
      <c r="Q33" s="446" t="n"/>
      <c r="R33" s="446" t="n"/>
      <c r="S33" s="447" t="n"/>
      <c r="T33" s="447" t="n"/>
      <c r="U33" s="1007" t="n"/>
    </row>
    <row r="34" ht="12" customHeight="1" thickBot="1">
      <c r="B34" s="436" t="n">
        <v>6</v>
      </c>
      <c r="C34" s="2253">
        <f>'GPC Data'!E27</f>
        <v/>
      </c>
      <c r="D34" s="2254" t="n"/>
      <c r="E34" s="2255" t="n"/>
      <c r="F34" s="2256">
        <f>'GPC Data'!X129</f>
        <v/>
      </c>
      <c r="G34" s="2256">
        <f>IF($P$5="Spot",'D|E'!R10,IF($P$5="5 Year",'D|E'!S10,'D|E'!T10))</f>
        <v/>
      </c>
      <c r="H34" s="2256">
        <f>'GPC Data'!R27</f>
        <v/>
      </c>
      <c r="I34" s="2257">
        <f>'GPC Data'!N27</f>
        <v/>
      </c>
      <c r="J34" s="2258">
        <f>IF(C34="","",I34/(1+F34*(1-H34)))</f>
        <v/>
      </c>
      <c r="L34" s="259" t="n"/>
      <c r="M34" s="259" t="n"/>
      <c r="N34" s="443" t="inlineStr">
        <is>
          <t>No</t>
        </is>
      </c>
      <c r="O34" s="1007" t="n"/>
      <c r="P34" s="445" t="n"/>
      <c r="Q34" s="446" t="n"/>
      <c r="R34" s="446" t="n"/>
      <c r="S34" s="447" t="n"/>
      <c r="T34" s="447" t="n"/>
      <c r="U34" s="1007" t="n"/>
    </row>
    <row r="35" ht="12" customHeight="1" thickBot="1">
      <c r="B35" s="436" t="n">
        <v>7</v>
      </c>
      <c r="C35" s="2253">
        <f>'GPC Data'!E28</f>
        <v/>
      </c>
      <c r="D35" s="2254" t="n"/>
      <c r="E35" s="2255" t="n"/>
      <c r="F35" s="2256">
        <f>'GPC Data'!X130</f>
        <v/>
      </c>
      <c r="G35" s="2256">
        <f>IF($P$5="Spot",'D|E'!R11,IF($P$5="5 Year",'D|E'!S11,'D|E'!T11))</f>
        <v/>
      </c>
      <c r="H35" s="2256">
        <f>'GPC Data'!R28</f>
        <v/>
      </c>
      <c r="I35" s="2257">
        <f>'GPC Data'!N28</f>
        <v/>
      </c>
      <c r="J35" s="2258">
        <f>IF(C35="","",I35/(1+F35*(1-H35)))</f>
        <v/>
      </c>
      <c r="L35" s="259" t="n"/>
      <c r="M35" s="259" t="n"/>
      <c r="N35" s="443" t="inlineStr">
        <is>
          <t>No</t>
        </is>
      </c>
      <c r="O35" s="1007" t="n"/>
      <c r="P35" s="445" t="n"/>
      <c r="Q35" s="446" t="n"/>
      <c r="R35" s="446" t="n"/>
      <c r="S35" s="447" t="n"/>
      <c r="T35" s="447" t="n"/>
      <c r="U35" s="1007" t="n"/>
    </row>
    <row r="36" ht="12" customHeight="1" thickBot="1">
      <c r="B36" s="436" t="n">
        <v>8</v>
      </c>
      <c r="C36" s="2253">
        <f>'GPC Data'!E29</f>
        <v/>
      </c>
      <c r="D36" s="2254" t="n"/>
      <c r="E36" s="2255" t="n"/>
      <c r="F36" s="2256">
        <f>'GPC Data'!X131</f>
        <v/>
      </c>
      <c r="G36" s="2256">
        <f>IF($P$5="Spot",'D|E'!R12,IF($P$5="5 Year",'D|E'!S12,'D|E'!T12))</f>
        <v/>
      </c>
      <c r="H36" s="2256">
        <f>'GPC Data'!R29</f>
        <v/>
      </c>
      <c r="I36" s="2257">
        <f>'GPC Data'!N29</f>
        <v/>
      </c>
      <c r="J36" s="2258">
        <f>IF(C36="","",I36/(1+F36*(1-H36)))</f>
        <v/>
      </c>
      <c r="L36" s="259" t="n"/>
      <c r="M36" s="259" t="n"/>
      <c r="N36" s="443" t="inlineStr">
        <is>
          <t>No</t>
        </is>
      </c>
      <c r="O36" s="1007" t="n"/>
      <c r="P36" s="445" t="n"/>
      <c r="Q36" s="446" t="n"/>
      <c r="R36" s="446" t="n"/>
      <c r="S36" s="447" t="n"/>
      <c r="T36" s="447" t="n"/>
      <c r="U36" s="1007" t="n"/>
    </row>
    <row r="37" ht="12" customHeight="1" thickBot="1">
      <c r="B37" s="436" t="n">
        <v>9</v>
      </c>
      <c r="C37" s="2253">
        <f>'GPC Data'!E30</f>
        <v/>
      </c>
      <c r="D37" s="2254" t="n"/>
      <c r="E37" s="2255" t="n"/>
      <c r="F37" s="2256">
        <f>'GPC Data'!X132</f>
        <v/>
      </c>
      <c r="G37" s="2256">
        <f>IF($P$5="Spot",'D|E'!R13,IF($P$5="5 Year",'D|E'!S13,'D|E'!T13))</f>
        <v/>
      </c>
      <c r="H37" s="2256">
        <f>'GPC Data'!R30</f>
        <v/>
      </c>
      <c r="I37" s="2257">
        <f>'GPC Data'!N30</f>
        <v/>
      </c>
      <c r="J37" s="2258">
        <f>IF(C37="","",I37/(1+F37*(1-H37)))</f>
        <v/>
      </c>
      <c r="L37" s="259" t="n"/>
      <c r="M37" s="259" t="n"/>
      <c r="N37" s="443" t="inlineStr">
        <is>
          <t>No</t>
        </is>
      </c>
      <c r="O37" s="1007" t="n"/>
      <c r="P37" s="445" t="n"/>
      <c r="Q37" s="446" t="n"/>
      <c r="R37" s="446" t="n"/>
      <c r="S37" s="447" t="n"/>
      <c r="T37" s="447" t="n"/>
      <c r="U37" s="1007" t="n"/>
    </row>
    <row r="38" ht="12" customHeight="1" thickBot="1">
      <c r="B38" s="436" t="n"/>
      <c r="C38" s="2253">
        <f>'GPC Data'!E31</f>
        <v/>
      </c>
      <c r="D38" s="2254" t="n"/>
      <c r="E38" s="2255" t="n"/>
      <c r="F38" s="2256">
        <f>'GPC Data'!X133</f>
        <v/>
      </c>
      <c r="G38" s="2256">
        <f>IF($P$5="Spot",'D|E'!R14,IF($P$5="5 Year",'D|E'!S14,'D|E'!T14))</f>
        <v/>
      </c>
      <c r="H38" s="2256">
        <f>'GPC Data'!R31</f>
        <v/>
      </c>
      <c r="I38" s="2257">
        <f>'GPC Data'!N31</f>
        <v/>
      </c>
      <c r="J38" s="2258">
        <f>IF(C38="","",I38/(1+F38*(1-H38)))</f>
        <v/>
      </c>
      <c r="L38" s="259" t="n"/>
      <c r="M38" s="259" t="n"/>
      <c r="N38" s="443" t="inlineStr">
        <is>
          <t>No</t>
        </is>
      </c>
      <c r="O38" s="1007" t="n"/>
      <c r="P38" s="445" t="n"/>
      <c r="Q38" s="446" t="n"/>
      <c r="R38" s="446" t="n"/>
      <c r="S38" s="447" t="n"/>
      <c r="T38" s="447" t="n"/>
      <c r="U38" s="1007" t="n"/>
    </row>
    <row r="39" hidden="1" outlineLevel="1" ht="12" customHeight="1" thickBot="1">
      <c r="B39" s="436" t="n"/>
      <c r="C39" s="2253">
        <f>'GPC Data'!E32</f>
        <v/>
      </c>
      <c r="D39" s="2254">
        <f>_xlfn.SINGLE(INDEX('D|E'!#REF!,B39))</f>
        <v/>
      </c>
      <c r="E39" s="2255">
        <f>_xlfn.SINGLE(INDEX('D|E'!#REF!,B39))</f>
        <v/>
      </c>
      <c r="F39" s="2256">
        <f>'GPC Data'!X134</f>
        <v/>
      </c>
      <c r="G39" s="2256">
        <f>IF($P$5="Spot",'D|E'!R15,IF($P$5="5 Year",'D|E'!S15,'D|E'!T15))</f>
        <v/>
      </c>
      <c r="H39" s="2256">
        <f>'GPC Data'!R32</f>
        <v/>
      </c>
      <c r="I39" s="2257">
        <f>'GPC Data'!N32</f>
        <v/>
      </c>
      <c r="J39" s="2258">
        <f>IF(C39="","",I39/(1+F39*(1-H39)))</f>
        <v/>
      </c>
      <c r="L39" s="259" t="n"/>
      <c r="M39" s="259" t="n"/>
      <c r="N39" s="443" t="inlineStr">
        <is>
          <t>Yes</t>
        </is>
      </c>
      <c r="O39" s="1007" t="n"/>
      <c r="P39" s="445" t="n"/>
      <c r="Q39" s="446" t="n"/>
      <c r="R39" s="446" t="n"/>
      <c r="S39" s="447" t="n"/>
      <c r="T39" s="447" t="n"/>
      <c r="U39" s="1007" t="n"/>
    </row>
    <row r="40" hidden="1" outlineLevel="1" ht="12" customHeight="1" thickBot="1">
      <c r="B40" s="436" t="n"/>
      <c r="C40" s="2253">
        <f>'GPC Data'!E33</f>
        <v/>
      </c>
      <c r="D40" s="2254">
        <f>_xlfn.SINGLE(INDEX('D|E'!#REF!,B40))</f>
        <v/>
      </c>
      <c r="E40" s="2255">
        <f>_xlfn.SINGLE(INDEX('D|E'!#REF!,B40))</f>
        <v/>
      </c>
      <c r="F40" s="2256">
        <f>'GPC Data'!X135</f>
        <v/>
      </c>
      <c r="G40" s="2256">
        <f>IF($P$5="Spot",'D|E'!R16,IF($P$5="5 Year",'D|E'!S16,'D|E'!T16))</f>
        <v/>
      </c>
      <c r="H40" s="2256">
        <f>'GPC Data'!R33</f>
        <v/>
      </c>
      <c r="I40" s="2257">
        <f>'GPC Data'!N33</f>
        <v/>
      </c>
      <c r="J40" s="2258">
        <f>IF(C40="","",I40/(1+F40*(1-H40)))</f>
        <v/>
      </c>
      <c r="L40" s="259" t="n"/>
      <c r="M40" s="259" t="n"/>
      <c r="N40" s="443" t="inlineStr">
        <is>
          <t>Yes</t>
        </is>
      </c>
      <c r="O40" s="1007" t="n"/>
      <c r="P40" s="445" t="n"/>
      <c r="Q40" s="446" t="n"/>
      <c r="R40" s="446" t="n"/>
      <c r="S40" s="447" t="n"/>
      <c r="T40" s="447" t="n"/>
      <c r="U40" s="1007" t="n"/>
    </row>
    <row r="41" hidden="1" outlineLevel="1" ht="12" customHeight="1" thickBot="1">
      <c r="B41" s="436" t="n"/>
      <c r="C41" s="2253">
        <f>'GPC Data'!E34</f>
        <v/>
      </c>
      <c r="D41" s="2254">
        <f>_xlfn.SINGLE(INDEX('D|E'!#REF!,B41))</f>
        <v/>
      </c>
      <c r="E41" s="2255">
        <f>_xlfn.SINGLE(INDEX('D|E'!#REF!,B41))</f>
        <v/>
      </c>
      <c r="F41" s="2256">
        <f>'GPC Data'!X136</f>
        <v/>
      </c>
      <c r="G41" s="2256">
        <f>IF($P$5="Spot",'D|E'!R17,IF($P$5="5 Year",'D|E'!S17,'D|E'!T17))</f>
        <v/>
      </c>
      <c r="H41" s="2256">
        <f>'GPC Data'!R34</f>
        <v/>
      </c>
      <c r="I41" s="2257">
        <f>'GPC Data'!N34</f>
        <v/>
      </c>
      <c r="J41" s="2258">
        <f>IF(C41="","",I41/(1+F41*(1-H41)))</f>
        <v/>
      </c>
      <c r="L41" s="259" t="n"/>
      <c r="M41" s="259" t="n"/>
      <c r="N41" s="443" t="inlineStr">
        <is>
          <t>Yes</t>
        </is>
      </c>
      <c r="O41" s="1007" t="n"/>
      <c r="P41" s="445" t="n"/>
      <c r="Q41" s="446" t="n"/>
      <c r="R41" s="446" t="n"/>
      <c r="S41" s="447" t="n"/>
      <c r="T41" s="447" t="n"/>
      <c r="U41" s="1007" t="n"/>
    </row>
    <row r="42" hidden="1" outlineLevel="1" ht="12" customHeight="1" thickBot="1">
      <c r="B42" s="436" t="n"/>
      <c r="C42" s="2253">
        <f>'GPC Data'!E35</f>
        <v/>
      </c>
      <c r="D42" s="2254">
        <f>_xlfn.SINGLE(INDEX('D|E'!#REF!,B42))</f>
        <v/>
      </c>
      <c r="E42" s="2255">
        <f>_xlfn.SINGLE(INDEX('D|E'!#REF!,B42))</f>
        <v/>
      </c>
      <c r="F42" s="2256">
        <f>'GPC Data'!X137</f>
        <v/>
      </c>
      <c r="G42" s="2256">
        <f>IF($P$5="Spot",'D|E'!R18,IF($P$5="5 Year",'D|E'!S18,'D|E'!T18))</f>
        <v/>
      </c>
      <c r="H42" s="2256">
        <f>'GPC Data'!R35</f>
        <v/>
      </c>
      <c r="I42" s="2257">
        <f>'GPC Data'!N35</f>
        <v/>
      </c>
      <c r="J42" s="2258">
        <f>IF(C42="","",I42/(1+F42*(1-H42)))</f>
        <v/>
      </c>
      <c r="L42" s="259" t="n"/>
      <c r="M42" s="259" t="n"/>
      <c r="N42" s="443" t="inlineStr">
        <is>
          <t>Yes</t>
        </is>
      </c>
      <c r="O42" s="1007" t="n"/>
      <c r="P42" s="445" t="n"/>
      <c r="Q42" s="446" t="n"/>
      <c r="R42" s="446" t="n"/>
      <c r="S42" s="447" t="n"/>
      <c r="T42" s="447" t="n"/>
      <c r="U42" s="1007" t="n"/>
    </row>
    <row r="43" hidden="1" outlineLevel="1" ht="12" customHeight="1" thickBot="1">
      <c r="B43" s="436" t="n"/>
      <c r="C43" s="2253">
        <f>'GPC Data'!E36</f>
        <v/>
      </c>
      <c r="D43" s="2254">
        <f>_xlfn.SINGLE(INDEX('D|E'!#REF!,B43))</f>
        <v/>
      </c>
      <c r="E43" s="2255">
        <f>_xlfn.SINGLE(INDEX('D|E'!#REF!,B43))</f>
        <v/>
      </c>
      <c r="F43" s="2256">
        <f>'GPC Data'!X138</f>
        <v/>
      </c>
      <c r="G43" s="2256">
        <f>IF($P$5="Spot",'D|E'!R19,IF($P$5="5 Year",'D|E'!S19,'D|E'!T19))</f>
        <v/>
      </c>
      <c r="H43" s="2256">
        <f>'GPC Data'!R36</f>
        <v/>
      </c>
      <c r="I43" s="2257">
        <f>'GPC Data'!N36</f>
        <v/>
      </c>
      <c r="J43" s="2258">
        <f>IF(C43="","",I43/(1+F43*(1-H43)))</f>
        <v/>
      </c>
      <c r="L43" s="259" t="n"/>
      <c r="M43" s="259" t="n"/>
      <c r="N43" s="443" t="inlineStr">
        <is>
          <t>Yes</t>
        </is>
      </c>
      <c r="O43" s="1007" t="n"/>
      <c r="P43" s="445" t="n"/>
      <c r="Q43" s="446" t="n"/>
      <c r="R43" s="446" t="n"/>
      <c r="S43" s="447" t="n"/>
      <c r="T43" s="447" t="n"/>
      <c r="U43" s="1007" t="n"/>
    </row>
    <row r="44" hidden="1" outlineLevel="1" ht="12" customHeight="1" thickBot="1">
      <c r="B44" s="436" t="n"/>
      <c r="C44" s="2253">
        <f>'GPC Data'!E37</f>
        <v/>
      </c>
      <c r="D44" s="2254">
        <f>_xlfn.SINGLE(INDEX('D|E'!#REF!,B44))</f>
        <v/>
      </c>
      <c r="E44" s="2255">
        <f>_xlfn.SINGLE(INDEX('D|E'!#REF!,B44))</f>
        <v/>
      </c>
      <c r="F44" s="2256">
        <f>'GPC Data'!X139</f>
        <v/>
      </c>
      <c r="G44" s="2256">
        <f>IF($P$5="Spot",'D|E'!R20,IF($P$5="5 Year",'D|E'!S20,'D|E'!T20))</f>
        <v/>
      </c>
      <c r="H44" s="2256">
        <f>'GPC Data'!R37</f>
        <v/>
      </c>
      <c r="I44" s="2257">
        <f>'GPC Data'!N37</f>
        <v/>
      </c>
      <c r="J44" s="2258">
        <f>IF(C44="","",I44/(1+F44*(1-H44)))</f>
        <v/>
      </c>
      <c r="L44" s="259" t="n"/>
      <c r="M44" s="259" t="n"/>
      <c r="N44" s="443" t="inlineStr">
        <is>
          <t>Yes</t>
        </is>
      </c>
      <c r="O44" s="1007" t="n"/>
      <c r="P44" s="445" t="n"/>
      <c r="Q44" s="446" t="n"/>
      <c r="R44" s="446" t="n"/>
      <c r="S44" s="447" t="n"/>
      <c r="T44" s="447" t="n"/>
      <c r="U44" s="1007" t="n"/>
    </row>
    <row r="45" hidden="1" outlineLevel="1" ht="12" customHeight="1" thickBot="1">
      <c r="B45" s="436" t="n"/>
      <c r="C45" s="2253">
        <f>'GPC Data'!E38</f>
        <v/>
      </c>
      <c r="D45" s="2254">
        <f>_xlfn.SINGLE(INDEX('D|E'!#REF!,B45))</f>
        <v/>
      </c>
      <c r="E45" s="2255">
        <f>_xlfn.SINGLE(INDEX('D|E'!#REF!,B45))</f>
        <v/>
      </c>
      <c r="F45" s="2256">
        <f>'GPC Data'!X140</f>
        <v/>
      </c>
      <c r="G45" s="2256">
        <f>IF($P$5="Spot",'D|E'!R21,IF($P$5="5 Year",'D|E'!S21,'D|E'!T21))</f>
        <v/>
      </c>
      <c r="H45" s="2256">
        <f>'GPC Data'!R38</f>
        <v/>
      </c>
      <c r="I45" s="2257">
        <f>'GPC Data'!N38</f>
        <v/>
      </c>
      <c r="J45" s="2258">
        <f>IF(C45="","",I45/(1+F45*(1-H45)))</f>
        <v/>
      </c>
      <c r="L45" s="259" t="n"/>
      <c r="M45" s="259" t="n"/>
      <c r="N45" s="443" t="inlineStr">
        <is>
          <t>Yes</t>
        </is>
      </c>
      <c r="O45" s="1007" t="n"/>
      <c r="P45" s="445" t="n"/>
      <c r="Q45" s="446" t="n"/>
      <c r="R45" s="446" t="n"/>
      <c r="S45" s="447" t="n"/>
      <c r="T45" s="447" t="n"/>
      <c r="U45" s="1007" t="n"/>
    </row>
    <row r="46" hidden="1" outlineLevel="1" ht="12" customHeight="1" thickBot="1">
      <c r="B46" s="436" t="n"/>
      <c r="C46" s="2253">
        <f>'GPC Data'!E39</f>
        <v/>
      </c>
      <c r="D46" s="2254">
        <f>_xlfn.SINGLE(INDEX('D|E'!#REF!,B46))</f>
        <v/>
      </c>
      <c r="E46" s="2255">
        <f>_xlfn.SINGLE(INDEX('D|E'!#REF!,B46))</f>
        <v/>
      </c>
      <c r="F46" s="2256">
        <f>'GPC Data'!X141</f>
        <v/>
      </c>
      <c r="G46" s="2256">
        <f>IF($P$5="Spot",'D|E'!R22,IF($P$5="5 Year",'D|E'!S22,'D|E'!T22))</f>
        <v/>
      </c>
      <c r="H46" s="2256">
        <f>'GPC Data'!R39</f>
        <v/>
      </c>
      <c r="I46" s="2257">
        <f>'GPC Data'!N39</f>
        <v/>
      </c>
      <c r="J46" s="2258">
        <f>IF(C46="","",I46/(1+F46*(1-H46)))</f>
        <v/>
      </c>
      <c r="L46" s="259" t="n"/>
      <c r="M46" s="259" t="n"/>
      <c r="N46" s="443" t="inlineStr">
        <is>
          <t>Yes</t>
        </is>
      </c>
      <c r="O46" s="1007" t="n"/>
      <c r="P46" s="445" t="n"/>
      <c r="Q46" s="446" t="n"/>
      <c r="R46" s="446" t="n"/>
      <c r="S46" s="447" t="n"/>
      <c r="T46" s="447" t="n"/>
      <c r="U46" s="1007" t="n"/>
    </row>
    <row r="47" hidden="1" outlineLevel="1" ht="12" customHeight="1" thickBot="1">
      <c r="B47" s="436" t="n"/>
      <c r="C47" s="2253">
        <f>'GPC Data'!E40</f>
        <v/>
      </c>
      <c r="D47" s="2254">
        <f>_xlfn.SINGLE(INDEX('D|E'!#REF!,B47))</f>
        <v/>
      </c>
      <c r="E47" s="2255">
        <f>_xlfn.SINGLE(INDEX('D|E'!#REF!,B47))</f>
        <v/>
      </c>
      <c r="F47" s="2256">
        <f>'GPC Data'!X142</f>
        <v/>
      </c>
      <c r="G47" s="2256">
        <f>IF($P$5="Spot",'D|E'!R23,IF($P$5="5 Year",'D|E'!S23,'D|E'!T23))</f>
        <v/>
      </c>
      <c r="H47" s="2256">
        <f>'GPC Data'!R40</f>
        <v/>
      </c>
      <c r="I47" s="2257">
        <f>'GPC Data'!N40</f>
        <v/>
      </c>
      <c r="J47" s="2258">
        <f>IF(C47="","",I47/(1+F47*(1-H47)))</f>
        <v/>
      </c>
      <c r="L47" s="259" t="n"/>
      <c r="M47" s="259" t="n"/>
      <c r="N47" s="443" t="inlineStr">
        <is>
          <t>Yes</t>
        </is>
      </c>
      <c r="O47" s="1007" t="n"/>
      <c r="P47" s="445" t="n"/>
      <c r="Q47" s="446" t="n"/>
      <c r="R47" s="446" t="n"/>
      <c r="S47" s="447" t="n"/>
      <c r="T47" s="447" t="n"/>
      <c r="U47" s="1007" t="n"/>
    </row>
    <row r="48" hidden="1" outlineLevel="1" ht="12" customHeight="1" thickBot="1">
      <c r="B48" s="436" t="n"/>
      <c r="C48" s="2253">
        <f>'GPC Data'!E41</f>
        <v/>
      </c>
      <c r="D48" s="2254">
        <f>_xlfn.SINGLE(INDEX('D|E'!#REF!,B48))</f>
        <v/>
      </c>
      <c r="E48" s="2255">
        <f>_xlfn.SINGLE(INDEX('D|E'!#REF!,B48))</f>
        <v/>
      </c>
      <c r="F48" s="2256">
        <f>'GPC Data'!X143</f>
        <v/>
      </c>
      <c r="G48" s="2256">
        <f>IF($P$5="Spot",'D|E'!R24,IF($P$5="5 Year",'D|E'!S24,'D|E'!T24))</f>
        <v/>
      </c>
      <c r="H48" s="2256">
        <f>'GPC Data'!R41</f>
        <v/>
      </c>
      <c r="I48" s="2257">
        <f>'GPC Data'!N41</f>
        <v/>
      </c>
      <c r="J48" s="2258">
        <f>IF(C48="","",I48/(1+F48*(1-H48)))</f>
        <v/>
      </c>
      <c r="L48" s="259" t="n"/>
      <c r="M48" s="259" t="n"/>
      <c r="N48" s="443" t="inlineStr">
        <is>
          <t>Yes</t>
        </is>
      </c>
      <c r="O48" s="1007" t="n"/>
      <c r="P48" s="445" t="n"/>
      <c r="Q48" s="446" t="n"/>
      <c r="R48" s="446" t="n"/>
      <c r="S48" s="447" t="n"/>
      <c r="T48" s="447" t="n"/>
      <c r="U48" s="1007" t="n"/>
    </row>
    <row r="49" hidden="1" outlineLevel="1" ht="12" customHeight="1" thickBot="1">
      <c r="B49" s="436" t="n"/>
      <c r="C49" s="2253">
        <f>'GPC Data'!E42</f>
        <v/>
      </c>
      <c r="D49" s="2254">
        <f>_xlfn.SINGLE(INDEX('D|E'!#REF!,B49))</f>
        <v/>
      </c>
      <c r="E49" s="2255">
        <f>_xlfn.SINGLE(INDEX('D|E'!#REF!,B49))</f>
        <v/>
      </c>
      <c r="F49" s="2256">
        <f>'GPC Data'!X144</f>
        <v/>
      </c>
      <c r="G49" s="2256">
        <f>IF($P$5="Spot",'D|E'!R25,IF($P$5="5 Year",'D|E'!S25,'D|E'!T25))</f>
        <v/>
      </c>
      <c r="H49" s="2256">
        <f>'GPC Data'!R42</f>
        <v/>
      </c>
      <c r="I49" s="2257">
        <f>'GPC Data'!N42</f>
        <v/>
      </c>
      <c r="J49" s="2258">
        <f>IF(C49="","",I49/(1+F49*(1-H49)))</f>
        <v/>
      </c>
      <c r="L49" s="259" t="n"/>
      <c r="M49" s="259" t="n"/>
      <c r="N49" s="443" t="inlineStr">
        <is>
          <t>Yes</t>
        </is>
      </c>
      <c r="O49" s="1007" t="n"/>
      <c r="P49" s="445" t="n"/>
      <c r="Q49" s="446" t="n"/>
      <c r="R49" s="446" t="n"/>
      <c r="S49" s="447" t="n"/>
      <c r="T49" s="447" t="n"/>
      <c r="U49" s="1007" t="n"/>
    </row>
    <row r="50" hidden="1" outlineLevel="1" ht="12" customHeight="1" thickBot="1">
      <c r="B50" s="436" t="n"/>
      <c r="C50" s="2253">
        <f>'GPC Data'!E43</f>
        <v/>
      </c>
      <c r="D50" s="2254">
        <f>_xlfn.SINGLE(INDEX('D|E'!#REF!,B50))</f>
        <v/>
      </c>
      <c r="E50" s="2255">
        <f>_xlfn.SINGLE(INDEX('D|E'!#REF!,B50))</f>
        <v/>
      </c>
      <c r="F50" s="2256">
        <f>'GPC Data'!X145</f>
        <v/>
      </c>
      <c r="G50" s="2256">
        <f>IF($P$5="Spot",'D|E'!R26,IF($P$5="5 Year",'D|E'!S26,'D|E'!T26))</f>
        <v/>
      </c>
      <c r="H50" s="2256">
        <f>'GPC Data'!R43</f>
        <v/>
      </c>
      <c r="I50" s="2257">
        <f>'GPC Data'!N43</f>
        <v/>
      </c>
      <c r="J50" s="2258">
        <f>IF(C50="","",I50/(1+F50*(1-H50)))</f>
        <v/>
      </c>
      <c r="L50" s="259" t="n"/>
      <c r="M50" s="259" t="n"/>
      <c r="N50" s="443" t="inlineStr">
        <is>
          <t>Yes</t>
        </is>
      </c>
      <c r="O50" s="1007" t="n"/>
      <c r="P50" s="445" t="n"/>
      <c r="Q50" s="446" t="n"/>
      <c r="R50" s="446" t="n"/>
      <c r="S50" s="447" t="n"/>
      <c r="T50" s="447" t="n"/>
      <c r="U50" s="1007" t="n"/>
    </row>
    <row r="51" hidden="1" outlineLevel="1" ht="12" customHeight="1" thickBot="1">
      <c r="B51" s="436" t="n"/>
      <c r="C51" s="2253">
        <f>'GPC Data'!E44</f>
        <v/>
      </c>
      <c r="D51" s="2254">
        <f>_xlfn.SINGLE(INDEX('D|E'!#REF!,B51))</f>
        <v/>
      </c>
      <c r="E51" s="2255">
        <f>_xlfn.SINGLE(INDEX('D|E'!#REF!,B51))</f>
        <v/>
      </c>
      <c r="F51" s="2256">
        <f>'GPC Data'!X146</f>
        <v/>
      </c>
      <c r="G51" s="2256">
        <f>IF($P$5="Spot",'D|E'!R27,IF($P$5="5 Year",'D|E'!S27,'D|E'!T27))</f>
        <v/>
      </c>
      <c r="H51" s="2256">
        <f>'GPC Data'!R44</f>
        <v/>
      </c>
      <c r="I51" s="2257">
        <f>'GPC Data'!N44</f>
        <v/>
      </c>
      <c r="J51" s="2258">
        <f>IF(C51="","",I51/(1+F51*(1-H51)))</f>
        <v/>
      </c>
      <c r="L51" s="259" t="n"/>
      <c r="M51" s="259" t="n"/>
      <c r="N51" s="443" t="inlineStr">
        <is>
          <t>Yes</t>
        </is>
      </c>
      <c r="O51" s="1007" t="n"/>
      <c r="P51" s="445" t="n"/>
      <c r="Q51" s="446" t="n"/>
      <c r="R51" s="446" t="n"/>
      <c r="S51" s="447" t="n"/>
      <c r="T51" s="447" t="n"/>
      <c r="U51" s="1007" t="n"/>
    </row>
    <row r="52" hidden="1" outlineLevel="1" ht="12" customHeight="1" thickBot="1">
      <c r="B52" s="436" t="n"/>
      <c r="C52" s="2253">
        <f>'GPC Data'!E45</f>
        <v/>
      </c>
      <c r="D52" s="2254">
        <f>_xlfn.SINGLE(INDEX('D|E'!#REF!,B52))</f>
        <v/>
      </c>
      <c r="E52" s="2255">
        <f>_xlfn.SINGLE(INDEX('D|E'!#REF!,B52))</f>
        <v/>
      </c>
      <c r="F52" s="2256">
        <f>'GPC Data'!X147</f>
        <v/>
      </c>
      <c r="G52" s="2256">
        <f>IF($P$5="Spot",'D|E'!R28,IF($P$5="5 Year",'D|E'!S28,'D|E'!T28))</f>
        <v/>
      </c>
      <c r="H52" s="2256">
        <f>'GPC Data'!R45</f>
        <v/>
      </c>
      <c r="I52" s="2257">
        <f>'GPC Data'!N45</f>
        <v/>
      </c>
      <c r="J52" s="2258">
        <f>IF(C52="","",I52/(1+F52*(1-H52)))</f>
        <v/>
      </c>
      <c r="L52" s="259" t="n"/>
      <c r="M52" s="259" t="n"/>
      <c r="N52" s="443" t="inlineStr">
        <is>
          <t>Yes</t>
        </is>
      </c>
      <c r="O52" s="1007" t="n"/>
      <c r="P52" s="445" t="n"/>
      <c r="Q52" s="446" t="n"/>
      <c r="R52" s="446" t="n"/>
      <c r="S52" s="447" t="n"/>
      <c r="T52" s="447" t="n"/>
      <c r="U52" s="1007" t="n"/>
    </row>
    <row r="53" hidden="1" outlineLevel="1" ht="12" customHeight="1" thickBot="1">
      <c r="B53" s="436" t="n"/>
      <c r="C53" s="2253">
        <f>'GPC Data'!E46</f>
        <v/>
      </c>
      <c r="D53" s="2254">
        <f>_xlfn.SINGLE(INDEX('D|E'!#REF!,B53))</f>
        <v/>
      </c>
      <c r="E53" s="2255">
        <f>_xlfn.SINGLE(INDEX('D|E'!#REF!,B53))</f>
        <v/>
      </c>
      <c r="F53" s="2256">
        <f>'GPC Data'!X148</f>
        <v/>
      </c>
      <c r="G53" s="2256">
        <f>IF($P$5="Spot",'D|E'!R29,IF($P$5="5 Year",'D|E'!S29,'D|E'!T29))</f>
        <v/>
      </c>
      <c r="H53" s="2256">
        <f>'GPC Data'!R46</f>
        <v/>
      </c>
      <c r="I53" s="2257">
        <f>'GPC Data'!N46</f>
        <v/>
      </c>
      <c r="J53" s="2258">
        <f>IF(C53="","",I53/(1+F53*(1-H53)))</f>
        <v/>
      </c>
      <c r="L53" s="259" t="n"/>
      <c r="M53" s="259" t="n"/>
      <c r="N53" s="443" t="inlineStr">
        <is>
          <t>Yes</t>
        </is>
      </c>
      <c r="O53" s="1007" t="n"/>
      <c r="P53" s="445" t="n"/>
      <c r="Q53" s="446" t="n"/>
      <c r="R53" s="446" t="n"/>
      <c r="S53" s="447" t="n"/>
      <c r="T53" s="447" t="n"/>
      <c r="U53" s="1007" t="n"/>
    </row>
    <row r="54" hidden="1" outlineLevel="1" ht="12" customHeight="1" thickBot="1">
      <c r="B54" s="436" t="n"/>
      <c r="C54" s="2253">
        <f>'GPC Data'!E47</f>
        <v/>
      </c>
      <c r="D54" s="2254">
        <f>_xlfn.SINGLE(INDEX('D|E'!#REF!,B54))</f>
        <v/>
      </c>
      <c r="E54" s="2255">
        <f>_xlfn.SINGLE(INDEX('D|E'!#REF!,B54))</f>
        <v/>
      </c>
      <c r="F54" s="2256">
        <f>'GPC Data'!X149</f>
        <v/>
      </c>
      <c r="G54" s="2256">
        <f>IF($P$5="Spot",'D|E'!R30,IF($P$5="5 Year",'D|E'!S30,'D|E'!T30))</f>
        <v/>
      </c>
      <c r="H54" s="2256">
        <f>'GPC Data'!R47</f>
        <v/>
      </c>
      <c r="I54" s="2257">
        <f>'GPC Data'!N47</f>
        <v/>
      </c>
      <c r="J54" s="2258">
        <f>IF(C54="","",I54/(1+F54*(1-H54)))</f>
        <v/>
      </c>
      <c r="L54" s="259" t="n"/>
      <c r="M54" s="259" t="n"/>
      <c r="N54" s="443" t="inlineStr">
        <is>
          <t>Yes</t>
        </is>
      </c>
      <c r="O54" s="1007" t="n"/>
      <c r="P54" s="445" t="n"/>
      <c r="Q54" s="446" t="n"/>
      <c r="R54" s="446" t="n"/>
      <c r="S54" s="447" t="n"/>
      <c r="T54" s="447" t="n"/>
      <c r="U54" s="1007" t="n"/>
    </row>
    <row r="55" hidden="1" outlineLevel="1" ht="12" customHeight="1" thickBot="1">
      <c r="B55" s="436" t="n"/>
      <c r="C55" s="2253">
        <f>'GPC Data'!E48</f>
        <v/>
      </c>
      <c r="D55" s="2254">
        <f>_xlfn.SINGLE(INDEX('D|E'!#REF!,B55))</f>
        <v/>
      </c>
      <c r="E55" s="2255">
        <f>_xlfn.SINGLE(INDEX('D|E'!#REF!,B55))</f>
        <v/>
      </c>
      <c r="F55" s="2256">
        <f>'GPC Data'!X150</f>
        <v/>
      </c>
      <c r="G55" s="2256">
        <f>IF($P$5="Spot",'D|E'!R31,IF($P$5="5 Year",'D|E'!S31,'D|E'!T31))</f>
        <v/>
      </c>
      <c r="H55" s="2256">
        <f>'GPC Data'!R48</f>
        <v/>
      </c>
      <c r="I55" s="2257">
        <f>'GPC Data'!N48</f>
        <v/>
      </c>
      <c r="J55" s="2258">
        <f>IF(C55="","",I55/(1+F55*(1-H55)))</f>
        <v/>
      </c>
      <c r="L55" s="259" t="n"/>
      <c r="M55" s="259" t="n"/>
      <c r="N55" s="443" t="inlineStr">
        <is>
          <t>Yes</t>
        </is>
      </c>
      <c r="O55" s="1007" t="n"/>
      <c r="P55" s="445" t="n"/>
      <c r="Q55" s="446" t="n"/>
      <c r="R55" s="446" t="n"/>
      <c r="S55" s="447" t="n"/>
      <c r="T55" s="447" t="n"/>
      <c r="U55" s="1007" t="n"/>
    </row>
    <row r="56" hidden="1" outlineLevel="1" ht="12" customHeight="1" thickBot="1">
      <c r="B56" s="436" t="n"/>
      <c r="C56" s="2253">
        <f>'GPC Data'!E49</f>
        <v/>
      </c>
      <c r="D56" s="2254">
        <f>_xlfn.SINGLE(INDEX('D|E'!#REF!,B56))</f>
        <v/>
      </c>
      <c r="E56" s="2255">
        <f>_xlfn.SINGLE(INDEX('D|E'!#REF!,B56))</f>
        <v/>
      </c>
      <c r="F56" s="2256">
        <f>'GPC Data'!X151</f>
        <v/>
      </c>
      <c r="G56" s="2256">
        <f>IF($P$5="Spot",'D|E'!R32,IF($P$5="5 Year",'D|E'!S32,'D|E'!T32))</f>
        <v/>
      </c>
      <c r="H56" s="2256">
        <f>'GPC Data'!R49</f>
        <v/>
      </c>
      <c r="I56" s="2257">
        <f>'GPC Data'!N49</f>
        <v/>
      </c>
      <c r="J56" s="2258">
        <f>IF(C56="","",I56/(1+F56*(1-H56)))</f>
        <v/>
      </c>
      <c r="L56" s="259" t="n"/>
      <c r="M56" s="259" t="n"/>
      <c r="N56" s="443" t="inlineStr">
        <is>
          <t>Yes</t>
        </is>
      </c>
      <c r="O56" s="1007" t="n"/>
      <c r="P56" s="445" t="n"/>
      <c r="Q56" s="446" t="n"/>
      <c r="R56" s="446" t="n"/>
      <c r="S56" s="447" t="n"/>
      <c r="T56" s="447" t="n"/>
      <c r="U56" s="1007" t="n"/>
    </row>
    <row r="57" hidden="1" outlineLevel="1" ht="12" customHeight="1" thickBot="1">
      <c r="B57" s="436" t="n"/>
      <c r="C57" s="2253">
        <f>'GPC Data'!E50</f>
        <v/>
      </c>
      <c r="D57" s="2254">
        <f>_xlfn.SINGLE(INDEX('D|E'!#REF!,B57))</f>
        <v/>
      </c>
      <c r="E57" s="2255">
        <f>_xlfn.SINGLE(INDEX('D|E'!#REF!,B57))</f>
        <v/>
      </c>
      <c r="F57" s="2256">
        <f>'GPC Data'!X152</f>
        <v/>
      </c>
      <c r="G57" s="2256">
        <f>IF($P$5="Spot",'D|E'!R33,IF($P$5="5 Year",'D|E'!S33,'D|E'!T33))</f>
        <v/>
      </c>
      <c r="H57" s="2256">
        <f>'GPC Data'!R50</f>
        <v/>
      </c>
      <c r="I57" s="2257">
        <f>'GPC Data'!N50</f>
        <v/>
      </c>
      <c r="J57" s="2258">
        <f>IF(C57="","",I57/(1+F57*(1-H57)))</f>
        <v/>
      </c>
      <c r="L57" s="259" t="n"/>
      <c r="M57" s="259" t="n"/>
      <c r="N57" s="443" t="inlineStr">
        <is>
          <t>Yes</t>
        </is>
      </c>
      <c r="O57" s="1007" t="n"/>
      <c r="P57" s="445" t="n"/>
      <c r="Q57" s="446" t="n"/>
      <c r="R57" s="446" t="n"/>
      <c r="S57" s="447" t="n"/>
      <c r="T57" s="447" t="n"/>
      <c r="U57" s="1007" t="n"/>
    </row>
    <row r="58" hidden="1" outlineLevel="1" ht="12" customHeight="1" thickBot="1">
      <c r="B58" s="436" t="n">
        <v>10</v>
      </c>
      <c r="C58" s="2253">
        <f>'GPC Data'!E51</f>
        <v/>
      </c>
      <c r="D58" s="2254">
        <f>_xlfn.SINGLE(INDEX('D|E'!#REF!,B58))</f>
        <v/>
      </c>
      <c r="E58" s="2255">
        <f>_xlfn.SINGLE(INDEX('D|E'!#REF!,B58))</f>
        <v/>
      </c>
      <c r="F58" s="2256">
        <f>'GPC Data'!X153</f>
        <v/>
      </c>
      <c r="G58" s="2256">
        <f>IF($P$5="Spot",'D|E'!R14,IF($P$5="5 Year",'D|E'!S14,'D|E'!T14))</f>
        <v/>
      </c>
      <c r="H58" s="2256">
        <f>'GPC Data'!R51</f>
        <v/>
      </c>
      <c r="I58" s="2257">
        <f>'GPC Data'!N51</f>
        <v/>
      </c>
      <c r="J58" s="2258">
        <f>IF(C58="","",I58/(1+F58*(1-H58)))</f>
        <v/>
      </c>
      <c r="L58" s="259" t="n"/>
      <c r="M58" s="259" t="n"/>
      <c r="N58" s="443" t="inlineStr">
        <is>
          <t>Yes</t>
        </is>
      </c>
      <c r="O58" s="1007" t="n"/>
      <c r="P58" s="445" t="n"/>
      <c r="Q58" s="446" t="n"/>
      <c r="R58" s="446" t="n"/>
      <c r="S58" s="447" t="n"/>
      <c r="T58" s="447" t="n"/>
      <c r="U58" s="1007" t="n"/>
    </row>
    <row r="59" collapsed="1" customFormat="1" s="432">
      <c r="C59" s="454">
        <f>"As of "&amp;TEXT(valuation.date,"d mmmm yyy")&amp;"."&amp;" Historical financial information for the selected guideline public companies provided by EIKON"</f>
        <v/>
      </c>
      <c r="D59" s="455" t="n"/>
      <c r="E59" s="456" t="n"/>
      <c r="F59" s="2259" t="n"/>
      <c r="G59" s="2259" t="n"/>
      <c r="H59" s="2259" t="n"/>
      <c r="I59" s="2260" t="n"/>
      <c r="J59" s="2260" t="n"/>
      <c r="Q59" s="459" t="n"/>
      <c r="R59" s="460" t="n"/>
      <c r="S59" s="461" t="n"/>
      <c r="T59" s="461" t="n"/>
    </row>
    <row r="60" customFormat="1" s="432">
      <c r="C60" s="771" t="n"/>
      <c r="E60" s="463" t="n"/>
      <c r="F60" s="2261" t="n"/>
      <c r="G60" s="2261" t="n"/>
      <c r="H60" s="2261" t="n"/>
      <c r="I60" s="2262" t="n"/>
      <c r="J60" s="2262" t="n"/>
      <c r="Q60" s="459" t="n"/>
      <c r="R60" s="460" t="n"/>
      <c r="S60" s="461" t="n"/>
      <c r="T60" s="461" t="n"/>
    </row>
    <row r="61" customFormat="1" s="432">
      <c r="E61" s="466" t="inlineStr">
        <is>
          <t>Summary Analysis</t>
        </is>
      </c>
      <c r="F61" s="2261" t="n"/>
      <c r="G61" s="2261" t="n"/>
      <c r="H61" s="2261" t="n"/>
      <c r="I61" s="2262" t="n"/>
      <c r="J61" s="2262" t="n"/>
      <c r="Q61" s="459" t="n"/>
      <c r="R61" s="460" t="n"/>
      <c r="S61" s="461" t="n"/>
      <c r="T61" s="461" t="n"/>
    </row>
    <row r="62" ht="12" customFormat="1" customHeight="1" s="432">
      <c r="E62" s="2263" t="inlineStr">
        <is>
          <t>Max</t>
        </is>
      </c>
      <c r="F62" s="2250">
        <f>IFERROR(MAX(F29:F58),"NA")</f>
        <v/>
      </c>
      <c r="G62" s="2250">
        <f>IFERROR(MAX(G29:G58),"NA")</f>
        <v/>
      </c>
      <c r="H62" s="2250">
        <f>IFERROR(MAX(H29:H58),"NA")</f>
        <v/>
      </c>
      <c r="I62" s="2264">
        <f>IFERROR(MAX(I29:I58),"NA")</f>
        <v/>
      </c>
      <c r="J62" s="2264">
        <f>IFERROR(MAX(J29:J58),"NA")</f>
        <v/>
      </c>
      <c r="S62" s="461" t="n"/>
      <c r="T62" s="461" t="n"/>
    </row>
    <row r="63" ht="12" customFormat="1" customHeight="1" s="432">
      <c r="E63" s="2265" t="inlineStr">
        <is>
          <t>Min</t>
        </is>
      </c>
      <c r="F63" s="2256">
        <f>IFERROR(MIN(F29:F58),"NA")</f>
        <v/>
      </c>
      <c r="G63" s="2256">
        <f>IFERROR(MIN(G29:G58),"NA")</f>
        <v/>
      </c>
      <c r="H63" s="2256">
        <f>IFERROR(MIN(H29:H58),"NA")</f>
        <v/>
      </c>
      <c r="I63" s="2266">
        <f>IFERROR(MIN(I29:I58),"NA")</f>
        <v/>
      </c>
      <c r="J63" s="2266">
        <f>IFERROR(MIN(J29:J58),"NA")</f>
        <v/>
      </c>
      <c r="S63" s="461" t="n"/>
      <c r="T63" s="461" t="n"/>
    </row>
    <row r="64" ht="12" customFormat="1" customHeight="1" s="432">
      <c r="E64" s="2265" t="inlineStr">
        <is>
          <t>Mean</t>
        </is>
      </c>
      <c r="F64" s="2256">
        <f>IFERROR(AVERAGE(F29:F58),"NA")</f>
        <v/>
      </c>
      <c r="G64" s="2256">
        <f>IFERROR(AVERAGE(G29:G58),"NA")</f>
        <v/>
      </c>
      <c r="H64" s="2256">
        <f>IFERROR(AVERAGE(H29:H58),"NA")</f>
        <v/>
      </c>
      <c r="I64" s="2266">
        <f>IFERROR(AVERAGE(I29:I58),"NA")</f>
        <v/>
      </c>
      <c r="J64" s="2266">
        <f>IFERROR(AVERAGE(J29:J58),"NA")</f>
        <v/>
      </c>
      <c r="S64" s="461" t="n"/>
      <c r="T64" s="461" t="n"/>
    </row>
    <row r="65" ht="12" customFormat="1" customHeight="1" s="432">
      <c r="E65" s="2267" t="inlineStr">
        <is>
          <t>Median</t>
        </is>
      </c>
      <c r="F65" s="2268">
        <f>IFERROR(MEDIAN(F29:F58),"NA")</f>
        <v/>
      </c>
      <c r="G65" s="2268">
        <f>IFERROR(MEDIAN(G29:G58),"NA")</f>
        <v/>
      </c>
      <c r="H65" s="2268">
        <f>IFERROR(MEDIAN(H29:H58),"NA")</f>
        <v/>
      </c>
      <c r="I65" s="2269">
        <f>IFERROR(MEDIAN(I29:I58),"NA")</f>
        <v/>
      </c>
      <c r="J65" s="2269">
        <f>IFERROR(MEDIAN(J29:J58),"NA")</f>
        <v/>
      </c>
      <c r="S65" s="461" t="n"/>
      <c r="T65" s="461" t="n"/>
    </row>
    <row r="66" ht="12" customFormat="1" customHeight="1" s="432">
      <c r="E66" s="2270" t="n"/>
      <c r="F66" s="2261" t="n"/>
      <c r="G66" s="2261" t="n"/>
      <c r="H66" s="2261" t="n"/>
      <c r="I66" s="2262" t="n"/>
      <c r="J66" s="2262" t="n"/>
      <c r="S66" s="461" t="n"/>
      <c r="T66" s="461" t="n"/>
    </row>
    <row r="67" ht="12" customFormat="1" customHeight="1" s="432">
      <c r="E67" s="466" t="inlineStr">
        <is>
          <t>Excluding outliers</t>
        </is>
      </c>
      <c r="F67" s="2261" t="n"/>
      <c r="G67" s="2261" t="n"/>
      <c r="H67" s="2261" t="n"/>
      <c r="I67" s="2262" t="n"/>
      <c r="J67" s="2262" t="n"/>
      <c r="P67" s="809" t="n"/>
      <c r="Q67" s="476" t="n"/>
      <c r="R67" s="476" t="n"/>
      <c r="S67" s="461" t="n"/>
      <c r="T67" s="461" t="n"/>
    </row>
    <row r="68" ht="12" customFormat="1" customHeight="1" s="432">
      <c r="E68" s="2263" t="inlineStr">
        <is>
          <t>Max</t>
        </is>
      </c>
      <c r="F68" s="2250">
        <f t="array" ref="F68">IFERROR(MAX(IF($N$29:$N$58="No",F29:F58)),"")</f>
        <v/>
      </c>
      <c r="G68" s="2250">
        <f t="array" ref="G68">IFERROR(MAX(IF($N$29:$N$58="No",G29:G58)),"")</f>
        <v/>
      </c>
      <c r="H68" s="2250">
        <f t="array" ref="H68">IFERROR(MAX(IF($N$29:$N$58="No",H29:H58)),"")</f>
        <v/>
      </c>
      <c r="I68" s="2250">
        <f t="array" ref="I68">IFERROR(MAX(IF($N$29:$N$58="No",I29:I58)),"")</f>
        <v/>
      </c>
      <c r="J68" s="2250">
        <f t="array" ref="J68">IFERROR(MAX(IF($N$29:$N$58="No",J29:J58)),"")</f>
        <v/>
      </c>
      <c r="P68" s="809" t="n"/>
      <c r="Q68" s="476" t="n"/>
      <c r="R68" s="476" t="n"/>
      <c r="S68" s="461" t="n"/>
      <c r="T68" s="461" t="n"/>
    </row>
    <row r="69" ht="12" customFormat="1" customHeight="1" s="432">
      <c r="E69" s="2265" t="inlineStr">
        <is>
          <t>Min</t>
        </is>
      </c>
      <c r="F69" s="2256">
        <f t="array" ref="F69">IFERROR(MIN(IF($N$29:$N$58="No",F29:F58)),"")</f>
        <v/>
      </c>
      <c r="G69" s="2256">
        <f t="array" ref="G69">IFERROR(MIN(IF($N$29:$N$58="No",G29:G58)),"")</f>
        <v/>
      </c>
      <c r="H69" s="2256">
        <f t="array" ref="H69">IFERROR(MIN(IF($N$29:$N$58="No",H29:H58)),"")</f>
        <v/>
      </c>
      <c r="I69" s="2256">
        <f t="array" ref="I69">IFERROR(MIN(IF($N$29:$N$58="No",I29:I58)),"")</f>
        <v/>
      </c>
      <c r="J69" s="2256">
        <f t="array" ref="J69">IFERROR(MIN(IF($N$29:$N$58="No",J29:J58)),"")</f>
        <v/>
      </c>
      <c r="P69" s="809" t="n"/>
      <c r="Q69" s="476" t="n"/>
      <c r="R69" s="476" t="n"/>
      <c r="S69" s="461" t="n"/>
      <c r="T69" s="461" t="n"/>
    </row>
    <row r="70" ht="12" customFormat="1" customHeight="1" s="432">
      <c r="E70" s="2265" t="inlineStr">
        <is>
          <t>Mean</t>
        </is>
      </c>
      <c r="F70" s="2256">
        <f>IFERROR(AVERAGEIF($N$29:$N$58,"No",F29:F58),"")</f>
        <v/>
      </c>
      <c r="G70" s="2256">
        <f>IFERROR(AVERAGEIF($N$29:$N$58,"No",G29:G58),"")</f>
        <v/>
      </c>
      <c r="H70" s="2256">
        <f>IFERROR(AVERAGEIF($N$29:$N$58,"No",H29:H58),"")</f>
        <v/>
      </c>
      <c r="I70" s="2256">
        <f>IFERROR(AVERAGEIF($N$29:$N$58,"No",I29:I58),"")</f>
        <v/>
      </c>
      <c r="J70" s="2256">
        <f>IFERROR(AVERAGEIF($N$29:$N$58,"No",J29:J58),"")</f>
        <v/>
      </c>
      <c r="P70" s="809" t="n"/>
      <c r="Q70" s="476" t="n"/>
      <c r="R70" s="476" t="n"/>
      <c r="S70" s="461" t="n"/>
      <c r="T70" s="461" t="n"/>
    </row>
    <row r="71" ht="12" customFormat="1" customHeight="1" s="432">
      <c r="E71" s="2267" t="inlineStr">
        <is>
          <t>Median</t>
        </is>
      </c>
      <c r="F71" s="2268">
        <f t="array" ref="F71">IFERROR(MEDIAN(IF($N$29:$N$58="No",F29:F58)),"")</f>
        <v/>
      </c>
      <c r="G71" s="2268">
        <f t="array" ref="G71">IFERROR(MEDIAN(IF($N$29:$N$58="No",G29:G58)),"")</f>
        <v/>
      </c>
      <c r="H71" s="2268">
        <f t="array" ref="H71">IFERROR(MEDIAN(IF($N$29:$N$58="No",H29:H58)),"")</f>
        <v/>
      </c>
      <c r="I71" s="2268">
        <f t="array" ref="I71">IFERROR(MEDIAN(IF($N$29:$N$58="No",I29:I58)),"")</f>
        <v/>
      </c>
      <c r="J71" s="2268">
        <f t="array" ref="J71">IFERROR(MEDIAN(IF($N$29:$N$58="No",J29:J58)),"")</f>
        <v/>
      </c>
      <c r="K71" s="2271" t="n"/>
      <c r="P71" s="809" t="n"/>
      <c r="Q71" s="476" t="n"/>
      <c r="R71" s="476" t="n"/>
      <c r="S71" s="461" t="n"/>
      <c r="T71" s="461" t="n"/>
    </row>
    <row r="72" ht="13" customFormat="1" customHeight="1" s="432">
      <c r="F72" s="480" t="n"/>
      <c r="G72" s="2272" t="n"/>
      <c r="H72" s="480" t="n"/>
      <c r="I72" s="2273" t="n"/>
      <c r="J72" s="2273" t="n"/>
      <c r="Q72" s="483" t="n"/>
      <c r="R72" s="483" t="n"/>
      <c r="S72" s="484" t="n"/>
      <c r="T72" s="484" t="n"/>
      <c r="U72" s="753" t="n"/>
    </row>
    <row r="73" ht="13" customHeight="1">
      <c r="E73" s="486" t="inlineStr">
        <is>
          <t>Relevered beta calculation (Practitioner's method)</t>
        </is>
      </c>
      <c r="F73" s="545" t="n"/>
      <c r="G73" s="545" t="n"/>
      <c r="K73" s="1989" t="n"/>
      <c r="L73" s="1989" t="n"/>
      <c r="Q73" s="461" t="n"/>
      <c r="R73" s="2274" t="n"/>
      <c r="S73" s="2275" t="n"/>
      <c r="T73" s="2275" t="n"/>
      <c r="U73" s="752" t="n"/>
    </row>
    <row r="74" ht="13" customHeight="1">
      <c r="E74" s="2276" t="inlineStr">
        <is>
          <t>Selected Unlevered (Asset) beta</t>
        </is>
      </c>
      <c r="F74" s="2276" t="n"/>
      <c r="G74" s="2266">
        <f>J71</f>
        <v/>
      </c>
      <c r="K74" s="1989" t="n"/>
      <c r="L74" s="1989" t="n"/>
      <c r="Q74" s="461" t="n"/>
      <c r="R74" s="2274" t="n"/>
      <c r="S74" s="2275" t="n"/>
      <c r="T74" s="2275" t="n"/>
      <c r="U74" s="752" t="n"/>
    </row>
    <row r="75" ht="13" customHeight="1">
      <c r="E75" s="771" t="inlineStr">
        <is>
          <t>Target debt to capital</t>
        </is>
      </c>
      <c r="F75" s="771" t="n"/>
      <c r="G75" s="2277">
        <f>G71</f>
        <v/>
      </c>
      <c r="K75" s="1989" t="n"/>
      <c r="L75" s="1989" t="n"/>
      <c r="Q75" s="461" t="n"/>
      <c r="R75" s="2274" t="n"/>
      <c r="S75" s="2275" t="n"/>
      <c r="T75" s="2275" t="n"/>
      <c r="U75" s="752" t="n"/>
    </row>
    <row r="76" ht="13" customHeight="1">
      <c r="E76" s="771" t="inlineStr">
        <is>
          <t>Effective Tax Rate</t>
        </is>
      </c>
      <c r="F76" s="771" t="n"/>
      <c r="G76" s="2278">
        <f>IS_Calcs!F184</f>
        <v/>
      </c>
      <c r="K76" s="1989" t="n"/>
      <c r="L76" s="1989" t="n"/>
      <c r="Q76" s="461" t="n"/>
      <c r="R76" s="2274" t="n"/>
      <c r="S76" s="2275" t="n"/>
      <c r="T76" s="2275" t="n"/>
      <c r="U76" s="752" t="n"/>
    </row>
    <row r="77" ht="13" customHeight="1">
      <c r="E77" s="2279" t="inlineStr">
        <is>
          <t>Relevered (Equity) beta</t>
        </is>
      </c>
      <c r="F77" s="2279" t="n"/>
      <c r="G77" s="2280">
        <f>IFERROR(G74*(1+G75*(1-G76)/(1-G75)),"na")</f>
        <v/>
      </c>
      <c r="K77" s="1989" t="n"/>
      <c r="L77" s="1989" t="n"/>
      <c r="Q77" s="461" t="n"/>
      <c r="R77" s="2274" t="n"/>
      <c r="S77" s="2275" t="n"/>
      <c r="T77" s="2275" t="n"/>
      <c r="U77" s="752" t="n"/>
    </row>
    <row r="78" ht="16.5" customHeight="1">
      <c r="K78" s="1989" t="n"/>
      <c r="L78" s="1989" t="n"/>
      <c r="Q78" s="461" t="n"/>
      <c r="R78" s="2274" t="n"/>
      <c r="S78" s="2275" t="n"/>
      <c r="T78" s="2275" t="n"/>
      <c r="U78" s="752" t="n"/>
    </row>
    <row r="79">
      <c r="B79" s="259" t="n"/>
      <c r="C79" s="1807" t="inlineStr">
        <is>
          <t>Specific Risk Premium Compuation Matrix</t>
        </is>
      </c>
      <c r="D79" s="1808" t="inlineStr">
        <is>
          <t>Risk Factor</t>
        </is>
      </c>
      <c r="E79" s="1808" t="inlineStr">
        <is>
          <t>Risk Premium</t>
        </is>
      </c>
      <c r="F79" s="1809" t="inlineStr">
        <is>
          <t>Allocated</t>
        </is>
      </c>
      <c r="P79" s="259" t="n"/>
      <c r="Q79" s="259" t="n"/>
      <c r="R79" s="259" t="n"/>
    </row>
    <row r="80">
      <c r="B80" s="259" t="n"/>
      <c r="C80" s="1212">
        <f>Inputs!C274</f>
        <v/>
      </c>
      <c r="D80" s="259">
        <f>Inputs!E274</f>
        <v/>
      </c>
      <c r="E80" s="2277" t="n">
        <v>0.01</v>
      </c>
      <c r="F80" s="2281">
        <f>IF(D80="Yes",E80,0)</f>
        <v/>
      </c>
      <c r="P80" s="259" t="n"/>
      <c r="Q80" s="259" t="n"/>
      <c r="R80" s="259" t="n"/>
    </row>
    <row r="81">
      <c r="B81" s="259" t="n"/>
      <c r="C81" s="1212">
        <f>Inputs!C275</f>
        <v/>
      </c>
      <c r="D81" s="259">
        <f>Inputs!E275</f>
        <v/>
      </c>
      <c r="E81" s="2277" t="n">
        <v>0.01</v>
      </c>
      <c r="F81" s="2281">
        <f>IF(D81="Yes",E81,0)</f>
        <v/>
      </c>
      <c r="P81" s="259" t="n"/>
      <c r="Q81" s="259" t="n"/>
      <c r="R81" s="259" t="n"/>
    </row>
    <row r="82">
      <c r="B82" s="259" t="n"/>
      <c r="C82" s="1212">
        <f>Inputs!C276</f>
        <v/>
      </c>
      <c r="D82" s="259">
        <f>Inputs!E276</f>
        <v/>
      </c>
      <c r="E82" s="2277" t="n">
        <v>0.01</v>
      </c>
      <c r="F82" s="2281">
        <f>IF(D82="Yes",E82,0)</f>
        <v/>
      </c>
      <c r="P82" s="259" t="n"/>
      <c r="Q82" s="259" t="n"/>
      <c r="R82" s="259" t="n"/>
    </row>
    <row r="83">
      <c r="B83" s="259" t="n"/>
      <c r="C83" s="1212">
        <f>Inputs!C277</f>
        <v/>
      </c>
      <c r="D83" s="259">
        <f>Inputs!E277</f>
        <v/>
      </c>
      <c r="E83" s="2277" t="n">
        <v>0.005</v>
      </c>
      <c r="F83" s="2281">
        <f>IF(D83="Yes",E83,0)</f>
        <v/>
      </c>
      <c r="P83" s="259" t="n"/>
      <c r="Q83" s="259" t="n"/>
      <c r="R83" s="259" t="n"/>
    </row>
    <row r="84">
      <c r="B84" s="259" t="n"/>
      <c r="C84" s="1212">
        <f>Inputs!C278</f>
        <v/>
      </c>
      <c r="D84" s="259">
        <f>Inputs!E278</f>
        <v/>
      </c>
      <c r="E84" s="2277" t="n">
        <v>0.01</v>
      </c>
      <c r="F84" s="2281">
        <f>IF(D84="Yes",E84,0)</f>
        <v/>
      </c>
      <c r="P84" s="259" t="n"/>
      <c r="Q84" s="259" t="n"/>
      <c r="R84" s="259" t="n"/>
    </row>
    <row r="85">
      <c r="B85" s="259" t="n"/>
      <c r="C85" s="1212" t="inlineStr">
        <is>
          <t>Cyclicality Risk</t>
        </is>
      </c>
      <c r="D85" s="259">
        <f>Inputs!E279</f>
        <v/>
      </c>
      <c r="E85" s="2277" t="n">
        <v>0.005</v>
      </c>
      <c r="F85" s="2281">
        <f>IF(D85="Yes",E85,0)</f>
        <v/>
      </c>
      <c r="P85" s="259" t="n"/>
      <c r="Q85" s="259" t="n"/>
      <c r="R85" s="259" t="n"/>
    </row>
    <row r="86">
      <c r="B86" s="259" t="n"/>
      <c r="C86" s="1212" t="inlineStr">
        <is>
          <t>Forex Risk</t>
        </is>
      </c>
      <c r="D86" s="259">
        <f>Inputs!E280</f>
        <v/>
      </c>
      <c r="E86" s="2277" t="n">
        <v>0.01</v>
      </c>
      <c r="F86" s="2281">
        <f>IF(D86="Yes",E86,0)</f>
        <v/>
      </c>
      <c r="P86" s="259" t="n"/>
      <c r="Q86" s="259" t="n"/>
      <c r="R86" s="259" t="n"/>
    </row>
    <row r="87">
      <c r="B87" s="259" t="n"/>
      <c r="C87" s="1212" t="inlineStr">
        <is>
          <t>Early-Growth/Pre revenue</t>
        </is>
      </c>
      <c r="D87" s="259">
        <f>Inputs!E281</f>
        <v/>
      </c>
      <c r="E87" s="2277" t="n">
        <v>0.01</v>
      </c>
      <c r="F87" s="2281">
        <f>IF(D87="Yes",E87,0)</f>
        <v/>
      </c>
      <c r="P87" s="259" t="n"/>
      <c r="Q87" s="259" t="n"/>
      <c r="R87" s="259" t="n"/>
    </row>
    <row r="88">
      <c r="B88" s="259" t="n"/>
      <c r="C88" s="1804" t="inlineStr">
        <is>
          <t>Total Specific Risk</t>
        </is>
      </c>
      <c r="D88" s="1805" t="n"/>
      <c r="E88" s="2282">
        <f>SUM(E80:E87)</f>
        <v/>
      </c>
      <c r="F88" s="2283">
        <f>SUM(F80:F87)</f>
        <v/>
      </c>
      <c r="P88" s="259" t="n"/>
      <c r="Q88" s="259" t="n"/>
      <c r="R88" s="259" t="n"/>
    </row>
    <row r="89">
      <c r="B89" s="259" t="n"/>
      <c r="C89" s="259" t="n"/>
      <c r="D89" s="259" t="n"/>
      <c r="E89" s="259" t="n"/>
      <c r="F89" s="259" t="n"/>
      <c r="G89" s="259" t="n"/>
      <c r="H89" s="259" t="n"/>
      <c r="I89" s="259" t="n"/>
      <c r="J89" s="259" t="n"/>
      <c r="K89" s="259" t="n"/>
      <c r="P89" s="259" t="n"/>
      <c r="Q89" s="259" t="n"/>
      <c r="R89" s="259" t="n"/>
    </row>
    <row r="90">
      <c r="B90" s="259" t="n"/>
      <c r="C90" s="1800" t="inlineStr">
        <is>
          <t>Weighted Equity Risk</t>
        </is>
      </c>
      <c r="D90" s="1813" t="inlineStr">
        <is>
          <t>Country</t>
        </is>
      </c>
      <c r="E90" s="1801" t="inlineStr">
        <is>
          <t>Revenue Weight</t>
        </is>
      </c>
      <c r="F90" s="1801" t="inlineStr">
        <is>
          <t>Equity Premium</t>
        </is>
      </c>
      <c r="G90" s="1802" t="inlineStr">
        <is>
          <t>Weighted Equity Premium</t>
        </is>
      </c>
      <c r="H90" s="1801" t="inlineStr">
        <is>
          <t>Country Premium</t>
        </is>
      </c>
      <c r="I90" s="1802" t="inlineStr">
        <is>
          <t>Weighted Country Premium</t>
        </is>
      </c>
      <c r="J90" s="259" t="n"/>
      <c r="K90" s="259" t="n"/>
      <c r="P90" s="259" t="n"/>
      <c r="Q90" s="259" t="n"/>
      <c r="R90" s="259" t="n"/>
    </row>
    <row r="91">
      <c r="B91" s="259" t="n"/>
      <c r="C91" s="1212" t="inlineStr">
        <is>
          <t>Primary Business Region</t>
        </is>
      </c>
      <c r="D91" s="2284">
        <f>Inputs!E56</f>
        <v/>
      </c>
      <c r="E91" s="1814">
        <f>1-SUM(E92:E98)</f>
        <v/>
      </c>
      <c r="F91" s="1814">
        <f>_xlfn.XLOOKUP(D91,DamodaranCRP!$A$5:$A$195,DamodaranCRP!$C$5:$C$195)</f>
        <v/>
      </c>
      <c r="G91" s="1816">
        <f>F91*E91</f>
        <v/>
      </c>
      <c r="H91" s="1819">
        <f>_xlfn.XLOOKUP(D91,DamodaranCRP!$A$5:$A$195,DamodaranCRP!$D$5:$D$195)</f>
        <v/>
      </c>
      <c r="I91" s="1816">
        <f>H91*E91</f>
        <v/>
      </c>
      <c r="J91" s="259" t="n"/>
      <c r="K91" s="259" t="n"/>
      <c r="P91" s="259" t="n"/>
      <c r="Q91" s="259" t="n"/>
      <c r="R91" s="259" t="n"/>
    </row>
    <row r="92">
      <c r="B92" s="259" t="n"/>
      <c r="C92" s="1212" t="inlineStr">
        <is>
          <t>Primary: Other operating region 1</t>
        </is>
      </c>
      <c r="D92" s="1812">
        <f>Inputs!D59</f>
        <v/>
      </c>
      <c r="E92" s="1815">
        <f>Inputs!E59</f>
        <v/>
      </c>
      <c r="F92" s="1814">
        <f>_xlfn.XLOOKUP(D92,DamodaranCRP!$A$5:$A$195,DamodaranCRP!$C$5:$C$195)</f>
        <v/>
      </c>
      <c r="G92" s="1816">
        <f>F92*E92</f>
        <v/>
      </c>
      <c r="H92" s="1819">
        <f>_xlfn.XLOOKUP(D92,DamodaranCRP!$A$5:$A$195,DamodaranCRP!$D$5:$D$195)</f>
        <v/>
      </c>
      <c r="I92" s="1816">
        <f>H92*E92</f>
        <v/>
      </c>
      <c r="J92" s="259" t="n"/>
      <c r="K92" s="259" t="n"/>
      <c r="P92" s="259" t="n"/>
      <c r="Q92" s="259" t="n"/>
      <c r="R92" s="259" t="n"/>
    </row>
    <row r="93">
      <c r="B93" s="259" t="n"/>
      <c r="C93" s="1212" t="inlineStr">
        <is>
          <t>Primary: Other operating region 2</t>
        </is>
      </c>
      <c r="D93" s="1812">
        <f>Inputs!D60</f>
        <v/>
      </c>
      <c r="E93" s="1815">
        <f>Inputs!E60</f>
        <v/>
      </c>
      <c r="F93" s="1814">
        <f>_xlfn.XLOOKUP(D93,DamodaranCRP!$A$5:$A$195,DamodaranCRP!$C$5:$C$195)</f>
        <v/>
      </c>
      <c r="G93" s="1816">
        <f>F93*E93</f>
        <v/>
      </c>
      <c r="H93" s="1819">
        <f>_xlfn.XLOOKUP(D93,DamodaranCRP!$A$5:$A$195,DamodaranCRP!$D$5:$D$195)</f>
        <v/>
      </c>
      <c r="I93" s="1816">
        <f>H93*E93</f>
        <v/>
      </c>
      <c r="J93" s="259" t="n"/>
      <c r="K93" s="259" t="n"/>
      <c r="P93" s="259" t="n"/>
      <c r="Q93" s="259" t="n"/>
      <c r="R93" s="259" t="n"/>
    </row>
    <row r="94">
      <c r="B94" s="259" t="n"/>
      <c r="C94" s="1212" t="inlineStr">
        <is>
          <t>Primary: Other operating region 3</t>
        </is>
      </c>
      <c r="D94" s="1812">
        <f>Inputs!D61</f>
        <v/>
      </c>
      <c r="E94" s="1815">
        <f>Inputs!E61</f>
        <v/>
      </c>
      <c r="F94" s="1814">
        <f>_xlfn.XLOOKUP(D94,DamodaranCRP!$A$5:$A$195,DamodaranCRP!$C$5:$C$195)</f>
        <v/>
      </c>
      <c r="G94" s="1816">
        <f>F94*E94</f>
        <v/>
      </c>
      <c r="H94" s="1819">
        <f>_xlfn.XLOOKUP(D94,DamodaranCRP!$A$5:$A$195,DamodaranCRP!$D$5:$D$195)</f>
        <v/>
      </c>
      <c r="I94" s="1816">
        <f>H94*E94</f>
        <v/>
      </c>
      <c r="J94" s="259" t="n"/>
      <c r="K94" s="259" t="n"/>
      <c r="P94" s="259" t="n"/>
      <c r="Q94" s="259" t="n"/>
      <c r="R94" s="259" t="n"/>
    </row>
    <row r="95">
      <c r="B95" s="259" t="n"/>
      <c r="C95" s="1212" t="inlineStr">
        <is>
          <t>Secondary Business Region</t>
        </is>
      </c>
      <c r="D95" s="2284">
        <f>Inputs!E67</f>
        <v/>
      </c>
      <c r="E95" s="1814">
        <f>Inputs!E68-SUM(E96:E98)</f>
        <v/>
      </c>
      <c r="F95" s="1814">
        <f>_xlfn.XLOOKUP(D95,DamodaranCRP!$A$5:$A$195,DamodaranCRP!$C$5:$C$195)</f>
        <v/>
      </c>
      <c r="G95" s="1816">
        <f>F95*E95</f>
        <v/>
      </c>
      <c r="H95" s="1819">
        <f>_xlfn.XLOOKUP(D95,DamodaranCRP!$A$5:$A$195,DamodaranCRP!$D$5:$D$195)</f>
        <v/>
      </c>
      <c r="I95" s="1816">
        <f>H95*E95</f>
        <v/>
      </c>
      <c r="J95" s="259" t="n"/>
      <c r="K95" s="259" t="n"/>
      <c r="P95" s="259" t="n"/>
      <c r="Q95" s="259" t="n"/>
      <c r="R95" s="259" t="n"/>
    </row>
    <row r="96">
      <c r="B96" s="259" t="n"/>
      <c r="C96" s="1212" t="inlineStr">
        <is>
          <t>Secondary: Other operating region 1</t>
        </is>
      </c>
      <c r="D96" s="1812">
        <f>Inputs!D71</f>
        <v/>
      </c>
      <c r="E96" s="1815">
        <f>Inputs!E68*Inputs!E71</f>
        <v/>
      </c>
      <c r="F96" s="1814">
        <f>_xlfn.XLOOKUP(D96,DamodaranCRP!$A$5:$A$195,DamodaranCRP!$C$5:$C$195)</f>
        <v/>
      </c>
      <c r="G96" s="1816">
        <f>F96*E96</f>
        <v/>
      </c>
      <c r="H96" s="1819">
        <f>_xlfn.XLOOKUP(D96,DamodaranCRP!$A$5:$A$195,DamodaranCRP!$D$5:$D$195)</f>
        <v/>
      </c>
      <c r="I96" s="1816">
        <f>H96*E96</f>
        <v/>
      </c>
      <c r="J96" s="259" t="n"/>
      <c r="K96" s="259" t="n"/>
      <c r="P96" s="259" t="n"/>
      <c r="Q96" s="259" t="n"/>
      <c r="R96" s="259" t="n"/>
    </row>
    <row r="97">
      <c r="B97" s="259" t="n"/>
      <c r="C97" s="1212" t="inlineStr">
        <is>
          <t>Secondary: Other operating region 2</t>
        </is>
      </c>
      <c r="D97" s="1812">
        <f>Inputs!D72</f>
        <v/>
      </c>
      <c r="E97" s="1815">
        <f>Inputs!E68*Inputs!E72</f>
        <v/>
      </c>
      <c r="F97" s="1814">
        <f>_xlfn.XLOOKUP(D97,DamodaranCRP!$A$5:$A$195,DamodaranCRP!$C$5:$C$195)</f>
        <v/>
      </c>
      <c r="G97" s="1816">
        <f>F97*E97</f>
        <v/>
      </c>
      <c r="H97" s="1819">
        <f>_xlfn.XLOOKUP(D97,DamodaranCRP!$A$5:$A$195,DamodaranCRP!$D$5:$D$195)</f>
        <v/>
      </c>
      <c r="I97" s="1816">
        <f>H97*E97</f>
        <v/>
      </c>
      <c r="J97" s="259" t="n"/>
      <c r="K97" s="259" t="n"/>
      <c r="P97" s="259" t="n"/>
      <c r="Q97" s="259" t="n"/>
      <c r="R97" s="259" t="n"/>
    </row>
    <row r="98">
      <c r="B98" s="259" t="n"/>
      <c r="C98" s="1212" t="inlineStr">
        <is>
          <t>Secondary: Other operating region 3</t>
        </is>
      </c>
      <c r="D98" s="1812">
        <f>Inputs!D73</f>
        <v/>
      </c>
      <c r="E98" s="1815">
        <f>Inputs!E68*Inputs!E73</f>
        <v/>
      </c>
      <c r="F98" s="1814">
        <f>_xlfn.XLOOKUP(D98,DamodaranCRP!$A$5:$A$195,DamodaranCRP!$C$5:$C$195)</f>
        <v/>
      </c>
      <c r="G98" s="1816">
        <f>F98*E98</f>
        <v/>
      </c>
      <c r="H98" s="1819">
        <f>_xlfn.XLOOKUP(D98,DamodaranCRP!$A$5:$A$195,DamodaranCRP!$D$5:$D$195)</f>
        <v/>
      </c>
      <c r="I98" s="1816">
        <f>H98*E98</f>
        <v/>
      </c>
      <c r="J98" s="259" t="n"/>
      <c r="K98" s="259" t="n"/>
      <c r="P98" s="259" t="n"/>
      <c r="Q98" s="259" t="n"/>
      <c r="R98" s="259" t="n"/>
    </row>
    <row r="99">
      <c r="B99" s="259" t="n"/>
      <c r="C99" s="1804" t="inlineStr">
        <is>
          <t>Weighted equity Risk premium</t>
        </is>
      </c>
      <c r="D99" s="1805" t="n"/>
      <c r="E99" s="1817">
        <f>SUM(E91:E98)</f>
        <v/>
      </c>
      <c r="F99" s="1817" t="n"/>
      <c r="G99" s="1818">
        <f>SUM(G91:G98)</f>
        <v/>
      </c>
      <c r="H99" s="1817" t="n"/>
      <c r="I99" s="1818">
        <f>SUM(I91:I98)</f>
        <v/>
      </c>
      <c r="J99" s="259" t="n"/>
      <c r="K99" s="259" t="n"/>
      <c r="P99" s="259" t="n"/>
      <c r="Q99" s="259" t="n"/>
      <c r="R99" s="259" t="n"/>
    </row>
    <row r="100">
      <c r="B100" s="259" t="n"/>
      <c r="C100" s="259" t="n"/>
      <c r="D100" s="259" t="n"/>
      <c r="E100" s="259" t="n"/>
      <c r="F100" s="259" t="n"/>
      <c r="G100" s="259" t="n"/>
      <c r="H100" s="259" t="n"/>
      <c r="I100" s="259" t="n"/>
      <c r="J100" s="259" t="n"/>
      <c r="K100" s="259" t="n"/>
      <c r="P100" s="259" t="n"/>
      <c r="Q100" s="259" t="n"/>
      <c r="R100" s="259" t="n"/>
    </row>
    <row r="101" customFormat="1" s="551">
      <c r="B101" s="494" t="inlineStr">
        <is>
          <t>Footnotes:</t>
        </is>
      </c>
      <c r="C101" s="495" t="n"/>
      <c r="D101" s="495" t="n"/>
      <c r="E101" s="495" t="n"/>
      <c r="F101" s="495" t="n"/>
      <c r="G101" s="495" t="n"/>
      <c r="H101" s="495" t="n"/>
      <c r="I101" s="495" t="n"/>
      <c r="J101" s="495" t="n"/>
      <c r="K101" s="495" t="n"/>
    </row>
    <row r="102" customFormat="1" s="1033">
      <c r="B102" s="2285" t="n">
        <v>1</v>
      </c>
      <c r="C102" s="1497" t="inlineStr">
        <is>
          <t>Source: Capital IQ.</t>
        </is>
      </c>
    </row>
    <row r="103" customFormat="1" s="1033">
      <c r="B103" s="2285" t="n">
        <v>2</v>
      </c>
      <c r="C103" s="498" t="inlineStr">
        <is>
          <t>Effective tax rates for the selected  guideline companies are normalised at the domicile statutory rate if the effective tax rate is a) below 0%, or b) above 55%, in order to offset the use of NOL carryforwards, R&amp;D tax credits, etc.</t>
        </is>
      </c>
    </row>
    <row r="104" customFormat="1" s="1033">
      <c r="B104" s="2285" t="n">
        <v>3</v>
      </c>
      <c r="C104" s="498" t="inlineStr">
        <is>
          <t>The estimated Equity Risk Premium (ERP), which equals Rm - Rf, incorporates perspective provided by recent long-term market return studies and historical data compiled by Morningstar (formerly Ibbotson Associates).</t>
        </is>
      </c>
    </row>
    <row r="105" customFormat="1" s="1033">
      <c r="B105" s="2285" t="n">
        <v>4</v>
      </c>
      <c r="C105" s="498" t="inlineStr">
        <is>
          <t>The estimated Country Risk Premium (CRP), estimates risk associated with investing in foreign countries, over and above that considered in the Rf and ERP.</t>
        </is>
      </c>
    </row>
    <row r="106" customFormat="1" s="501">
      <c r="B106" s="2286" t="n"/>
      <c r="C106" s="498" t="n"/>
    </row>
  </sheetData>
  <mergeCells count="1">
    <mergeCell ref="M27:N27"/>
  </mergeCells>
  <conditionalFormatting sqref="Q29:R58">
    <cfRule type="cellIs" priority="39" operator="lessThan" dxfId="1">
      <formula>0.0999999</formula>
    </cfRule>
    <cfRule type="cellIs" priority="41" operator="greaterThan" dxfId="20">
      <formula>0.1</formula>
    </cfRule>
  </conditionalFormatting>
  <conditionalFormatting sqref="O29:O58">
    <cfRule type="cellIs" priority="33" operator="between" dxfId="17">
      <formula>61</formula>
      <formula>103</formula>
    </cfRule>
    <cfRule type="cellIs" priority="34" operator="lessThan" dxfId="17">
      <formula>60</formula>
    </cfRule>
    <cfRule type="cellIs" priority="35" operator="greaterThan" dxfId="17">
      <formula>104</formula>
    </cfRule>
  </conditionalFormatting>
  <conditionalFormatting sqref="C29:C56 C57:E58 D31:E56 E29:J30 G31:J58">
    <cfRule type="expression" priority="23" dxfId="0">
      <formula>$U29="Yes"</formula>
    </cfRule>
  </conditionalFormatting>
  <conditionalFormatting sqref="D29:D30">
    <cfRule type="expression" priority="22" dxfId="0">
      <formula>$U29="Yes"</formula>
    </cfRule>
  </conditionalFormatting>
  <conditionalFormatting sqref="F31:F58">
    <cfRule type="expression" priority="24" dxfId="0">
      <formula>$U31="Yes"</formula>
    </cfRule>
  </conditionalFormatting>
  <conditionalFormatting sqref="C29:C30">
    <cfRule type="expression" priority="21" dxfId="0">
      <formula>$U29="Yes"</formula>
    </cfRule>
  </conditionalFormatting>
  <conditionalFormatting sqref="E68:E71">
    <cfRule type="expression" priority="14" dxfId="0">
      <formula>$U68="Yes"</formula>
    </cfRule>
    <cfRule type="expression" priority="13" dxfId="0">
      <formula>$U68="Yes"</formula>
    </cfRule>
  </conditionalFormatting>
  <conditionalFormatting sqref="E74:F74 E77:F77">
    <cfRule type="expression" priority="46" dxfId="0">
      <formula>#REF!="Yes"</formula>
    </cfRule>
  </conditionalFormatting>
  <conditionalFormatting sqref="E62:E65">
    <cfRule type="expression" priority="2" dxfId="0">
      <formula>$U62="Yes"</formula>
    </cfRule>
    <cfRule type="expression" priority="1" dxfId="0">
      <formula>$U62="Yes"</formula>
    </cfRule>
  </conditionalFormatting>
  <dataValidations disablePrompts="1" count="5">
    <dataValidation sqref="M5:M7" showDropDown="0" showInputMessage="1" showErrorMessage="1" allowBlank="1" type="list">
      <formula1>"5-Year Monthly, 2-Year Weekly"</formula1>
    </dataValidation>
    <dataValidation sqref="P5:P7" showDropDown="0" showInputMessage="1" showErrorMessage="1" allowBlank="1" type="list">
      <formula1>"Spot, 5 Year, 2 Year"</formula1>
    </dataValidation>
    <dataValidation sqref="R5:R7" showDropDown="0" showInputMessage="1" showErrorMessage="1" allowBlank="1" type="list">
      <formula1>"No, Blume, Vasicek"</formula1>
    </dataValidation>
    <dataValidation sqref="U29:U58" showDropDown="0" showInputMessage="1" showErrorMessage="1" allowBlank="1" type="list">
      <formula1>"Yes, No"</formula1>
    </dataValidation>
    <dataValidation sqref="N29:N58" showDropDown="0" showInputMessage="1" showErrorMessage="1" allowBlank="1" type="list">
      <formula1>"Yes,No"</formula1>
    </dataValidation>
  </dataValidations>
  <hyperlinks>
    <hyperlink xmlns:r="http://schemas.openxmlformats.org/officeDocument/2006/relationships" ref="G14" r:id="rId1"/>
    <hyperlink xmlns:r="http://schemas.openxmlformats.org/officeDocument/2006/relationships" ref="G15" r:id="rId2"/>
    <hyperlink xmlns:r="http://schemas.openxmlformats.org/officeDocument/2006/relationships" ref="G16" r:id="rId3"/>
  </hyperlinks>
  <printOptions horizontalCentered="1"/>
  <pageMargins left="0.7" right="0.7" top="0.75" bottom="0.75" header="0.3" footer="0.3"/>
  <pageSetup orientation="portrait" scale="5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26.xml><?xml version="1.0" encoding="utf-8"?>
<worksheet xmlns="http://schemas.openxmlformats.org/spreadsheetml/2006/main">
  <sheetPr>
    <tabColor theme="9" tint="-0.499984740745262"/>
    <outlinePr summaryBelow="1" summaryRight="1"/>
    <pageSetUpPr/>
  </sheetPr>
  <dimension ref="B2:H7"/>
  <sheetViews>
    <sheetView showGridLines="0" workbookViewId="0">
      <selection activeCell="C152" sqref="C146:C152"/>
    </sheetView>
  </sheetViews>
  <sheetFormatPr baseColWidth="8" defaultColWidth="0" defaultRowHeight="11.5" zeroHeight="1"/>
  <cols>
    <col width="2.3828125" customWidth="1" style="63" min="1" max="1"/>
    <col width="8.69140625" customWidth="1" style="63" min="2" max="8"/>
    <col hidden="1" width="8.69140625" customWidth="1" style="63" min="9" max="16384"/>
  </cols>
  <sheetData>
    <row r="2">
      <c r="B2" s="62" t="inlineStr">
        <is>
          <t>Valify - UAE Valuation Services</t>
        </is>
      </c>
    </row>
    <row r="3">
      <c r="B3" s="64">
        <f>Inputs!$B$3</f>
        <v/>
      </c>
    </row>
    <row r="4">
      <c r="B4" s="101" t="inlineStr">
        <is>
          <t>Section Divider - GPC Analysis</t>
        </is>
      </c>
    </row>
    <row r="5" ht="5" customHeight="1" thickBot="1">
      <c r="B5" s="99" t="n"/>
      <c r="C5" s="66" t="n"/>
      <c r="D5" s="66" t="n"/>
      <c r="E5" s="66" t="n"/>
      <c r="F5" s="66" t="n"/>
      <c r="G5" s="66" t="n"/>
      <c r="H5" s="66" t="n"/>
    </row>
    <row r="6" ht="12" customHeight="1" thickTop="1"/>
    <row r="7">
      <c r="B7" s="62" t="inlineStr">
        <is>
          <t>Guideline Public Company Analysis</t>
        </is>
      </c>
    </row>
  </sheetData>
  <pageMargins left="0.7" right="0.7" top="0.75" bottom="0.75" header="0.3" footer="0.3"/>
</worksheet>
</file>

<file path=xl/worksheets/sheet27.xml><?xml version="1.0" encoding="utf-8"?>
<worksheet xmlns="http://schemas.openxmlformats.org/spreadsheetml/2006/main">
  <sheetPr>
    <outlinePr summaryBelow="1" summaryRight="1"/>
    <pageSetUpPr/>
  </sheetPr>
  <dimension ref="A1:IV5"/>
  <sheetViews>
    <sheetView workbookViewId="0">
      <selection activeCell="A1" sqref="A1"/>
    </sheetView>
  </sheetViews>
  <sheetFormatPr baseColWidth="8" defaultRowHeight="15.5"/>
  <sheetData>
    <row r="1">
      <c r="A1" t="n">
        <v>1125</v>
      </c>
      <c r="B1" t="inlineStr">
        <is>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is>
      </c>
      <c r="C1" t="inlineStr">
        <is>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is>
      </c>
      <c r="D1" t="inlineStr">
        <is>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is>
      </c>
      <c r="E1" t="inlineStr">
        <is>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is>
      </c>
      <c r="F1" t="inlineStr">
        <is>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is>
      </c>
      <c r="G1" t="inlineStr">
        <is>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is>
      </c>
      <c r="H1" t="inlineStr">
        <is>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is>
      </c>
      <c r="I1" t="inlineStr">
        <is>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is>
      </c>
      <c r="J1" t="inlineStr">
        <is>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is>
      </c>
      <c r="K1" t="inlineStr">
        <is>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is>
      </c>
      <c r="L1" t="inlineStr">
        <is>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is>
      </c>
      <c r="M1" t="inlineStr">
        <is>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is>
      </c>
      <c r="N1" t="inlineStr">
        <is>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is>
      </c>
      <c r="O1" t="inlineStr">
        <is>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is>
      </c>
      <c r="P1" t="inlineStr">
        <is>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is>
      </c>
      <c r="Q1" t="inlineStr">
        <is>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is>
      </c>
      <c r="R1" t="inlineStr">
        <is>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is>
      </c>
      <c r="S1" t="inlineStr">
        <is>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is>
      </c>
      <c r="T1" t="inlineStr">
        <is>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is>
      </c>
      <c r="U1" t="inlineStr">
        <is>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is>
      </c>
      <c r="V1" t="inlineStr">
        <is>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is>
      </c>
      <c r="W1" t="inlineStr">
        <is>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is>
      </c>
      <c r="X1" t="inlineStr">
        <is>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is>
      </c>
      <c r="Y1" t="inlineStr">
        <is>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is>
      </c>
      <c r="Z1" t="inlineStr">
        <is>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is>
      </c>
      <c r="AA1" t="inlineStr">
        <is>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is>
      </c>
      <c r="AB1" t="inlineStr">
        <is>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is>
      </c>
      <c r="AC1" t="inlineStr">
        <is>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is>
      </c>
      <c r="AD1" t="inlineStr">
        <is>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is>
      </c>
      <c r="AE1" t="inlineStr">
        <is>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is>
      </c>
      <c r="AF1" t="inlineStr">
        <is>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is>
      </c>
      <c r="AG1" t="inlineStr">
        <is>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is>
      </c>
      <c r="AH1" t="inlineStr">
        <is>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is>
      </c>
      <c r="AI1" t="inlineStr">
        <is>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is>
      </c>
      <c r="AJ1" t="inlineStr">
        <is>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is>
      </c>
      <c r="AK1" t="inlineStr">
        <is>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is>
      </c>
      <c r="AL1" t="inlineStr">
        <is>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is>
      </c>
      <c r="AM1" t="inlineStr">
        <is>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is>
      </c>
      <c r="AN1" t="inlineStr">
        <is>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is>
      </c>
      <c r="AO1" t="inlineStr">
        <is>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is>
      </c>
      <c r="AP1" t="inlineStr">
        <is>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is>
      </c>
      <c r="AQ1" t="inlineStr">
        <is>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is>
      </c>
      <c r="AR1" t="inlineStr">
        <is>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is>
      </c>
      <c r="AS1" t="inlineStr">
        <is>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is>
      </c>
      <c r="AT1" t="inlineStr">
        <is>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is>
      </c>
      <c r="AU1" t="inlineStr">
        <is>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is>
      </c>
      <c r="AV1" t="inlineStr">
        <is>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is>
      </c>
      <c r="AW1" t="inlineStr">
        <is>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is>
      </c>
      <c r="AX1" t="inlineStr">
        <is>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is>
      </c>
      <c r="AY1" t="inlineStr">
        <is>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is>
      </c>
      <c r="AZ1" t="inlineStr">
        <is>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is>
      </c>
      <c r="BA1" t="inlineStr">
        <is>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is>
      </c>
      <c r="BB1" t="inlineStr">
        <is>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is>
      </c>
      <c r="BC1" t="inlineStr">
        <is>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is>
      </c>
      <c r="BD1" t="inlineStr">
        <is>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is>
      </c>
      <c r="BE1" t="inlineStr">
        <is>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is>
      </c>
      <c r="BF1" t="inlineStr">
        <is>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is>
      </c>
      <c r="BG1" t="inlineStr">
        <is>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is>
      </c>
      <c r="BH1" t="inlineStr">
        <is>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is>
      </c>
      <c r="BI1" t="inlineStr">
        <is>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is>
      </c>
      <c r="BJ1" t="inlineStr">
        <is>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is>
      </c>
      <c r="BK1" t="inlineStr">
        <is>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is>
      </c>
      <c r="BL1" t="inlineStr">
        <is>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is>
      </c>
      <c r="BM1" t="inlineStr">
        <is>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is>
      </c>
      <c r="BN1" t="inlineStr">
        <is>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is>
      </c>
      <c r="BO1" t="inlineStr">
        <is>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is>
      </c>
      <c r="BP1" t="inlineStr">
        <is>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is>
      </c>
      <c r="BQ1" t="inlineStr">
        <is>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is>
      </c>
      <c r="BR1" t="inlineStr">
        <is>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is>
      </c>
      <c r="BS1" t="inlineStr">
        <is>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is>
      </c>
      <c r="BT1" t="inlineStr">
        <is>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is>
      </c>
      <c r="BU1" t="inlineStr">
        <is>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is>
      </c>
      <c r="BV1" t="inlineStr">
        <is>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is>
      </c>
      <c r="BW1" t="inlineStr">
        <is>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is>
      </c>
      <c r="BX1" t="inlineStr">
        <is>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is>
      </c>
      <c r="BY1" t="inlineStr">
        <is>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is>
      </c>
      <c r="BZ1" t="inlineStr">
        <is>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is>
      </c>
      <c r="CA1" t="inlineStr">
        <is>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is>
      </c>
      <c r="CB1" t="inlineStr">
        <is>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is>
      </c>
      <c r="CC1" t="inlineStr">
        <is>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is>
      </c>
      <c r="CD1" t="inlineStr">
        <is>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is>
      </c>
      <c r="CE1" t="inlineStr">
        <is>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is>
      </c>
      <c r="CF1" t="inlineStr">
        <is>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is>
      </c>
      <c r="CG1" t="inlineStr">
        <is>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is>
      </c>
      <c r="CH1" t="inlineStr">
        <is>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is>
      </c>
      <c r="CI1" t="inlineStr">
        <is>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is>
      </c>
      <c r="CJ1" t="inlineStr">
        <is>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is>
      </c>
      <c r="CK1" t="inlineStr">
        <is>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is>
      </c>
      <c r="CL1" t="inlineStr">
        <is>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is>
      </c>
      <c r="CM1" t="inlineStr">
        <is>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is>
      </c>
      <c r="CN1" t="inlineStr">
        <is>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is>
      </c>
      <c r="CO1" t="inlineStr">
        <is>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is>
      </c>
      <c r="CP1" t="inlineStr">
        <is>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is>
      </c>
      <c r="CQ1" t="inlineStr">
        <is>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is>
      </c>
      <c r="CR1" t="inlineStr">
        <is>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is>
      </c>
      <c r="CS1" t="inlineStr">
        <is>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is>
      </c>
      <c r="CT1" t="inlineStr">
        <is>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is>
      </c>
      <c r="CU1" t="inlineStr">
        <is>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is>
      </c>
      <c r="CV1" t="inlineStr">
        <is>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is>
      </c>
      <c r="CW1" t="inlineStr">
        <is>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is>
      </c>
      <c r="CX1" t="inlineStr">
        <is>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is>
      </c>
      <c r="CY1" t="inlineStr">
        <is>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is>
      </c>
      <c r="CZ1" t="inlineStr">
        <is>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is>
      </c>
      <c r="DA1" t="inlineStr">
        <is>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is>
      </c>
      <c r="DB1" t="inlineStr">
        <is>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is>
      </c>
      <c r="DC1" t="inlineStr">
        <is>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is>
      </c>
      <c r="DD1" t="inlineStr">
        <is>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is>
      </c>
      <c r="DE1" t="inlineStr">
        <is>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is>
      </c>
      <c r="DF1" t="inlineStr">
        <is>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is>
      </c>
      <c r="DG1" t="inlineStr">
        <is>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is>
      </c>
      <c r="DH1" t="inlineStr">
        <is>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is>
      </c>
      <c r="DI1" t="inlineStr">
        <is>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is>
      </c>
      <c r="DJ1" t="inlineStr">
        <is>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is>
      </c>
      <c r="DK1" t="inlineStr">
        <is>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is>
      </c>
      <c r="DL1" t="inlineStr">
        <is>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is>
      </c>
      <c r="DM1" t="inlineStr">
        <is>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is>
      </c>
      <c r="DN1" t="inlineStr">
        <is>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is>
      </c>
      <c r="DO1" t="inlineStr">
        <is>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is>
      </c>
      <c r="DP1" t="inlineStr">
        <is>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is>
      </c>
      <c r="DQ1" t="inlineStr">
        <is>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is>
      </c>
      <c r="DR1" t="inlineStr">
        <is>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is>
      </c>
      <c r="DS1" t="inlineStr">
        <is>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is>
      </c>
      <c r="DT1" t="inlineStr">
        <is>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is>
      </c>
      <c r="DU1" t="inlineStr">
        <is>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is>
      </c>
      <c r="DV1" t="inlineStr">
        <is>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is>
      </c>
      <c r="DW1" t="inlineStr">
        <is>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is>
      </c>
      <c r="DX1" t="inlineStr">
        <is>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is>
      </c>
      <c r="DY1" t="inlineStr">
        <is>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is>
      </c>
      <c r="DZ1" t="inlineStr">
        <is>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is>
      </c>
      <c r="EA1" t="inlineStr">
        <is>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is>
      </c>
      <c r="EB1" t="inlineStr">
        <is>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is>
      </c>
      <c r="EC1" t="inlineStr">
        <is>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is>
      </c>
      <c r="ED1" t="inlineStr">
        <is>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is>
      </c>
      <c r="EE1" t="inlineStr">
        <is>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is>
      </c>
      <c r="EF1" t="inlineStr">
        <is>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is>
      </c>
      <c r="EG1" t="inlineStr">
        <is>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is>
      </c>
      <c r="EH1" t="inlineStr">
        <is>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is>
      </c>
      <c r="EI1" t="inlineStr">
        <is>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is>
      </c>
      <c r="EJ1" t="inlineStr">
        <is>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is>
      </c>
      <c r="EK1" t="inlineStr">
        <is>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is>
      </c>
      <c r="EL1" t="inlineStr">
        <is>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is>
      </c>
      <c r="EM1" t="inlineStr">
        <is>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is>
      </c>
      <c r="EN1" t="inlineStr">
        <is>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is>
      </c>
      <c r="EO1" t="inlineStr">
        <is>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is>
      </c>
      <c r="EP1" t="inlineStr">
        <is>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is>
      </c>
      <c r="EQ1" t="inlineStr">
        <is>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is>
      </c>
      <c r="ER1" t="inlineStr">
        <is>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is>
      </c>
      <c r="ES1" t="inlineStr">
        <is>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is>
      </c>
      <c r="ET1" t="inlineStr">
        <is>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is>
      </c>
      <c r="EU1" t="inlineStr">
        <is>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is>
      </c>
      <c r="EV1" t="inlineStr">
        <is>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is>
      </c>
      <c r="EW1" t="inlineStr">
        <is>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is>
      </c>
      <c r="EX1" t="inlineStr">
        <is>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is>
      </c>
      <c r="EY1" t="inlineStr">
        <is>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is>
      </c>
      <c r="EZ1" t="inlineStr">
        <is>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is>
      </c>
      <c r="FA1" t="inlineStr">
        <is>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is>
      </c>
      <c r="FB1" t="inlineStr">
        <is>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is>
      </c>
      <c r="FC1" t="inlineStr">
        <is>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is>
      </c>
      <c r="FD1" t="inlineStr">
        <is>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is>
      </c>
      <c r="FE1" t="inlineStr">
        <is>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is>
      </c>
      <c r="FF1" t="inlineStr">
        <is>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is>
      </c>
      <c r="FG1" t="inlineStr">
        <is>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is>
      </c>
      <c r="FH1" t="inlineStr">
        <is>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is>
      </c>
      <c r="FI1" t="inlineStr">
        <is>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is>
      </c>
      <c r="FJ1" t="inlineStr">
        <is>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is>
      </c>
      <c r="FK1" t="inlineStr">
        <is>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is>
      </c>
      <c r="FL1" t="inlineStr">
        <is>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is>
      </c>
      <c r="FM1" t="inlineStr">
        <is>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is>
      </c>
      <c r="FN1" t="inlineStr">
        <is>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is>
      </c>
      <c r="FO1" t="inlineStr">
        <is>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is>
      </c>
      <c r="FP1" t="inlineStr">
        <is>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is>
      </c>
      <c r="FQ1" t="inlineStr">
        <is>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is>
      </c>
      <c r="FR1" t="inlineStr">
        <is>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is>
      </c>
      <c r="FS1" t="inlineStr">
        <is>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is>
      </c>
      <c r="FT1" t="inlineStr">
        <is>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is>
      </c>
      <c r="FU1" t="inlineStr">
        <is>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is>
      </c>
      <c r="FV1" t="inlineStr">
        <is>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is>
      </c>
      <c r="FW1" t="inlineStr">
        <is>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is>
      </c>
      <c r="FX1" t="inlineStr">
        <is>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is>
      </c>
      <c r="FY1" t="inlineStr">
        <is>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is>
      </c>
      <c r="FZ1" t="inlineStr">
        <is>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is>
      </c>
      <c r="GA1" t="inlineStr">
        <is>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is>
      </c>
      <c r="GB1" t="inlineStr">
        <is>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is>
      </c>
      <c r="GC1" t="inlineStr">
        <is>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is>
      </c>
      <c r="GD1" t="inlineStr">
        <is>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is>
      </c>
      <c r="GE1" t="inlineStr">
        <is>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is>
      </c>
      <c r="GF1" t="inlineStr">
        <is>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is>
      </c>
      <c r="GG1" t="inlineStr">
        <is>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is>
      </c>
      <c r="GH1" t="inlineStr">
        <is>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is>
      </c>
      <c r="GI1" t="inlineStr">
        <is>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is>
      </c>
      <c r="GJ1" t="inlineStr">
        <is>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is>
      </c>
      <c r="GK1" t="inlineStr">
        <is>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is>
      </c>
      <c r="GL1" t="inlineStr">
        <is>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is>
      </c>
      <c r="GM1" t="inlineStr">
        <is>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is>
      </c>
      <c r="GN1" t="inlineStr">
        <is>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is>
      </c>
      <c r="GO1" t="inlineStr">
        <is>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is>
      </c>
      <c r="GP1" t="inlineStr">
        <is>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is>
      </c>
      <c r="GQ1" t="inlineStr">
        <is>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is>
      </c>
      <c r="GR1" t="inlineStr">
        <is>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is>
      </c>
      <c r="GS1" t="inlineStr">
        <is>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is>
      </c>
      <c r="GT1" t="inlineStr">
        <is>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is>
      </c>
      <c r="GU1" t="inlineStr">
        <is>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is>
      </c>
      <c r="GV1" t="inlineStr">
        <is>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is>
      </c>
      <c r="GW1" t="inlineStr">
        <is>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is>
      </c>
      <c r="GX1" t="inlineStr">
        <is>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is>
      </c>
      <c r="GY1" t="inlineStr">
        <is>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is>
      </c>
      <c r="GZ1" t="inlineStr">
        <is>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is>
      </c>
      <c r="HA1" t="inlineStr">
        <is>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is>
      </c>
      <c r="HB1" t="inlineStr">
        <is>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is>
      </c>
      <c r="HC1" t="inlineStr">
        <is>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is>
      </c>
      <c r="HD1" t="inlineStr">
        <is>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is>
      </c>
      <c r="HE1" t="inlineStr">
        <is>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is>
      </c>
      <c r="HF1" t="inlineStr">
        <is>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is>
      </c>
      <c r="HG1" t="inlineStr">
        <is>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is>
      </c>
      <c r="HH1" t="inlineStr">
        <is>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is>
      </c>
      <c r="HI1" t="inlineStr">
        <is>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is>
      </c>
      <c r="HJ1" t="inlineStr">
        <is>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is>
      </c>
      <c r="HK1" t="inlineStr">
        <is>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is>
      </c>
      <c r="HL1" t="inlineStr">
        <is>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is>
      </c>
      <c r="HM1" t="inlineStr">
        <is>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is>
      </c>
      <c r="HN1" t="inlineStr">
        <is>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is>
      </c>
      <c r="HO1" t="inlineStr">
        <is>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is>
      </c>
      <c r="HP1" t="inlineStr">
        <is>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is>
      </c>
      <c r="HQ1" t="inlineStr">
        <is>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is>
      </c>
      <c r="HR1" t="inlineStr">
        <is>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is>
      </c>
      <c r="HS1" t="inlineStr">
        <is>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is>
      </c>
      <c r="HT1" t="inlineStr">
        <is>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is>
      </c>
      <c r="HU1" t="inlineStr">
        <is>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is>
      </c>
      <c r="HV1" t="inlineStr">
        <is>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is>
      </c>
      <c r="HW1" t="inlineStr">
        <is>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is>
      </c>
      <c r="HX1" t="inlineStr">
        <is>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is>
      </c>
      <c r="HY1" t="inlineStr">
        <is>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is>
      </c>
      <c r="HZ1" t="inlineStr">
        <is>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is>
      </c>
      <c r="IA1" t="inlineStr">
        <is>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is>
      </c>
      <c r="IB1" t="inlineStr">
        <is>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is>
      </c>
      <c r="IC1" t="inlineStr">
        <is>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is>
      </c>
      <c r="ID1" t="inlineStr">
        <is>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is>
      </c>
      <c r="IE1" t="inlineStr">
        <is>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is>
      </c>
      <c r="IF1" t="inlineStr">
        <is>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is>
      </c>
      <c r="IG1" t="inlineStr">
        <is>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is>
      </c>
      <c r="IH1" t="inlineStr">
        <is>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is>
      </c>
      <c r="II1" t="inlineStr">
        <is>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is>
      </c>
      <c r="IJ1" t="inlineStr">
        <is>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is>
      </c>
      <c r="IK1" t="inlineStr">
        <is>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is>
      </c>
      <c r="IL1" t="inlineStr">
        <is>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is>
      </c>
      <c r="IM1" t="inlineStr">
        <is>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is>
      </c>
      <c r="IN1" t="inlineStr">
        <is>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is>
      </c>
      <c r="IO1" t="inlineStr">
        <is>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is>
      </c>
      <c r="IP1" t="inlineStr">
        <is>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is>
      </c>
      <c r="IQ1" t="inlineStr">
        <is>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is>
      </c>
      <c r="IR1" t="inlineStr">
        <is>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is>
      </c>
      <c r="IS1" t="inlineStr">
        <is>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is>
      </c>
      <c r="IT1" t="inlineStr">
        <is>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is>
      </c>
      <c r="IU1" t="inlineStr">
        <is>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is>
      </c>
      <c r="IV1" t="inlineStr">
        <is>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is>
      </c>
    </row>
    <row r="2">
      <c r="A2" t="inlineStr">
        <is>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is>
      </c>
      <c r="B2" t="inlineStr">
        <is>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is>
      </c>
      <c r="C2" t="inlineStr">
        <is>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is>
      </c>
      <c r="D2" t="inlineStr">
        <is>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is>
      </c>
      <c r="E2" t="inlineStr">
        <is>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is>
      </c>
      <c r="F2" t="inlineStr">
        <is>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is>
      </c>
      <c r="G2" t="inlineStr">
        <is>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is>
      </c>
      <c r="H2" t="inlineStr">
        <is>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is>
      </c>
      <c r="I2" t="inlineStr">
        <is>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is>
      </c>
      <c r="J2" t="inlineStr">
        <is>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is>
      </c>
      <c r="K2" t="inlineStr">
        <is>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is>
      </c>
      <c r="L2" t="inlineStr">
        <is>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is>
      </c>
      <c r="M2" t="inlineStr">
        <is>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is>
      </c>
      <c r="N2" t="inlineStr">
        <is>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is>
      </c>
      <c r="O2" t="inlineStr">
        <is>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is>
      </c>
      <c r="P2" t="inlineStr">
        <is>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is>
      </c>
      <c r="Q2" t="inlineStr">
        <is>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is>
      </c>
      <c r="R2" t="inlineStr">
        <is>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is>
      </c>
      <c r="S2" t="inlineStr">
        <is>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is>
      </c>
      <c r="T2" t="inlineStr">
        <is>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is>
      </c>
      <c r="U2" t="inlineStr">
        <is>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is>
      </c>
      <c r="V2" t="inlineStr">
        <is>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is>
      </c>
      <c r="W2" t="inlineStr">
        <is>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is>
      </c>
      <c r="X2" t="inlineStr">
        <is>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is>
      </c>
      <c r="Y2" t="inlineStr">
        <is>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is>
      </c>
      <c r="Z2" t="inlineStr">
        <is>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is>
      </c>
      <c r="AA2" t="inlineStr">
        <is>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is>
      </c>
      <c r="AB2" t="inlineStr">
        <is>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is>
      </c>
      <c r="AC2" t="inlineStr">
        <is>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is>
      </c>
      <c r="AD2" t="inlineStr">
        <is>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is>
      </c>
      <c r="AE2" t="inlineStr">
        <is>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is>
      </c>
      <c r="AF2" t="inlineStr">
        <is>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is>
      </c>
      <c r="AG2" t="inlineStr">
        <is>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is>
      </c>
      <c r="AH2" t="inlineStr">
        <is>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is>
      </c>
      <c r="AI2" t="inlineStr">
        <is>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is>
      </c>
      <c r="AJ2" t="inlineStr">
        <is>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is>
      </c>
      <c r="AK2" t="inlineStr">
        <is>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is>
      </c>
      <c r="AL2" t="inlineStr">
        <is>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is>
      </c>
      <c r="AM2" t="inlineStr">
        <is>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is>
      </c>
      <c r="AN2" t="inlineStr">
        <is>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is>
      </c>
      <c r="AO2" t="inlineStr">
        <is>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is>
      </c>
      <c r="AP2" t="inlineStr">
        <is>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is>
      </c>
      <c r="AQ2" t="inlineStr">
        <is>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is>
      </c>
      <c r="AR2" t="inlineStr">
        <is>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is>
      </c>
      <c r="AS2" t="inlineStr">
        <is>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is>
      </c>
      <c r="AT2" t="inlineStr">
        <is>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is>
      </c>
      <c r="AU2" t="inlineStr">
        <is>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is>
      </c>
      <c r="AV2" t="inlineStr">
        <is>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is>
      </c>
      <c r="AW2" t="inlineStr">
        <is>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is>
      </c>
      <c r="AX2" t="inlineStr">
        <is>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is>
      </c>
      <c r="AY2" t="inlineStr">
        <is>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is>
      </c>
      <c r="AZ2" t="inlineStr">
        <is>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is>
      </c>
      <c r="BA2" t="inlineStr">
        <is>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is>
      </c>
      <c r="BB2" t="inlineStr">
        <is>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is>
      </c>
      <c r="BC2" t="inlineStr">
        <is>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is>
      </c>
      <c r="BD2" t="inlineStr">
        <is>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is>
      </c>
      <c r="BE2" t="inlineStr">
        <is>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is>
      </c>
      <c r="BF2" t="inlineStr">
        <is>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is>
      </c>
      <c r="BG2" t="inlineStr">
        <is>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is>
      </c>
      <c r="BH2" t="inlineStr">
        <is>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is>
      </c>
      <c r="BI2" t="inlineStr">
        <is>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is>
      </c>
      <c r="BJ2" t="inlineStr">
        <is>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is>
      </c>
      <c r="BK2" t="inlineStr">
        <is>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is>
      </c>
      <c r="BL2" t="inlineStr">
        <is>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is>
      </c>
      <c r="BM2" t="inlineStr">
        <is>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is>
      </c>
      <c r="BN2" t="inlineStr">
        <is>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is>
      </c>
      <c r="BO2" t="inlineStr">
        <is>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is>
      </c>
      <c r="BP2" t="inlineStr">
        <is>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is>
      </c>
      <c r="BQ2" t="inlineStr">
        <is>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is>
      </c>
      <c r="BR2" t="inlineStr">
        <is>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is>
      </c>
      <c r="BS2" t="inlineStr">
        <is>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is>
      </c>
      <c r="BT2" t="inlineStr">
        <is>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is>
      </c>
      <c r="BU2" t="inlineStr">
        <is>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is>
      </c>
      <c r="BV2" t="inlineStr">
        <is>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is>
      </c>
      <c r="BW2" t="inlineStr">
        <is>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is>
      </c>
      <c r="BX2" t="inlineStr">
        <is>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is>
      </c>
      <c r="BY2" t="inlineStr">
        <is>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is>
      </c>
      <c r="BZ2" t="inlineStr">
        <is>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is>
      </c>
      <c r="CA2" t="inlineStr">
        <is>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is>
      </c>
      <c r="CB2" t="inlineStr">
        <is>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is>
      </c>
      <c r="CC2" t="inlineStr">
        <is>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is>
      </c>
      <c r="CD2" t="inlineStr">
        <is>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is>
      </c>
      <c r="CE2" t="inlineStr">
        <is>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is>
      </c>
      <c r="CF2" t="inlineStr">
        <is>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is>
      </c>
      <c r="CG2" t="inlineStr">
        <is>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is>
      </c>
      <c r="CH2" t="inlineStr">
        <is>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is>
      </c>
      <c r="CI2" t="inlineStr">
        <is>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is>
      </c>
      <c r="CJ2" t="inlineStr">
        <is>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is>
      </c>
      <c r="CK2" t="inlineStr">
        <is>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is>
      </c>
      <c r="CL2" t="inlineStr">
        <is>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is>
      </c>
      <c r="CM2" t="inlineStr">
        <is>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is>
      </c>
      <c r="CN2" t="inlineStr">
        <is>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is>
      </c>
      <c r="CO2" t="inlineStr">
        <is>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is>
      </c>
      <c r="CP2" t="inlineStr">
        <is>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is>
      </c>
      <c r="CQ2" t="inlineStr">
        <is>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is>
      </c>
      <c r="CR2" t="inlineStr">
        <is>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is>
      </c>
      <c r="CS2" t="inlineStr">
        <is>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is>
      </c>
      <c r="CT2" t="inlineStr">
        <is>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is>
      </c>
      <c r="CU2" t="inlineStr">
        <is>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is>
      </c>
      <c r="CV2" t="inlineStr">
        <is>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is>
      </c>
      <c r="CW2" t="inlineStr">
        <is>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is>
      </c>
      <c r="CX2" t="inlineStr">
        <is>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is>
      </c>
      <c r="CY2" t="inlineStr">
        <is>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is>
      </c>
      <c r="CZ2" t="inlineStr">
        <is>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is>
      </c>
      <c r="DA2" t="inlineStr">
        <is>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is>
      </c>
      <c r="DB2" t="inlineStr">
        <is>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is>
      </c>
      <c r="DC2" t="inlineStr">
        <is>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is>
      </c>
      <c r="DD2" t="inlineStr">
        <is>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is>
      </c>
      <c r="DE2" t="inlineStr">
        <is>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is>
      </c>
      <c r="DF2" t="inlineStr">
        <is>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is>
      </c>
      <c r="DG2" t="inlineStr">
        <is>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is>
      </c>
      <c r="DH2" t="inlineStr">
        <is>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is>
      </c>
      <c r="DI2" t="inlineStr">
        <is>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is>
      </c>
      <c r="DJ2" t="inlineStr">
        <is>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is>
      </c>
      <c r="DK2" t="inlineStr">
        <is>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is>
      </c>
      <c r="DL2" t="inlineStr">
        <is>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is>
      </c>
      <c r="DM2" t="inlineStr">
        <is>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is>
      </c>
      <c r="DN2" t="inlineStr">
        <is>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is>
      </c>
      <c r="DO2" t="inlineStr">
        <is>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is>
      </c>
      <c r="DP2" t="inlineStr">
        <is>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is>
      </c>
      <c r="DQ2" t="inlineStr">
        <is>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is>
      </c>
      <c r="DR2" t="inlineStr">
        <is>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is>
      </c>
      <c r="DS2" t="inlineStr">
        <is>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is>
      </c>
      <c r="DT2" t="inlineStr">
        <is>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is>
      </c>
      <c r="DU2" t="inlineStr">
        <is>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is>
      </c>
      <c r="DV2" t="inlineStr">
        <is>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is>
      </c>
      <c r="DW2" t="inlineStr">
        <is>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is>
      </c>
      <c r="DX2" t="inlineStr">
        <is>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is>
      </c>
      <c r="DY2" t="inlineStr">
        <is>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is>
      </c>
      <c r="DZ2" t="inlineStr">
        <is>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is>
      </c>
      <c r="EA2" t="inlineStr">
        <is>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is>
      </c>
      <c r="EB2" t="inlineStr">
        <is>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is>
      </c>
      <c r="EC2" t="inlineStr">
        <is>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is>
      </c>
      <c r="ED2" t="inlineStr">
        <is>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is>
      </c>
      <c r="EE2" t="inlineStr">
        <is>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is>
      </c>
      <c r="EF2" t="inlineStr">
        <is>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is>
      </c>
      <c r="EG2" t="inlineStr">
        <is>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is>
      </c>
      <c r="EH2" t="inlineStr">
        <is>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is>
      </c>
      <c r="EI2" t="inlineStr">
        <is>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is>
      </c>
      <c r="EJ2" t="inlineStr">
        <is>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is>
      </c>
      <c r="EK2" t="inlineStr">
        <is>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is>
      </c>
      <c r="EL2" t="inlineStr">
        <is>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is>
      </c>
      <c r="EM2" t="inlineStr">
        <is>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is>
      </c>
      <c r="EN2" t="inlineStr">
        <is>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is>
      </c>
      <c r="EO2" t="inlineStr">
        <is>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is>
      </c>
      <c r="EP2" t="inlineStr">
        <is>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is>
      </c>
      <c r="EQ2" t="inlineStr">
        <is>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is>
      </c>
      <c r="ER2" t="inlineStr">
        <is>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is>
      </c>
      <c r="ES2" t="inlineStr">
        <is>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is>
      </c>
      <c r="ET2" t="inlineStr">
        <is>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is>
      </c>
      <c r="EU2" t="inlineStr">
        <is>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is>
      </c>
      <c r="EV2" t="inlineStr">
        <is>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is>
      </c>
      <c r="EW2" t="inlineStr">
        <is>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is>
      </c>
      <c r="EX2" t="inlineStr">
        <is>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is>
      </c>
      <c r="EY2" t="inlineStr">
        <is>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is>
      </c>
      <c r="EZ2" t="inlineStr">
        <is>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is>
      </c>
      <c r="FA2" t="inlineStr">
        <is>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is>
      </c>
      <c r="FB2" t="inlineStr">
        <is>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is>
      </c>
      <c r="FC2" t="inlineStr">
        <is>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is>
      </c>
      <c r="FD2" t="inlineStr">
        <is>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is>
      </c>
      <c r="FE2" t="inlineStr">
        <is>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is>
      </c>
      <c r="FF2" t="inlineStr">
        <is>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is>
      </c>
      <c r="FG2" t="inlineStr">
        <is>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is>
      </c>
      <c r="FH2" t="inlineStr">
        <is>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is>
      </c>
      <c r="FI2" t="inlineStr">
        <is>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is>
      </c>
      <c r="FJ2" t="inlineStr">
        <is>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is>
      </c>
      <c r="FK2" t="inlineStr">
        <is>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is>
      </c>
      <c r="FL2" t="inlineStr">
        <is>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is>
      </c>
      <c r="FM2" t="inlineStr">
        <is>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is>
      </c>
      <c r="FN2" t="inlineStr">
        <is>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is>
      </c>
      <c r="FO2" t="inlineStr">
        <is>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is>
      </c>
      <c r="FP2" t="inlineStr">
        <is>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is>
      </c>
      <c r="FQ2" t="inlineStr">
        <is>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is>
      </c>
      <c r="FR2" t="inlineStr">
        <is>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is>
      </c>
      <c r="FS2" t="inlineStr">
        <is>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is>
      </c>
      <c r="FT2" t="inlineStr">
        <is>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is>
      </c>
      <c r="FU2" t="inlineStr">
        <is>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is>
      </c>
      <c r="FV2" t="inlineStr">
        <is>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is>
      </c>
      <c r="FW2" t="inlineStr">
        <is>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is>
      </c>
      <c r="FX2" t="inlineStr">
        <is>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is>
      </c>
      <c r="FY2" t="inlineStr">
        <is>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is>
      </c>
      <c r="FZ2" t="inlineStr">
        <is>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is>
      </c>
      <c r="GA2" t="inlineStr">
        <is>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is>
      </c>
      <c r="GB2" t="inlineStr">
        <is>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is>
      </c>
      <c r="GC2" t="inlineStr">
        <is>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is>
      </c>
      <c r="GD2" t="inlineStr">
        <is>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is>
      </c>
      <c r="GE2" t="inlineStr">
        <is>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is>
      </c>
      <c r="GF2" t="inlineStr">
        <is>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is>
      </c>
      <c r="GG2" t="inlineStr">
        <is>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is>
      </c>
      <c r="GH2" t="inlineStr">
        <is>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is>
      </c>
      <c r="GI2" t="inlineStr">
        <is>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is>
      </c>
      <c r="GJ2" t="inlineStr">
        <is>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is>
      </c>
      <c r="GK2" t="inlineStr">
        <is>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is>
      </c>
      <c r="GL2" t="inlineStr">
        <is>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is>
      </c>
      <c r="GM2" t="inlineStr">
        <is>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is>
      </c>
      <c r="GN2" t="inlineStr">
        <is>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is>
      </c>
      <c r="GO2" t="inlineStr">
        <is>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is>
      </c>
      <c r="GP2" t="inlineStr">
        <is>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is>
      </c>
      <c r="GQ2" t="inlineStr">
        <is>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is>
      </c>
      <c r="GR2" t="inlineStr">
        <is>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is>
      </c>
      <c r="GS2" t="inlineStr">
        <is>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is>
      </c>
      <c r="GT2" t="inlineStr">
        <is>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is>
      </c>
      <c r="GU2" t="inlineStr">
        <is>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is>
      </c>
      <c r="GV2" t="inlineStr">
        <is>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is>
      </c>
      <c r="GW2" t="inlineStr">
        <is>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is>
      </c>
      <c r="GX2" t="inlineStr">
        <is>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is>
      </c>
      <c r="GY2" t="inlineStr">
        <is>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is>
      </c>
      <c r="GZ2" t="inlineStr">
        <is>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is>
      </c>
      <c r="HA2" t="inlineStr">
        <is>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is>
      </c>
      <c r="HB2" t="inlineStr">
        <is>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is>
      </c>
      <c r="HC2" t="inlineStr">
        <is>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is>
      </c>
      <c r="HD2" t="inlineStr">
        <is>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is>
      </c>
      <c r="HE2" t="inlineStr">
        <is>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is>
      </c>
      <c r="HF2" t="inlineStr">
        <is>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is>
      </c>
      <c r="HG2" t="inlineStr">
        <is>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is>
      </c>
      <c r="HH2" t="inlineStr">
        <is>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is>
      </c>
      <c r="HI2" t="inlineStr">
        <is>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is>
      </c>
      <c r="HJ2" t="inlineStr">
        <is>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is>
      </c>
      <c r="HK2" t="inlineStr">
        <is>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is>
      </c>
      <c r="HL2" t="inlineStr">
        <is>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is>
      </c>
      <c r="HM2" t="inlineStr">
        <is>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is>
      </c>
      <c r="HN2" t="inlineStr">
        <is>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is>
      </c>
      <c r="HO2" t="inlineStr">
        <is>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is>
      </c>
      <c r="HP2" t="inlineStr">
        <is>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is>
      </c>
      <c r="HQ2" t="inlineStr">
        <is>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is>
      </c>
      <c r="HR2" t="inlineStr">
        <is>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is>
      </c>
      <c r="HS2" t="inlineStr">
        <is>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is>
      </c>
      <c r="HT2" t="inlineStr">
        <is>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is>
      </c>
      <c r="HU2" t="inlineStr">
        <is>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is>
      </c>
      <c r="HV2" t="inlineStr">
        <is>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is>
      </c>
      <c r="HW2" t="inlineStr">
        <is>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is>
      </c>
      <c r="HX2" t="inlineStr">
        <is>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is>
      </c>
      <c r="HY2" t="inlineStr">
        <is>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is>
      </c>
      <c r="HZ2" t="inlineStr">
        <is>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is>
      </c>
      <c r="IA2" t="inlineStr">
        <is>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is>
      </c>
      <c r="IB2" t="inlineStr">
        <is>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is>
      </c>
      <c r="IC2" t="inlineStr">
        <is>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is>
      </c>
      <c r="ID2" t="inlineStr">
        <is>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is>
      </c>
      <c r="IE2" t="inlineStr">
        <is>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is>
      </c>
      <c r="IF2" t="inlineStr">
        <is>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is>
      </c>
      <c r="IG2" t="inlineStr">
        <is>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is>
      </c>
      <c r="IH2" t="inlineStr">
        <is>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is>
      </c>
      <c r="II2" t="inlineStr">
        <is>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is>
      </c>
      <c r="IJ2" t="inlineStr">
        <is>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is>
      </c>
      <c r="IK2" t="inlineStr">
        <is>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is>
      </c>
      <c r="IL2" t="inlineStr">
        <is>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is>
      </c>
      <c r="IM2" t="inlineStr">
        <is>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is>
      </c>
      <c r="IN2" t="inlineStr">
        <is>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is>
      </c>
      <c r="IO2" t="inlineStr">
        <is>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is>
      </c>
      <c r="IP2" t="inlineStr">
        <is>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is>
      </c>
      <c r="IQ2" t="inlineStr">
        <is>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is>
      </c>
      <c r="IR2" t="inlineStr">
        <is>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is>
      </c>
      <c r="IS2" t="inlineStr">
        <is>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is>
      </c>
      <c r="IT2" t="inlineStr">
        <is>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is>
      </c>
      <c r="IU2" t="inlineStr">
        <is>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is>
      </c>
      <c r="IV2" t="inlineStr">
        <is>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is>
      </c>
    </row>
    <row r="3">
      <c r="A3" t="inlineStr">
        <is>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is>
      </c>
      <c r="B3" t="inlineStr">
        <is>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is>
      </c>
      <c r="C3" t="inlineStr">
        <is>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is>
      </c>
      <c r="D3" t="inlineStr">
        <is>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is>
      </c>
      <c r="E3" t="inlineStr">
        <is>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is>
      </c>
      <c r="F3" t="inlineStr">
        <is>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is>
      </c>
      <c r="G3" t="inlineStr">
        <is>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is>
      </c>
      <c r="H3" t="inlineStr">
        <is>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is>
      </c>
      <c r="I3" t="inlineStr">
        <is>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is>
      </c>
      <c r="J3" t="inlineStr">
        <is>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is>
      </c>
      <c r="K3" t="inlineStr">
        <is>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is>
      </c>
      <c r="L3" t="inlineStr">
        <is>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is>
      </c>
      <c r="M3" t="inlineStr">
        <is>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is>
      </c>
      <c r="N3" t="inlineStr">
        <is>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is>
      </c>
      <c r="O3" t="inlineStr">
        <is>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is>
      </c>
      <c r="P3" t="inlineStr">
        <is>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is>
      </c>
      <c r="Q3" t="inlineStr">
        <is>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is>
      </c>
      <c r="R3" t="inlineStr">
        <is>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is>
      </c>
      <c r="S3" t="inlineStr">
        <is>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is>
      </c>
      <c r="T3" t="inlineStr">
        <is>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is>
      </c>
      <c r="U3" t="inlineStr">
        <is>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is>
      </c>
      <c r="V3" t="inlineStr">
        <is>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is>
      </c>
      <c r="W3" t="inlineStr">
        <is>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is>
      </c>
      <c r="X3" t="inlineStr">
        <is>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is>
      </c>
      <c r="Y3" t="inlineStr">
        <is>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is>
      </c>
      <c r="Z3" t="inlineStr">
        <is>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is>
      </c>
      <c r="AA3" t="inlineStr">
        <is>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is>
      </c>
      <c r="AB3" t="inlineStr">
        <is>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is>
      </c>
      <c r="AC3" t="inlineStr">
        <is>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is>
      </c>
      <c r="AD3" t="inlineStr">
        <is>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is>
      </c>
      <c r="AE3" t="inlineStr">
        <is>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is>
      </c>
      <c r="AF3" t="inlineStr">
        <is>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is>
      </c>
      <c r="AG3" t="inlineStr">
        <is>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is>
      </c>
      <c r="AH3" t="inlineStr">
        <is>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is>
      </c>
      <c r="AI3" t="inlineStr">
        <is>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is>
      </c>
      <c r="AJ3" t="inlineStr">
        <is>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is>
      </c>
      <c r="AK3" t="inlineStr">
        <is>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is>
      </c>
      <c r="AL3" t="inlineStr">
        <is>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is>
      </c>
      <c r="AM3" t="inlineStr">
        <is>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is>
      </c>
      <c r="AN3" t="inlineStr">
        <is>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is>
      </c>
      <c r="AO3" t="inlineStr">
        <is>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is>
      </c>
      <c r="AP3" t="inlineStr">
        <is>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is>
      </c>
      <c r="AQ3" t="inlineStr">
        <is>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is>
      </c>
      <c r="AR3" t="inlineStr">
        <is>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is>
      </c>
      <c r="AS3" t="inlineStr">
        <is>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is>
      </c>
      <c r="AT3" t="inlineStr">
        <is>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is>
      </c>
      <c r="AU3" t="inlineStr">
        <is>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is>
      </c>
      <c r="AV3" t="inlineStr">
        <is>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is>
      </c>
      <c r="AW3" t="inlineStr">
        <is>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is>
      </c>
      <c r="AX3" t="inlineStr">
        <is>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is>
      </c>
      <c r="AY3" t="inlineStr">
        <is>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is>
      </c>
      <c r="AZ3" t="inlineStr">
        <is>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is>
      </c>
      <c r="BA3" t="inlineStr">
        <is>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is>
      </c>
      <c r="BB3" t="inlineStr">
        <is>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is>
      </c>
      <c r="BC3" t="inlineStr">
        <is>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is>
      </c>
      <c r="BD3" t="inlineStr">
        <is>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is>
      </c>
      <c r="BE3" t="inlineStr">
        <is>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is>
      </c>
      <c r="BF3" t="inlineStr">
        <is>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is>
      </c>
      <c r="BG3" t="inlineStr">
        <is>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is>
      </c>
      <c r="BH3" t="inlineStr">
        <is>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is>
      </c>
      <c r="BI3" t="inlineStr">
        <is>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is>
      </c>
      <c r="BJ3" t="inlineStr">
        <is>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is>
      </c>
      <c r="BK3" t="inlineStr">
        <is>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is>
      </c>
      <c r="BL3" t="inlineStr">
        <is>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is>
      </c>
      <c r="BM3" t="inlineStr">
        <is>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is>
      </c>
      <c r="BN3" t="inlineStr">
        <is>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is>
      </c>
      <c r="BO3" t="inlineStr">
        <is>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is>
      </c>
      <c r="BP3" t="inlineStr">
        <is>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is>
      </c>
      <c r="BQ3" t="inlineStr">
        <is>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is>
      </c>
      <c r="BR3" t="inlineStr">
        <is>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is>
      </c>
      <c r="BS3" t="inlineStr">
        <is>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is>
      </c>
      <c r="BT3" t="inlineStr">
        <is>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is>
      </c>
      <c r="BU3" t="inlineStr">
        <is>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is>
      </c>
      <c r="BV3" t="inlineStr">
        <is>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is>
      </c>
      <c r="BW3" t="inlineStr">
        <is>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is>
      </c>
      <c r="BX3" t="inlineStr">
        <is>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is>
      </c>
      <c r="BY3" t="inlineStr">
        <is>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is>
      </c>
      <c r="BZ3" t="inlineStr">
        <is>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is>
      </c>
      <c r="CA3" t="inlineStr">
        <is>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is>
      </c>
      <c r="CB3" t="inlineStr">
        <is>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is>
      </c>
      <c r="CC3" t="inlineStr">
        <is>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is>
      </c>
      <c r="CD3" t="inlineStr">
        <is>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is>
      </c>
      <c r="CE3" t="inlineStr">
        <is>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is>
      </c>
      <c r="CF3" t="inlineStr">
        <is>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is>
      </c>
      <c r="CG3" t="inlineStr">
        <is>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is>
      </c>
      <c r="CH3" t="inlineStr">
        <is>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is>
      </c>
      <c r="CI3" t="inlineStr">
        <is>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is>
      </c>
      <c r="CJ3" t="inlineStr">
        <is>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is>
      </c>
      <c r="CK3" t="inlineStr">
        <is>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is>
      </c>
      <c r="CL3" t="inlineStr">
        <is>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is>
      </c>
      <c r="CM3" t="inlineStr">
        <is>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is>
      </c>
      <c r="CN3" t="inlineStr">
        <is>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is>
      </c>
      <c r="CO3" t="inlineStr">
        <is>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is>
      </c>
      <c r="CP3" t="inlineStr">
        <is>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is>
      </c>
      <c r="CQ3" t="inlineStr">
        <is>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is>
      </c>
      <c r="CR3" t="inlineStr">
        <is>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is>
      </c>
      <c r="CS3" t="inlineStr">
        <is>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is>
      </c>
      <c r="CT3" t="inlineStr">
        <is>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is>
      </c>
      <c r="CU3" t="inlineStr">
        <is>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is>
      </c>
      <c r="CV3" t="inlineStr">
        <is>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is>
      </c>
      <c r="CW3" t="inlineStr">
        <is>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is>
      </c>
      <c r="CX3" t="inlineStr">
        <is>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is>
      </c>
      <c r="CY3" t="inlineStr">
        <is>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is>
      </c>
      <c r="CZ3" t="inlineStr">
        <is>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is>
      </c>
      <c r="DA3" t="inlineStr">
        <is>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is>
      </c>
      <c r="DB3" t="inlineStr">
        <is>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is>
      </c>
      <c r="DC3" t="inlineStr">
        <is>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is>
      </c>
      <c r="DD3" t="inlineStr">
        <is>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is>
      </c>
      <c r="DE3" t="inlineStr">
        <is>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is>
      </c>
      <c r="DF3" t="inlineStr">
        <is>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is>
      </c>
      <c r="DG3" t="inlineStr">
        <is>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is>
      </c>
      <c r="DH3" t="inlineStr">
        <is>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is>
      </c>
      <c r="DI3" t="inlineStr">
        <is>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is>
      </c>
      <c r="DJ3" t="inlineStr">
        <is>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is>
      </c>
      <c r="DK3" t="inlineStr">
        <is>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is>
      </c>
      <c r="DL3" t="inlineStr">
        <is>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is>
      </c>
      <c r="DM3" t="inlineStr">
        <is>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is>
      </c>
      <c r="DN3" t="inlineStr">
        <is>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is>
      </c>
      <c r="DO3" t="inlineStr">
        <is>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is>
      </c>
      <c r="DP3" t="inlineStr">
        <is>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is>
      </c>
      <c r="DQ3" t="inlineStr">
        <is>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is>
      </c>
      <c r="DR3" t="inlineStr">
        <is>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is>
      </c>
      <c r="DS3" t="inlineStr">
        <is>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is>
      </c>
      <c r="DT3" t="inlineStr">
        <is>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is>
      </c>
      <c r="DU3" t="inlineStr">
        <is>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is>
      </c>
      <c r="DV3" t="inlineStr">
        <is>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is>
      </c>
      <c r="DW3" t="inlineStr">
        <is>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is>
      </c>
      <c r="DX3" t="inlineStr">
        <is>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is>
      </c>
      <c r="DY3" t="inlineStr">
        <is>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is>
      </c>
      <c r="DZ3" t="inlineStr">
        <is>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is>
      </c>
      <c r="EA3" t="inlineStr">
        <is>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is>
      </c>
      <c r="EB3" t="inlineStr">
        <is>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is>
      </c>
      <c r="EC3" t="inlineStr">
        <is>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is>
      </c>
      <c r="ED3" t="inlineStr">
        <is>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is>
      </c>
      <c r="EE3" t="inlineStr">
        <is>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is>
      </c>
      <c r="EF3" t="inlineStr">
        <is>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is>
      </c>
      <c r="EG3" t="inlineStr">
        <is>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is>
      </c>
      <c r="EH3" t="inlineStr">
        <is>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is>
      </c>
      <c r="EI3" t="inlineStr">
        <is>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is>
      </c>
      <c r="EJ3" t="inlineStr">
        <is>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is>
      </c>
      <c r="EK3" t="inlineStr">
        <is>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is>
      </c>
      <c r="EL3" t="inlineStr">
        <is>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is>
      </c>
      <c r="EM3" t="inlineStr">
        <is>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is>
      </c>
      <c r="EN3" t="inlineStr">
        <is>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is>
      </c>
      <c r="EO3" t="inlineStr">
        <is>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is>
      </c>
      <c r="EP3" t="inlineStr">
        <is>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is>
      </c>
      <c r="EQ3" t="inlineStr">
        <is>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is>
      </c>
      <c r="ER3" t="inlineStr">
        <is>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is>
      </c>
      <c r="ES3" t="inlineStr">
        <is>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is>
      </c>
      <c r="ET3" t="inlineStr">
        <is>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is>
      </c>
      <c r="EU3" t="inlineStr">
        <is>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is>
      </c>
      <c r="EV3" t="inlineStr">
        <is>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is>
      </c>
      <c r="EW3" t="inlineStr">
        <is>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is>
      </c>
      <c r="EX3" t="inlineStr">
        <is>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is>
      </c>
      <c r="EY3" t="inlineStr">
        <is>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is>
      </c>
      <c r="EZ3" t="inlineStr">
        <is>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is>
      </c>
      <c r="FA3" t="inlineStr">
        <is>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is>
      </c>
      <c r="FB3" t="inlineStr">
        <is>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is>
      </c>
      <c r="FC3" t="inlineStr">
        <is>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is>
      </c>
      <c r="FD3" t="inlineStr">
        <is>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is>
      </c>
      <c r="FE3" t="inlineStr">
        <is>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is>
      </c>
      <c r="FF3" t="inlineStr">
        <is>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is>
      </c>
      <c r="FG3" t="inlineStr">
        <is>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is>
      </c>
      <c r="FH3" t="inlineStr">
        <is>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is>
      </c>
      <c r="FI3" t="inlineStr">
        <is>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is>
      </c>
      <c r="FJ3" t="inlineStr">
        <is>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is>
      </c>
      <c r="FK3" t="inlineStr">
        <is>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is>
      </c>
      <c r="FL3" t="inlineStr">
        <is>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is>
      </c>
      <c r="FM3" t="inlineStr">
        <is>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is>
      </c>
      <c r="FN3" t="inlineStr">
        <is>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is>
      </c>
      <c r="FO3" t="inlineStr">
        <is>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is>
      </c>
      <c r="FP3" t="inlineStr">
        <is>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is>
      </c>
      <c r="FQ3" t="inlineStr">
        <is>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is>
      </c>
      <c r="FR3" t="inlineStr">
        <is>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is>
      </c>
      <c r="FS3" t="inlineStr">
        <is>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is>
      </c>
      <c r="FT3" t="inlineStr">
        <is>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is>
      </c>
      <c r="FU3" t="inlineStr">
        <is>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is>
      </c>
      <c r="FV3" t="inlineStr">
        <is>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is>
      </c>
      <c r="FW3" t="inlineStr">
        <is>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is>
      </c>
      <c r="FX3" t="inlineStr">
        <is>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is>
      </c>
      <c r="FY3" t="inlineStr">
        <is>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is>
      </c>
      <c r="FZ3" t="inlineStr">
        <is>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is>
      </c>
      <c r="GA3" t="inlineStr">
        <is>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is>
      </c>
      <c r="GB3" t="inlineStr">
        <is>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is>
      </c>
      <c r="GC3" t="inlineStr">
        <is>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is>
      </c>
      <c r="GD3" t="inlineStr">
        <is>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is>
      </c>
      <c r="GE3" t="inlineStr">
        <is>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is>
      </c>
      <c r="GF3" t="inlineStr">
        <is>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is>
      </c>
      <c r="GG3" t="inlineStr">
        <is>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is>
      </c>
      <c r="GH3" t="inlineStr">
        <is>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is>
      </c>
      <c r="GI3" t="inlineStr">
        <is>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is>
      </c>
      <c r="GJ3" t="inlineStr">
        <is>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is>
      </c>
      <c r="GK3" t="inlineStr">
        <is>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is>
      </c>
      <c r="GL3" t="inlineStr">
        <is>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is>
      </c>
      <c r="GM3" t="inlineStr">
        <is>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is>
      </c>
      <c r="GN3" t="inlineStr">
        <is>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is>
      </c>
      <c r="GO3" t="inlineStr">
        <is>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is>
      </c>
      <c r="GP3" t="inlineStr">
        <is>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is>
      </c>
      <c r="GQ3" t="inlineStr">
        <is>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is>
      </c>
      <c r="GR3" t="inlineStr">
        <is>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is>
      </c>
      <c r="GS3" t="inlineStr">
        <is>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is>
      </c>
      <c r="GT3" t="inlineStr">
        <is>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is>
      </c>
      <c r="GU3" t="inlineStr">
        <is>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is>
      </c>
      <c r="GV3" t="inlineStr">
        <is>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is>
      </c>
      <c r="GW3" t="inlineStr">
        <is>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is>
      </c>
      <c r="GX3" t="inlineStr">
        <is>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is>
      </c>
      <c r="GY3" t="inlineStr">
        <is>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is>
      </c>
      <c r="GZ3" t="inlineStr">
        <is>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is>
      </c>
      <c r="HA3" t="inlineStr">
        <is>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is>
      </c>
      <c r="HB3" t="inlineStr">
        <is>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is>
      </c>
      <c r="HC3" t="inlineStr">
        <is>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is>
      </c>
      <c r="HD3" t="inlineStr">
        <is>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is>
      </c>
      <c r="HE3" t="inlineStr">
        <is>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is>
      </c>
      <c r="HF3" t="inlineStr">
        <is>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is>
      </c>
      <c r="HG3" t="inlineStr">
        <is>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is>
      </c>
      <c r="HH3" t="inlineStr">
        <is>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is>
      </c>
      <c r="HI3" t="inlineStr">
        <is>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is>
      </c>
      <c r="HJ3" t="inlineStr">
        <is>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is>
      </c>
      <c r="HK3" t="inlineStr">
        <is>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is>
      </c>
      <c r="HL3" t="inlineStr">
        <is>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is>
      </c>
      <c r="HM3" t="inlineStr">
        <is>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is>
      </c>
      <c r="HN3" t="inlineStr">
        <is>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is>
      </c>
      <c r="HO3" t="inlineStr">
        <is>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is>
      </c>
      <c r="HP3" t="inlineStr">
        <is>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is>
      </c>
      <c r="HQ3" t="inlineStr">
        <is>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is>
      </c>
      <c r="HR3" t="inlineStr">
        <is>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is>
      </c>
      <c r="HS3" t="inlineStr">
        <is>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is>
      </c>
      <c r="HT3" t="inlineStr">
        <is>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is>
      </c>
      <c r="HU3" t="inlineStr">
        <is>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is>
      </c>
      <c r="HV3" t="inlineStr">
        <is>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is>
      </c>
      <c r="HW3" t="inlineStr">
        <is>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is>
      </c>
      <c r="HX3" t="inlineStr">
        <is>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is>
      </c>
      <c r="HY3" t="inlineStr">
        <is>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is>
      </c>
      <c r="HZ3" t="inlineStr">
        <is>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is>
      </c>
      <c r="IA3" t="inlineStr">
        <is>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is>
      </c>
      <c r="IB3" t="inlineStr">
        <is>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is>
      </c>
      <c r="IC3" t="inlineStr">
        <is>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is>
      </c>
      <c r="ID3" t="inlineStr">
        <is>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is>
      </c>
      <c r="IE3" t="inlineStr">
        <is>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is>
      </c>
      <c r="IF3" t="inlineStr">
        <is>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is>
      </c>
      <c r="IG3" t="inlineStr">
        <is>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is>
      </c>
      <c r="IH3" t="inlineStr">
        <is>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is>
      </c>
      <c r="II3" t="inlineStr">
        <is>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is>
      </c>
      <c r="IJ3" t="inlineStr">
        <is>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is>
      </c>
      <c r="IK3" t="inlineStr">
        <is>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is>
      </c>
      <c r="IL3" t="inlineStr">
        <is>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is>
      </c>
      <c r="IM3" t="inlineStr">
        <is>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is>
      </c>
      <c r="IN3" t="inlineStr">
        <is>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is>
      </c>
      <c r="IO3" t="inlineStr">
        <is>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is>
      </c>
      <c r="IP3" t="inlineStr">
        <is>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is>
      </c>
      <c r="IQ3" t="inlineStr">
        <is>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is>
      </c>
      <c r="IR3" t="inlineStr">
        <is>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is>
      </c>
      <c r="IS3" t="inlineStr">
        <is>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is>
      </c>
      <c r="IT3" t="inlineStr">
        <is>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is>
      </c>
      <c r="IU3" t="inlineStr">
        <is>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is>
      </c>
      <c r="IV3" t="inlineStr">
        <is>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is>
      </c>
    </row>
    <row r="4">
      <c r="A4" t="inlineStr">
        <is>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is>
      </c>
      <c r="B4" t="inlineStr">
        <is>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is>
      </c>
      <c r="C4" t="inlineStr">
        <is>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is>
      </c>
      <c r="D4" t="inlineStr">
        <is>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is>
      </c>
      <c r="E4" t="inlineStr">
        <is>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is>
      </c>
      <c r="F4" t="inlineStr">
        <is>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is>
      </c>
      <c r="G4" t="inlineStr">
        <is>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is>
      </c>
      <c r="H4" t="inlineStr">
        <is>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is>
      </c>
      <c r="I4" t="inlineStr">
        <is>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is>
      </c>
      <c r="J4" t="inlineStr">
        <is>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is>
      </c>
      <c r="K4" t="inlineStr">
        <is>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is>
      </c>
      <c r="L4" t="inlineStr">
        <is>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is>
      </c>
      <c r="M4" t="inlineStr">
        <is>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is>
      </c>
      <c r="N4" t="inlineStr">
        <is>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is>
      </c>
      <c r="O4" t="inlineStr">
        <is>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is>
      </c>
      <c r="P4" t="inlineStr">
        <is>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is>
      </c>
      <c r="Q4" t="inlineStr">
        <is>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is>
      </c>
      <c r="R4" t="inlineStr">
        <is>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is>
      </c>
      <c r="S4" t="inlineStr">
        <is>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is>
      </c>
      <c r="T4" t="inlineStr">
        <is>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is>
      </c>
      <c r="U4" t="inlineStr">
        <is>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is>
      </c>
      <c r="V4" t="inlineStr">
        <is>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is>
      </c>
      <c r="W4" t="inlineStr">
        <is>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is>
      </c>
      <c r="X4" t="inlineStr">
        <is>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is>
      </c>
      <c r="Y4" t="inlineStr">
        <is>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is>
      </c>
      <c r="Z4" t="inlineStr">
        <is>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is>
      </c>
      <c r="AA4" t="inlineStr">
        <is>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is>
      </c>
      <c r="AB4" t="inlineStr">
        <is>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is>
      </c>
      <c r="AC4" t="inlineStr">
        <is>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is>
      </c>
      <c r="AD4" t="inlineStr">
        <is>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is>
      </c>
      <c r="AE4" t="inlineStr">
        <is>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is>
      </c>
      <c r="AF4" t="inlineStr">
        <is>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is>
      </c>
      <c r="AG4" t="inlineStr">
        <is>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is>
      </c>
      <c r="AH4" t="inlineStr">
        <is>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is>
      </c>
      <c r="AI4" t="inlineStr">
        <is>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is>
      </c>
      <c r="AJ4" t="inlineStr">
        <is>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is>
      </c>
      <c r="AK4" t="inlineStr">
        <is>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is>
      </c>
      <c r="AL4" t="inlineStr">
        <is>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is>
      </c>
      <c r="AM4" t="inlineStr">
        <is>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is>
      </c>
      <c r="AN4" t="inlineStr">
        <is>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is>
      </c>
      <c r="AO4" t="inlineStr">
        <is>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is>
      </c>
      <c r="AP4" t="inlineStr">
        <is>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is>
      </c>
      <c r="AQ4" t="inlineStr">
        <is>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is>
      </c>
      <c r="AR4" t="inlineStr">
        <is>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is>
      </c>
      <c r="AS4" t="inlineStr">
        <is>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is>
      </c>
      <c r="AT4" t="inlineStr">
        <is>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is>
      </c>
      <c r="AU4" t="inlineStr">
        <is>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is>
      </c>
      <c r="AV4" t="inlineStr">
        <is>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is>
      </c>
      <c r="AW4" t="inlineStr">
        <is>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is>
      </c>
      <c r="AX4" t="inlineStr">
        <is>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is>
      </c>
      <c r="AY4" t="inlineStr">
        <is>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is>
      </c>
      <c r="AZ4" t="inlineStr">
        <is>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is>
      </c>
      <c r="BA4" t="inlineStr">
        <is>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is>
      </c>
      <c r="BB4" t="inlineStr">
        <is>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is>
      </c>
      <c r="BC4" t="inlineStr">
        <is>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is>
      </c>
      <c r="BD4" t="inlineStr">
        <is>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is>
      </c>
      <c r="BE4" t="inlineStr">
        <is>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is>
      </c>
      <c r="BF4" t="inlineStr">
        <is>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is>
      </c>
      <c r="BG4" t="inlineStr">
        <is>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is>
      </c>
      <c r="BH4" t="inlineStr">
        <is>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is>
      </c>
      <c r="BI4" t="inlineStr">
        <is>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is>
      </c>
      <c r="BJ4" t="inlineStr">
        <is>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is>
      </c>
      <c r="BK4" t="inlineStr">
        <is>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is>
      </c>
      <c r="BL4" t="inlineStr">
        <is>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is>
      </c>
      <c r="BM4" t="inlineStr">
        <is>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is>
      </c>
      <c r="BN4" t="inlineStr">
        <is>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is>
      </c>
      <c r="BO4" t="inlineStr">
        <is>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is>
      </c>
      <c r="BP4" t="inlineStr">
        <is>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is>
      </c>
      <c r="BQ4" t="inlineStr">
        <is>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is>
      </c>
      <c r="BR4" t="inlineStr">
        <is>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is>
      </c>
      <c r="BS4" t="inlineStr">
        <is>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is>
      </c>
      <c r="BT4" t="inlineStr">
        <is>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is>
      </c>
      <c r="BU4" t="inlineStr">
        <is>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is>
      </c>
      <c r="BV4" t="inlineStr">
        <is>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is>
      </c>
      <c r="BW4" t="inlineStr">
        <is>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is>
      </c>
      <c r="BX4" t="inlineStr">
        <is>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is>
      </c>
      <c r="BY4" t="inlineStr">
        <is>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is>
      </c>
      <c r="BZ4" t="inlineStr">
        <is>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is>
      </c>
      <c r="CA4" t="inlineStr">
        <is>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is>
      </c>
      <c r="CB4" t="inlineStr">
        <is>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is>
      </c>
      <c r="CC4" t="inlineStr">
        <is>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is>
      </c>
      <c r="CD4" t="inlineStr">
        <is>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is>
      </c>
      <c r="CE4" t="inlineStr">
        <is>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is>
      </c>
      <c r="CF4" t="inlineStr">
        <is>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is>
      </c>
      <c r="CG4" t="inlineStr">
        <is>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is>
      </c>
      <c r="CH4" t="inlineStr">
        <is>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is>
      </c>
      <c r="CI4" t="inlineStr">
        <is>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is>
      </c>
      <c r="CJ4" t="inlineStr">
        <is>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is>
      </c>
      <c r="CK4" t="inlineStr">
        <is>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is>
      </c>
      <c r="CL4" t="inlineStr">
        <is>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is>
      </c>
      <c r="CM4" t="inlineStr">
        <is>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is>
      </c>
      <c r="CN4" t="inlineStr">
        <is>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is>
      </c>
      <c r="CO4" t="inlineStr">
        <is>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is>
      </c>
      <c r="CP4" t="inlineStr">
        <is>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is>
      </c>
      <c r="CQ4" t="inlineStr">
        <is>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is>
      </c>
      <c r="CR4" t="inlineStr">
        <is>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is>
      </c>
      <c r="CS4" t="inlineStr">
        <is>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is>
      </c>
      <c r="CT4" t="inlineStr">
        <is>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is>
      </c>
      <c r="CU4" t="inlineStr">
        <is>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is>
      </c>
      <c r="CV4" t="inlineStr">
        <is>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is>
      </c>
      <c r="CW4" t="inlineStr">
        <is>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is>
      </c>
      <c r="CX4" t="inlineStr">
        <is>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is>
      </c>
      <c r="CY4" t="inlineStr">
        <is>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is>
      </c>
      <c r="CZ4" t="inlineStr">
        <is>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is>
      </c>
      <c r="DA4" t="inlineStr">
        <is>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is>
      </c>
      <c r="DB4" t="inlineStr">
        <is>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is>
      </c>
      <c r="DC4" t="inlineStr">
        <is>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is>
      </c>
      <c r="DD4" t="inlineStr">
        <is>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is>
      </c>
      <c r="DE4" t="inlineStr">
        <is>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is>
      </c>
      <c r="DF4" t="inlineStr">
        <is>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is>
      </c>
      <c r="DG4" t="inlineStr">
        <is>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is>
      </c>
      <c r="DH4" t="inlineStr">
        <is>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is>
      </c>
      <c r="DI4" t="inlineStr">
        <is>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is>
      </c>
      <c r="DJ4" t="inlineStr">
        <is>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is>
      </c>
      <c r="DK4" t="inlineStr">
        <is>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is>
      </c>
      <c r="DL4" t="inlineStr">
        <is>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is>
      </c>
      <c r="DM4" t="inlineStr">
        <is>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is>
      </c>
      <c r="DN4" t="inlineStr">
        <is>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is>
      </c>
      <c r="DO4" t="inlineStr">
        <is>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is>
      </c>
      <c r="DP4" t="inlineStr">
        <is>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is>
      </c>
      <c r="DQ4" t="inlineStr">
        <is>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is>
      </c>
      <c r="DR4" t="inlineStr">
        <is>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is>
      </c>
      <c r="DS4" t="inlineStr">
        <is>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is>
      </c>
      <c r="DT4" t="inlineStr">
        <is>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is>
      </c>
      <c r="DU4" t="inlineStr">
        <is>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is>
      </c>
      <c r="DV4" t="inlineStr">
        <is>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is>
      </c>
      <c r="DW4" t="inlineStr">
        <is>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is>
      </c>
      <c r="DX4" t="inlineStr">
        <is>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is>
      </c>
      <c r="DY4" t="inlineStr">
        <is>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is>
      </c>
      <c r="DZ4" t="inlineStr">
        <is>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is>
      </c>
      <c r="EA4" t="inlineStr">
        <is>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is>
      </c>
      <c r="EB4" t="inlineStr">
        <is>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is>
      </c>
      <c r="EC4" t="inlineStr">
        <is>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is>
      </c>
      <c r="ED4" t="inlineStr">
        <is>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is>
      </c>
      <c r="EE4" t="inlineStr">
        <is>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is>
      </c>
      <c r="EF4" t="inlineStr">
        <is>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is>
      </c>
      <c r="EG4" t="inlineStr">
        <is>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is>
      </c>
      <c r="EH4" t="inlineStr">
        <is>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is>
      </c>
      <c r="EI4" t="inlineStr">
        <is>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is>
      </c>
      <c r="EJ4" t="inlineStr">
        <is>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is>
      </c>
      <c r="EK4" t="inlineStr">
        <is>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is>
      </c>
      <c r="EL4" t="inlineStr">
        <is>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is>
      </c>
      <c r="EM4" t="inlineStr">
        <is>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is>
      </c>
      <c r="EN4" t="inlineStr">
        <is>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is>
      </c>
      <c r="EO4" t="inlineStr">
        <is>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is>
      </c>
      <c r="EP4" t="inlineStr">
        <is>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is>
      </c>
      <c r="EQ4" t="inlineStr">
        <is>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is>
      </c>
      <c r="ER4" t="inlineStr">
        <is>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is>
      </c>
      <c r="ES4" t="inlineStr">
        <is>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is>
      </c>
      <c r="ET4" t="inlineStr">
        <is>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is>
      </c>
      <c r="EU4" t="inlineStr">
        <is>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is>
      </c>
      <c r="EV4" t="inlineStr">
        <is>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is>
      </c>
      <c r="EW4" t="inlineStr">
        <is>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is>
      </c>
      <c r="EX4" t="inlineStr">
        <is>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is>
      </c>
      <c r="EY4" t="inlineStr">
        <is>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is>
      </c>
      <c r="EZ4" t="inlineStr">
        <is>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is>
      </c>
      <c r="FA4" t="inlineStr">
        <is>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is>
      </c>
      <c r="FB4" t="inlineStr">
        <is>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is>
      </c>
      <c r="FC4" t="inlineStr">
        <is>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is>
      </c>
      <c r="FD4" t="inlineStr">
        <is>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is>
      </c>
      <c r="FE4" t="inlineStr">
        <is>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is>
      </c>
      <c r="FF4" t="inlineStr">
        <is>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is>
      </c>
      <c r="FG4" t="inlineStr">
        <is>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is>
      </c>
      <c r="FH4" t="inlineStr">
        <is>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is>
      </c>
      <c r="FI4" t="inlineStr">
        <is>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is>
      </c>
      <c r="FJ4" t="inlineStr">
        <is>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is>
      </c>
      <c r="FK4" t="inlineStr">
        <is>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is>
      </c>
      <c r="FL4" t="inlineStr">
        <is>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is>
      </c>
      <c r="FM4" t="inlineStr">
        <is>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is>
      </c>
      <c r="FN4" t="inlineStr">
        <is>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is>
      </c>
      <c r="FO4" t="inlineStr">
        <is>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is>
      </c>
      <c r="FP4" t="inlineStr">
        <is>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is>
      </c>
      <c r="FQ4" t="inlineStr">
        <is>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is>
      </c>
      <c r="FR4" t="inlineStr">
        <is>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is>
      </c>
      <c r="FS4" t="inlineStr">
        <is>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is>
      </c>
      <c r="FT4" t="inlineStr">
        <is>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is>
      </c>
      <c r="FU4" t="inlineStr">
        <is>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is>
      </c>
      <c r="FV4" t="inlineStr">
        <is>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is>
      </c>
      <c r="FW4" t="inlineStr">
        <is>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is>
      </c>
      <c r="FX4" t="inlineStr">
        <is>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is>
      </c>
      <c r="FY4" t="inlineStr">
        <is>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is>
      </c>
      <c r="FZ4" t="inlineStr">
        <is>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is>
      </c>
      <c r="GA4" t="inlineStr">
        <is>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is>
      </c>
      <c r="GB4" t="inlineStr">
        <is>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is>
      </c>
      <c r="GC4" t="inlineStr">
        <is>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is>
      </c>
      <c r="GD4" t="inlineStr">
        <is>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is>
      </c>
      <c r="GE4" t="inlineStr">
        <is>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is>
      </c>
      <c r="GF4" t="inlineStr">
        <is>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is>
      </c>
      <c r="GG4" t="inlineStr">
        <is>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is>
      </c>
      <c r="GH4" t="inlineStr">
        <is>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is>
      </c>
      <c r="GI4" t="inlineStr">
        <is>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is>
      </c>
      <c r="GJ4" t="inlineStr">
        <is>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is>
      </c>
      <c r="GK4" t="inlineStr">
        <is>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is>
      </c>
      <c r="GL4" t="inlineStr">
        <is>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is>
      </c>
      <c r="GM4" t="inlineStr">
        <is>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is>
      </c>
      <c r="GN4" t="inlineStr">
        <is>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is>
      </c>
      <c r="GO4" t="inlineStr">
        <is>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is>
      </c>
      <c r="GP4" t="inlineStr">
        <is>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is>
      </c>
      <c r="GQ4" t="inlineStr">
        <is>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is>
      </c>
      <c r="GR4" t="inlineStr">
        <is>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is>
      </c>
      <c r="GS4" t="inlineStr">
        <is>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is>
      </c>
      <c r="GT4" t="inlineStr">
        <is>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is>
      </c>
      <c r="GU4" t="inlineStr">
        <is>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is>
      </c>
      <c r="GV4" t="inlineStr">
        <is>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is>
      </c>
      <c r="GW4" t="inlineStr">
        <is>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is>
      </c>
      <c r="GX4" t="inlineStr">
        <is>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is>
      </c>
      <c r="GY4" t="inlineStr">
        <is>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is>
      </c>
      <c r="GZ4" t="inlineStr">
        <is>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is>
      </c>
      <c r="HA4" t="inlineStr">
        <is>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is>
      </c>
      <c r="HB4" t="inlineStr">
        <is>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is>
      </c>
      <c r="HC4" t="inlineStr">
        <is>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is>
      </c>
      <c r="HD4" t="inlineStr">
        <is>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is>
      </c>
      <c r="HE4" t="inlineStr">
        <is>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is>
      </c>
      <c r="HF4" t="inlineStr">
        <is>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is>
      </c>
      <c r="HG4" t="inlineStr">
        <is>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is>
      </c>
      <c r="HH4" t="inlineStr">
        <is>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is>
      </c>
      <c r="HI4" t="inlineStr">
        <is>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is>
      </c>
      <c r="HJ4" t="inlineStr">
        <is>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is>
      </c>
      <c r="HK4" t="inlineStr">
        <is>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is>
      </c>
      <c r="HL4" t="inlineStr">
        <is>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is>
      </c>
      <c r="HM4" t="inlineStr">
        <is>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is>
      </c>
      <c r="HN4" t="inlineStr">
        <is>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is>
      </c>
      <c r="HO4" t="inlineStr">
        <is>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is>
      </c>
      <c r="HP4" t="inlineStr">
        <is>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is>
      </c>
      <c r="HQ4" t="inlineStr">
        <is>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is>
      </c>
      <c r="HR4" t="inlineStr">
        <is>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is>
      </c>
      <c r="HS4" t="inlineStr">
        <is>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is>
      </c>
      <c r="HT4" t="inlineStr">
        <is>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is>
      </c>
      <c r="HU4" t="inlineStr">
        <is>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is>
      </c>
      <c r="HV4" t="inlineStr">
        <is>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is>
      </c>
      <c r="HW4" t="inlineStr">
        <is>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is>
      </c>
      <c r="HX4" t="inlineStr">
        <is>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is>
      </c>
      <c r="HY4" t="inlineStr">
        <is>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is>
      </c>
      <c r="HZ4" t="inlineStr">
        <is>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is>
      </c>
      <c r="IA4" t="inlineStr">
        <is>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is>
      </c>
      <c r="IB4" t="inlineStr">
        <is>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is>
      </c>
      <c r="IC4" t="inlineStr">
        <is>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is>
      </c>
      <c r="ID4" t="inlineStr">
        <is>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is>
      </c>
      <c r="IE4" t="inlineStr">
        <is>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is>
      </c>
      <c r="IF4" t="inlineStr">
        <is>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is>
      </c>
      <c r="IG4" t="inlineStr">
        <is>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is>
      </c>
      <c r="IH4" t="inlineStr">
        <is>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is>
      </c>
      <c r="II4" t="inlineStr">
        <is>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is>
      </c>
      <c r="IJ4" t="inlineStr">
        <is>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is>
      </c>
      <c r="IK4" t="inlineStr">
        <is>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is>
      </c>
      <c r="IL4" t="inlineStr">
        <is>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is>
      </c>
      <c r="IM4" t="inlineStr">
        <is>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is>
      </c>
      <c r="IN4" t="inlineStr">
        <is>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is>
      </c>
      <c r="IO4" t="inlineStr">
        <is>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is>
      </c>
      <c r="IP4" t="inlineStr">
        <is>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is>
      </c>
      <c r="IQ4" t="inlineStr">
        <is>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is>
      </c>
      <c r="IR4" t="inlineStr">
        <is>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is>
      </c>
      <c r="IS4" t="inlineStr">
        <is>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is>
      </c>
      <c r="IT4" t="inlineStr">
        <is>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is>
      </c>
      <c r="IU4" t="inlineStr">
        <is>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is>
      </c>
      <c r="IV4" t="inlineStr">
        <is>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is>
      </c>
    </row>
    <row r="5">
      <c r="A5" t="inlineStr">
        <is>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is>
      </c>
      <c r="B5" t="inlineStr">
        <is>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is>
      </c>
      <c r="C5" t="inlineStr">
        <is>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is>
      </c>
      <c r="D5" t="inlineStr">
        <is>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is>
      </c>
      <c r="E5" t="inlineStr">
        <is>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is>
      </c>
      <c r="F5" t="inlineStr">
        <is>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is>
      </c>
      <c r="G5" t="inlineStr">
        <is>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is>
      </c>
      <c r="H5" t="inlineStr">
        <is>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is>
      </c>
      <c r="I5" t="inlineStr">
        <is>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is>
      </c>
      <c r="J5" t="inlineStr">
        <is>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is>
      </c>
      <c r="K5" t="inlineStr">
        <is>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is>
      </c>
      <c r="L5" t="inlineStr">
        <is>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is>
      </c>
      <c r="M5" t="inlineStr">
        <is>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is>
      </c>
      <c r="N5" t="inlineStr">
        <is>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is>
      </c>
      <c r="O5" t="inlineStr">
        <is>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is>
      </c>
      <c r="P5" t="inlineStr">
        <is>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is>
      </c>
      <c r="Q5" t="inlineStr">
        <is>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is>
      </c>
      <c r="R5" t="inlineStr">
        <is>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is>
      </c>
      <c r="S5" t="inlineStr">
        <is>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is>
      </c>
      <c r="T5" t="inlineStr">
        <is>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is>
      </c>
      <c r="U5" t="inlineStr">
        <is>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is>
      </c>
      <c r="V5" t="inlineStr">
        <is>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is>
      </c>
      <c r="W5" t="inlineStr">
        <is>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is>
      </c>
      <c r="X5" t="inlineStr">
        <is>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is>
      </c>
      <c r="Y5" t="inlineStr">
        <is>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is>
      </c>
      <c r="Z5" t="inlineStr">
        <is>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is>
      </c>
      <c r="AA5" t="inlineStr">
        <is>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is>
      </c>
      <c r="AB5" t="inlineStr">
        <is>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is>
      </c>
      <c r="AC5" t="inlineStr">
        <is>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is>
      </c>
      <c r="AD5" t="inlineStr">
        <is>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is>
      </c>
      <c r="AE5" t="inlineStr">
        <is>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is>
      </c>
      <c r="AF5" t="inlineStr">
        <is>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is>
      </c>
      <c r="AG5" t="inlineStr">
        <is>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is>
      </c>
      <c r="AH5" t="inlineStr">
        <is>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is>
      </c>
      <c r="AI5" t="inlineStr">
        <is>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is>
      </c>
      <c r="AJ5" t="inlineStr">
        <is>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is>
      </c>
      <c r="AK5" t="inlineStr">
        <is>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is>
      </c>
      <c r="AL5" t="inlineStr">
        <is>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is>
      </c>
      <c r="AM5" t="inlineStr">
        <is>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is>
      </c>
      <c r="AN5" t="inlineStr">
        <is>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is>
      </c>
      <c r="AO5" t="inlineStr">
        <is>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is>
      </c>
      <c r="AP5" t="inlineStr">
        <is>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is>
      </c>
      <c r="AQ5" t="inlineStr">
        <is>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is>
      </c>
      <c r="AR5" t="inlineStr">
        <is>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is>
      </c>
      <c r="AS5" t="inlineStr">
        <is>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is>
      </c>
      <c r="AT5" t="inlineStr">
        <is>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is>
      </c>
      <c r="AU5" t="inlineStr">
        <is>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is>
      </c>
      <c r="AV5" t="inlineStr">
        <is>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is>
      </c>
      <c r="AW5" t="inlineStr">
        <is>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is>
      </c>
      <c r="AX5" t="inlineStr">
        <is>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is>
      </c>
      <c r="AY5" t="inlineStr">
        <is>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is>
      </c>
      <c r="AZ5" t="inlineStr">
        <is>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is>
      </c>
      <c r="BA5" t="inlineStr">
        <is>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is>
      </c>
      <c r="BB5" t="inlineStr">
        <is>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is>
      </c>
      <c r="BC5" t="inlineStr">
        <is>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is>
      </c>
      <c r="BD5" t="inlineStr">
        <is>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is>
      </c>
      <c r="BE5" t="inlineStr">
        <is>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is>
      </c>
      <c r="BF5" t="inlineStr">
        <is>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is>
      </c>
      <c r="BG5" t="inlineStr">
        <is>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is>
      </c>
      <c r="BH5" t="inlineStr">
        <is>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is>
      </c>
      <c r="BI5" t="inlineStr">
        <is>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is>
      </c>
      <c r="BJ5" t="inlineStr">
        <is>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is>
      </c>
      <c r="BK5" t="inlineStr">
        <is>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is>
      </c>
      <c r="BL5" t="inlineStr">
        <is>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is>
      </c>
      <c r="BM5" t="inlineStr">
        <is>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is>
      </c>
      <c r="BN5" t="inlineStr">
        <is>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is>
      </c>
      <c r="BO5" t="inlineStr">
        <is>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is>
      </c>
      <c r="BP5" t="inlineStr">
        <is>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is>
      </c>
      <c r="BQ5" t="inlineStr">
        <is>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is>
      </c>
      <c r="BR5" t="inlineStr">
        <is>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is>
      </c>
      <c r="BS5" t="inlineStr">
        <is>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is>
      </c>
      <c r="BT5" t="inlineStr">
        <is>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is>
      </c>
      <c r="BU5" t="inlineStr">
        <is>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is>
      </c>
      <c r="BV5" t="inlineStr">
        <is>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is>
      </c>
      <c r="BW5" t="inlineStr">
        <is>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is>
      </c>
      <c r="BX5" t="inlineStr">
        <is>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is>
      </c>
      <c r="BY5" t="inlineStr">
        <is>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is>
      </c>
      <c r="BZ5" t="inlineStr">
        <is>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is>
      </c>
      <c r="CA5" t="inlineStr">
        <is>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is>
      </c>
      <c r="CB5" t="inlineStr">
        <is>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is>
      </c>
      <c r="CC5" t="inlineStr">
        <is>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is>
      </c>
      <c r="CD5" t="inlineStr">
        <is>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is>
      </c>
      <c r="CE5" t="inlineStr">
        <is>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is>
      </c>
      <c r="CF5" t="inlineStr">
        <is>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is>
      </c>
      <c r="CG5" t="inlineStr">
        <is>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is>
      </c>
      <c r="CH5" t="inlineStr">
        <is>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is>
      </c>
      <c r="CI5" t="inlineStr">
        <is>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is>
      </c>
      <c r="CJ5" t="inlineStr">
        <is>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is>
      </c>
      <c r="CK5" t="inlineStr">
        <is>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is>
      </c>
      <c r="CL5" t="inlineStr">
        <is>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is>
      </c>
      <c r="CM5" t="inlineStr">
        <is>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is>
      </c>
      <c r="CN5" t="inlineStr">
        <is>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is>
      </c>
      <c r="CO5" t="inlineStr">
        <is>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is>
      </c>
      <c r="CP5" t="inlineStr">
        <is>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is>
      </c>
      <c r="CQ5" t="inlineStr">
        <is>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is>
      </c>
      <c r="CR5" t="inlineStr">
        <is>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is>
      </c>
      <c r="CS5" t="inlineStr">
        <is>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is>
      </c>
      <c r="CT5" t="inlineStr">
        <is>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is>
      </c>
      <c r="CU5" t="inlineStr">
        <is>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is>
      </c>
      <c r="CV5" t="inlineStr">
        <is>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is>
      </c>
      <c r="CW5" t="inlineStr">
        <is>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is>
      </c>
    </row>
  </sheetData>
  <pageMargins left="0.7" right="0.7" top="0.75" bottom="0.75" header="0.3" footer="0.3"/>
</worksheet>
</file>

<file path=xl/worksheets/sheet28.xml><?xml version="1.0" encoding="utf-8"?>
<worksheet xmlns="http://schemas.openxmlformats.org/spreadsheetml/2006/main">
  <sheetPr codeName="Sheet16">
    <tabColor theme="9" tint="-0.09997863704336681"/>
    <outlinePr summaryBelow="1" summaryRight="1"/>
    <pageSetUpPr fitToPage="1"/>
  </sheetPr>
  <dimension ref="A2:AW70"/>
  <sheetViews>
    <sheetView showGridLines="0" topLeftCell="M1" zoomScale="70" zoomScaleNormal="85" zoomScaleSheetLayoutView="85" workbookViewId="0">
      <selection activeCell="AA31" sqref="AA31"/>
    </sheetView>
  </sheetViews>
  <sheetFormatPr baseColWidth="8" defaultColWidth="8.84375" defaultRowHeight="11.5" outlineLevelRow="1"/>
  <cols>
    <col width="1.921875" customWidth="1" style="259" min="1" max="1"/>
    <col width="2.84375" customWidth="1" style="259" min="2" max="2"/>
    <col width="21.84375" customWidth="1" style="259" min="3" max="3"/>
    <col width="10.15234375" customWidth="1" style="259" min="4" max="4"/>
    <col width="9.07421875" customWidth="1" style="259" min="5" max="5"/>
    <col width="9.4609375" customWidth="1" style="259" min="6" max="8"/>
    <col outlineLevel="1" width="8.53515625" customWidth="1" style="259" min="9" max="16"/>
    <col outlineLevel="1" width="8.15234375" customWidth="1" style="259" min="17" max="19"/>
    <col outlineLevel="1" width="8.84375" customWidth="1" style="259" min="20" max="22"/>
    <col width="7.84375" customWidth="1" style="259" min="23" max="25"/>
    <col width="8.53515625" customWidth="1" style="259" min="26" max="26"/>
    <col width="7.07421875" customWidth="1" style="259" min="27" max="28"/>
    <col width="7.84375" customWidth="1" style="259" min="29" max="31"/>
    <col hidden="1" outlineLevel="1" width="7.15234375" customWidth="1" style="259" min="32" max="37"/>
    <col hidden="1" outlineLevel="1" width="7.61328125" customWidth="1" style="259" min="38" max="42"/>
    <col hidden="1" outlineLevel="1" width="8.61328125" customWidth="1" style="259" min="43" max="43"/>
    <col hidden="1" outlineLevel="1" width="9.4609375" customWidth="1" style="259" min="44" max="44"/>
    <col collapsed="1" width="7.53515625" customWidth="1" style="259" min="45" max="45"/>
    <col width="3.84375" customWidth="1" style="259" min="46" max="46"/>
    <col width="3.15234375" customWidth="1" style="259" min="47" max="47"/>
    <col width="14" bestFit="1" customWidth="1" style="259" min="48" max="48"/>
    <col width="8.84375" customWidth="1" style="259" min="49" max="16384"/>
  </cols>
  <sheetData>
    <row r="2" customFormat="1" s="747">
      <c r="A2" s="747" t="n"/>
      <c r="B2" s="62">
        <f>Inputs!$B$2</f>
        <v/>
      </c>
      <c r="C2" s="739"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393" t="n"/>
      <c r="AD2" s="393" t="n"/>
      <c r="AE2" s="393" t="n"/>
      <c r="AF2" s="740" t="n"/>
      <c r="AG2" s="740" t="n"/>
      <c r="AH2" s="740" t="n"/>
      <c r="AI2" s="740" t="n"/>
      <c r="AJ2" s="740" t="n"/>
      <c r="AK2" s="740" t="n"/>
      <c r="AL2" s="259" t="n"/>
      <c r="AM2" s="259" t="n"/>
      <c r="AN2" s="259" t="n"/>
      <c r="AO2" s="259" t="n"/>
      <c r="AP2" s="259" t="n"/>
      <c r="AQ2" s="259" t="n"/>
      <c r="AR2" s="259" t="n"/>
      <c r="AS2" s="259" t="n"/>
      <c r="AT2" s="741" t="n"/>
      <c r="AV2" s="259" t="n"/>
      <c r="AW2" s="259" t="n"/>
    </row>
    <row r="3" ht="13.25" customFormat="1" customHeight="1" s="747">
      <c r="A3" s="747" t="n"/>
      <c r="B3" s="64">
        <f>Inputs!$B$3</f>
        <v/>
      </c>
      <c r="C3" s="742" t="n"/>
      <c r="D3" s="506" t="n"/>
      <c r="E3" s="506" t="n"/>
      <c r="F3" s="506" t="n"/>
      <c r="G3" s="506" t="n"/>
      <c r="H3" s="506" t="n"/>
      <c r="I3" s="506" t="n"/>
      <c r="J3" s="506" t="n"/>
      <c r="K3" s="506" t="n"/>
      <c r="L3" s="506" t="n"/>
      <c r="M3" s="506" t="n"/>
      <c r="N3" s="506" t="n"/>
      <c r="O3" s="506" t="n"/>
      <c r="P3" s="506" t="n"/>
      <c r="Q3" s="506" t="n"/>
      <c r="R3" s="506" t="n"/>
      <c r="S3" s="506" t="n"/>
      <c r="T3" s="506" t="n"/>
      <c r="U3" s="506" t="n"/>
      <c r="V3" s="506" t="n"/>
      <c r="W3" s="743" t="n"/>
      <c r="X3" s="744" t="n"/>
      <c r="Y3" s="744" t="n"/>
      <c r="Z3" s="506" t="n"/>
      <c r="AA3" s="506" t="n"/>
      <c r="AB3" s="506" t="n"/>
      <c r="AC3" s="506" t="n"/>
      <c r="AD3" s="506" t="n"/>
      <c r="AE3" s="506" t="n"/>
      <c r="AF3" s="503" t="n"/>
      <c r="AG3" s="503" t="n"/>
      <c r="AH3" s="503" t="n"/>
      <c r="AI3" s="503" t="n"/>
      <c r="AJ3" s="503" t="n"/>
      <c r="AK3" s="503" t="n"/>
      <c r="AL3" s="259" t="n"/>
      <c r="AM3" s="259" t="n"/>
      <c r="AN3" s="259" t="n"/>
      <c r="AO3" s="259" t="n"/>
      <c r="AP3" s="259" t="n"/>
      <c r="AQ3" s="259" t="n"/>
      <c r="AR3" s="259" t="n"/>
      <c r="AS3" s="259" t="n"/>
      <c r="AT3" s="745" t="n"/>
      <c r="AV3" s="259" t="n"/>
      <c r="AW3" s="259" t="n"/>
    </row>
    <row r="4" customFormat="1" s="747">
      <c r="A4" s="747" t="n"/>
      <c r="B4" s="65" t="inlineStr">
        <is>
          <t>Market Approach: Guideline Public Company Method - Comparative Valuation Multiples</t>
        </is>
      </c>
      <c r="C4" s="742"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6" t="n"/>
      <c r="AD4" s="506" t="n"/>
      <c r="AE4" s="506" t="n"/>
      <c r="AF4" s="506" t="n"/>
      <c r="AG4" s="506" t="n"/>
      <c r="AH4" s="506" t="n"/>
      <c r="AI4" s="506" t="n"/>
      <c r="AJ4" s="506" t="n"/>
      <c r="AK4" s="506" t="n"/>
      <c r="AL4" s="506" t="n"/>
      <c r="AM4" s="506" t="n"/>
      <c r="AN4" s="506" t="n"/>
      <c r="AO4" s="506" t="n"/>
      <c r="AP4" s="506" t="n"/>
      <c r="AQ4" s="506" t="n"/>
      <c r="AR4" s="506" t="n"/>
      <c r="AS4" s="506" t="n"/>
      <c r="AT4" s="745">
        <f>valuation.date.header</f>
        <v/>
      </c>
      <c r="AV4" s="259" t="n"/>
      <c r="AW4" s="259" t="n"/>
    </row>
    <row r="5" ht="5" customFormat="1" customHeight="1" s="71" thickBot="1">
      <c r="A5" s="752" t="n"/>
      <c r="B5" s="749" t="n"/>
      <c r="C5" s="750" t="n"/>
      <c r="D5" s="750" t="n"/>
      <c r="E5" s="751" t="n"/>
      <c r="F5" s="750" t="n"/>
      <c r="G5" s="750" t="n"/>
      <c r="H5" s="750" t="n"/>
      <c r="I5" s="750" t="n"/>
      <c r="J5" s="750" t="n"/>
      <c r="K5" s="750" t="n"/>
      <c r="L5" s="750" t="n"/>
      <c r="M5" s="750" t="n"/>
      <c r="N5" s="750" t="n"/>
      <c r="O5" s="750" t="n"/>
      <c r="P5" s="750" t="n"/>
      <c r="Q5" s="750" t="n"/>
      <c r="R5" s="750" t="n"/>
      <c r="S5" s="750" t="n"/>
      <c r="T5" s="750" t="n"/>
      <c r="U5" s="750" t="n"/>
      <c r="V5" s="750" t="n"/>
      <c r="W5" s="750" t="n"/>
      <c r="X5" s="750" t="n"/>
      <c r="Y5" s="750" t="n"/>
      <c r="Z5" s="750" t="n"/>
      <c r="AA5" s="750" t="n"/>
      <c r="AB5" s="750" t="n"/>
      <c r="AC5" s="750" t="n"/>
      <c r="AD5" s="750" t="n"/>
      <c r="AE5" s="750" t="n"/>
      <c r="AF5" s="749" t="n"/>
      <c r="AG5" s="749" t="n"/>
      <c r="AH5" s="749" t="n"/>
      <c r="AI5" s="749" t="n"/>
      <c r="AJ5" s="749" t="n"/>
      <c r="AK5" s="749" t="n"/>
      <c r="AL5" s="749" t="n"/>
      <c r="AM5" s="749" t="n"/>
      <c r="AN5" s="749" t="n"/>
      <c r="AO5" s="749" t="n"/>
      <c r="AP5" s="749" t="n"/>
      <c r="AQ5" s="749" t="n"/>
      <c r="AR5" s="749" t="n"/>
      <c r="AS5" s="750" t="n"/>
      <c r="AT5" s="750" t="n"/>
      <c r="AU5" s="750" t="n"/>
    </row>
    <row r="6" ht="12" customFormat="1" customHeight="1" s="752" thickTop="1">
      <c r="A6" s="752" t="n"/>
      <c r="N6" s="752" t="n"/>
      <c r="O6" s="752" t="n"/>
      <c r="P6" s="752" t="n"/>
      <c r="Q6" s="752" t="n"/>
      <c r="R6" s="752" t="n"/>
      <c r="S6" s="752" t="n"/>
      <c r="T6" s="752" t="n"/>
      <c r="U6" s="752" t="n"/>
      <c r="V6" s="752" t="n"/>
      <c r="W6" s="752" t="n"/>
      <c r="X6" s="752" t="n"/>
      <c r="Y6" s="752" t="n"/>
      <c r="Z6" s="752" t="n"/>
      <c r="AA6" s="752" t="n"/>
      <c r="AB6" s="752" t="n"/>
      <c r="AC6" s="752" t="n"/>
      <c r="AD6" s="752" t="n"/>
      <c r="AE6" s="752" t="n"/>
      <c r="AF6" s="752" t="n"/>
      <c r="AG6" s="752" t="n"/>
      <c r="AH6" s="752" t="n"/>
      <c r="AI6" s="752" t="n"/>
      <c r="AJ6" s="752" t="n"/>
      <c r="AK6" s="752" t="n"/>
      <c r="AL6" s="752" t="n"/>
      <c r="AM6" s="752" t="n"/>
      <c r="AN6" s="752" t="n"/>
      <c r="AO6" s="752" t="n"/>
      <c r="AP6" s="752" t="n"/>
      <c r="AQ6" s="752" t="n"/>
    </row>
    <row r="7" customFormat="1" s="753">
      <c r="A7" s="753" t="n"/>
      <c r="C7" s="2287">
        <f>"As of "&amp;TEXT(valuation.date,"mmm d, 'yy")</f>
        <v/>
      </c>
      <c r="F7" s="2287" t="n"/>
      <c r="I7" s="2287" t="inlineStr">
        <is>
          <t>Revenue (USD Mn)</t>
        </is>
      </c>
      <c r="J7" s="2287" t="inlineStr">
        <is>
          <t>EBITDA (USD Mn)</t>
        </is>
      </c>
      <c r="K7" s="2287" t="inlineStr">
        <is>
          <t>Net Income in USD Millions</t>
        </is>
      </c>
      <c r="N7" s="2287" t="inlineStr">
        <is>
          <t>Gross Margin</t>
        </is>
      </c>
      <c r="Q7" s="2287" t="inlineStr">
        <is>
          <t>EBITDA Margin</t>
        </is>
      </c>
      <c r="T7" s="2287" t="inlineStr">
        <is>
          <t>EBIT Margin</t>
        </is>
      </c>
      <c r="W7" s="2287" t="inlineStr">
        <is>
          <t>Enterprise Value / Revenue</t>
        </is>
      </c>
      <c r="Z7" s="2287" t="inlineStr">
        <is>
          <t>Enterprise Value / EBITDA</t>
        </is>
      </c>
      <c r="AC7" s="2287" t="inlineStr">
        <is>
          <t>Enterprise Value / EBIT</t>
        </is>
      </c>
      <c r="AF7" s="2288" t="inlineStr">
        <is>
          <t>Price/Revenue</t>
        </is>
      </c>
      <c r="AL7" s="2288" t="inlineStr">
        <is>
          <t>Price/Earnings</t>
        </is>
      </c>
      <c r="AR7" s="2289" t="inlineStr">
        <is>
          <t>Price/Book</t>
        </is>
      </c>
    </row>
    <row r="8" ht="40.25" customHeight="1" thickBot="1">
      <c r="C8" s="756" t="inlineStr">
        <is>
          <t>Company Name</t>
        </is>
      </c>
      <c r="D8" s="757" t="inlineStr">
        <is>
          <t>Country</t>
        </is>
      </c>
      <c r="E8" s="758" t="inlineStr">
        <is>
          <t>Last Fiscal Year End</t>
        </is>
      </c>
      <c r="F8" s="758" t="inlineStr">
        <is>
          <t>Market Capitalisation (USD)</t>
        </is>
      </c>
      <c r="G8" s="758" t="inlineStr">
        <is>
          <t>Enterprise Value (USD)</t>
        </is>
      </c>
      <c r="H8" s="759" t="inlineStr">
        <is>
          <t>Enterprise Value</t>
        </is>
      </c>
      <c r="I8" s="758" t="inlineStr">
        <is>
          <t>FYE</t>
        </is>
      </c>
      <c r="J8" s="758" t="inlineStr">
        <is>
          <t>FYE</t>
        </is>
      </c>
      <c r="K8" s="756" t="inlineStr">
        <is>
          <t>FYE -1</t>
        </is>
      </c>
      <c r="L8" s="756" t="inlineStr">
        <is>
          <t>FYE</t>
        </is>
      </c>
      <c r="M8" s="758" t="inlineStr">
        <is>
          <t>TTM</t>
        </is>
      </c>
      <c r="N8" s="758" t="inlineStr">
        <is>
          <t>FYE -1</t>
        </is>
      </c>
      <c r="O8" s="758" t="inlineStr">
        <is>
          <t>FYE</t>
        </is>
      </c>
      <c r="P8" s="758" t="inlineStr">
        <is>
          <t>TTM</t>
        </is>
      </c>
      <c r="Q8" s="758" t="inlineStr">
        <is>
          <t>FYE -1</t>
        </is>
      </c>
      <c r="R8" s="758" t="inlineStr">
        <is>
          <t>FYE</t>
        </is>
      </c>
      <c r="S8" s="758" t="inlineStr">
        <is>
          <t>TTM</t>
        </is>
      </c>
      <c r="T8" s="758" t="inlineStr">
        <is>
          <t>FYE -1</t>
        </is>
      </c>
      <c r="U8" s="758" t="inlineStr">
        <is>
          <t>FYE</t>
        </is>
      </c>
      <c r="V8" s="758" t="inlineStr">
        <is>
          <t>TTM</t>
        </is>
      </c>
      <c r="W8" s="758" t="inlineStr">
        <is>
          <t>FYE -1</t>
        </is>
      </c>
      <c r="X8" s="758" t="inlineStr">
        <is>
          <t>FYE</t>
        </is>
      </c>
      <c r="Y8" s="758" t="inlineStr">
        <is>
          <t>TTM</t>
        </is>
      </c>
      <c r="Z8" s="758" t="inlineStr">
        <is>
          <t>FYE -1</t>
        </is>
      </c>
      <c r="AA8" s="758" t="inlineStr">
        <is>
          <t>FYE</t>
        </is>
      </c>
      <c r="AB8" s="758" t="inlineStr">
        <is>
          <t>TTM</t>
        </is>
      </c>
      <c r="AC8" s="758" t="inlineStr">
        <is>
          <t>FYE -1</t>
        </is>
      </c>
      <c r="AD8" s="758" t="inlineStr">
        <is>
          <t>FYE</t>
        </is>
      </c>
      <c r="AE8" s="758" t="inlineStr">
        <is>
          <t>TTM</t>
        </is>
      </c>
      <c r="AF8" s="760" t="inlineStr">
        <is>
          <t>FYE -1</t>
        </is>
      </c>
      <c r="AG8" s="760" t="inlineStr">
        <is>
          <t>FYE</t>
        </is>
      </c>
      <c r="AH8" s="761" t="inlineStr">
        <is>
          <t>TTM</t>
        </is>
      </c>
      <c r="AI8" s="760" t="inlineStr">
        <is>
          <t>FYE +1</t>
        </is>
      </c>
      <c r="AJ8" s="760" t="inlineStr">
        <is>
          <t>FYE +2</t>
        </is>
      </c>
      <c r="AK8" s="760" t="inlineStr">
        <is>
          <t>FYE+3</t>
        </is>
      </c>
      <c r="AL8" s="760" t="inlineStr">
        <is>
          <t>FYE -1</t>
        </is>
      </c>
      <c r="AM8" s="760" t="inlineStr">
        <is>
          <t>FYE</t>
        </is>
      </c>
      <c r="AN8" s="761" t="inlineStr">
        <is>
          <t>TTM</t>
        </is>
      </c>
      <c r="AO8" s="760" t="inlineStr">
        <is>
          <t>FYE +1</t>
        </is>
      </c>
      <c r="AP8" s="760" t="inlineStr">
        <is>
          <t>FYE +2</t>
        </is>
      </c>
      <c r="AQ8" s="761" t="inlineStr">
        <is>
          <t>FYE+3</t>
        </is>
      </c>
      <c r="AR8" s="761" t="inlineStr">
        <is>
          <t>FYE</t>
        </is>
      </c>
      <c r="AV8" s="516" t="inlineStr">
        <is>
          <t>Exclude as outlier?</t>
        </is>
      </c>
    </row>
    <row r="9" ht="12" customHeight="1" thickBot="1">
      <c r="B9" s="436" t="n">
        <v>1</v>
      </c>
      <c r="C9" s="454">
        <f>'GPC Data'!E294</f>
        <v/>
      </c>
      <c r="D9" s="762">
        <f>'GPC Data'!H22</f>
        <v/>
      </c>
      <c r="E9" s="2290">
        <f>'GPC Data'!P22</f>
        <v/>
      </c>
      <c r="F9" s="2291">
        <f>'GPC Data'!I22</f>
        <v/>
      </c>
      <c r="G9" s="2291" t="n"/>
      <c r="H9" s="2291">
        <f>'GPC Data'!F294</f>
        <v/>
      </c>
      <c r="I9" s="2292">
        <f>'GPC Data'!I124</f>
        <v/>
      </c>
      <c r="J9" s="2292">
        <f>'GPC Data'!Q124</f>
        <v/>
      </c>
      <c r="K9" s="2293">
        <f>'GPC Data'!L158</f>
        <v/>
      </c>
      <c r="L9" s="2292">
        <f>'GPC Data'!M158</f>
        <v/>
      </c>
      <c r="M9" s="2292">
        <f>'GPC Data'!N158</f>
        <v/>
      </c>
      <c r="N9" s="2294">
        <f>'GPC Data'!F192</f>
        <v/>
      </c>
      <c r="O9" s="2295">
        <f>'GPC Data'!G192</f>
        <v/>
      </c>
      <c r="P9" s="2295">
        <f>'GPC Data'!H192</f>
        <v/>
      </c>
      <c r="Q9" s="2294">
        <f>'GPC Data'!O192</f>
        <v/>
      </c>
      <c r="R9" s="2295">
        <f>'GPC Data'!P192</f>
        <v/>
      </c>
      <c r="S9" s="2295">
        <f>'GPC Data'!Q192</f>
        <v/>
      </c>
      <c r="T9" s="2294">
        <f>'GPC Data'!X192</f>
        <v/>
      </c>
      <c r="U9" s="2295">
        <f>'GPC Data'!Y192</f>
        <v/>
      </c>
      <c r="V9" s="2295">
        <f>'GPC Data'!Z192</f>
        <v/>
      </c>
      <c r="W9" s="2296">
        <f>'GPC Data'!F260</f>
        <v/>
      </c>
      <c r="X9" s="2297">
        <f>'GPC Data'!G260</f>
        <v/>
      </c>
      <c r="Y9" s="2297">
        <f>'GPC Data'!H260</f>
        <v/>
      </c>
      <c r="Z9" s="2296">
        <f>'GPC Data'!L260</f>
        <v/>
      </c>
      <c r="AA9" s="2297">
        <f>'GPC Data'!M260</f>
        <v/>
      </c>
      <c r="AB9" s="2297">
        <f>'GPC Data'!N260</f>
        <v/>
      </c>
      <c r="AC9" s="2296">
        <f>'GPC Data'!R260</f>
        <v/>
      </c>
      <c r="AD9" s="2297">
        <f>'GPC Data'!S260</f>
        <v/>
      </c>
      <c r="AE9" s="2297">
        <f>'GPC Data'!T260</f>
        <v/>
      </c>
      <c r="AF9" s="2296">
        <f>IF(C9="","",IFERROR(IF(#REF!=0,$F9/#REF!,$F9/I9),"NA"))</f>
        <v/>
      </c>
      <c r="AG9" s="2297">
        <f>IF(C9="","",IFERROR(IF(#REF!=0,$F9/I9,$F9/#REF!),"NA"))</f>
        <v/>
      </c>
      <c r="AH9" s="2297">
        <f>IF(C9="","",$F9/#REF!)</f>
        <v/>
      </c>
      <c r="AI9" s="2297">
        <f>IF(C9="","",IFERROR(IF(#REF!=0,$F9/#REF!,$F9/#REF!),"NA"))</f>
        <v/>
      </c>
      <c r="AJ9" s="2297">
        <f>IF(C9="","",IFERROR(IF(#REF!=0,$F9/#REF!,$F9/#REF!),"NA"))</f>
        <v/>
      </c>
      <c r="AK9" s="2297">
        <f>IF(C9="","",IFERROR(IF(#REF!=0,$F9/#REF!,"NA"),"NA"))</f>
        <v/>
      </c>
      <c r="AL9" s="2296">
        <f>IF(C9="","",IFERROR(IF(#REF!=0,$F9/K9,$F9/L9),"NA"))</f>
        <v/>
      </c>
      <c r="AM9" s="2297">
        <f>IF(C9="","",IFERROR(IF(#REF!=0,$F9/L9,$F9/#REF!),"NA"))</f>
        <v/>
      </c>
      <c r="AN9" s="2297">
        <f>IF(C9="","",F9/M9)</f>
        <v/>
      </c>
      <c r="AO9" s="2297">
        <f>IF(C9="","",IFERROR(IF(#REF!=0,$F9/#REF!,$F9/#REF!),"NA"))</f>
        <v/>
      </c>
      <c r="AP9" s="2297">
        <f>IF(C9="","",IFERROR(IF(#REF!=0,$F9/#REF!,$F9/#REF!),"NA"))</f>
        <v/>
      </c>
      <c r="AQ9" s="2297">
        <f>IF(C9="","",IFERROR(IF(#REF!=0,$F9/#REF!,"NA"),"NA"))</f>
        <v/>
      </c>
      <c r="AR9" s="2296">
        <f>IFERROR(IF(AV3="Local Currency",($F9/INDEX(#REF!,B9)),($F9/INDEX(#REF!,B9))),"")</f>
        <v/>
      </c>
      <c r="AV9" s="443" t="inlineStr">
        <is>
          <t>No</t>
        </is>
      </c>
    </row>
    <row r="10" ht="12" customHeight="1" thickBot="1">
      <c r="B10" s="436">
        <f>B9+1</f>
        <v/>
      </c>
      <c r="C10" s="771">
        <f>'GPC Data'!E295</f>
        <v/>
      </c>
      <c r="D10" s="259">
        <f>'GPC Data'!H23</f>
        <v/>
      </c>
      <c r="E10" s="2298">
        <f>$E$9</f>
        <v/>
      </c>
      <c r="F10" s="2299">
        <f>'GPC Data'!I23</f>
        <v/>
      </c>
      <c r="G10" s="2299" t="n"/>
      <c r="H10" s="2299">
        <f>'GPC Data'!F295</f>
        <v/>
      </c>
      <c r="I10" s="2300">
        <f>'GPC Data'!I125</f>
        <v/>
      </c>
      <c r="J10" s="2300">
        <f>'GPC Data'!Q125</f>
        <v/>
      </c>
      <c r="K10" s="2301">
        <f>K9</f>
        <v/>
      </c>
      <c r="L10" s="2300">
        <f>L9</f>
        <v/>
      </c>
      <c r="M10" s="2300">
        <f>M9</f>
        <v/>
      </c>
      <c r="N10" s="2302">
        <f>'GPC Data'!F193</f>
        <v/>
      </c>
      <c r="O10" s="2303">
        <f>'GPC Data'!G193</f>
        <v/>
      </c>
      <c r="P10" s="2303">
        <f>'GPC Data'!H193</f>
        <v/>
      </c>
      <c r="Q10" s="2302">
        <f>'GPC Data'!O193</f>
        <v/>
      </c>
      <c r="R10" s="2303">
        <f>'GPC Data'!P193</f>
        <v/>
      </c>
      <c r="S10" s="2303">
        <f>'GPC Data'!Q193</f>
        <v/>
      </c>
      <c r="T10" s="2302">
        <f>'GPC Data'!X193</f>
        <v/>
      </c>
      <c r="U10" s="2303">
        <f>'GPC Data'!Y193</f>
        <v/>
      </c>
      <c r="V10" s="2303">
        <f>'GPC Data'!Z193</f>
        <v/>
      </c>
      <c r="W10" s="2304">
        <f>'GPC Data'!F261</f>
        <v/>
      </c>
      <c r="X10" s="2305">
        <f>'GPC Data'!G261</f>
        <v/>
      </c>
      <c r="Y10" s="2305">
        <f>'GPC Data'!H261</f>
        <v/>
      </c>
      <c r="Z10" s="2304">
        <f>'GPC Data'!L261</f>
        <v/>
      </c>
      <c r="AA10" s="2305">
        <f>'GPC Data'!M261</f>
        <v/>
      </c>
      <c r="AB10" s="2305">
        <f>'GPC Data'!N261</f>
        <v/>
      </c>
      <c r="AC10" s="2304">
        <f>'GPC Data'!R261</f>
        <v/>
      </c>
      <c r="AD10" s="2305">
        <f>'GPC Data'!S261</f>
        <v/>
      </c>
      <c r="AE10" s="2305">
        <f>'GPC Data'!T261</f>
        <v/>
      </c>
      <c r="AF10" s="2304">
        <f>IF(C10="","",IFERROR(IF(#REF!=0,$F10/#REF!,$F10/I10),"NA"))</f>
        <v/>
      </c>
      <c r="AG10" s="2305">
        <f>IF(C10="","",IFERROR(IF(#REF!=0,$F10/I10,$F10/#REF!),"NA"))</f>
        <v/>
      </c>
      <c r="AH10" s="2305">
        <f>IF(C10="","",$F10/#REF!)</f>
        <v/>
      </c>
      <c r="AI10" s="2305">
        <f>IF(C10="","",IFERROR(IF(#REF!=0,$F10/#REF!,$F10/#REF!),"NA"))</f>
        <v/>
      </c>
      <c r="AJ10" s="2305">
        <f>IF(C10="","",IFERROR(IF(#REF!=0,$F10/#REF!,$F10/#REF!),"NA"))</f>
        <v/>
      </c>
      <c r="AK10" s="2305">
        <f>IF(C10="","",IFERROR(IF(#REF!=0,$F10/#REF!,"NA"),"NA"))</f>
        <v/>
      </c>
      <c r="AL10" s="2304">
        <f>IF(C10="","",IFERROR(IF(#REF!=0,$F10/K10,$F10/L10),"NA"))</f>
        <v/>
      </c>
      <c r="AM10" s="2305">
        <f>IF(C10="","",IFERROR(IF(#REF!=0,$F10/L10,$F10/#REF!),"NA"))</f>
        <v/>
      </c>
      <c r="AN10" s="2305">
        <f>IF(C10="","",F10/M10)</f>
        <v/>
      </c>
      <c r="AO10" s="2305">
        <f>IF(C10="","",IFERROR(IF(#REF!=0,$F10/#REF!,$F10/#REF!),"NA"))</f>
        <v/>
      </c>
      <c r="AP10" s="2305">
        <f>IF(C10="","",IFERROR(IF(#REF!=0,$F10/#REF!,$F10/#REF!),"NA"))</f>
        <v/>
      </c>
      <c r="AQ10" s="2305">
        <f>IF(C10="","",IFERROR(IF(#REF!=0,$F10/#REF!,"NA"),"NA"))</f>
        <v/>
      </c>
      <c r="AR10" s="2304">
        <f>IFERROR(IF(AV4="Local Currency",($F10/INDEX(#REF!,B10)),($F10/INDEX(#REF!,B10))),"")</f>
        <v/>
      </c>
      <c r="AV10" s="443" t="inlineStr">
        <is>
          <t>No</t>
        </is>
      </c>
    </row>
    <row r="11" ht="12" customHeight="1" thickBot="1">
      <c r="B11" s="436">
        <f>B10+1</f>
        <v/>
      </c>
      <c r="C11" s="771">
        <f>'GPC Data'!E296</f>
        <v/>
      </c>
      <c r="D11" s="259">
        <f>'GPC Data'!H24</f>
        <v/>
      </c>
      <c r="E11" s="2298">
        <f>$E$9</f>
        <v/>
      </c>
      <c r="F11" s="2299">
        <f>'GPC Data'!I24</f>
        <v/>
      </c>
      <c r="G11" s="2299" t="n"/>
      <c r="H11" s="2299">
        <f>'GPC Data'!F296</f>
        <v/>
      </c>
      <c r="I11" s="2300">
        <f>'GPC Data'!I126</f>
        <v/>
      </c>
      <c r="J11" s="2300">
        <f>'GPC Data'!Q126</f>
        <v/>
      </c>
      <c r="K11" s="2301">
        <f>K10</f>
        <v/>
      </c>
      <c r="L11" s="2300">
        <f>L10</f>
        <v/>
      </c>
      <c r="M11" s="2300">
        <f>M10</f>
        <v/>
      </c>
      <c r="N11" s="2302">
        <f>'GPC Data'!F194</f>
        <v/>
      </c>
      <c r="O11" s="2303">
        <f>'GPC Data'!G194</f>
        <v/>
      </c>
      <c r="P11" s="2303">
        <f>'GPC Data'!H194</f>
        <v/>
      </c>
      <c r="Q11" s="2302">
        <f>'GPC Data'!O194</f>
        <v/>
      </c>
      <c r="R11" s="2303">
        <f>'GPC Data'!P194</f>
        <v/>
      </c>
      <c r="S11" s="2303">
        <f>'GPC Data'!Q194</f>
        <v/>
      </c>
      <c r="T11" s="2302">
        <f>'GPC Data'!X194</f>
        <v/>
      </c>
      <c r="U11" s="2303">
        <f>'GPC Data'!Y194</f>
        <v/>
      </c>
      <c r="V11" s="2303">
        <f>'GPC Data'!Z194</f>
        <v/>
      </c>
      <c r="W11" s="2304">
        <f>'GPC Data'!F262</f>
        <v/>
      </c>
      <c r="X11" s="2305">
        <f>'GPC Data'!G262</f>
        <v/>
      </c>
      <c r="Y11" s="2305">
        <f>'GPC Data'!H262</f>
        <v/>
      </c>
      <c r="Z11" s="2304">
        <f>'GPC Data'!L262</f>
        <v/>
      </c>
      <c r="AA11" s="2305">
        <f>'GPC Data'!M262</f>
        <v/>
      </c>
      <c r="AB11" s="2305">
        <f>'GPC Data'!N262</f>
        <v/>
      </c>
      <c r="AC11" s="2304">
        <f>'GPC Data'!R262</f>
        <v/>
      </c>
      <c r="AD11" s="2305">
        <f>'GPC Data'!S262</f>
        <v/>
      </c>
      <c r="AE11" s="2305">
        <f>'GPC Data'!T262</f>
        <v/>
      </c>
      <c r="AF11" s="2304">
        <f>IF(C11="","",IFERROR(IF(#REF!=0,$F11/#REF!,$F11/I11),"NA"))</f>
        <v/>
      </c>
      <c r="AG11" s="2305">
        <f>IF(C11="","",IFERROR(IF(#REF!=0,$F11/I11,$F11/#REF!),"NA"))</f>
        <v/>
      </c>
      <c r="AH11" s="2305">
        <f>IF(C11="","",$F11/#REF!)</f>
        <v/>
      </c>
      <c r="AI11" s="2305">
        <f>IF(C11="","",IFERROR(IF(#REF!=0,$F11/#REF!,$F11/#REF!),"NA"))</f>
        <v/>
      </c>
      <c r="AJ11" s="2305">
        <f>IF(C11="","",IFERROR(IF(#REF!=0,$F11/#REF!,$F11/#REF!),"NA"))</f>
        <v/>
      </c>
      <c r="AK11" s="2305">
        <f>IF(C11="","",IFERROR(IF(#REF!=0,$F11/#REF!,"NA"),"NA"))</f>
        <v/>
      </c>
      <c r="AL11" s="2304">
        <f>IF(C11="","",IFERROR(IF(#REF!=0,$F11/K11,$F11/L11),"NA"))</f>
        <v/>
      </c>
      <c r="AM11" s="2305">
        <f>IF(C11="","",IFERROR(IF(#REF!=0,$F11/L11,$F11/#REF!),"NA"))</f>
        <v/>
      </c>
      <c r="AN11" s="2305">
        <f>IF(C11="","",F11/M11)</f>
        <v/>
      </c>
      <c r="AO11" s="2305">
        <f>IF(C11="","",IFERROR(IF(#REF!=0,$F11/#REF!,$F11/#REF!),"NA"))</f>
        <v/>
      </c>
      <c r="AP11" s="2305">
        <f>IF(C11="","",IFERROR(IF(#REF!=0,$F11/#REF!,$F11/#REF!),"NA"))</f>
        <v/>
      </c>
      <c r="AQ11" s="2305">
        <f>IF(C11="","",IFERROR(IF(#REF!=0,$F11/#REF!,"NA"),"NA"))</f>
        <v/>
      </c>
      <c r="AR11" s="2304">
        <f>IFERROR(IF(#REF!="Local Currency",($F11/INDEX(#REF!,B11)),($F11/INDEX(#REF!,B11))),"")</f>
        <v/>
      </c>
      <c r="AV11" s="443" t="inlineStr">
        <is>
          <t>No</t>
        </is>
      </c>
    </row>
    <row r="12" ht="12" customHeight="1" thickBot="1">
      <c r="B12" s="436">
        <f>B11+1</f>
        <v/>
      </c>
      <c r="C12" s="771">
        <f>'GPC Data'!E297</f>
        <v/>
      </c>
      <c r="D12" s="259">
        <f>'GPC Data'!H25</f>
        <v/>
      </c>
      <c r="E12" s="2298">
        <f>$E$9</f>
        <v/>
      </c>
      <c r="F12" s="2299">
        <f>'GPC Data'!I25</f>
        <v/>
      </c>
      <c r="G12" s="2299" t="n"/>
      <c r="H12" s="2306">
        <f>'GPC Data'!F297</f>
        <v/>
      </c>
      <c r="I12" s="2300">
        <f>'GPC Data'!I127</f>
        <v/>
      </c>
      <c r="J12" s="2300">
        <f>'GPC Data'!Q127</f>
        <v/>
      </c>
      <c r="K12" s="2301">
        <f>K11</f>
        <v/>
      </c>
      <c r="L12" s="2300">
        <f>L11</f>
        <v/>
      </c>
      <c r="M12" s="2300">
        <f>M11</f>
        <v/>
      </c>
      <c r="N12" s="2302">
        <f>'GPC Data'!F195</f>
        <v/>
      </c>
      <c r="O12" s="2303">
        <f>'GPC Data'!G195</f>
        <v/>
      </c>
      <c r="P12" s="2303">
        <f>'GPC Data'!H195</f>
        <v/>
      </c>
      <c r="Q12" s="2302">
        <f>'GPC Data'!O195</f>
        <v/>
      </c>
      <c r="R12" s="2303">
        <f>'GPC Data'!P195</f>
        <v/>
      </c>
      <c r="S12" s="2303">
        <f>'GPC Data'!Q195</f>
        <v/>
      </c>
      <c r="T12" s="2302">
        <f>'GPC Data'!X195</f>
        <v/>
      </c>
      <c r="U12" s="2303">
        <f>'GPC Data'!Y195</f>
        <v/>
      </c>
      <c r="V12" s="2303">
        <f>'GPC Data'!Z195</f>
        <v/>
      </c>
      <c r="W12" s="2304">
        <f>'GPC Data'!F263</f>
        <v/>
      </c>
      <c r="X12" s="2305">
        <f>'GPC Data'!G263</f>
        <v/>
      </c>
      <c r="Y12" s="2305">
        <f>'GPC Data'!H263</f>
        <v/>
      </c>
      <c r="Z12" s="2304">
        <f>'GPC Data'!L263</f>
        <v/>
      </c>
      <c r="AA12" s="2305">
        <f>'GPC Data'!M263</f>
        <v/>
      </c>
      <c r="AB12" s="2305">
        <f>'GPC Data'!N263</f>
        <v/>
      </c>
      <c r="AC12" s="2304">
        <f>'GPC Data'!R263</f>
        <v/>
      </c>
      <c r="AD12" s="2305">
        <f>'GPC Data'!S263</f>
        <v/>
      </c>
      <c r="AE12" s="2305">
        <f>'GPC Data'!T263</f>
        <v/>
      </c>
      <c r="AF12" s="2304">
        <f>IF(C12="","",IFERROR(IF(#REF!=0,$F12/#REF!,$F12/I12),"NA"))</f>
        <v/>
      </c>
      <c r="AG12" s="2305">
        <f>IF(C12="","",IFERROR(IF(#REF!=0,$F12/I12,$F12/#REF!),"NA"))</f>
        <v/>
      </c>
      <c r="AH12" s="2305">
        <f>IF(C12="","",$F12/#REF!)</f>
        <v/>
      </c>
      <c r="AI12" s="2305">
        <f>IF(C12="","",IFERROR(IF(#REF!=0,$F12/#REF!,$F12/#REF!),"NA"))</f>
        <v/>
      </c>
      <c r="AJ12" s="2305">
        <f>IF(C12="","",IFERROR(IF(#REF!=0,$F12/#REF!,$F12/#REF!),"NA"))</f>
        <v/>
      </c>
      <c r="AK12" s="2305">
        <f>IF(C12="","",IFERROR(IF(#REF!=0,$F12/#REF!,"NA"),"NA"))</f>
        <v/>
      </c>
      <c r="AL12" s="2304">
        <f>IF(C12="","",IFERROR(IF(#REF!=0,$F12/K12,$F12/L12),"NA"))</f>
        <v/>
      </c>
      <c r="AM12" s="2305">
        <f>IF(C12="","",IFERROR(IF(#REF!=0,$F12/L12,$F12/#REF!),"NA"))</f>
        <v/>
      </c>
      <c r="AN12" s="2305">
        <f>IF(C12="","",F12/M12)</f>
        <v/>
      </c>
      <c r="AO12" s="2305">
        <f>IF(C12="","",IFERROR(IF(#REF!=0,$F12/#REF!,$F12/#REF!),"NA"))</f>
        <v/>
      </c>
      <c r="AP12" s="2305">
        <f>IF(C12="","",IFERROR(IF(#REF!=0,$F12/#REF!,$F12/#REF!),"NA"))</f>
        <v/>
      </c>
      <c r="AQ12" s="2305">
        <f>IF(C12="","",IFERROR(IF(#REF!=0,$F12/#REF!,"NA"),"NA"))</f>
        <v/>
      </c>
      <c r="AR12" s="2304">
        <f>IFERROR(IF(AV5="Local Currency",($F12/INDEX(#REF!,B12)),($F12/INDEX(#REF!,B12))),"")</f>
        <v/>
      </c>
      <c r="AV12" s="443" t="inlineStr">
        <is>
          <t>No</t>
        </is>
      </c>
    </row>
    <row r="13" ht="12" customHeight="1" thickBot="1">
      <c r="B13" s="436">
        <f>B12+1</f>
        <v/>
      </c>
      <c r="C13" s="771">
        <f>'GPC Data'!E298</f>
        <v/>
      </c>
      <c r="D13" s="259">
        <f>'GPC Data'!H26</f>
        <v/>
      </c>
      <c r="E13" s="2298">
        <f>$E$9</f>
        <v/>
      </c>
      <c r="F13" s="2299">
        <f>'GPC Data'!I26</f>
        <v/>
      </c>
      <c r="G13" s="2299" t="n"/>
      <c r="H13" s="2306">
        <f>'GPC Data'!F298</f>
        <v/>
      </c>
      <c r="I13" s="2300">
        <f>'GPC Data'!I128</f>
        <v/>
      </c>
      <c r="J13" s="2300">
        <f>'GPC Data'!Q128</f>
        <v/>
      </c>
      <c r="K13" s="2301">
        <f>K12</f>
        <v/>
      </c>
      <c r="L13" s="2300">
        <f>L12</f>
        <v/>
      </c>
      <c r="M13" s="2300">
        <f>M12</f>
        <v/>
      </c>
      <c r="N13" s="2302">
        <f>'GPC Data'!F196</f>
        <v/>
      </c>
      <c r="O13" s="2303">
        <f>'GPC Data'!G196</f>
        <v/>
      </c>
      <c r="P13" s="2303">
        <f>'GPC Data'!H196</f>
        <v/>
      </c>
      <c r="Q13" s="2302">
        <f>'GPC Data'!O196</f>
        <v/>
      </c>
      <c r="R13" s="2303">
        <f>'GPC Data'!P196</f>
        <v/>
      </c>
      <c r="S13" s="2303">
        <f>'GPC Data'!Q196</f>
        <v/>
      </c>
      <c r="T13" s="2302">
        <f>'GPC Data'!X196</f>
        <v/>
      </c>
      <c r="U13" s="2303">
        <f>'GPC Data'!Y196</f>
        <v/>
      </c>
      <c r="V13" s="2303">
        <f>'GPC Data'!Z196</f>
        <v/>
      </c>
      <c r="W13" s="2304">
        <f>'GPC Data'!F264</f>
        <v/>
      </c>
      <c r="X13" s="2305">
        <f>'GPC Data'!G264</f>
        <v/>
      </c>
      <c r="Y13" s="2305">
        <f>'GPC Data'!H264</f>
        <v/>
      </c>
      <c r="Z13" s="2304">
        <f>'GPC Data'!L264</f>
        <v/>
      </c>
      <c r="AA13" s="2305">
        <f>'GPC Data'!M264</f>
        <v/>
      </c>
      <c r="AB13" s="2305">
        <f>'GPC Data'!N264</f>
        <v/>
      </c>
      <c r="AC13" s="2304">
        <f>'GPC Data'!R264</f>
        <v/>
      </c>
      <c r="AD13" s="2305">
        <f>'GPC Data'!S264</f>
        <v/>
      </c>
      <c r="AE13" s="2305">
        <f>'GPC Data'!T264</f>
        <v/>
      </c>
      <c r="AF13" s="2304">
        <f>IF(C13="","",IFERROR(IF(#REF!=0,$F13/#REF!,$F13/I13),"NA"))</f>
        <v/>
      </c>
      <c r="AG13" s="2305">
        <f>IF(C13="","",IFERROR(IF(#REF!=0,$F13/I13,$F13/#REF!),"NA"))</f>
        <v/>
      </c>
      <c r="AH13" s="2305">
        <f>IF(C13="","",$F13/#REF!)</f>
        <v/>
      </c>
      <c r="AI13" s="2305">
        <f>IF(C13="","",IFERROR(IF(#REF!=0,$F13/#REF!,$F13/#REF!),"NA"))</f>
        <v/>
      </c>
      <c r="AJ13" s="2305">
        <f>IF(C13="","",IFERROR(IF(#REF!=0,$F13/#REF!,$F13/#REF!),"NA"))</f>
        <v/>
      </c>
      <c r="AK13" s="2305">
        <f>IF(C13="","",IFERROR(IF(#REF!=0,$F13/#REF!,"NA"),"NA"))</f>
        <v/>
      </c>
      <c r="AL13" s="2304">
        <f>IF(C13="","",IFERROR(IF(#REF!=0,$F13/K13,$F13/L13),"NA"))</f>
        <v/>
      </c>
      <c r="AM13" s="2305">
        <f>IF(C13="","",IFERROR(IF(#REF!=0,$F13/L13,$F13/#REF!),"NA"))</f>
        <v/>
      </c>
      <c r="AN13" s="2305">
        <f>IF(C13="","",F13/M13)</f>
        <v/>
      </c>
      <c r="AO13" s="2305">
        <f>IF(C13="","",IFERROR(IF(#REF!=0,$F13/#REF!,$F13/#REF!),"NA"))</f>
        <v/>
      </c>
      <c r="AP13" s="2305">
        <f>IF(C13="","",IFERROR(IF(#REF!=0,$F13/#REF!,$F13/#REF!),"NA"))</f>
        <v/>
      </c>
      <c r="AQ13" s="2305">
        <f>IF(C13="","",IFERROR(IF(#REF!=0,$F13/#REF!,"NA"),"NA"))</f>
        <v/>
      </c>
      <c r="AR13" s="2304">
        <f>IFERROR(IF(AV6="Local Currency",($F13/INDEX(#REF!,B13)),($F13/INDEX(#REF!,B13))),"")</f>
        <v/>
      </c>
      <c r="AV13" s="443" t="inlineStr">
        <is>
          <t>No</t>
        </is>
      </c>
    </row>
    <row r="14" ht="12" customHeight="1" thickBot="1">
      <c r="B14" s="436">
        <f>B13+1</f>
        <v/>
      </c>
      <c r="C14" s="771">
        <f>'GPC Data'!E299</f>
        <v/>
      </c>
      <c r="D14" s="259">
        <f>'GPC Data'!H27</f>
        <v/>
      </c>
      <c r="E14" s="2298">
        <f>$E$9</f>
        <v/>
      </c>
      <c r="F14" s="2299">
        <f>'GPC Data'!I27</f>
        <v/>
      </c>
      <c r="G14" s="2299" t="n"/>
      <c r="H14" s="2306">
        <f>'GPC Data'!F299</f>
        <v/>
      </c>
      <c r="I14" s="2300">
        <f>'GPC Data'!I129</f>
        <v/>
      </c>
      <c r="J14" s="2300">
        <f>'GPC Data'!Q129</f>
        <v/>
      </c>
      <c r="K14" s="2301">
        <f>K13</f>
        <v/>
      </c>
      <c r="L14" s="2300">
        <f>L13</f>
        <v/>
      </c>
      <c r="M14" s="2300">
        <f>M13</f>
        <v/>
      </c>
      <c r="N14" s="2302">
        <f>'GPC Data'!F197</f>
        <v/>
      </c>
      <c r="O14" s="2303">
        <f>'GPC Data'!G197</f>
        <v/>
      </c>
      <c r="P14" s="2303">
        <f>'GPC Data'!H197</f>
        <v/>
      </c>
      <c r="Q14" s="2302">
        <f>'GPC Data'!O197</f>
        <v/>
      </c>
      <c r="R14" s="2303">
        <f>'GPC Data'!P197</f>
        <v/>
      </c>
      <c r="S14" s="2303">
        <f>'GPC Data'!Q197</f>
        <v/>
      </c>
      <c r="T14" s="2302">
        <f>'GPC Data'!X197</f>
        <v/>
      </c>
      <c r="U14" s="2303">
        <f>'GPC Data'!Y197</f>
        <v/>
      </c>
      <c r="V14" s="2303">
        <f>'GPC Data'!Z197</f>
        <v/>
      </c>
      <c r="W14" s="2304">
        <f>'GPC Data'!F265</f>
        <v/>
      </c>
      <c r="X14" s="2305">
        <f>'GPC Data'!G265</f>
        <v/>
      </c>
      <c r="Y14" s="2305">
        <f>'GPC Data'!H265</f>
        <v/>
      </c>
      <c r="Z14" s="2304">
        <f>'GPC Data'!L265</f>
        <v/>
      </c>
      <c r="AA14" s="2305">
        <f>'GPC Data'!M265</f>
        <v/>
      </c>
      <c r="AB14" s="2305">
        <f>'GPC Data'!N265</f>
        <v/>
      </c>
      <c r="AC14" s="2304">
        <f>'GPC Data'!R265</f>
        <v/>
      </c>
      <c r="AD14" s="2305">
        <f>'GPC Data'!S265</f>
        <v/>
      </c>
      <c r="AE14" s="2305">
        <f>'GPC Data'!T265</f>
        <v/>
      </c>
      <c r="AF14" s="2304">
        <f>IF(C14="","",IFERROR(IF(#REF!=0,$F14/#REF!,$F14/I14),"NA"))</f>
        <v/>
      </c>
      <c r="AG14" s="2305">
        <f>IF(C14="","",IFERROR(IF(#REF!=0,$F14/I14,$F14/#REF!),"NA"))</f>
        <v/>
      </c>
      <c r="AH14" s="2305">
        <f>IF(C14="","",$F14/#REF!)</f>
        <v/>
      </c>
      <c r="AI14" s="2305">
        <f>IF(C14="","",IFERROR(IF(#REF!=0,$F14/#REF!,$F14/#REF!),"NA"))</f>
        <v/>
      </c>
      <c r="AJ14" s="2305">
        <f>IF(C14="","",IFERROR(IF(#REF!=0,$F14/#REF!,$F14/#REF!),"NA"))</f>
        <v/>
      </c>
      <c r="AK14" s="2305">
        <f>IF(C14="","",IFERROR(IF(#REF!=0,$F14/#REF!,"NA"),"NA"))</f>
        <v/>
      </c>
      <c r="AL14" s="2304">
        <f>IF(C14="","",IFERROR(IF(#REF!=0,$F14/K14,$F14/L14),"NA"))</f>
        <v/>
      </c>
      <c r="AM14" s="2305">
        <f>IF(C14="","",IFERROR(IF(#REF!=0,$F14/L14,$F14/#REF!),"NA"))</f>
        <v/>
      </c>
      <c r="AN14" s="2305">
        <f>IF(C14="","",F14/M14)</f>
        <v/>
      </c>
      <c r="AO14" s="2305">
        <f>IF(C14="","",IFERROR(IF(#REF!=0,$F14/#REF!,$F14/#REF!),"NA"))</f>
        <v/>
      </c>
      <c r="AP14" s="2305">
        <f>IF(C14="","",IFERROR(IF(#REF!=0,$F14/#REF!,$F14/#REF!),"NA"))</f>
        <v/>
      </c>
      <c r="AQ14" s="2305">
        <f>IF(C14="","",IFERROR(IF(#REF!=0,$F14/#REF!,"NA"),"NA"))</f>
        <v/>
      </c>
      <c r="AR14" s="2304">
        <f>IFERROR(IF(AV7="Local Currency",($F14/INDEX(#REF!,B14)),($F14/INDEX(#REF!,B14))),"")</f>
        <v/>
      </c>
      <c r="AV14" s="443" t="inlineStr">
        <is>
          <t>No</t>
        </is>
      </c>
    </row>
    <row r="15" ht="12" customHeight="1" thickBot="1">
      <c r="B15" s="436">
        <f>B14+1</f>
        <v/>
      </c>
      <c r="C15" s="771">
        <f>'GPC Data'!E300</f>
        <v/>
      </c>
      <c r="D15" s="259">
        <f>'GPC Data'!H28</f>
        <v/>
      </c>
      <c r="E15" s="2298">
        <f>$E$9</f>
        <v/>
      </c>
      <c r="F15" s="2299">
        <f>'GPC Data'!I28</f>
        <v/>
      </c>
      <c r="G15" s="2299" t="n"/>
      <c r="H15" s="2306">
        <f>'GPC Data'!F300</f>
        <v/>
      </c>
      <c r="I15" s="2300">
        <f>'GPC Data'!I130</f>
        <v/>
      </c>
      <c r="J15" s="2300">
        <f>'GPC Data'!Q130</f>
        <v/>
      </c>
      <c r="K15" s="2301">
        <f>K14</f>
        <v/>
      </c>
      <c r="L15" s="2300">
        <f>L14</f>
        <v/>
      </c>
      <c r="M15" s="2300">
        <f>M14</f>
        <v/>
      </c>
      <c r="N15" s="2302">
        <f>'GPC Data'!F198</f>
        <v/>
      </c>
      <c r="O15" s="2303">
        <f>'GPC Data'!G198</f>
        <v/>
      </c>
      <c r="P15" s="2303">
        <f>'GPC Data'!H198</f>
        <v/>
      </c>
      <c r="Q15" s="2302">
        <f>'GPC Data'!O198</f>
        <v/>
      </c>
      <c r="R15" s="2303">
        <f>'GPC Data'!P198</f>
        <v/>
      </c>
      <c r="S15" s="2303">
        <f>'GPC Data'!Q198</f>
        <v/>
      </c>
      <c r="T15" s="2302">
        <f>'GPC Data'!X198</f>
        <v/>
      </c>
      <c r="U15" s="2303">
        <f>'GPC Data'!Y198</f>
        <v/>
      </c>
      <c r="V15" s="2303">
        <f>'GPC Data'!Z198</f>
        <v/>
      </c>
      <c r="W15" s="2304">
        <f>'GPC Data'!F266</f>
        <v/>
      </c>
      <c r="X15" s="2305">
        <f>'GPC Data'!G266</f>
        <v/>
      </c>
      <c r="Y15" s="2305">
        <f>'GPC Data'!H266</f>
        <v/>
      </c>
      <c r="Z15" s="2304">
        <f>'GPC Data'!L266</f>
        <v/>
      </c>
      <c r="AA15" s="2305">
        <f>'GPC Data'!M266</f>
        <v/>
      </c>
      <c r="AB15" s="2305">
        <f>'GPC Data'!N266</f>
        <v/>
      </c>
      <c r="AC15" s="2304">
        <f>'GPC Data'!R266</f>
        <v/>
      </c>
      <c r="AD15" s="2305">
        <f>'GPC Data'!S266</f>
        <v/>
      </c>
      <c r="AE15" s="2305">
        <f>'GPC Data'!T266</f>
        <v/>
      </c>
      <c r="AF15" s="2304">
        <f>IF(C15="","",IFERROR(IF(#REF!=0,$F15/#REF!,$F15/I15),"NA"))</f>
        <v/>
      </c>
      <c r="AG15" s="2305">
        <f>IF(C15="","",IFERROR(IF(#REF!=0,$F15/I15,$F15/#REF!),"NA"))</f>
        <v/>
      </c>
      <c r="AH15" s="2305">
        <f>IF(C15="","",$F15/#REF!)</f>
        <v/>
      </c>
      <c r="AI15" s="2305">
        <f>IF(C15="","",IFERROR(IF(#REF!=0,$F15/#REF!,$F15/#REF!),"NA"))</f>
        <v/>
      </c>
      <c r="AJ15" s="2305">
        <f>IF(C15="","",IFERROR(IF(#REF!=0,$F15/#REF!,$F15/#REF!),"NA"))</f>
        <v/>
      </c>
      <c r="AK15" s="2305">
        <f>IF(C15="","",IFERROR(IF(#REF!=0,$F15/#REF!,"NA"),"NA"))</f>
        <v/>
      </c>
      <c r="AL15" s="2304">
        <f>IF(C15="","",IFERROR(IF(#REF!=0,$F15/K15,$F15/L15),"NA"))</f>
        <v/>
      </c>
      <c r="AM15" s="2305">
        <f>IF(C15="","",IFERROR(IF(#REF!=0,$F15/L15,$F15/#REF!),"NA"))</f>
        <v/>
      </c>
      <c r="AN15" s="2305">
        <f>IF(C15="","",F15/M15)</f>
        <v/>
      </c>
      <c r="AO15" s="2305">
        <f>IF(C15="","",IFERROR(IF(#REF!=0,$F15/#REF!,$F15/#REF!),"NA"))</f>
        <v/>
      </c>
      <c r="AP15" s="2305">
        <f>IF(C15="","",IFERROR(IF(#REF!=0,$F15/#REF!,$F15/#REF!),"NA"))</f>
        <v/>
      </c>
      <c r="AQ15" s="2305">
        <f>IF(C15="","",IFERROR(IF(#REF!=0,$F15/#REF!,"NA"),"NA"))</f>
        <v/>
      </c>
      <c r="AR15" s="2304">
        <f>IFERROR(IF(#REF!="Local Currency",($F15/INDEX(#REF!,B15)),($F15/INDEX(#REF!,B15))),"")</f>
        <v/>
      </c>
      <c r="AV15" s="443" t="inlineStr">
        <is>
          <t>No</t>
        </is>
      </c>
    </row>
    <row r="16" ht="12" customHeight="1" thickBot="1">
      <c r="B16" s="436">
        <f>B15+1</f>
        <v/>
      </c>
      <c r="C16" s="771">
        <f>'GPC Data'!E301</f>
        <v/>
      </c>
      <c r="D16" s="259">
        <f>'GPC Data'!H29</f>
        <v/>
      </c>
      <c r="E16" s="2298">
        <f>$E$9</f>
        <v/>
      </c>
      <c r="F16" s="2299">
        <f>'GPC Data'!I29</f>
        <v/>
      </c>
      <c r="G16" s="2299" t="n"/>
      <c r="H16" s="2306">
        <f>'GPC Data'!F301</f>
        <v/>
      </c>
      <c r="I16" s="2300">
        <f>'GPC Data'!I131</f>
        <v/>
      </c>
      <c r="J16" s="2300">
        <f>'GPC Data'!Q131</f>
        <v/>
      </c>
      <c r="K16" s="2301">
        <f>K15</f>
        <v/>
      </c>
      <c r="L16" s="2300">
        <f>L15</f>
        <v/>
      </c>
      <c r="M16" s="2300">
        <f>M15</f>
        <v/>
      </c>
      <c r="N16" s="2302">
        <f>'GPC Data'!F199</f>
        <v/>
      </c>
      <c r="O16" s="2303">
        <f>'GPC Data'!G199</f>
        <v/>
      </c>
      <c r="P16" s="2303">
        <f>'GPC Data'!H199</f>
        <v/>
      </c>
      <c r="Q16" s="2302">
        <f>'GPC Data'!O199</f>
        <v/>
      </c>
      <c r="R16" s="2303">
        <f>'GPC Data'!P199</f>
        <v/>
      </c>
      <c r="S16" s="2303">
        <f>'GPC Data'!Q199</f>
        <v/>
      </c>
      <c r="T16" s="2302">
        <f>'GPC Data'!X199</f>
        <v/>
      </c>
      <c r="U16" s="2303">
        <f>'GPC Data'!Y199</f>
        <v/>
      </c>
      <c r="V16" s="2303">
        <f>'GPC Data'!Z199</f>
        <v/>
      </c>
      <c r="W16" s="2304">
        <f>'GPC Data'!F267</f>
        <v/>
      </c>
      <c r="X16" s="2305">
        <f>'GPC Data'!G267</f>
        <v/>
      </c>
      <c r="Y16" s="2305">
        <f>'GPC Data'!H267</f>
        <v/>
      </c>
      <c r="Z16" s="2304">
        <f>'GPC Data'!L267</f>
        <v/>
      </c>
      <c r="AA16" s="2305">
        <f>'GPC Data'!M267</f>
        <v/>
      </c>
      <c r="AB16" s="2305">
        <f>'GPC Data'!N267</f>
        <v/>
      </c>
      <c r="AC16" s="2304">
        <f>'GPC Data'!R267</f>
        <v/>
      </c>
      <c r="AD16" s="2305">
        <f>'GPC Data'!S267</f>
        <v/>
      </c>
      <c r="AE16" s="2305">
        <f>'GPC Data'!T267</f>
        <v/>
      </c>
      <c r="AF16" s="2304">
        <f>IF(C16="","",IFERROR(IF(#REF!=0,$F16/#REF!,$F16/I16),"NA"))</f>
        <v/>
      </c>
      <c r="AG16" s="2305">
        <f>IF(C16="","",IFERROR(IF(#REF!=0,$F16/I16,$F16/#REF!),"NA"))</f>
        <v/>
      </c>
      <c r="AH16" s="2305">
        <f>IF(C16="","",$F16/#REF!)</f>
        <v/>
      </c>
      <c r="AI16" s="2305">
        <f>IF(C16="","",IFERROR(IF(#REF!=0,$F16/#REF!,$F16/#REF!),"NA"))</f>
        <v/>
      </c>
      <c r="AJ16" s="2305">
        <f>IF(C16="","",IFERROR(IF(#REF!=0,$F16/#REF!,$F16/#REF!),"NA"))</f>
        <v/>
      </c>
      <c r="AK16" s="2305">
        <f>IF(C16="","",IFERROR(IF(#REF!=0,$F16/#REF!,"NA"),"NA"))</f>
        <v/>
      </c>
      <c r="AL16" s="2304">
        <f>IF(C16="","",IFERROR(IF(#REF!=0,$F16/K16,$F16/L16),"NA"))</f>
        <v/>
      </c>
      <c r="AM16" s="2305">
        <f>IF(C16="","",IFERROR(IF(#REF!=0,$F16/L16,$F16/#REF!),"NA"))</f>
        <v/>
      </c>
      <c r="AN16" s="2305">
        <f>IF(C16="","",F16/M16)</f>
        <v/>
      </c>
      <c r="AO16" s="2305">
        <f>IF(C16="","",IFERROR(IF(#REF!=0,$F16/#REF!,$F16/#REF!),"NA"))</f>
        <v/>
      </c>
      <c r="AP16" s="2305">
        <f>IF(C16="","",IFERROR(IF(#REF!=0,$F16/#REF!,$F16/#REF!),"NA"))</f>
        <v/>
      </c>
      <c r="AQ16" s="2305">
        <f>IF(C16="","",IFERROR(IF(#REF!=0,$F16/#REF!,"NA"),"NA"))</f>
        <v/>
      </c>
      <c r="AR16" s="2304">
        <f>IFERROR(IF(#REF!="Local Currency",($F16/INDEX(#REF!,B16)),($F16/INDEX(#REF!,B16))),"")</f>
        <v/>
      </c>
      <c r="AV16" s="443" t="inlineStr">
        <is>
          <t>No</t>
        </is>
      </c>
    </row>
    <row r="17" ht="12" customHeight="1" thickBot="1">
      <c r="B17" s="436">
        <f>B16+1</f>
        <v/>
      </c>
      <c r="C17" s="771">
        <f>'GPC Data'!E302</f>
        <v/>
      </c>
      <c r="D17" s="259">
        <f>'GPC Data'!H30</f>
        <v/>
      </c>
      <c r="E17" s="2298">
        <f>$E$9</f>
        <v/>
      </c>
      <c r="F17" s="2299">
        <f>'GPC Data'!I30</f>
        <v/>
      </c>
      <c r="G17" s="2299" t="n"/>
      <c r="H17" s="2306">
        <f>'GPC Data'!F302</f>
        <v/>
      </c>
      <c r="I17" s="2300">
        <f>'GPC Data'!I132</f>
        <v/>
      </c>
      <c r="J17" s="2300">
        <f>'GPC Data'!Q132</f>
        <v/>
      </c>
      <c r="K17" s="2301">
        <f>K16</f>
        <v/>
      </c>
      <c r="L17" s="2300">
        <f>L16</f>
        <v/>
      </c>
      <c r="M17" s="2300">
        <f>M16</f>
        <v/>
      </c>
      <c r="N17" s="2302">
        <f>'GPC Data'!F200</f>
        <v/>
      </c>
      <c r="O17" s="2303">
        <f>'GPC Data'!G200</f>
        <v/>
      </c>
      <c r="P17" s="2303">
        <f>'GPC Data'!H200</f>
        <v/>
      </c>
      <c r="Q17" s="2302">
        <f>'GPC Data'!O200</f>
        <v/>
      </c>
      <c r="R17" s="2303">
        <f>'GPC Data'!P200</f>
        <v/>
      </c>
      <c r="S17" s="2303">
        <f>'GPC Data'!Q200</f>
        <v/>
      </c>
      <c r="T17" s="2302">
        <f>'GPC Data'!X200</f>
        <v/>
      </c>
      <c r="U17" s="2303">
        <f>'GPC Data'!Y200</f>
        <v/>
      </c>
      <c r="V17" s="2303">
        <f>'GPC Data'!Z200</f>
        <v/>
      </c>
      <c r="W17" s="2304">
        <f>'GPC Data'!F268</f>
        <v/>
      </c>
      <c r="X17" s="2305">
        <f>'GPC Data'!G268</f>
        <v/>
      </c>
      <c r="Y17" s="2305">
        <f>'GPC Data'!H268</f>
        <v/>
      </c>
      <c r="Z17" s="2304">
        <f>'GPC Data'!L268</f>
        <v/>
      </c>
      <c r="AA17" s="2305">
        <f>'GPC Data'!M268</f>
        <v/>
      </c>
      <c r="AB17" s="2305">
        <f>'GPC Data'!N268</f>
        <v/>
      </c>
      <c r="AC17" s="2304">
        <f>'GPC Data'!R268</f>
        <v/>
      </c>
      <c r="AD17" s="2305">
        <f>'GPC Data'!S268</f>
        <v/>
      </c>
      <c r="AE17" s="2305">
        <f>'GPC Data'!T268</f>
        <v/>
      </c>
      <c r="AF17" s="2304">
        <f>IF(C17="","",IFERROR(IF(#REF!=0,$F17/#REF!,$F17/I17),"NA"))</f>
        <v/>
      </c>
      <c r="AG17" s="2305">
        <f>IF(C17="","",IFERROR(IF(#REF!=0,$F17/I17,$F17/#REF!),"NA"))</f>
        <v/>
      </c>
      <c r="AH17" s="2305">
        <f>IF(C17="","",$F17/#REF!)</f>
        <v/>
      </c>
      <c r="AI17" s="2305">
        <f>IF(C17="","",IFERROR(IF(#REF!=0,$F17/#REF!,$F17/#REF!),"NA"))</f>
        <v/>
      </c>
      <c r="AJ17" s="2305">
        <f>IF(C17="","",IFERROR(IF(#REF!=0,$F17/#REF!,$F17/#REF!),"NA"))</f>
        <v/>
      </c>
      <c r="AK17" s="2305">
        <f>IF(C17="","",IFERROR(IF(#REF!=0,$F17/#REF!,"NA"),"NA"))</f>
        <v/>
      </c>
      <c r="AL17" s="2304">
        <f>IF(C17="","",IFERROR(IF(#REF!=0,$F17/K17,$F17/L17),"NA"))</f>
        <v/>
      </c>
      <c r="AM17" s="2305">
        <f>IF(C17="","",IFERROR(IF(#REF!=0,$F17/L17,$F17/#REF!),"NA"))</f>
        <v/>
      </c>
      <c r="AN17" s="2305">
        <f>IF(C17="","",F17/M17)</f>
        <v/>
      </c>
      <c r="AO17" s="2305">
        <f>IF(C17="","",IFERROR(IF(#REF!=0,$F17/#REF!,$F17/#REF!),"NA"))</f>
        <v/>
      </c>
      <c r="AP17" s="2305">
        <f>IF(C17="","",IFERROR(IF(#REF!=0,$F17/#REF!,$F17/#REF!),"NA"))</f>
        <v/>
      </c>
      <c r="AQ17" s="2305">
        <f>IF(C17="","",IFERROR(IF(#REF!=0,$F17/#REF!,"NA"),"NA"))</f>
        <v/>
      </c>
      <c r="AR17" s="2304">
        <f>IFERROR(IF(#REF!="Local Currency",($F17/INDEX(#REF!,B17)),($F17/INDEX(#REF!,B17))),"")</f>
        <v/>
      </c>
      <c r="AV17" s="443" t="inlineStr">
        <is>
          <t>No</t>
        </is>
      </c>
    </row>
    <row r="18" ht="12" customHeight="1" thickBot="1">
      <c r="B18" s="436">
        <f>B17+1</f>
        <v/>
      </c>
      <c r="C18" s="771">
        <f>'GPC Data'!E303</f>
        <v/>
      </c>
      <c r="D18" s="259">
        <f>'GPC Data'!H31</f>
        <v/>
      </c>
      <c r="E18" s="2298">
        <f>$E$9</f>
        <v/>
      </c>
      <c r="F18" s="2299">
        <f>'GPC Data'!I31</f>
        <v/>
      </c>
      <c r="G18" s="2299" t="n"/>
      <c r="H18" s="2306">
        <f>'GPC Data'!F303</f>
        <v/>
      </c>
      <c r="I18" s="2300">
        <f>'GPC Data'!I133</f>
        <v/>
      </c>
      <c r="J18" s="2300">
        <f>'GPC Data'!Q133</f>
        <v/>
      </c>
      <c r="K18" s="2301">
        <f>K17</f>
        <v/>
      </c>
      <c r="L18" s="2300">
        <f>L17</f>
        <v/>
      </c>
      <c r="M18" s="2300">
        <f>M17</f>
        <v/>
      </c>
      <c r="N18" s="2302">
        <f>'GPC Data'!F201</f>
        <v/>
      </c>
      <c r="O18" s="2303">
        <f>'GPC Data'!G201</f>
        <v/>
      </c>
      <c r="P18" s="2303">
        <f>'GPC Data'!H201</f>
        <v/>
      </c>
      <c r="Q18" s="2302">
        <f>'GPC Data'!O201</f>
        <v/>
      </c>
      <c r="R18" s="2303">
        <f>'GPC Data'!P201</f>
        <v/>
      </c>
      <c r="S18" s="2303">
        <f>'GPC Data'!Q201</f>
        <v/>
      </c>
      <c r="T18" s="2302">
        <f>'GPC Data'!X201</f>
        <v/>
      </c>
      <c r="U18" s="2303">
        <f>'GPC Data'!Y201</f>
        <v/>
      </c>
      <c r="V18" s="2303">
        <f>'GPC Data'!Z201</f>
        <v/>
      </c>
      <c r="W18" s="2304">
        <f>'GPC Data'!F269</f>
        <v/>
      </c>
      <c r="X18" s="2305">
        <f>'GPC Data'!G269</f>
        <v/>
      </c>
      <c r="Y18" s="2305">
        <f>'GPC Data'!H269</f>
        <v/>
      </c>
      <c r="Z18" s="2304">
        <f>'GPC Data'!L269</f>
        <v/>
      </c>
      <c r="AA18" s="2305">
        <f>'GPC Data'!M269</f>
        <v/>
      </c>
      <c r="AB18" s="2305">
        <f>'GPC Data'!N269</f>
        <v/>
      </c>
      <c r="AC18" s="2304">
        <f>'GPC Data'!R269</f>
        <v/>
      </c>
      <c r="AD18" s="2305">
        <f>'GPC Data'!S269</f>
        <v/>
      </c>
      <c r="AE18" s="2305">
        <f>'GPC Data'!T269</f>
        <v/>
      </c>
      <c r="AF18" s="2304">
        <f>IF(C18="","",IFERROR(IF(#REF!=0,$F18/#REF!,$F18/I18),"NA"))</f>
        <v/>
      </c>
      <c r="AG18" s="2305">
        <f>IF(C18="","",IFERROR(IF(#REF!=0,$F18/I18,$F18/#REF!),"NA"))</f>
        <v/>
      </c>
      <c r="AH18" s="2305">
        <f>IF(C18="","",$F18/#REF!)</f>
        <v/>
      </c>
      <c r="AI18" s="2305">
        <f>IF(C18="","",IFERROR(IF(#REF!=0,$F18/#REF!,$F18/#REF!),"NA"))</f>
        <v/>
      </c>
      <c r="AJ18" s="2305">
        <f>IF(C18="","",IFERROR(IF(#REF!=0,$F18/#REF!,$F18/#REF!),"NA"))</f>
        <v/>
      </c>
      <c r="AK18" s="2305">
        <f>IF(C18="","",IFERROR(IF(#REF!=0,$F18/#REF!,"NA"),"NA"))</f>
        <v/>
      </c>
      <c r="AL18" s="2304">
        <f>IF(C18="","",IFERROR(IF(#REF!=0,$F18/K18,$F18/L18),"NA"))</f>
        <v/>
      </c>
      <c r="AM18" s="2305">
        <f>IF(C18="","",IFERROR(IF(#REF!=0,$F18/L18,$F18/#REF!),"NA"))</f>
        <v/>
      </c>
      <c r="AN18" s="2305">
        <f>IF(C18="","",F18/M18)</f>
        <v/>
      </c>
      <c r="AO18" s="2305">
        <f>IF(C18="","",IFERROR(IF(#REF!=0,$F18/#REF!,$F18/#REF!),"NA"))</f>
        <v/>
      </c>
      <c r="AP18" s="2305">
        <f>IF(C18="","",IFERROR(IF(#REF!=0,$F18/#REF!,$F18/#REF!),"NA"))</f>
        <v/>
      </c>
      <c r="AQ18" s="2305">
        <f>IF(C18="","",IFERROR(IF(#REF!=0,$F18/#REF!,"NA"),"NA"))</f>
        <v/>
      </c>
      <c r="AR18" s="2304">
        <f>IFERROR(IF(#REF!="Local Currency",($F18/INDEX(#REF!,B18)),($F18/INDEX(#REF!,B18))),"")</f>
        <v/>
      </c>
      <c r="AV18" s="443" t="inlineStr">
        <is>
          <t>No</t>
        </is>
      </c>
    </row>
    <row r="19">
      <c r="C19" s="771" t="n"/>
      <c r="E19" s="2307" t="n"/>
      <c r="F19" s="2308" t="n"/>
      <c r="G19" s="2308" t="n"/>
      <c r="H19" s="2308" t="n"/>
      <c r="I19" s="2308" t="n"/>
      <c r="J19" s="2308" t="n"/>
      <c r="K19" s="2308" t="n"/>
      <c r="L19" s="2308" t="n"/>
      <c r="M19" s="2308" t="n"/>
      <c r="T19" s="2308" t="n"/>
      <c r="U19" s="2308" t="n"/>
      <c r="V19" s="2308" t="n"/>
      <c r="Z19" s="2309" t="n"/>
      <c r="AA19" s="2309" t="n"/>
      <c r="AC19" s="2310" t="n"/>
      <c r="AD19" s="2311" t="n"/>
      <c r="AL19" s="2310" t="n"/>
      <c r="AM19" s="2310" t="n"/>
      <c r="AO19" s="2310" t="n"/>
      <c r="AP19" s="2310" t="n"/>
      <c r="AQ19" s="2310" t="n"/>
      <c r="AR19" s="2310" t="n"/>
    </row>
    <row r="20">
      <c r="F20" s="786" t="inlineStr">
        <is>
          <t>High</t>
        </is>
      </c>
      <c r="G20" s="2312">
        <f>IFERROR(MAX(G9:G18),"")</f>
        <v/>
      </c>
      <c r="H20" s="2312">
        <f>IFERROR(MAX(H9:H18),"")</f>
        <v/>
      </c>
      <c r="I20" s="2312">
        <f>IFERROR(MAX(I9:I18),"")</f>
        <v/>
      </c>
      <c r="J20" s="2312">
        <f>IFERROR(MAX(J9:J18),"")</f>
        <v/>
      </c>
      <c r="K20" s="2312">
        <f>IFERROR(MAX(K9:K18),"")</f>
        <v/>
      </c>
      <c r="L20" s="2312">
        <f>IFERROR(MAX(L9:L18),"")</f>
        <v/>
      </c>
      <c r="M20" s="2312">
        <f>IFERROR(MAX(M9:M18),"")</f>
        <v/>
      </c>
      <c r="N20" s="2312">
        <f>IFERROR(MAX(N9:N18),"")</f>
        <v/>
      </c>
      <c r="O20" s="2313">
        <f>IFERROR(MAX(O9:O18),"")</f>
        <v/>
      </c>
      <c r="P20" s="2313">
        <f>IFERROR(MAX(P9:P18),"")</f>
        <v/>
      </c>
      <c r="Q20" s="2312">
        <f>IFERROR(MAX(Q9:Q18),"")</f>
        <v/>
      </c>
      <c r="R20" s="2313">
        <f>IFERROR(MAX(R9:R18),"")</f>
        <v/>
      </c>
      <c r="S20" s="2313">
        <f>IFERROR(MAX(S9:S18),"")</f>
        <v/>
      </c>
      <c r="T20" s="2314">
        <f>IFERROR(MAX(T9:T18),"")</f>
        <v/>
      </c>
      <c r="U20" s="2313">
        <f>IFERROR(MAX(U9:U18),"")</f>
        <v/>
      </c>
      <c r="V20" s="2313">
        <f>IFERROR(MAX(V9:V18),"")</f>
        <v/>
      </c>
      <c r="W20" s="2315">
        <f>IFERROR(MAX(W9:W18),"")</f>
        <v/>
      </c>
      <c r="X20" s="2297">
        <f>IFERROR(MAX(X9:X18),"")</f>
        <v/>
      </c>
      <c r="Y20" s="2297">
        <f>IFERROR(MAX(Y9:Y18),"")</f>
        <v/>
      </c>
      <c r="Z20" s="2315">
        <f>IFERROR(MAX(Z9:Z18),"")</f>
        <v/>
      </c>
      <c r="AA20" s="2297">
        <f>IFERROR(MAX(AA9:AA18),"")</f>
        <v/>
      </c>
      <c r="AB20" s="2297">
        <f>IFERROR(MAX(AB9:AB18),"")</f>
        <v/>
      </c>
      <c r="AC20" s="2315">
        <f>IFERROR(MAX(AC9:AC18),"")</f>
        <v/>
      </c>
      <c r="AD20" s="2297">
        <f>IFERROR(MAX(AD9:AD18),"")</f>
        <v/>
      </c>
      <c r="AE20" s="2297">
        <f>IFERROR(MAX(AE9:AE18),"")</f>
        <v/>
      </c>
      <c r="AF20" s="2315">
        <f>IFERROR(MAX(AF9:AF18),"")</f>
        <v/>
      </c>
      <c r="AG20" s="2297">
        <f>IFERROR(MAX(AG9:AG18),"")</f>
        <v/>
      </c>
      <c r="AH20" s="2297">
        <f>IFERROR(MAX(AH9:AH18),"")</f>
        <v/>
      </c>
      <c r="AI20" s="2297">
        <f>IFERROR(MAX(AI9:AI18),"")</f>
        <v/>
      </c>
      <c r="AJ20" s="2297">
        <f>IFERROR(MAX(AJ9:AJ18),"")</f>
        <v/>
      </c>
      <c r="AK20" s="2297">
        <f>IFERROR(MAX(AK9:AK18),"")</f>
        <v/>
      </c>
      <c r="AL20" s="2315">
        <f>IFERROR(MAX(AL9:AL18),"")</f>
        <v/>
      </c>
      <c r="AM20" s="2297">
        <f>IFERROR(MAX(AM9:AM18),"")</f>
        <v/>
      </c>
      <c r="AN20" s="2297">
        <f>IFERROR(MAX(AN9:AN18),"")</f>
        <v/>
      </c>
      <c r="AO20" s="2297">
        <f>IFERROR(MAX(AO9:AO18),"")</f>
        <v/>
      </c>
      <c r="AP20" s="2297">
        <f>IFERROR(MAX(AP9:AP18),"")</f>
        <v/>
      </c>
      <c r="AQ20" s="2297">
        <f>IFERROR(MAX(AQ9:AQ18),"")</f>
        <v/>
      </c>
      <c r="AR20" s="2315">
        <f>IFERROR(MAX(AR9:AR18),"")</f>
        <v/>
      </c>
      <c r="AS20" s="259" t="n"/>
    </row>
    <row r="21">
      <c r="F21" s="792" t="inlineStr">
        <is>
          <t>75th Percentile</t>
        </is>
      </c>
      <c r="G21" s="2316">
        <f>IFERROR(QUARTILE(G9:G18,3),"")</f>
        <v/>
      </c>
      <c r="H21" s="2316">
        <f>IFERROR(QUARTILE(H9:H18,3),"")</f>
        <v/>
      </c>
      <c r="I21" s="2316">
        <f>IFERROR(QUARTILE(I9:I18,3),"")</f>
        <v/>
      </c>
      <c r="J21" s="2316">
        <f>IFERROR(QUARTILE(J9:J18,3),"")</f>
        <v/>
      </c>
      <c r="K21" s="2316">
        <f>IFERROR(QUARTILE(K9:K18,3),"")</f>
        <v/>
      </c>
      <c r="L21" s="2316">
        <f>IFERROR(QUARTILE(L9:L18,3),"")</f>
        <v/>
      </c>
      <c r="M21" s="2316">
        <f>IFERROR(QUARTILE(M9:M18,3),"")</f>
        <v/>
      </c>
      <c r="N21" s="2316">
        <f>IFERROR(QUARTILE(N9:N18,3),"")</f>
        <v/>
      </c>
      <c r="O21" s="2317">
        <f>IFERROR(QUARTILE(O9:O18,3),"")</f>
        <v/>
      </c>
      <c r="P21" s="2317">
        <f>IFERROR(QUARTILE(P9:P18,3),"")</f>
        <v/>
      </c>
      <c r="Q21" s="2316">
        <f>IFERROR(QUARTILE(Q9:Q18,3),"")</f>
        <v/>
      </c>
      <c r="R21" s="2317">
        <f>IFERROR(QUARTILE(R9:R18,3),"")</f>
        <v/>
      </c>
      <c r="S21" s="2317">
        <f>IFERROR(QUARTILE(S9:S18,3),"")</f>
        <v/>
      </c>
      <c r="T21" s="2318">
        <f>IFERROR(QUARTILE(T9:T18,3),"")</f>
        <v/>
      </c>
      <c r="U21" s="2317">
        <f>IFERROR(QUARTILE(U9:U18,3),"")</f>
        <v/>
      </c>
      <c r="V21" s="2317">
        <f>IFERROR(QUARTILE(V9:V18,3),"")</f>
        <v/>
      </c>
      <c r="W21" s="2319">
        <f>IFERROR(QUARTILE(W9:W18,3),"")</f>
        <v/>
      </c>
      <c r="X21" s="2305">
        <f>IFERROR(QUARTILE(X9:X18,3),"")</f>
        <v/>
      </c>
      <c r="Y21" s="2305">
        <f>IFERROR(QUARTILE(Y9:Y18,3),"")</f>
        <v/>
      </c>
      <c r="Z21" s="2319">
        <f>IFERROR(QUARTILE(Z9:Z18,3),"")</f>
        <v/>
      </c>
      <c r="AA21" s="2305">
        <f>IFERROR(QUARTILE(AA9:AA18,3),"")</f>
        <v/>
      </c>
      <c r="AB21" s="2305">
        <f>IFERROR(QUARTILE(AB9:AB18,3),"")</f>
        <v/>
      </c>
      <c r="AC21" s="2319">
        <f>IFERROR(QUARTILE(AC9:AC18,3),"")</f>
        <v/>
      </c>
      <c r="AD21" s="2305">
        <f>IFERROR(QUARTILE(AD9:AD18,3),"")</f>
        <v/>
      </c>
      <c r="AE21" s="2305">
        <f>IFERROR(QUARTILE(AE9:AE18,3),"")</f>
        <v/>
      </c>
      <c r="AF21" s="2319">
        <f>IFERROR(QUARTILE(AF9:AF18,3),"")</f>
        <v/>
      </c>
      <c r="AG21" s="2305">
        <f>IFERROR(QUARTILE(AG9:AG18,3),"")</f>
        <v/>
      </c>
      <c r="AH21" s="2305">
        <f>IFERROR(QUARTILE(AH9:AH18,3),"")</f>
        <v/>
      </c>
      <c r="AI21" s="2305">
        <f>IFERROR(QUARTILE(AI9:AI18,3),"")</f>
        <v/>
      </c>
      <c r="AJ21" s="2305">
        <f>IFERROR(QUARTILE(AJ9:AJ18,3),"")</f>
        <v/>
      </c>
      <c r="AK21" s="2305">
        <f>IFERROR(QUARTILE(AK9:AK18,3),"")</f>
        <v/>
      </c>
      <c r="AL21" s="2319">
        <f>IFERROR(QUARTILE(AL9:AL18,3),"")</f>
        <v/>
      </c>
      <c r="AM21" s="2305">
        <f>IFERROR(QUARTILE(AM9:AM18,3),"")</f>
        <v/>
      </c>
      <c r="AN21" s="2305">
        <f>IFERROR(QUARTILE(AN9:AN18,3),"")</f>
        <v/>
      </c>
      <c r="AO21" s="2305">
        <f>IFERROR(QUARTILE(AO9:AO18,3),"")</f>
        <v/>
      </c>
      <c r="AP21" s="2305">
        <f>IFERROR(QUARTILE(AP9:AP18,3),"")</f>
        <v/>
      </c>
      <c r="AQ21" s="2305">
        <f>IFERROR(QUARTILE(AQ9:AQ18,3),"")</f>
        <v/>
      </c>
      <c r="AR21" s="2319">
        <f>IFERROR(QUARTILE(AR9:AR18,3),"")</f>
        <v/>
      </c>
      <c r="AS21" s="259" t="n"/>
    </row>
    <row r="22">
      <c r="F22" s="792" t="inlineStr">
        <is>
          <t>Mean</t>
        </is>
      </c>
      <c r="G22" s="2316">
        <f>IFERROR(AVERAGE(G9:G18),"")</f>
        <v/>
      </c>
      <c r="H22" s="2316">
        <f>IFERROR(AVERAGE(H9:H18),"")</f>
        <v/>
      </c>
      <c r="I22" s="2316">
        <f>IFERROR(AVERAGE(I9:I18),"")</f>
        <v/>
      </c>
      <c r="J22" s="2316">
        <f>IFERROR(AVERAGE(J9:J18),"")</f>
        <v/>
      </c>
      <c r="K22" s="2316">
        <f>IFERROR(AVERAGE(K9:K18),"")</f>
        <v/>
      </c>
      <c r="L22" s="2316">
        <f>IFERROR(AVERAGE(L9:L18),"")</f>
        <v/>
      </c>
      <c r="M22" s="2316">
        <f>IFERROR(AVERAGE(M9:M18),"")</f>
        <v/>
      </c>
      <c r="N22" s="2316">
        <f>IFERROR(AVERAGE(N9:N18),"")</f>
        <v/>
      </c>
      <c r="O22" s="2317">
        <f>IFERROR(AVERAGE(O9:O18),"")</f>
        <v/>
      </c>
      <c r="P22" s="2317">
        <f>IFERROR(AVERAGE(P9:P18),"")</f>
        <v/>
      </c>
      <c r="Q22" s="2316">
        <f>IFERROR(AVERAGE(Q9:Q18),"")</f>
        <v/>
      </c>
      <c r="R22" s="2317">
        <f>IFERROR(AVERAGE(R9:R18),"")</f>
        <v/>
      </c>
      <c r="S22" s="2317">
        <f>IFERROR(AVERAGE(S9:S18),"")</f>
        <v/>
      </c>
      <c r="T22" s="2318">
        <f>IFERROR(AVERAGE(T9:T18),"")</f>
        <v/>
      </c>
      <c r="U22" s="2317">
        <f>IFERROR(AVERAGE(U9:U18),"")</f>
        <v/>
      </c>
      <c r="V22" s="2317">
        <f>IFERROR(AVERAGE(V9:V18),"")</f>
        <v/>
      </c>
      <c r="W22" s="2319">
        <f>IFERROR(AVERAGE(W9:W18),"")</f>
        <v/>
      </c>
      <c r="X22" s="2305">
        <f>IFERROR(AVERAGE(X9:X18),"")</f>
        <v/>
      </c>
      <c r="Y22" s="2305">
        <f>IFERROR(AVERAGE(Y9:Y18),"")</f>
        <v/>
      </c>
      <c r="Z22" s="2319">
        <f>IFERROR(AVERAGE(Z9:Z18),"")</f>
        <v/>
      </c>
      <c r="AA22" s="2305">
        <f>IFERROR(AVERAGE(AA9:AA18),"")</f>
        <v/>
      </c>
      <c r="AB22" s="2305">
        <f>IFERROR(AVERAGE(AB9:AB18),"")</f>
        <v/>
      </c>
      <c r="AC22" s="2319">
        <f>IFERROR(AVERAGE(AC9:AC18),"")</f>
        <v/>
      </c>
      <c r="AD22" s="2305">
        <f>IFERROR(AVERAGE(AD9:AD18),"")</f>
        <v/>
      </c>
      <c r="AE22" s="2305">
        <f>IFERROR(AVERAGE(AE9:AE18),"")</f>
        <v/>
      </c>
      <c r="AF22" s="2319">
        <f>IFERROR(AVERAGE(AF9:AF18),"")</f>
        <v/>
      </c>
      <c r="AG22" s="2305">
        <f>IFERROR(AVERAGE(AG9:AG18),"")</f>
        <v/>
      </c>
      <c r="AH22" s="2305">
        <f>IFERROR(AVERAGE(AH9:AH18),"")</f>
        <v/>
      </c>
      <c r="AI22" s="2305">
        <f>IFERROR(AVERAGE(AI9:AI18),"")</f>
        <v/>
      </c>
      <c r="AJ22" s="2305">
        <f>IFERROR(AVERAGE(AJ9:AJ18),"")</f>
        <v/>
      </c>
      <c r="AK22" s="2305">
        <f>IFERROR(AVERAGE(AK9:AK18),"")</f>
        <v/>
      </c>
      <c r="AL22" s="2319">
        <f>IFERROR(AVERAGE(AL9:AL18),"")</f>
        <v/>
      </c>
      <c r="AM22" s="2305">
        <f>IFERROR(AVERAGE(AM9:AM18),"")</f>
        <v/>
      </c>
      <c r="AN22" s="2305">
        <f>IFERROR(AVERAGE(AN9:AN18),"")</f>
        <v/>
      </c>
      <c r="AO22" s="2305">
        <f>IFERROR(AVERAGE(AO9:AO18),"")</f>
        <v/>
      </c>
      <c r="AP22" s="2305">
        <f>IFERROR(AVERAGE(AP9:AP18),"")</f>
        <v/>
      </c>
      <c r="AQ22" s="2305">
        <f>IFERROR(AVERAGE(AQ9:AQ18),"")</f>
        <v/>
      </c>
      <c r="AR22" s="2319">
        <f>IFERROR(AVERAGE(AR9:AR18),"")</f>
        <v/>
      </c>
      <c r="AS22" s="259" t="n"/>
    </row>
    <row r="23">
      <c r="F23" s="798" t="inlineStr">
        <is>
          <t>Median</t>
        </is>
      </c>
      <c r="G23" s="2320">
        <f>IFERROR(MEDIAN(G9:G18),"")</f>
        <v/>
      </c>
      <c r="H23" s="2320">
        <f>IFERROR(MEDIAN(H9:H18),"")</f>
        <v/>
      </c>
      <c r="I23" s="2320">
        <f>IFERROR(MEDIAN(I9:I18),"")</f>
        <v/>
      </c>
      <c r="J23" s="2320">
        <f>IFERROR(MEDIAN(J9:J18),"")</f>
        <v/>
      </c>
      <c r="K23" s="2320">
        <f>IFERROR(MEDIAN(K9:K18),"")</f>
        <v/>
      </c>
      <c r="L23" s="2320">
        <f>IFERROR(MEDIAN(L9:L18),"")</f>
        <v/>
      </c>
      <c r="M23" s="2320">
        <f>IFERROR(MEDIAN(M9:M18),"")</f>
        <v/>
      </c>
      <c r="N23" s="2320">
        <f>IFERROR(MEDIAN(N9:N18),"")</f>
        <v/>
      </c>
      <c r="O23" s="2320">
        <f>IFERROR(MEDIAN(O9:O18),"")</f>
        <v/>
      </c>
      <c r="P23" s="2320">
        <f>IFERROR(MEDIAN(P9:P18),"")</f>
        <v/>
      </c>
      <c r="Q23" s="2320">
        <f>IFERROR(MEDIAN(Q9:Q18),"")</f>
        <v/>
      </c>
      <c r="R23" s="2320">
        <f>IFERROR(MEDIAN(R9:R18),"")</f>
        <v/>
      </c>
      <c r="S23" s="2320">
        <f>IFERROR(MEDIAN(S9:S18),"")</f>
        <v/>
      </c>
      <c r="T23" s="2321">
        <f>IFERROR(MEDIAN(T9:T18),"")</f>
        <v/>
      </c>
      <c r="U23" s="2320">
        <f>IFERROR(MEDIAN(U9:U18),"")</f>
        <v/>
      </c>
      <c r="V23" s="2320">
        <f>IFERROR(MEDIAN(V9:V18),"")</f>
        <v/>
      </c>
      <c r="W23" s="2322">
        <f>IFERROR(MEDIAN(W9:W18),"")</f>
        <v/>
      </c>
      <c r="X23" s="2323">
        <f>IFERROR(MEDIAN(X9:X18),"")</f>
        <v/>
      </c>
      <c r="Y23" s="2323">
        <f>IFERROR(MEDIAN(Y9:Y18),"")</f>
        <v/>
      </c>
      <c r="Z23" s="2322">
        <f>IFERROR(MEDIAN(Z9:Z18),"")</f>
        <v/>
      </c>
      <c r="AA23" s="2323">
        <f>IFERROR(MEDIAN(AA9:AA18),"")</f>
        <v/>
      </c>
      <c r="AB23" s="2323">
        <f>IFERROR(MEDIAN(AB9:AB18),"")</f>
        <v/>
      </c>
      <c r="AC23" s="2322">
        <f>IFERROR(MEDIAN(AC9:AC18),"")</f>
        <v/>
      </c>
      <c r="AD23" s="2323">
        <f>IFERROR(MEDIAN(AD9:AD18),"")</f>
        <v/>
      </c>
      <c r="AE23" s="2323">
        <f>IFERROR(MEDIAN(AE9:AE18),"")</f>
        <v/>
      </c>
      <c r="AF23" s="2322">
        <f>IFERROR(MEDIAN(AF9:AF18),"")</f>
        <v/>
      </c>
      <c r="AG23" s="2323">
        <f>IFERROR(MEDIAN(AG9:AG18),"")</f>
        <v/>
      </c>
      <c r="AH23" s="2323">
        <f>IFERROR(MEDIAN(AH9:AH18),"")</f>
        <v/>
      </c>
      <c r="AI23" s="2323">
        <f>IFERROR(MEDIAN(AI9:AI18),"")</f>
        <v/>
      </c>
      <c r="AJ23" s="2323">
        <f>IFERROR(MEDIAN(AJ9:AJ18),"")</f>
        <v/>
      </c>
      <c r="AK23" s="2323">
        <f>IFERROR(MEDIAN(AK9:AK18),"")</f>
        <v/>
      </c>
      <c r="AL23" s="2322">
        <f>IFERROR(MEDIAN(AL9:AL18),"")</f>
        <v/>
      </c>
      <c r="AM23" s="2323">
        <f>IFERROR(MEDIAN(AM9:AM18),"")</f>
        <v/>
      </c>
      <c r="AN23" s="2323">
        <f>IFERROR(MEDIAN(AN9:AN18),"")</f>
        <v/>
      </c>
      <c r="AO23" s="2323">
        <f>IFERROR(MEDIAN(AO9:AO18),"")</f>
        <v/>
      </c>
      <c r="AP23" s="2323">
        <f>IFERROR(MEDIAN(AP9:AP18),"")</f>
        <v/>
      </c>
      <c r="AQ23" s="2323">
        <f>IFERROR(MEDIAN(AQ9:AQ18),"")</f>
        <v/>
      </c>
      <c r="AR23" s="2322">
        <f>IFERROR(MEDIAN(AR9:AR18),"")</f>
        <v/>
      </c>
      <c r="AS23" s="259" t="n"/>
    </row>
    <row r="24">
      <c r="F24" s="792" t="inlineStr">
        <is>
          <t>25th Percentile</t>
        </is>
      </c>
      <c r="G24" s="2316">
        <f>IFERROR(QUARTILE(G9:G18,1),"")</f>
        <v/>
      </c>
      <c r="H24" s="2316">
        <f>IFERROR(QUARTILE(H9:H18,1),"")</f>
        <v/>
      </c>
      <c r="I24" s="2316">
        <f>IFERROR(QUARTILE(I9:I18,1),"")</f>
        <v/>
      </c>
      <c r="J24" s="2316">
        <f>IFERROR(QUARTILE(J9:J18,1),"")</f>
        <v/>
      </c>
      <c r="K24" s="2316">
        <f>IFERROR(QUARTILE(K9:K18,1),"")</f>
        <v/>
      </c>
      <c r="L24" s="2316">
        <f>IFERROR(QUARTILE(L9:L18,1),"")</f>
        <v/>
      </c>
      <c r="M24" s="2316">
        <f>IFERROR(QUARTILE(M9:M18,1),"")</f>
        <v/>
      </c>
      <c r="N24" s="2316">
        <f>IFERROR(QUARTILE(N9:N18,1),"")</f>
        <v/>
      </c>
      <c r="O24" s="2317">
        <f>IFERROR(QUARTILE(O9:O18,1),"")</f>
        <v/>
      </c>
      <c r="P24" s="2317">
        <f>IFERROR(QUARTILE(P9:P18,1),"")</f>
        <v/>
      </c>
      <c r="Q24" s="2316">
        <f>IFERROR(QUARTILE(Q9:Q18,1),"")</f>
        <v/>
      </c>
      <c r="R24" s="2317">
        <f>IFERROR(QUARTILE(R9:R18,1),"")</f>
        <v/>
      </c>
      <c r="S24" s="2317">
        <f>IFERROR(QUARTILE(S9:S18,1),"")</f>
        <v/>
      </c>
      <c r="T24" s="2318">
        <f>IFERROR(QUARTILE(T9:T18,1),"")</f>
        <v/>
      </c>
      <c r="U24" s="2317">
        <f>IFERROR(QUARTILE(U9:U18,1),"")</f>
        <v/>
      </c>
      <c r="V24" s="2317">
        <f>IFERROR(QUARTILE(V9:V18,1),"")</f>
        <v/>
      </c>
      <c r="W24" s="2319">
        <f>IFERROR(QUARTILE(W9:W18,1),"")</f>
        <v/>
      </c>
      <c r="X24" s="2305">
        <f>IFERROR(QUARTILE(X9:X18,1),"")</f>
        <v/>
      </c>
      <c r="Y24" s="2305">
        <f>IFERROR(QUARTILE(Y9:Y18,1),"")</f>
        <v/>
      </c>
      <c r="Z24" s="2319">
        <f>IFERROR(QUARTILE(Z9:Z18,1),"")</f>
        <v/>
      </c>
      <c r="AA24" s="2305">
        <f>IFERROR(QUARTILE(AA9:AA18,1),"")</f>
        <v/>
      </c>
      <c r="AB24" s="2305">
        <f>IFERROR(QUARTILE(AB9:AB18,1),"")</f>
        <v/>
      </c>
      <c r="AC24" s="2319">
        <f>IFERROR(QUARTILE(AC9:AC18,1),"")</f>
        <v/>
      </c>
      <c r="AD24" s="2305">
        <f>IFERROR(QUARTILE(AD9:AD18,1),"")</f>
        <v/>
      </c>
      <c r="AE24" s="2305">
        <f>IFERROR(QUARTILE(AE9:AE18,1),"")</f>
        <v/>
      </c>
      <c r="AF24" s="2319">
        <f>IFERROR(QUARTILE(AF9:AF18,1),"")</f>
        <v/>
      </c>
      <c r="AG24" s="2305">
        <f>IFERROR(QUARTILE(AG9:AG18,1),"")</f>
        <v/>
      </c>
      <c r="AH24" s="2305">
        <f>IFERROR(QUARTILE(AH9:AH18,1),"")</f>
        <v/>
      </c>
      <c r="AI24" s="2305">
        <f>IFERROR(QUARTILE(AI9:AI18,1),"")</f>
        <v/>
      </c>
      <c r="AJ24" s="2305">
        <f>IFERROR(QUARTILE(AJ9:AJ18,1),"")</f>
        <v/>
      </c>
      <c r="AK24" s="2305">
        <f>IFERROR(QUARTILE(AK9:AK18,1),"")</f>
        <v/>
      </c>
      <c r="AL24" s="2319">
        <f>IFERROR(QUARTILE(AL9:AL18,1),"")</f>
        <v/>
      </c>
      <c r="AM24" s="2305">
        <f>IFERROR(QUARTILE(AM9:AM18,1),"")</f>
        <v/>
      </c>
      <c r="AN24" s="2305">
        <f>IFERROR(QUARTILE(AN9:AN18,1),"")</f>
        <v/>
      </c>
      <c r="AO24" s="2305">
        <f>IFERROR(QUARTILE(AO9:AO18,1),"")</f>
        <v/>
      </c>
      <c r="AP24" s="2305">
        <f>IFERROR(QUARTILE(AP9:AP18,1),"")</f>
        <v/>
      </c>
      <c r="AQ24" s="2305">
        <f>IFERROR(QUARTILE(AQ9:AQ18,1),"")</f>
        <v/>
      </c>
      <c r="AR24" s="2319">
        <f>IFERROR(QUARTILE(AR9:AR18,1),"")</f>
        <v/>
      </c>
      <c r="AS24" s="259" t="n"/>
    </row>
    <row r="25">
      <c r="F25" s="803" t="inlineStr">
        <is>
          <t>Low</t>
        </is>
      </c>
      <c r="G25" s="2324">
        <f>IFERROR(MIN(G9:G18),"")</f>
        <v/>
      </c>
      <c r="H25" s="2324">
        <f>IFERROR(MIN(H9:H18),"")</f>
        <v/>
      </c>
      <c r="I25" s="2324">
        <f>IFERROR(MIN(I9:I18),"")</f>
        <v/>
      </c>
      <c r="J25" s="2324">
        <f>IFERROR(MIN(J9:J18),"")</f>
        <v/>
      </c>
      <c r="K25" s="2324">
        <f>IFERROR(MIN(K9:K18),"")</f>
        <v/>
      </c>
      <c r="L25" s="2324">
        <f>IFERROR(MIN(L9:L18),"")</f>
        <v/>
      </c>
      <c r="M25" s="2324">
        <f>IFERROR(MIN(M9:M18),"")</f>
        <v/>
      </c>
      <c r="N25" s="2324">
        <f>IFERROR(MIN(N9:N18),"")</f>
        <v/>
      </c>
      <c r="O25" s="2325">
        <f>IFERROR(MIN(O9:O18),"")</f>
        <v/>
      </c>
      <c r="P25" s="2325">
        <f>IFERROR(MIN(P9:P18),"")</f>
        <v/>
      </c>
      <c r="Q25" s="2324">
        <f>IFERROR(MIN(Q9:Q18),"")</f>
        <v/>
      </c>
      <c r="R25" s="2325">
        <f>IFERROR(MIN(R9:R18),"")</f>
        <v/>
      </c>
      <c r="S25" s="2325">
        <f>IFERROR(MIN(S9:S18),"")</f>
        <v/>
      </c>
      <c r="T25" s="2326">
        <f>IFERROR(MIN(T9:T18),"")</f>
        <v/>
      </c>
      <c r="U25" s="2325">
        <f>IFERROR(MIN(U9:U18),"")</f>
        <v/>
      </c>
      <c r="V25" s="2325">
        <f>IFERROR(MIN(V9:V18),"")</f>
        <v/>
      </c>
      <c r="W25" s="2327">
        <f>IFERROR(MIN(W9:W18),"")</f>
        <v/>
      </c>
      <c r="X25" s="2328">
        <f>IFERROR(MIN(X9:X18),"")</f>
        <v/>
      </c>
      <c r="Y25" s="2328">
        <f>IFERROR(MIN(Y9:Y18),"")</f>
        <v/>
      </c>
      <c r="Z25" s="2327">
        <f>IFERROR(MIN(Z9:Z18),"")</f>
        <v/>
      </c>
      <c r="AA25" s="2328">
        <f>IFERROR(MIN(AA9:AA18),"")</f>
        <v/>
      </c>
      <c r="AB25" s="2328">
        <f>IFERROR(MIN(AB9:AB18),"")</f>
        <v/>
      </c>
      <c r="AC25" s="2327">
        <f>IFERROR(MIN(AC9:AC18),"")</f>
        <v/>
      </c>
      <c r="AD25" s="2328">
        <f>IFERROR(MIN(AD9:AD18),"")</f>
        <v/>
      </c>
      <c r="AE25" s="2328">
        <f>IFERROR(MIN(AE9:AE18),"")</f>
        <v/>
      </c>
      <c r="AF25" s="2327">
        <f>IFERROR(MIN(AF9:AF18),"")</f>
        <v/>
      </c>
      <c r="AG25" s="2328">
        <f>IFERROR(MIN(AG9:AG18),"")</f>
        <v/>
      </c>
      <c r="AH25" s="2328">
        <f>IFERROR(MIN(AH9:AH18),"")</f>
        <v/>
      </c>
      <c r="AI25" s="2328">
        <f>IFERROR(MIN(AI9:AI18),"")</f>
        <v/>
      </c>
      <c r="AJ25" s="2328">
        <f>IFERROR(MIN(AJ9:AJ18),"")</f>
        <v/>
      </c>
      <c r="AK25" s="2328">
        <f>IFERROR(MIN(AK9:AK18),"")</f>
        <v/>
      </c>
      <c r="AL25" s="2327">
        <f>IFERROR(MIN(AL9:AL18),"")</f>
        <v/>
      </c>
      <c r="AM25" s="2328">
        <f>IFERROR(MIN(AM9:AM18),"")</f>
        <v/>
      </c>
      <c r="AN25" s="2328">
        <f>IFERROR(MIN(AN9:AN18),"")</f>
        <v/>
      </c>
      <c r="AO25" s="2328">
        <f>IFERROR(MIN(AO9:AO18),"")</f>
        <v/>
      </c>
      <c r="AP25" s="2328">
        <f>IFERROR(MIN(AP9:AP18),"")</f>
        <v/>
      </c>
      <c r="AQ25" s="2328">
        <f>IFERROR(MIN(AQ9:AQ18),"")</f>
        <v/>
      </c>
      <c r="AR25" s="2327">
        <f>IFERROR(MIN(AR9:AR18),"")</f>
        <v/>
      </c>
      <c r="AS25" s="259" t="n"/>
    </row>
    <row r="27">
      <c r="D27" s="2310" t="n"/>
      <c r="F27" s="809" t="n"/>
      <c r="G27" s="2310" t="n"/>
      <c r="H27" s="2310" t="n"/>
      <c r="I27" s="2310" t="n"/>
      <c r="J27" s="2310" t="n"/>
      <c r="K27" s="2310" t="n"/>
      <c r="L27" s="2310" t="n"/>
      <c r="M27" s="2310" t="n"/>
      <c r="N27" s="2310" t="n"/>
      <c r="O27" s="2310" t="n"/>
      <c r="P27" s="2310" t="n"/>
      <c r="Q27" s="2310" t="n"/>
      <c r="R27" s="2310" t="n"/>
      <c r="S27" s="2310" t="n"/>
      <c r="T27" s="2310" t="n"/>
      <c r="U27" s="2310" t="n"/>
      <c r="V27" s="2310" t="n"/>
      <c r="W27" s="2310" t="n"/>
      <c r="X27" s="2310" t="n"/>
      <c r="Y27" s="2310" t="n"/>
      <c r="Z27" s="2310" t="n"/>
      <c r="AA27" s="2310" t="n"/>
      <c r="AB27" s="2310" t="n"/>
      <c r="AC27" s="2310" t="n"/>
      <c r="AD27" s="2310" t="n"/>
      <c r="AE27" s="2310" t="n"/>
      <c r="AH27" s="2310" t="n"/>
      <c r="AN27" s="2310" t="n"/>
    </row>
    <row r="28">
      <c r="D28" s="2310" t="n"/>
      <c r="E28" s="2310" t="n"/>
      <c r="F28" s="786" t="inlineStr">
        <is>
          <t>High</t>
        </is>
      </c>
      <c r="G28" s="2312">
        <f t="array" ref="G28">IFERROR(MAX(IF($AV$9:$AV$18="No",G9:G18)),"")</f>
        <v/>
      </c>
      <c r="H28" s="2312">
        <f t="array" ref="H28">IFERROR(MAX(IF($AV$9:$AV$18="No",H9:H18)),"")</f>
        <v/>
      </c>
      <c r="I28" s="2312">
        <f t="array" ref="I28">IFERROR(MAX(IF($AV$9:$AV$18="No",I9:I18)),"")</f>
        <v/>
      </c>
      <c r="J28" s="2312">
        <f t="array" ref="J28">IFERROR(MAX(IF($AV$9:$AV$18="No",J9:J18)),"")</f>
        <v/>
      </c>
      <c r="K28" s="2312">
        <f t="array" ref="K28">IFERROR(MAX(IF($AV$9:$AV$18="No",K9:K18)),"")</f>
        <v/>
      </c>
      <c r="L28" s="2312">
        <f t="array" ref="L28">IFERROR(MAX(IF($AV$9:$AV$18="No",L9:L18)),"")</f>
        <v/>
      </c>
      <c r="M28" s="2312">
        <f t="array" ref="M28">IFERROR(MAX(IF($AV$9:$AV$18="No",M9:M18)),"")</f>
        <v/>
      </c>
      <c r="N28" s="2312">
        <f t="array" ref="N28">IFERROR(MAX(IF($AV$9:$AV$18="No",N9:N18)),"")</f>
        <v/>
      </c>
      <c r="O28" s="2313">
        <f t="array" ref="O28">IFERROR(MAX(IF($AV$9:$AV$18="No",O9:O18)),"")</f>
        <v/>
      </c>
      <c r="P28" s="2313">
        <f t="array" ref="P28">IFERROR(MAX(IF($AV$9:$AV$18="No",P9:P18)),"")</f>
        <v/>
      </c>
      <c r="Q28" s="2312">
        <f t="array" ref="Q28">IFERROR(MAX(IF($AV$9:$AV$18="No",Q9:Q18)),"")</f>
        <v/>
      </c>
      <c r="R28" s="2313">
        <f t="array" ref="R28">IFERROR(MAX(IF($AV$9:$AV$18="No",R9:R18)),"")</f>
        <v/>
      </c>
      <c r="S28" s="2313">
        <f t="array" ref="S28">IFERROR(MAX(IF($AV$9:$AV$18="No",S9:S18)),"")</f>
        <v/>
      </c>
      <c r="T28" s="2314">
        <f t="array" ref="T28">IFERROR(MAX(IF($AV$9:$AV$18="No",T9:T18)),"")</f>
        <v/>
      </c>
      <c r="U28" s="2313">
        <f t="array" ref="U28">IFERROR(MAX(IF($AV$9:$AV$18="No",U9:U18)),"")</f>
        <v/>
      </c>
      <c r="V28" s="2313">
        <f t="array" ref="V28">IFERROR(MAX(IF($AV$9:$AV$18="No",V9:V18)),"")</f>
        <v/>
      </c>
      <c r="W28" s="2315">
        <f t="array" ref="W28">IFERROR(MAX(IF($AV$9:$AV$18="No",W9:W18)),"")</f>
        <v/>
      </c>
      <c r="X28" s="2297">
        <f t="array" ref="X28">IFERROR(MAX(IF($AV$9:$AV$18="No",X9:X18)),"")</f>
        <v/>
      </c>
      <c r="Y28" s="2297">
        <f t="array" ref="Y28">IFERROR(MAX(IF($AV$9:$AV$18="No",Y9:Y18)),"")</f>
        <v/>
      </c>
      <c r="Z28" s="2315">
        <f t="array" ref="Z28">IFERROR(MAX(IF($AV$9:$AV$18="No",Z9:Z18)),"")</f>
        <v/>
      </c>
      <c r="AA28" s="2297">
        <f t="array" ref="AA28">IFERROR(MAX(IF($AV$9:$AV$18="No",AA9:AA18)),"")</f>
        <v/>
      </c>
      <c r="AB28" s="2297">
        <f t="array" ref="AB28">IFERROR(MAX(IF($AV$9:$AV$18="No",AB9:AB18)),"")</f>
        <v/>
      </c>
      <c r="AC28" s="2315">
        <f t="array" ref="AC28">IFERROR(MAX(IF($AV$9:$AV$18="No",AC9:AC18)),"")</f>
        <v/>
      </c>
      <c r="AD28" s="2297">
        <f t="array" ref="AD28">IFERROR(MAX(IF($AV$9:$AV$18="No",AD9:AD18)),"")</f>
        <v/>
      </c>
      <c r="AE28" s="2297">
        <f t="array" ref="AE28">IFERROR(MAX(IF($AV$9:$AV$18="No",AE9:AE18)),"")</f>
        <v/>
      </c>
      <c r="AF28" s="2315">
        <f t="array" ref="AF28">IFERROR(MAX(IF($AV$9:$AV$18="No",AF9:AF18)),"")</f>
        <v/>
      </c>
      <c r="AG28" s="2297">
        <f t="array" ref="AG28">IFERROR(MAX(IF($AV$9:$AV$18="No",AG9:AG18)),"")</f>
        <v/>
      </c>
      <c r="AH28" s="2297">
        <f t="array" ref="AH28">IFERROR(MAX(IF($AV$9:$AV$18="No",AH9:AH18)),"")</f>
        <v/>
      </c>
      <c r="AI28" s="2297">
        <f t="array" ref="AI28">IFERROR(MAX(IF($AV$9:$AV$18="No",AI9:AI18)),"")</f>
        <v/>
      </c>
      <c r="AJ28" s="2297">
        <f t="array" ref="AJ28">IFERROR(MAX(IF($AV$9:$AV$18="No",AJ9:AJ18)),"")</f>
        <v/>
      </c>
      <c r="AK28" s="2297">
        <f t="array" ref="AK28">IFERROR(MAX(IF($AV$9:$AV$18="No",AK9:AK18)),"")</f>
        <v/>
      </c>
      <c r="AL28" s="2315">
        <f t="array" ref="AL28">IFERROR(MAX(IF($AV$9:$AV$18="No",AL9:AL18)),"")</f>
        <v/>
      </c>
      <c r="AM28" s="2297">
        <f t="array" ref="AM28">IFERROR(MAX(IF($AV$9:$AV$18="No",AM9:AM18)),"")</f>
        <v/>
      </c>
      <c r="AN28" s="2297">
        <f t="array" ref="AN28">IFERROR(MAX(IF($AV$9:$AV$18="No",AN9:AN18)),"")</f>
        <v/>
      </c>
      <c r="AO28" s="2297">
        <f t="array" ref="AO28">IFERROR(MAX(IF($AV$9:$AV$18="No",AO9:AO18)),"")</f>
        <v/>
      </c>
      <c r="AP28" s="2297">
        <f t="array" ref="AP28">IFERROR(MAX(IF($AV$9:$AV$18="No",AP9:AP18)),"")</f>
        <v/>
      </c>
      <c r="AQ28" s="2297">
        <f t="array" ref="AQ28">IFERROR(MAX(IF($AV$9:$AV$18="No",AQ9:AQ18)),"")</f>
        <v/>
      </c>
      <c r="AR28" s="2315">
        <f t="array" ref="AR28">IFERROR(MAX(IF($AV$9:$AV$18="No",AR9:AR18)),"")</f>
        <v/>
      </c>
      <c r="AS28" s="259" t="n"/>
    </row>
    <row r="29">
      <c r="D29" s="2310" t="n"/>
      <c r="E29" s="2310" t="n"/>
      <c r="F29" s="792" t="inlineStr">
        <is>
          <t>75th Percentile</t>
        </is>
      </c>
      <c r="G29" s="2316">
        <f t="array" ref="G29">IFERROR(PERCENTILE(IF($AV$9:$AV$18="No",G9:G18),0.75),"")</f>
        <v/>
      </c>
      <c r="H29" s="2316">
        <f t="array" ref="H29">IFERROR(PERCENTILE(IF($AV$9:$AV$18="No",H9:H18),0.75),"")</f>
        <v/>
      </c>
      <c r="I29" s="2316">
        <f t="array" ref="I29">IFERROR(PERCENTILE(IF($AV$9:$AV$18="No",I9:I18),0.75),"")</f>
        <v/>
      </c>
      <c r="J29" s="2316">
        <f t="array" ref="J29">IFERROR(PERCENTILE(IF($AV$9:$AV$18="No",J9:J18),0.75),"")</f>
        <v/>
      </c>
      <c r="K29" s="2316">
        <f t="array" ref="K29">IFERROR(PERCENTILE(IF($AV$9:$AV$18="No",K9:K18),0.75),"")</f>
        <v/>
      </c>
      <c r="L29" s="2316">
        <f t="array" ref="L29">IFERROR(PERCENTILE(IF($AV$9:$AV$18="No",L9:L18),0.75),"")</f>
        <v/>
      </c>
      <c r="M29" s="2316">
        <f t="array" ref="M29">IFERROR(PERCENTILE(IF($AV$9:$AV$18="No",M9:M18),0.75),"")</f>
        <v/>
      </c>
      <c r="N29" s="2316">
        <f t="array" ref="N29">IFERROR(PERCENTILE(IF($AV$9:$AV$18="No",N9:N18),0.75),"")</f>
        <v/>
      </c>
      <c r="O29" s="2317">
        <f t="array" ref="O29">IFERROR(PERCENTILE(IF($AV$9:$AV$18="No",O9:O18),0.75),"")</f>
        <v/>
      </c>
      <c r="P29" s="2317">
        <f t="array" ref="P29">IFERROR(PERCENTILE(IF($AV$9:$AV$18="No",P9:P18),0.75),"")</f>
        <v/>
      </c>
      <c r="Q29" s="2316">
        <f t="array" ref="Q29">IFERROR(PERCENTILE(IF($AV$9:$AV$18="No",Q9:Q18),0.75),"")</f>
        <v/>
      </c>
      <c r="R29" s="2317">
        <f t="array" ref="R29">IFERROR(PERCENTILE(IF($AV$9:$AV$18="No",R9:R18),0.75),"")</f>
        <v/>
      </c>
      <c r="S29" s="2317">
        <f t="array" ref="S29">IFERROR(PERCENTILE(IF($AV$9:$AV$18="No",S9:S18),0.75),"")</f>
        <v/>
      </c>
      <c r="T29" s="2318">
        <f t="array" ref="T29">IFERROR(PERCENTILE(IF($AV$9:$AV$18="No",T9:T18),0.75),"")</f>
        <v/>
      </c>
      <c r="U29" s="2317">
        <f t="array" ref="U29">IFERROR(PERCENTILE(IF($AV$9:$AV$18="No",U9:U18),0.75),"")</f>
        <v/>
      </c>
      <c r="V29" s="2317">
        <f t="array" ref="V29">IFERROR(PERCENTILE(IF($AV$9:$AV$18="No",V9:V18),0.75),"")</f>
        <v/>
      </c>
      <c r="W29" s="2319">
        <f t="array" ref="W29">IFERROR(PERCENTILE(IF($AV$9:$AV$18="No",W9:W18),0.75),"")</f>
        <v/>
      </c>
      <c r="X29" s="2305">
        <f t="array" ref="X29">IFERROR(PERCENTILE(IF($AV$9:$AV$18="No",X9:X18),0.75),"")</f>
        <v/>
      </c>
      <c r="Y29" s="2305">
        <f t="array" ref="Y29">IFERROR(PERCENTILE(IF($AV$9:$AV$18="No",Y9:Y18),0.75),"")</f>
        <v/>
      </c>
      <c r="Z29" s="2319">
        <f t="array" ref="Z29">IFERROR(PERCENTILE(IF($AV$9:$AV$18="No",Z9:Z18),0.75),"")</f>
        <v/>
      </c>
      <c r="AA29" s="2305">
        <f t="array" ref="AA29">IFERROR(PERCENTILE(IF($AV$9:$AV$18="No",AA9:AA18),0.75),"")</f>
        <v/>
      </c>
      <c r="AB29" s="2305">
        <f t="array" ref="AB29">IFERROR(PERCENTILE(IF($AV$9:$AV$18="No",AB9:AB18),0.75),"")</f>
        <v/>
      </c>
      <c r="AC29" s="2319">
        <f t="array" ref="AC29">IFERROR(PERCENTILE(IF($AV$9:$AV$18="No",AC9:AC18),0.75),"")</f>
        <v/>
      </c>
      <c r="AD29" s="2305">
        <f t="array" ref="AD29">IFERROR(PERCENTILE(IF($AV$9:$AV$18="No",AD9:AD18),0.75),"")</f>
        <v/>
      </c>
      <c r="AE29" s="2305">
        <f t="array" ref="AE29">IFERROR(PERCENTILE(IF($AV$9:$AV$18="No",AE9:AE18),0.75),"")</f>
        <v/>
      </c>
      <c r="AF29" s="2319">
        <f t="array" ref="AF29">IFERROR(PERCENTILE(IF($AV$9:$AV$18="No",AF9:AF18),0.75),"")</f>
        <v/>
      </c>
      <c r="AG29" s="2305">
        <f t="array" ref="AG29">IFERROR(PERCENTILE(IF($AV$9:$AV$18="No",AG9:AG18),0.75),"")</f>
        <v/>
      </c>
      <c r="AH29" s="2305">
        <f t="array" ref="AH29">IFERROR(PERCENTILE(IF($AV$9:$AV$18="No",AH9:AH18),0.75),"")</f>
        <v/>
      </c>
      <c r="AI29" s="2305">
        <f t="array" ref="AI29">IFERROR(PERCENTILE(IF($AV$9:$AV$18="No",AI9:AI18),0.75),"")</f>
        <v/>
      </c>
      <c r="AJ29" s="2305">
        <f t="array" ref="AJ29">IFERROR(PERCENTILE(IF($AV$9:$AV$18="No",AJ9:AJ18),0.75),"")</f>
        <v/>
      </c>
      <c r="AK29" s="2305">
        <f t="array" ref="AK29">IFERROR(PERCENTILE(IF($AV$9:$AV$18="No",AK9:AK18),0.75),"")</f>
        <v/>
      </c>
      <c r="AL29" s="2319">
        <f t="array" ref="AL29">IFERROR(PERCENTILE(IF($AV$9:$AV$18="No",AL9:AL18),0.75),"")</f>
        <v/>
      </c>
      <c r="AM29" s="2305">
        <f t="array" ref="AM29">IFERROR(PERCENTILE(IF($AV$9:$AV$18="No",AM9:AM18),0.75),"")</f>
        <v/>
      </c>
      <c r="AN29" s="2305">
        <f t="array" ref="AN29">IFERROR(PERCENTILE(IF($AV$9:$AV$18="No",AN9:AN18),0.75),"")</f>
        <v/>
      </c>
      <c r="AO29" s="2305">
        <f t="array" ref="AO29">IFERROR(PERCENTILE(IF($AV$9:$AV$18="No",AO9:AO18),0.75),"")</f>
        <v/>
      </c>
      <c r="AP29" s="2305">
        <f t="array" ref="AP29">IFERROR(PERCENTILE(IF($AV$9:$AV$18="No",AP9:AP18),0.75),"")</f>
        <v/>
      </c>
      <c r="AQ29" s="2305">
        <f t="array" ref="AQ29">IFERROR(PERCENTILE(IF($AV$9:$AV$18="No",AQ9:AQ18),0.75),"")</f>
        <v/>
      </c>
      <c r="AR29" s="2319">
        <f t="array" ref="AR29">IFERROR(PERCENTILE(IF($AV$9:$AV$18="No",AR9:AR18),0.75),"")</f>
        <v/>
      </c>
      <c r="AS29" s="259" t="n"/>
    </row>
    <row r="30">
      <c r="D30" s="2310" t="n"/>
      <c r="E30" s="2310" t="n"/>
      <c r="F30" s="792" t="inlineStr">
        <is>
          <t>Mean</t>
        </is>
      </c>
      <c r="G30" s="2316">
        <f t="array" ref="G30">IFERROR(AVERAGEIF($AV$9:$AV$18,"No",G9:G18),"")</f>
        <v/>
      </c>
      <c r="H30" s="2316">
        <f t="array" ref="H30">IFERROR(AVERAGEIF($AV$9:$AV$18,"No",H9:H18),"")</f>
        <v/>
      </c>
      <c r="I30" s="2316">
        <f t="array" ref="I30">IFERROR(AVERAGEIF($AV$9:$AV$18,"No",I9:I18),"")</f>
        <v/>
      </c>
      <c r="J30" s="2316">
        <f t="array" ref="J30">IFERROR(AVERAGEIF($AV$9:$AV$18,"No",J9:J18),"")</f>
        <v/>
      </c>
      <c r="K30" s="2316">
        <f t="array" ref="K30">IFERROR(AVERAGEIF($AV$9:$AV$18,"No",K9:K18),"")</f>
        <v/>
      </c>
      <c r="L30" s="2316">
        <f t="array" ref="L30">IFERROR(AVERAGEIF($AV$9:$AV$18,"No",L9:L18),"")</f>
        <v/>
      </c>
      <c r="M30" s="2316">
        <f t="array" ref="M30">IFERROR(AVERAGEIF($AV$9:$AV$18,"No",M9:M18),"")</f>
        <v/>
      </c>
      <c r="N30" s="2316">
        <f t="array" ref="N30">IFERROR(AVERAGEIF($AV$9:$AV$18,"No",N9:N18),"")</f>
        <v/>
      </c>
      <c r="O30" s="2317">
        <f t="array" ref="O30">IFERROR(AVERAGEIF($AV$9:$AV$18,"No",O9:O18),"")</f>
        <v/>
      </c>
      <c r="P30" s="2317">
        <f t="array" ref="P30">IFERROR(AVERAGEIF($AV$9:$AV$18,"No",P9:P18),"")</f>
        <v/>
      </c>
      <c r="Q30" s="2316">
        <f t="array" ref="Q30">IFERROR(AVERAGEIF($AV$9:$AV$18,"No",Q9:Q18),"")</f>
        <v/>
      </c>
      <c r="R30" s="2317">
        <f t="array" ref="R30">IFERROR(AVERAGEIF($AV$9:$AV$18,"No",R9:R18),"")</f>
        <v/>
      </c>
      <c r="S30" s="2317">
        <f t="array" ref="S30">IFERROR(AVERAGEIF($AV$9:$AV$18,"No",S9:S18),"")</f>
        <v/>
      </c>
      <c r="T30" s="2318">
        <f t="array" ref="T30">IFERROR(AVERAGEIF($AV$9:$AV$18,"No",T9:T18),"")</f>
        <v/>
      </c>
      <c r="U30" s="2317">
        <f t="array" ref="U30">IFERROR(AVERAGEIF($AV$9:$AV$18,"No",U9:U18),"")</f>
        <v/>
      </c>
      <c r="V30" s="2317">
        <f t="array" ref="V30">IFERROR(AVERAGEIF($AV$9:$AV$18,"No",V9:V18),"")</f>
        <v/>
      </c>
      <c r="W30" s="2319">
        <f t="array" ref="W30">IFERROR(AVERAGEIF($AV$9:$AV$18,"No",W9:W18),"")</f>
        <v/>
      </c>
      <c r="X30" s="2305">
        <f t="array" ref="X30">IFERROR(AVERAGEIF($AV$9:$AV$18,"No",X9:X18),"")</f>
        <v/>
      </c>
      <c r="Y30" s="2305">
        <f t="array" ref="Y30">IFERROR(AVERAGEIF($AV$9:$AV$18,"No",Y9:Y18),"")</f>
        <v/>
      </c>
      <c r="Z30" s="2319">
        <f t="array" ref="Z30">IFERROR(AVERAGEIF($AV$9:$AV$18,"No",Z9:Z18),"")</f>
        <v/>
      </c>
      <c r="AA30" s="2305">
        <f t="array" ref="AA30">IFERROR(AVERAGEIF($AV$9:$AV$18,"No",AA9:AA18),"")</f>
        <v/>
      </c>
      <c r="AB30" s="2305">
        <f t="array" ref="AB30">IFERROR(AVERAGEIF($AV$9:$AV$18,"No",AB9:AB18),"")</f>
        <v/>
      </c>
      <c r="AC30" s="2319">
        <f t="array" ref="AC30">IFERROR(AVERAGEIF($AV$9:$AV$18,"No",AC9:AC18),"")</f>
        <v/>
      </c>
      <c r="AD30" s="2305">
        <f t="array" ref="AD30">IFERROR(AVERAGEIF($AV$9:$AV$18,"No",AD9:AD18),"")</f>
        <v/>
      </c>
      <c r="AE30" s="2305">
        <f t="array" ref="AE30">IFERROR(AVERAGEIF($AV$9:$AV$18,"No",AE9:AE18),"")</f>
        <v/>
      </c>
      <c r="AF30" s="2319">
        <f t="array" ref="AF30">IFERROR(AVERAGEIF($AV$9:$AV$18,"No",AF9:AF18),"")</f>
        <v/>
      </c>
      <c r="AG30" s="2305">
        <f t="array" ref="AG30">IFERROR(AVERAGEIF($AV$9:$AV$18,"No",AG9:AG18),"")</f>
        <v/>
      </c>
      <c r="AH30" s="2305">
        <f t="array" ref="AH30">IFERROR(AVERAGEIF($AV$9:$AV$18,"No",AH9:AH18),"")</f>
        <v/>
      </c>
      <c r="AI30" s="2305">
        <f t="array" ref="AI30">IFERROR(AVERAGEIF($AV$9:$AV$18,"No",AI9:AI18),"")</f>
        <v/>
      </c>
      <c r="AJ30" s="2305">
        <f t="array" ref="AJ30">IFERROR(AVERAGEIF($AV$9:$AV$18,"No",AJ9:AJ18),"")</f>
        <v/>
      </c>
      <c r="AK30" s="2305">
        <f t="array" ref="AK30">IFERROR(AVERAGEIF($AV$9:$AV$18,"No",AK9:AK18),"")</f>
        <v/>
      </c>
      <c r="AL30" s="2319">
        <f t="array" ref="AL30">IFERROR(AVERAGEIF($AV$9:$AV$18,"No",AL9:AL18),"")</f>
        <v/>
      </c>
      <c r="AM30" s="2305">
        <f t="array" ref="AM30">IFERROR(AVERAGEIF($AV$9:$AV$18,"No",AM9:AM18),"")</f>
        <v/>
      </c>
      <c r="AN30" s="2305">
        <f t="array" ref="AN30">IFERROR(AVERAGEIF($AV$9:$AV$18,"No",AN9:AN18),"")</f>
        <v/>
      </c>
      <c r="AO30" s="2305">
        <f t="array" ref="AO30">IFERROR(AVERAGEIF($AV$9:$AV$18,"No",AO9:AO18),"")</f>
        <v/>
      </c>
      <c r="AP30" s="2305">
        <f t="array" ref="AP30">IFERROR(AVERAGEIF($AV$9:$AV$18,"No",AP9:AP18),"")</f>
        <v/>
      </c>
      <c r="AQ30" s="2305">
        <f t="array" ref="AQ30">IFERROR(AVERAGEIF($AV$9:$AV$18,"No",AQ9:AQ18),"")</f>
        <v/>
      </c>
      <c r="AR30" s="2319">
        <f t="array" ref="AR30">IFERROR(AVERAGEIF($AV$9:$AV$18,"No",AR9:AR18),"")</f>
        <v/>
      </c>
      <c r="AS30" s="259" t="n"/>
    </row>
    <row r="31">
      <c r="D31" s="2310" t="n"/>
      <c r="E31" s="2310" t="n"/>
      <c r="F31" s="798" t="inlineStr">
        <is>
          <t>Median</t>
        </is>
      </c>
      <c r="G31" s="2320">
        <f t="array" ref="G31">IFERROR(MEDIAN(IF($AV$9:$AV$18="No",G9:G18)),"")</f>
        <v/>
      </c>
      <c r="H31" s="2320">
        <f t="array" ref="H31">IFERROR(MEDIAN(IF($AV$9:$AV$18="No",H9:H18)),"")</f>
        <v/>
      </c>
      <c r="I31" s="2320">
        <f t="array" ref="I31">IFERROR(MEDIAN(IF($AV$9:$AV$18="No",I9:I18)),"")</f>
        <v/>
      </c>
      <c r="J31" s="2320">
        <f t="array" ref="J31">IFERROR(MEDIAN(IF($AV$9:$AV$18="No",J9:J18)),"")</f>
        <v/>
      </c>
      <c r="K31" s="2320">
        <f t="array" ref="K31">IFERROR(MEDIAN(IF($AV$9:$AV$18="No",K9:K18)),"")</f>
        <v/>
      </c>
      <c r="L31" s="2320">
        <f t="array" ref="L31">IFERROR(MEDIAN(IF($AV$9:$AV$18="No",L9:L18)),"")</f>
        <v/>
      </c>
      <c r="M31" s="2320">
        <f t="array" ref="M31">IFERROR(MEDIAN(IF($AV$9:$AV$18="No",M9:M18)),"")</f>
        <v/>
      </c>
      <c r="N31" s="2320">
        <f t="array" ref="N31">IFERROR(MEDIAN(IF($AV$9:$AV$18="No",N9:N18)),"")</f>
        <v/>
      </c>
      <c r="O31" s="2320">
        <f t="array" ref="O31">IFERROR(MEDIAN(IF($AV$9:$AV$18="No",O9:O18)),"")</f>
        <v/>
      </c>
      <c r="P31" s="2320">
        <f t="array" ref="P31">IFERROR(MEDIAN(IF($AV$9:$AV$18="No",P9:P18)),"")</f>
        <v/>
      </c>
      <c r="Q31" s="2320">
        <f t="array" ref="Q31">IFERROR(MEDIAN(IF($AV$9:$AV$18="No",Q9:Q18)),"")</f>
        <v/>
      </c>
      <c r="R31" s="2320">
        <f t="array" ref="R31">IFERROR(MEDIAN(IF($AV$9:$AV$18="No",R9:R18)),"")</f>
        <v/>
      </c>
      <c r="S31" s="2320">
        <f t="array" ref="S31">IFERROR(MEDIAN(IF($AV$9:$AV$18="No",S9:S18)),"")</f>
        <v/>
      </c>
      <c r="T31" s="2321">
        <f t="array" ref="T31">IFERROR(MEDIAN(IF($AV$9:$AV$18="No",T9:T18)),"")</f>
        <v/>
      </c>
      <c r="U31" s="2320">
        <f t="array" ref="U31">IFERROR(MEDIAN(IF($AV$9:$AV$18="No",U9:U18)),"")</f>
        <v/>
      </c>
      <c r="V31" s="2320">
        <f t="array" ref="V31">IFERROR(MEDIAN(IF($AV$9:$AV$18="No",V9:V18)),"")</f>
        <v/>
      </c>
      <c r="W31" s="2322">
        <f t="array" ref="W31">IFERROR(MEDIAN(IF($AV$9:$AV$18="No",W9:W18)),"")</f>
        <v/>
      </c>
      <c r="X31" s="2323">
        <f t="array" ref="X31">IFERROR(MEDIAN(IF($AV$9:$AV$18="No",X9:X18)),"")</f>
        <v/>
      </c>
      <c r="Y31" s="2323">
        <f t="array" ref="Y31">IFERROR(MEDIAN(IF($AV$9:$AV$18="No",Y9:Y18)),"")</f>
        <v/>
      </c>
      <c r="Z31" s="2322">
        <f t="array" ref="Z31">IFERROR(MEDIAN(IF($AV$9:$AV$18="No",Z9:Z18)),"")</f>
        <v/>
      </c>
      <c r="AA31" s="2323">
        <f t="array" ref="AA31">IFERROR(MEDIAN(IF($AV$9:$AV$18="No",AA9:AA18)),"")</f>
        <v/>
      </c>
      <c r="AB31" s="2323">
        <f t="array" ref="AB31">IFERROR(MEDIAN(IF($AV$9:$AV$18="No",AB9:AB18)),"")</f>
        <v/>
      </c>
      <c r="AC31" s="2322">
        <f t="array" ref="AC31">IFERROR(MEDIAN(IF($AV$9:$AV$18="No",AC9:AC18)),"")</f>
        <v/>
      </c>
      <c r="AD31" s="2323">
        <f t="array" ref="AD31">IFERROR(MEDIAN(IF($AV$9:$AV$18="No",AD9:AD18)),"")</f>
        <v/>
      </c>
      <c r="AE31" s="2323">
        <f t="array" ref="AE31">IFERROR(MEDIAN(IF($AV$9:$AV$18="No",AE9:AE18)),"")</f>
        <v/>
      </c>
      <c r="AF31" s="2322">
        <f t="array" ref="AF31">IFERROR(MEDIAN(IF($AV$9:$AV$18="No",AF9:AF18)),"")</f>
        <v/>
      </c>
      <c r="AG31" s="2323">
        <f t="array" ref="AG31">IFERROR(MEDIAN(IF($AV$9:$AV$18="No",AG9:AG18)),"")</f>
        <v/>
      </c>
      <c r="AH31" s="2323">
        <f t="array" ref="AH31">IFERROR(MEDIAN(IF($AV$9:$AV$18="No",AH9:AH18)),"")</f>
        <v/>
      </c>
      <c r="AI31" s="2323">
        <f t="array" ref="AI31">IFERROR(MEDIAN(IF($AV$9:$AV$18="No",AI9:AI18)),"")</f>
        <v/>
      </c>
      <c r="AJ31" s="2323">
        <f t="array" ref="AJ31">IFERROR(MEDIAN(IF($AV$9:$AV$18="No",AJ9:AJ18)),"")</f>
        <v/>
      </c>
      <c r="AK31" s="2323">
        <f t="array" ref="AK31">IFERROR(MEDIAN(IF($AV$9:$AV$18="No",AK9:AK18)),"")</f>
        <v/>
      </c>
      <c r="AL31" s="2322">
        <f t="array" ref="AL31">IFERROR(MEDIAN(IF($AV$9:$AV$18="No",AL9:AL18)),"")</f>
        <v/>
      </c>
      <c r="AM31" s="2323">
        <f t="array" ref="AM31">IFERROR(MEDIAN(IF($AV$9:$AV$18="No",AM9:AM18)),"")</f>
        <v/>
      </c>
      <c r="AN31" s="2323">
        <f t="array" ref="AN31">IFERROR(MEDIAN(IF($AV$9:$AV$18="No",AN9:AN18)),"")</f>
        <v/>
      </c>
      <c r="AO31" s="2323">
        <f t="array" ref="AO31">IFERROR(MEDIAN(IF($AV$9:$AV$18="No",AO9:AO18)),"")</f>
        <v/>
      </c>
      <c r="AP31" s="2323">
        <f t="array" ref="AP31">IFERROR(MEDIAN(IF($AV$9:$AV$18="No",AP9:AP18)),"")</f>
        <v/>
      </c>
      <c r="AQ31" s="2323">
        <f t="array" ref="AQ31">IFERROR(MEDIAN(IF($AV$9:$AV$18="No",AQ9:AQ18)),"")</f>
        <v/>
      </c>
      <c r="AR31" s="2322">
        <f t="array" ref="AR31">IFERROR(MEDIAN(IF($AV$9:$AV$18="No",AR9:AR18)),"")</f>
        <v/>
      </c>
      <c r="AS31" s="259" t="n"/>
    </row>
    <row r="32">
      <c r="D32" s="2310" t="n"/>
      <c r="E32" s="2310" t="n"/>
      <c r="F32" s="792" t="inlineStr">
        <is>
          <t>25th Percentile</t>
        </is>
      </c>
      <c r="G32" s="2316">
        <f t="array" ref="G32">IFERROR(PERCENTILE(IF($AV$9:$AV$18="No",G9:G18),0.25),"")</f>
        <v/>
      </c>
      <c r="H32" s="2316">
        <f t="array" ref="H32">IFERROR(PERCENTILE(IF($AV$9:$AV$18="No",H9:H18),0.25),"")</f>
        <v/>
      </c>
      <c r="I32" s="2316">
        <f t="array" ref="I32">IFERROR(PERCENTILE(IF($AV$9:$AV$18="No",I9:I18),0.25),"")</f>
        <v/>
      </c>
      <c r="J32" s="2316">
        <f t="array" ref="J32">IFERROR(PERCENTILE(IF($AV$9:$AV$18="No",J9:J18),0.25),"")</f>
        <v/>
      </c>
      <c r="K32" s="2316">
        <f t="array" ref="K32">IFERROR(PERCENTILE(IF($AV$9:$AV$18="No",K9:K18),0.25),"")</f>
        <v/>
      </c>
      <c r="L32" s="2316">
        <f t="array" ref="L32">IFERROR(PERCENTILE(IF($AV$9:$AV$18="No",L9:L18),0.25),"")</f>
        <v/>
      </c>
      <c r="M32" s="2316">
        <f t="array" ref="M32">IFERROR(PERCENTILE(IF($AV$9:$AV$18="No",M9:M18),0.25),"")</f>
        <v/>
      </c>
      <c r="N32" s="2316">
        <f t="array" ref="N32">IFERROR(PERCENTILE(IF($AV$9:$AV$18="No",N9:N18),0.25),"")</f>
        <v/>
      </c>
      <c r="O32" s="2317">
        <f t="array" ref="O32">IFERROR(PERCENTILE(IF($AV$9:$AV$18="No",O9:O18),0.25),"")</f>
        <v/>
      </c>
      <c r="P32" s="2317">
        <f t="array" ref="P32">IFERROR(PERCENTILE(IF($AV$9:$AV$18="No",P9:P18),0.25),"")</f>
        <v/>
      </c>
      <c r="Q32" s="2316">
        <f t="array" ref="Q32">IFERROR(PERCENTILE(IF($AV$9:$AV$18="No",Q9:Q18),0.25),"")</f>
        <v/>
      </c>
      <c r="R32" s="2317">
        <f t="array" ref="R32">IFERROR(PERCENTILE(IF($AV$9:$AV$18="No",R9:R18),0.25),"")</f>
        <v/>
      </c>
      <c r="S32" s="2317">
        <f t="array" ref="S32">IFERROR(PERCENTILE(IF($AV$9:$AV$18="No",S9:S18),0.25),"")</f>
        <v/>
      </c>
      <c r="T32" s="2318">
        <f t="array" ref="T32">IFERROR(PERCENTILE(IF($AV$9:$AV$18="No",T9:T18),0.25),"")</f>
        <v/>
      </c>
      <c r="U32" s="2317">
        <f t="array" ref="U32">IFERROR(PERCENTILE(IF($AV$9:$AV$18="No",U9:U18),0.25),"")</f>
        <v/>
      </c>
      <c r="V32" s="2317">
        <f t="array" ref="V32">IFERROR(PERCENTILE(IF($AV$9:$AV$18="No",V9:V18),0.25),"")</f>
        <v/>
      </c>
      <c r="W32" s="2319">
        <f t="array" ref="W32">IFERROR(PERCENTILE(IF($AV$9:$AV$18="No",W9:W18),0.25),"")</f>
        <v/>
      </c>
      <c r="X32" s="2305">
        <f t="array" ref="X32">IFERROR(PERCENTILE(IF($AV$9:$AV$18="No",X9:X18),0.25),"")</f>
        <v/>
      </c>
      <c r="Y32" s="2305">
        <f t="array" ref="Y32">IFERROR(PERCENTILE(IF($AV$9:$AV$18="No",Y9:Y18),0.25),"")</f>
        <v/>
      </c>
      <c r="Z32" s="2319">
        <f t="array" ref="Z32">IFERROR(PERCENTILE(IF($AV$9:$AV$18="No",Z9:Z18),0.25),"")</f>
        <v/>
      </c>
      <c r="AA32" s="2305">
        <f t="array" ref="AA32">IFERROR(PERCENTILE(IF($AV$9:$AV$18="No",AA9:AA18),0.25),"")</f>
        <v/>
      </c>
      <c r="AB32" s="2305">
        <f t="array" ref="AB32">IFERROR(PERCENTILE(IF($AV$9:$AV$18="No",AB9:AB18),0.25),"")</f>
        <v/>
      </c>
      <c r="AC32" s="2319">
        <f t="array" ref="AC32">IFERROR(PERCENTILE(IF($AV$9:$AV$18="No",AC9:AC18),0.25),"")</f>
        <v/>
      </c>
      <c r="AD32" s="2305">
        <f t="array" ref="AD32">IFERROR(PERCENTILE(IF($AV$9:$AV$18="No",AD9:AD18),0.25),"")</f>
        <v/>
      </c>
      <c r="AE32" s="2305">
        <f t="array" ref="AE32">IFERROR(PERCENTILE(IF($AV$9:$AV$18="No",AE9:AE18),0.25),"")</f>
        <v/>
      </c>
      <c r="AF32" s="2319">
        <f t="array" ref="AF32">IFERROR(PERCENTILE(IF($AV$9:$AV$18="No",AF9:AF18),0.25),"")</f>
        <v/>
      </c>
      <c r="AG32" s="2305">
        <f t="array" ref="AG32">IFERROR(PERCENTILE(IF($AV$9:$AV$18="No",AG9:AG18),0.25),"")</f>
        <v/>
      </c>
      <c r="AH32" s="2305">
        <f t="array" ref="AH32">IFERROR(PERCENTILE(IF($AV$9:$AV$18="No",AH9:AH18),0.25),"")</f>
        <v/>
      </c>
      <c r="AI32" s="2305">
        <f t="array" ref="AI32">IFERROR(PERCENTILE(IF($AV$9:$AV$18="No",AI9:AI18),0.25),"")</f>
        <v/>
      </c>
      <c r="AJ32" s="2305">
        <f t="array" ref="AJ32">IFERROR(PERCENTILE(IF($AV$9:$AV$18="No",AJ9:AJ18),0.25),"")</f>
        <v/>
      </c>
      <c r="AK32" s="2305">
        <f t="array" ref="AK32">IFERROR(PERCENTILE(IF($AV$9:$AV$18="No",AK9:AK18),0.25),"")</f>
        <v/>
      </c>
      <c r="AL32" s="2319">
        <f t="array" ref="AL32">IFERROR(PERCENTILE(IF($AV$9:$AV$18="No",AL9:AL18),0.25),"")</f>
        <v/>
      </c>
      <c r="AM32" s="2305">
        <f t="array" ref="AM32">IFERROR(PERCENTILE(IF($AV$9:$AV$18="No",AM9:AM18),0.25),"")</f>
        <v/>
      </c>
      <c r="AN32" s="2305">
        <f t="array" ref="AN32">IFERROR(PERCENTILE(IF($AV$9:$AV$18="No",AN9:AN18),0.25),"")</f>
        <v/>
      </c>
      <c r="AO32" s="2305">
        <f t="array" ref="AO32">IFERROR(PERCENTILE(IF($AV$9:$AV$18="No",AO9:AO18),0.25),"")</f>
        <v/>
      </c>
      <c r="AP32" s="2305">
        <f t="array" ref="AP32">IFERROR(PERCENTILE(IF($AV$9:$AV$18="No",AP9:AP18),0.25),"")</f>
        <v/>
      </c>
      <c r="AQ32" s="2305">
        <f t="array" ref="AQ32">IFERROR(PERCENTILE(IF($AV$9:$AV$18="No",AQ9:AQ18),0.25),"")</f>
        <v/>
      </c>
      <c r="AR32" s="2319">
        <f t="array" ref="AR32">IFERROR(PERCENTILE(IF($AV$9:$AV$18="No",AR9:AR18),0.25),"")</f>
        <v/>
      </c>
      <c r="AS32" s="259" t="n"/>
    </row>
    <row r="33">
      <c r="D33" s="2310" t="n"/>
      <c r="E33" s="2310" t="n"/>
      <c r="F33" s="803" t="inlineStr">
        <is>
          <t>Low</t>
        </is>
      </c>
      <c r="G33" s="2324">
        <f t="array" ref="G33">IFERROR(MIN(IF($AV$9:$AV$18="No",G9:G18)),"")</f>
        <v/>
      </c>
      <c r="H33" s="2324">
        <f t="array" ref="H33">IFERROR(MIN(IF($AV$9:$AV$18="No",H9:H18)),"")</f>
        <v/>
      </c>
      <c r="I33" s="2324">
        <f t="array" ref="I33">IFERROR(MIN(IF($AV$9:$AV$18="No",I9:I18)),"")</f>
        <v/>
      </c>
      <c r="J33" s="2324">
        <f t="array" ref="J33">IFERROR(MIN(IF($AV$9:$AV$18="No",J9:J18)),"")</f>
        <v/>
      </c>
      <c r="K33" s="2324">
        <f t="array" ref="K33">IFERROR(MIN(IF($AV$9:$AV$18="No",K9:K18)),"")</f>
        <v/>
      </c>
      <c r="L33" s="2324">
        <f t="array" ref="L33">IFERROR(MIN(IF($AV$9:$AV$18="No",L9:L18)),"")</f>
        <v/>
      </c>
      <c r="M33" s="2324">
        <f t="array" ref="M33">IFERROR(MIN(IF($AV$9:$AV$18="No",M9:M18)),"")</f>
        <v/>
      </c>
      <c r="N33" s="2324">
        <f t="array" ref="N33">IFERROR(MIN(IF($AV$9:$AV$18="No",N9:N18)),"")</f>
        <v/>
      </c>
      <c r="O33" s="2325">
        <f t="array" ref="O33">IFERROR(MIN(IF($AV$9:$AV$18="No",O9:O18)),"")</f>
        <v/>
      </c>
      <c r="P33" s="2325">
        <f t="array" ref="P33">IFERROR(MIN(IF($AV$9:$AV$18="No",P9:P18)),"")</f>
        <v/>
      </c>
      <c r="Q33" s="2324">
        <f t="array" ref="Q33">IFERROR(MIN(IF($AV$9:$AV$18="No",Q9:Q18)),"")</f>
        <v/>
      </c>
      <c r="R33" s="2325">
        <f t="array" ref="R33">IFERROR(MIN(IF($AV$9:$AV$18="No",R9:R18)),"")</f>
        <v/>
      </c>
      <c r="S33" s="2325">
        <f t="array" ref="S33">IFERROR(MIN(IF($AV$9:$AV$18="No",S9:S18)),"")</f>
        <v/>
      </c>
      <c r="T33" s="2326">
        <f t="array" ref="T33">IFERROR(MIN(IF($AV$9:$AV$18="No",T9:T18)),"")</f>
        <v/>
      </c>
      <c r="U33" s="2325">
        <f t="array" ref="U33">IFERROR(MIN(IF($AV$9:$AV$18="No",U9:U18)),"")</f>
        <v/>
      </c>
      <c r="V33" s="2325">
        <f t="array" ref="V33">IFERROR(MIN(IF($AV$9:$AV$18="No",V9:V18)),"")</f>
        <v/>
      </c>
      <c r="W33" s="2327">
        <f t="array" ref="W33">IFERROR(MIN(IF($AV$9:$AV$18="No",W9:W18)),"")</f>
        <v/>
      </c>
      <c r="X33" s="2328">
        <f t="array" ref="X33">IFERROR(MIN(IF($AV$9:$AV$18="No",X9:X18)),"")</f>
        <v/>
      </c>
      <c r="Y33" s="2328">
        <f t="array" ref="Y33">IFERROR(MIN(IF($AV$9:$AV$18="No",Y9:Y18)),"")</f>
        <v/>
      </c>
      <c r="Z33" s="2327">
        <f t="array" ref="Z33">IFERROR(MIN(IF($AV$9:$AV$18="No",Z9:Z18)),"")</f>
        <v/>
      </c>
      <c r="AA33" s="2328">
        <f t="array" ref="AA33">IFERROR(MIN(IF($AV$9:$AV$18="No",AA9:AA18)),"")</f>
        <v/>
      </c>
      <c r="AB33" s="2328">
        <f t="array" ref="AB33">IFERROR(MIN(IF($AV$9:$AV$18="No",AB9:AB18)),"")</f>
        <v/>
      </c>
      <c r="AC33" s="2327">
        <f t="array" ref="AC33">IFERROR(MIN(IF($AV$9:$AV$18="No",AC9:AC18)),"")</f>
        <v/>
      </c>
      <c r="AD33" s="2328">
        <f t="array" ref="AD33">IFERROR(MIN(IF($AV$9:$AV$18="No",AD9:AD18)),"")</f>
        <v/>
      </c>
      <c r="AE33" s="2328">
        <f t="array" ref="AE33">IFERROR(MIN(IF($AV$9:$AV$18="No",AE9:AE18)),"")</f>
        <v/>
      </c>
      <c r="AF33" s="2327">
        <f t="array" ref="AF33">IFERROR(MIN(IF($AV$9:$AV$18="No",AF9:AF18)),"")</f>
        <v/>
      </c>
      <c r="AG33" s="2328">
        <f t="array" ref="AG33">IFERROR(MIN(IF($AV$9:$AV$18="No",AG9:AG18)),"")</f>
        <v/>
      </c>
      <c r="AH33" s="2328">
        <f t="array" ref="AH33">IFERROR(MIN(IF($AV$9:$AV$18="No",AH9:AH18)),"")</f>
        <v/>
      </c>
      <c r="AI33" s="2328">
        <f t="array" ref="AI33">IFERROR(MIN(IF($AV$9:$AV$18="No",AI9:AI18)),"")</f>
        <v/>
      </c>
      <c r="AJ33" s="2328">
        <f t="array" ref="AJ33">IFERROR(MIN(IF($AV$9:$AV$18="No",AJ9:AJ18)),"")</f>
        <v/>
      </c>
      <c r="AK33" s="2328">
        <f t="array" ref="AK33">IFERROR(MIN(IF($AV$9:$AV$18="No",AK9:AK18)),"")</f>
        <v/>
      </c>
      <c r="AL33" s="2327">
        <f t="array" ref="AL33">IFERROR(MIN(IF($AV$9:$AV$18="No",AL9:AL18)),"")</f>
        <v/>
      </c>
      <c r="AM33" s="2328">
        <f t="array" ref="AM33">IFERROR(MIN(IF($AV$9:$AV$18="No",AM9:AM18)),"")</f>
        <v/>
      </c>
      <c r="AN33" s="2328">
        <f t="array" ref="AN33">IFERROR(MIN(IF($AV$9:$AV$18="No",AN9:AN18)),"")</f>
        <v/>
      </c>
      <c r="AO33" s="2328">
        <f t="array" ref="AO33">IFERROR(MIN(IF($AV$9:$AV$18="No",AO9:AO18)),"")</f>
        <v/>
      </c>
      <c r="AP33" s="2328">
        <f t="array" ref="AP33">IFERROR(MIN(IF($AV$9:$AV$18="No",AP9:AP18)),"")</f>
        <v/>
      </c>
      <c r="AQ33" s="2328">
        <f t="array" ref="AQ33">IFERROR(MIN(IF($AV$9:$AV$18="No",AQ9:AQ18)),"")</f>
        <v/>
      </c>
      <c r="AR33" s="2327">
        <f t="array" ref="AR33">IFERROR(MIN(IF($AV$9:$AV$18="No",AR9:AR18)),"")</f>
        <v/>
      </c>
      <c r="AS33" s="259" t="n"/>
    </row>
    <row r="35">
      <c r="C35" s="480" t="n"/>
      <c r="D35" s="2329" t="n"/>
      <c r="E35" s="2329" t="n"/>
      <c r="F35" s="2329" t="n"/>
      <c r="G35" s="2329" t="n"/>
      <c r="H35" s="2329" t="n"/>
      <c r="I35" s="2329" t="n"/>
      <c r="J35" s="2329" t="n"/>
      <c r="K35" s="809" t="n"/>
      <c r="L35" s="809" t="n"/>
      <c r="M35" s="809" t="n"/>
      <c r="N35" s="809" t="n"/>
      <c r="O35" s="809" t="n"/>
      <c r="P35" s="809" t="n"/>
      <c r="Q35" s="2330" t="n"/>
      <c r="R35" s="2331" t="n"/>
      <c r="S35" s="2331" t="n"/>
      <c r="T35" s="2332" t="n"/>
      <c r="U35" s="2332" t="n"/>
      <c r="V35" s="2332" t="n"/>
      <c r="W35" s="2331" t="n"/>
      <c r="X35" s="2331" t="n"/>
      <c r="Y35" s="2331" t="n"/>
      <c r="Z35" s="2329" t="n"/>
      <c r="AA35" s="2329" t="n"/>
      <c r="AB35" s="2329" t="n"/>
      <c r="AC35" s="2329" t="n"/>
      <c r="AD35" s="2329" t="n"/>
      <c r="AE35" s="2329" t="n"/>
      <c r="AF35" s="2329" t="n"/>
      <c r="AG35" s="2329" t="n"/>
      <c r="AH35" s="2329" t="n"/>
      <c r="AI35" s="2329" t="n"/>
      <c r="AJ35" s="2329" t="n"/>
      <c r="AK35" s="2329" t="n"/>
      <c r="AL35" s="2300" t="n"/>
      <c r="AM35" s="2300" t="n"/>
      <c r="AN35" s="2300" t="n"/>
      <c r="AO35" s="2300" t="n"/>
      <c r="AP35" s="2300" t="n"/>
      <c r="AQ35" s="2300" t="n"/>
      <c r="AR35" s="2329" t="n"/>
      <c r="AS35" s="2329" t="n"/>
    </row>
    <row r="36" hidden="1" outlineLevel="1"/>
    <row r="37" hidden="1" outlineLevel="1">
      <c r="Z37" s="986" t="n"/>
      <c r="AA37" s="986" t="n"/>
      <c r="AB37" s="986" t="n"/>
      <c r="AC37" s="1836" t="n"/>
      <c r="AE37" s="1836" t="inlineStr">
        <is>
          <t>EBITDA</t>
        </is>
      </c>
    </row>
    <row r="38" hidden="1" outlineLevel="1" ht="46" customHeight="1">
      <c r="Z38" s="816" t="inlineStr">
        <is>
          <t>Revenue Growth (2 year CAGR)</t>
        </is>
      </c>
      <c r="AA38" s="816" t="inlineStr">
        <is>
          <t>EBITDA Growth (2 Year CAGR)</t>
        </is>
      </c>
      <c r="AB38" s="816" t="inlineStr">
        <is>
          <t>EBITDA margin FYE</t>
        </is>
      </c>
      <c r="AC38" s="817" t="inlineStr">
        <is>
          <t>FYE+2</t>
        </is>
      </c>
      <c r="AD38" s="817" t="inlineStr">
        <is>
          <t>FYE+3</t>
        </is>
      </c>
      <c r="AE38" s="817" t="inlineStr">
        <is>
          <t>FYE</t>
        </is>
      </c>
    </row>
    <row r="39" hidden="1" outlineLevel="1">
      <c r="B39" s="436" t="n"/>
      <c r="Z39" s="2333">
        <f>IFERROR(INDEX(Growth!$V$10:$V$39,MATCH(Multiples!#REF!,Growth!$D$10:$D$39,0)),"")</f>
        <v/>
      </c>
      <c r="AA39" s="2333">
        <f>IFERROR(INDEX(Growth!$V$60:$V$69,MATCH(#REF!,Growth!$D$60:$D$69,0)),"")</f>
        <v/>
      </c>
      <c r="AB39" s="2333">
        <f>Margins!I59</f>
        <v/>
      </c>
      <c r="AC39" s="2334">
        <f>#REF!</f>
        <v/>
      </c>
      <c r="AD39" s="2334">
        <f>#REF!</f>
        <v/>
      </c>
      <c r="AE39" s="2334">
        <f>AA9</f>
        <v/>
      </c>
    </row>
    <row r="40" hidden="1" outlineLevel="1">
      <c r="B40" s="820" t="n"/>
      <c r="Z40" s="2335">
        <f>IFERROR(INDEX(Growth!$V$10:$V$39,MATCH(Multiples!#REF!,Growth!$D$10:$D$39,0)),"")</f>
        <v/>
      </c>
      <c r="AA40" s="2335">
        <f>IFERROR(INDEX(Growth!$V$60:$V$69,MATCH(#REF!,Growth!$D$60:$D$69,0)),"")</f>
        <v/>
      </c>
      <c r="AB40" s="2333">
        <f>Margins!I60</f>
        <v/>
      </c>
      <c r="AC40" s="2336">
        <f>#REF!</f>
        <v/>
      </c>
      <c r="AD40" s="2336">
        <f>#REF!</f>
        <v/>
      </c>
      <c r="AE40" s="2336">
        <f>AA10</f>
        <v/>
      </c>
    </row>
    <row r="41" hidden="1" outlineLevel="1">
      <c r="B41" s="820" t="n"/>
      <c r="Z41" s="2335">
        <f>IFERROR(INDEX(Growth!$V$10:$V$39,MATCH(Multiples!#REF!,Growth!$D$10:$D$39,0)),"")</f>
        <v/>
      </c>
      <c r="AA41" s="2335">
        <f>IFERROR(INDEX(Growth!$V$60:$V$69,MATCH(#REF!,Growth!$D$60:$D$69,0)),"")</f>
        <v/>
      </c>
      <c r="AB41" s="2333">
        <f>Margins!I61</f>
        <v/>
      </c>
      <c r="AC41" s="2336">
        <f>#REF!</f>
        <v/>
      </c>
      <c r="AD41" s="2336">
        <f>#REF!</f>
        <v/>
      </c>
      <c r="AE41" s="2336">
        <f>AA11</f>
        <v/>
      </c>
    </row>
    <row r="42" hidden="1" outlineLevel="1">
      <c r="B42" s="820" t="n"/>
      <c r="Z42" s="2335">
        <f>IFERROR(INDEX(Growth!$V$10:$V$39,MATCH(Multiples!#REF!,Growth!$D$10:$D$39,0)),"")</f>
        <v/>
      </c>
      <c r="AA42" s="2335">
        <f>IFERROR(INDEX(Growth!$V$60:$V$69,MATCH(#REF!,Growth!$D$60:$D$69,0)),"")</f>
        <v/>
      </c>
      <c r="AB42" s="2333">
        <f>Margins!I62</f>
        <v/>
      </c>
      <c r="AC42" s="2336">
        <f>#REF!</f>
        <v/>
      </c>
      <c r="AD42" s="2336">
        <f>#REF!</f>
        <v/>
      </c>
      <c r="AE42" s="2336">
        <f>AA12</f>
        <v/>
      </c>
    </row>
    <row r="43" hidden="1" outlineLevel="1">
      <c r="B43" s="820" t="n"/>
      <c r="Z43" s="2335">
        <f>IFERROR(INDEX(Growth!$V$10:$V$39,MATCH(Multiples!#REF!,Growth!$D$10:$D$39,0)),"")</f>
        <v/>
      </c>
      <c r="AA43" s="2335">
        <f>IFERROR(INDEX(Growth!$V$60:$V$69,MATCH(#REF!,Growth!$D$60:$D$69,0)),"")</f>
        <v/>
      </c>
      <c r="AB43" s="2333">
        <f>Margins!I63</f>
        <v/>
      </c>
      <c r="AC43" s="2336">
        <f>#REF!</f>
        <v/>
      </c>
      <c r="AD43" s="2336">
        <f>#REF!</f>
        <v/>
      </c>
      <c r="AE43" s="2336">
        <f>AA13</f>
        <v/>
      </c>
    </row>
    <row r="44" hidden="1" outlineLevel="1">
      <c r="B44" s="820" t="n"/>
      <c r="Z44" s="2335">
        <f>IFERROR(INDEX(Growth!$V$10:$V$39,MATCH(Multiples!#REF!,Growth!$D$10:$D$39,0)),"")</f>
        <v/>
      </c>
      <c r="AA44" s="2335">
        <f>IFERROR(INDEX(Growth!$V$60:$V$69,MATCH(#REF!,Growth!$D$60:$D$69,0)),"")</f>
        <v/>
      </c>
      <c r="AB44" s="2333">
        <f>Margins!I64</f>
        <v/>
      </c>
      <c r="AC44" s="2336">
        <f>#REF!</f>
        <v/>
      </c>
      <c r="AD44" s="2336">
        <f>#REF!</f>
        <v/>
      </c>
      <c r="AE44" s="2336">
        <f>AA14</f>
        <v/>
      </c>
    </row>
    <row r="45" hidden="1" outlineLevel="1">
      <c r="B45" s="820" t="n"/>
      <c r="Z45" s="2335">
        <f>IFERROR(INDEX(Growth!$V$10:$V$39,MATCH(Multiples!#REF!,Growth!$D$10:$D$39,0)),"")</f>
        <v/>
      </c>
      <c r="AA45" s="2335">
        <f>IFERROR(INDEX(Growth!$V$60:$V$69,MATCH(#REF!,Growth!$D$60:$D$69,0)),"")</f>
        <v/>
      </c>
      <c r="AB45" s="2333">
        <f>Margins!I65</f>
        <v/>
      </c>
      <c r="AC45" s="2336">
        <f>#REF!</f>
        <v/>
      </c>
      <c r="AD45" s="2336">
        <f>#REF!</f>
        <v/>
      </c>
      <c r="AE45" s="2336">
        <f>AA15</f>
        <v/>
      </c>
    </row>
    <row r="46" hidden="1" outlineLevel="1">
      <c r="B46" s="820" t="n"/>
      <c r="Z46" s="2335">
        <f>IFERROR(INDEX(Growth!$V$10:$V$39,MATCH(Multiples!#REF!,Growth!$D$10:$D$39,0)),"")</f>
        <v/>
      </c>
      <c r="AA46" s="2335">
        <f>IFERROR(INDEX(Growth!$V$60:$V$69,MATCH(#REF!,Growth!$D$60:$D$69,0)),"")</f>
        <v/>
      </c>
      <c r="AB46" s="2333">
        <f>Margins!I66</f>
        <v/>
      </c>
      <c r="AC46" s="2336">
        <f>#REF!</f>
        <v/>
      </c>
      <c r="AD46" s="2336">
        <f>#REF!</f>
        <v/>
      </c>
      <c r="AE46" s="2336">
        <f>AA16</f>
        <v/>
      </c>
    </row>
    <row r="47" hidden="1" outlineLevel="1">
      <c r="B47" s="820" t="n"/>
      <c r="Z47" s="2335">
        <f>IFERROR(INDEX(Growth!$V$10:$V$39,MATCH(Multiples!#REF!,Growth!$D$10:$D$39,0)),"")</f>
        <v/>
      </c>
      <c r="AA47" s="2335">
        <f>IFERROR(INDEX(Growth!$V$60:$V$69,MATCH(#REF!,Growth!$D$60:$D$69,0)),"")</f>
        <v/>
      </c>
      <c r="AB47" s="2333">
        <f>Margins!I67</f>
        <v/>
      </c>
      <c r="AC47" s="2336">
        <f>#REF!</f>
        <v/>
      </c>
      <c r="AD47" s="2336">
        <f>#REF!</f>
        <v/>
      </c>
      <c r="AE47" s="2336">
        <f>AA17</f>
        <v/>
      </c>
    </row>
    <row r="48" hidden="1" outlineLevel="1">
      <c r="B48" s="820" t="n"/>
      <c r="Z48" s="2335">
        <f>IFERROR(INDEX(Growth!$V$10:$V$39,MATCH(Multiples!#REF!,Growth!$D$10:$D$39,0)),"")</f>
        <v/>
      </c>
      <c r="AA48" s="2335">
        <f>IFERROR(INDEX(Growth!$V$60:$V$69,MATCH(#REF!,Growth!$D$60:$D$69,0)),"")</f>
        <v/>
      </c>
      <c r="AB48" s="2333">
        <f>Margins!I88</f>
        <v/>
      </c>
      <c r="AC48" s="2336">
        <f>#REF!</f>
        <v/>
      </c>
      <c r="AD48" s="2336">
        <f>#REF!</f>
        <v/>
      </c>
      <c r="AE48" s="2336">
        <f>#REF!</f>
        <v/>
      </c>
    </row>
    <row r="49" hidden="1" outlineLevel="1">
      <c r="B49" s="820" t="n"/>
      <c r="Z49" s="2335">
        <f>IFERROR(INDEX(Growth!$V$10:$V$39,MATCH(Multiples!#REF!,Growth!$D$10:$D$39,0)),"")</f>
        <v/>
      </c>
      <c r="AA49" s="2335">
        <f>IFERROR(INDEX(Growth!$V$60:$V$69,MATCH(#REF!,Growth!$D$60:$D$69,0)),"")</f>
        <v/>
      </c>
      <c r="AB49" s="2333">
        <f>Margins!#REF!</f>
        <v/>
      </c>
      <c r="AC49" s="2336">
        <f>#REF!</f>
        <v/>
      </c>
      <c r="AD49" s="2336">
        <f>#REF!</f>
        <v/>
      </c>
      <c r="AE49" s="2336">
        <f>#REF!</f>
        <v/>
      </c>
    </row>
    <row r="50" hidden="1" outlineLevel="1">
      <c r="B50" s="820" t="n"/>
      <c r="Z50" s="2335">
        <f>IFERROR(INDEX(Growth!$V$10:$V$39,MATCH(Multiples!#REF!,Growth!$D$10:$D$39,0)),"")</f>
        <v/>
      </c>
      <c r="AA50" s="2335">
        <f>IFERROR(INDEX(Growth!$V$60:$V$69,MATCH(#REF!,Growth!$D$60:$D$69,0)),"")</f>
        <v/>
      </c>
      <c r="AB50" s="2333">
        <f>Margins!#REF!</f>
        <v/>
      </c>
      <c r="AC50" s="2336">
        <f>#REF!</f>
        <v/>
      </c>
      <c r="AD50" s="2336">
        <f>#REF!</f>
        <v/>
      </c>
      <c r="AE50" s="2336">
        <f>#REF!</f>
        <v/>
      </c>
    </row>
    <row r="51" hidden="1" outlineLevel="1">
      <c r="B51" s="820" t="n"/>
      <c r="Z51" s="2335">
        <f>IFERROR(INDEX(Growth!$V$10:$V$39,MATCH(Multiples!#REF!,Growth!$D$10:$D$39,0)),"")</f>
        <v/>
      </c>
      <c r="AA51" s="2335">
        <f>IFERROR(INDEX(Growth!$V$60:$V$69,MATCH(#REF!,Growth!$D$60:$D$69,0)),"")</f>
        <v/>
      </c>
      <c r="AB51" s="2333">
        <f>Margins!#REF!</f>
        <v/>
      </c>
      <c r="AC51" s="2336">
        <f>#REF!</f>
        <v/>
      </c>
      <c r="AD51" s="2336">
        <f>#REF!</f>
        <v/>
      </c>
      <c r="AE51" s="2336">
        <f>#REF!</f>
        <v/>
      </c>
    </row>
    <row r="52" hidden="1" outlineLevel="1">
      <c r="B52" s="820" t="n"/>
      <c r="Z52" s="2335">
        <f>IFERROR(INDEX(Growth!$V$10:$V$39,MATCH(Multiples!#REF!,Growth!$D$10:$D$39,0)),"")</f>
        <v/>
      </c>
      <c r="AA52" s="2335">
        <f>IFERROR(INDEX(Growth!$V$60:$V$69,MATCH(#REF!,Growth!$D$60:$D$69,0)),"")</f>
        <v/>
      </c>
      <c r="AB52" s="2333">
        <f>Margins!#REF!</f>
        <v/>
      </c>
      <c r="AC52" s="2336">
        <f>#REF!</f>
        <v/>
      </c>
      <c r="AD52" s="2336">
        <f>#REF!</f>
        <v/>
      </c>
      <c r="AE52" s="2336">
        <f>#REF!</f>
        <v/>
      </c>
    </row>
    <row r="53" hidden="1" outlineLevel="1">
      <c r="B53" s="820" t="n"/>
      <c r="Z53" s="2335">
        <f>IFERROR(INDEX(Growth!$V$10:$V$39,MATCH(Multiples!#REF!,Growth!$D$10:$D$39,0)),"")</f>
        <v/>
      </c>
      <c r="AA53" s="2335">
        <f>IFERROR(INDEX(Growth!$V$60:$V$69,MATCH(#REF!,Growth!$D$60:$D$69,0)),"")</f>
        <v/>
      </c>
      <c r="AB53" s="2333">
        <f>Margins!#REF!</f>
        <v/>
      </c>
      <c r="AC53" s="2336">
        <f>#REF!</f>
        <v/>
      </c>
      <c r="AD53" s="2336">
        <f>#REF!</f>
        <v/>
      </c>
      <c r="AE53" s="2336">
        <f>#REF!</f>
        <v/>
      </c>
    </row>
    <row r="54" hidden="1" outlineLevel="1">
      <c r="B54" s="820" t="n"/>
      <c r="Z54" s="2335">
        <f>IFERROR(INDEX(Growth!$V$10:$V$39,MATCH(Multiples!#REF!,Growth!$D$10:$D$39,0)),"")</f>
        <v/>
      </c>
      <c r="AA54" s="2335">
        <f>IFERROR(INDEX(Growth!$V$60:$V$69,MATCH(#REF!,Growth!$D$60:$D$69,0)),"")</f>
        <v/>
      </c>
      <c r="AB54" s="2333">
        <f>Margins!#REF!</f>
        <v/>
      </c>
      <c r="AC54" s="2336">
        <f>#REF!</f>
        <v/>
      </c>
      <c r="AD54" s="2336">
        <f>#REF!</f>
        <v/>
      </c>
      <c r="AE54" s="2336">
        <f>#REF!</f>
        <v/>
      </c>
    </row>
    <row r="55" hidden="1" outlineLevel="1">
      <c r="B55" s="820" t="n"/>
      <c r="Z55" s="2335">
        <f>IFERROR(INDEX(Growth!$V$10:$V$39,MATCH(Multiples!#REF!,Growth!$D$10:$D$39,0)),"")</f>
        <v/>
      </c>
      <c r="AA55" s="2335">
        <f>IFERROR(INDEX(Growth!$V$60:$V$69,MATCH(#REF!,Growth!$D$60:$D$69,0)),"")</f>
        <v/>
      </c>
      <c r="AB55" s="2333">
        <f>Margins!#REF!</f>
        <v/>
      </c>
      <c r="AC55" s="2336">
        <f>#REF!</f>
        <v/>
      </c>
      <c r="AD55" s="2336">
        <f>#REF!</f>
        <v/>
      </c>
      <c r="AE55" s="2336">
        <f>#REF!</f>
        <v/>
      </c>
    </row>
    <row r="56" hidden="1" outlineLevel="1">
      <c r="B56" s="820" t="n"/>
      <c r="Z56" s="2335">
        <f>IFERROR(INDEX(Growth!$V$10:$V$39,MATCH(Multiples!#REF!,Growth!$D$10:$D$39,0)),"")</f>
        <v/>
      </c>
      <c r="AA56" s="2335">
        <f>IFERROR(INDEX(Growth!$V$60:$V$69,MATCH(#REF!,Growth!$D$60:$D$69,0)),"")</f>
        <v/>
      </c>
      <c r="AB56" s="2333">
        <f>Margins!#REF!</f>
        <v/>
      </c>
      <c r="AC56" s="2336">
        <f>#REF!</f>
        <v/>
      </c>
      <c r="AD56" s="2336">
        <f>#REF!</f>
        <v/>
      </c>
      <c r="AE56" s="2336">
        <f>#REF!</f>
        <v/>
      </c>
    </row>
    <row r="57" hidden="1" outlineLevel="1">
      <c r="B57" s="820" t="n"/>
      <c r="Z57" s="2335">
        <f>IFERROR(INDEX(Growth!$V$10:$V$39,MATCH(Multiples!#REF!,Growth!$D$10:$D$39,0)),"")</f>
        <v/>
      </c>
      <c r="AA57" s="2335">
        <f>IFERROR(INDEX(Growth!$V$60:$V$69,MATCH(#REF!,Growth!$D$60:$D$69,0)),"")</f>
        <v/>
      </c>
      <c r="AB57" s="2333">
        <f>Margins!#REF!</f>
        <v/>
      </c>
      <c r="AC57" s="2336">
        <f>#REF!</f>
        <v/>
      </c>
      <c r="AD57" s="2336">
        <f>#REF!</f>
        <v/>
      </c>
      <c r="AE57" s="2336">
        <f>#REF!</f>
        <v/>
      </c>
    </row>
    <row r="58" hidden="1" outlineLevel="1">
      <c r="B58" s="820" t="n"/>
      <c r="Z58" s="2335">
        <f>IFERROR(INDEX(Growth!$V$10:$V$39,MATCH(Multiples!#REF!,Growth!$D$10:$D$39,0)),"")</f>
        <v/>
      </c>
      <c r="AA58" s="2335">
        <f>IFERROR(INDEX(Growth!$V$60:$V$69,MATCH(#REF!,Growth!$D$60:$D$69,0)),"")</f>
        <v/>
      </c>
      <c r="AB58" s="2333">
        <f>Margins!#REF!</f>
        <v/>
      </c>
      <c r="AC58" s="2336">
        <f>#REF!</f>
        <v/>
      </c>
      <c r="AD58" s="2336">
        <f>#REF!</f>
        <v/>
      </c>
      <c r="AE58" s="2336">
        <f>#REF!</f>
        <v/>
      </c>
    </row>
    <row r="59" hidden="1" outlineLevel="1">
      <c r="B59" s="820" t="n"/>
      <c r="Z59" s="2335">
        <f>IFERROR(INDEX(Growth!$V$10:$V$39,MATCH(Multiples!#REF!,Growth!$D$10:$D$39,0)),"")</f>
        <v/>
      </c>
      <c r="AA59" s="2335">
        <f>IFERROR(INDEX(Growth!$V$60:$V$69,MATCH(#REF!,Growth!$D$60:$D$69,0)),"")</f>
        <v/>
      </c>
      <c r="AB59" s="2333">
        <f>Margins!#REF!</f>
        <v/>
      </c>
      <c r="AC59" s="2336">
        <f>#REF!</f>
        <v/>
      </c>
      <c r="AD59" s="2336">
        <f>#REF!</f>
        <v/>
      </c>
      <c r="AE59" s="2336">
        <f>#REF!</f>
        <v/>
      </c>
    </row>
    <row r="60" hidden="1" outlineLevel="1">
      <c r="B60" s="820" t="n"/>
      <c r="Z60" s="2335">
        <f>IFERROR(INDEX(Growth!$V$10:$V$39,MATCH(Multiples!#REF!,Growth!$D$10:$D$39,0)),"")</f>
        <v/>
      </c>
      <c r="AA60" s="2335">
        <f>IFERROR(INDEX(Growth!$V$60:$V$69,MATCH(#REF!,Growth!$D$60:$D$69,0)),"")</f>
        <v/>
      </c>
      <c r="AB60" s="2333">
        <f>Margins!#REF!</f>
        <v/>
      </c>
      <c r="AC60" s="2336">
        <f>#REF!</f>
        <v/>
      </c>
      <c r="AD60" s="2336">
        <f>#REF!</f>
        <v/>
      </c>
      <c r="AE60" s="2336">
        <f>#REF!</f>
        <v/>
      </c>
    </row>
    <row r="61" hidden="1" outlineLevel="1">
      <c r="B61" s="820" t="n"/>
      <c r="Z61" s="2335">
        <f>IFERROR(INDEX(Growth!$V$10:$V$39,MATCH(Multiples!#REF!,Growth!$D$10:$D$39,0)),"")</f>
        <v/>
      </c>
      <c r="AA61" s="2335">
        <f>IFERROR(INDEX(Growth!$V$60:$V$69,MATCH(#REF!,Growth!$D$60:$D$69,0)),"")</f>
        <v/>
      </c>
      <c r="AB61" s="2333">
        <f>Margins!#REF!</f>
        <v/>
      </c>
      <c r="AC61" s="2336">
        <f>#REF!</f>
        <v/>
      </c>
      <c r="AD61" s="2336">
        <f>#REF!</f>
        <v/>
      </c>
      <c r="AE61" s="2336">
        <f>#REF!</f>
        <v/>
      </c>
    </row>
    <row r="62" hidden="1" outlineLevel="1">
      <c r="B62" s="820" t="n"/>
      <c r="Z62" s="2335">
        <f>IFERROR(INDEX(Growth!$V$10:$V$39,MATCH(Multiples!#REF!,Growth!$D$10:$D$39,0)),"")</f>
        <v/>
      </c>
      <c r="AA62" s="2335">
        <f>IFERROR(INDEX(Growth!$V$60:$V$69,MATCH(#REF!,Growth!$D$60:$D$69,0)),"")</f>
        <v/>
      </c>
      <c r="AB62" s="2333">
        <f>Margins!#REF!</f>
        <v/>
      </c>
      <c r="AC62" s="2336">
        <f>#REF!</f>
        <v/>
      </c>
      <c r="AD62" s="2336">
        <f>#REF!</f>
        <v/>
      </c>
      <c r="AE62" s="2336">
        <f>#REF!</f>
        <v/>
      </c>
    </row>
    <row r="63" hidden="1" outlineLevel="1">
      <c r="B63" s="820" t="n"/>
      <c r="Z63" s="2335">
        <f>IFERROR(INDEX(Growth!$V$10:$V$39,MATCH(Multiples!#REF!,Growth!$D$10:$D$39,0)),"")</f>
        <v/>
      </c>
      <c r="AA63" s="2335">
        <f>IFERROR(INDEX(Growth!$V$60:$V$69,MATCH(#REF!,Growth!$D$60:$D$69,0)),"")</f>
        <v/>
      </c>
      <c r="AB63" s="2333">
        <f>Margins!#REF!</f>
        <v/>
      </c>
      <c r="AC63" s="2336">
        <f>#REF!</f>
        <v/>
      </c>
      <c r="AD63" s="2336">
        <f>#REF!</f>
        <v/>
      </c>
      <c r="AE63" s="2336">
        <f>#REF!</f>
        <v/>
      </c>
    </row>
    <row r="64" hidden="1" outlineLevel="1">
      <c r="B64" s="820" t="n"/>
      <c r="Z64" s="2335">
        <f>IFERROR(INDEX(Growth!$V$10:$V$39,MATCH(Multiples!#REF!,Growth!$D$10:$D$39,0)),"")</f>
        <v/>
      </c>
      <c r="AA64" s="2335">
        <f>IFERROR(INDEX(Growth!$V$60:$V$69,MATCH(#REF!,Growth!$D$60:$D$69,0)),"")</f>
        <v/>
      </c>
      <c r="AB64" s="2333">
        <f>Margins!#REF!</f>
        <v/>
      </c>
      <c r="AC64" s="2336">
        <f>#REF!</f>
        <v/>
      </c>
      <c r="AD64" s="2336">
        <f>#REF!</f>
        <v/>
      </c>
      <c r="AE64" s="2336">
        <f>#REF!</f>
        <v/>
      </c>
    </row>
    <row r="65" hidden="1" outlineLevel="1">
      <c r="B65" s="820" t="n"/>
      <c r="Z65" s="2335">
        <f>IFERROR(INDEX(Growth!$V$10:$V$39,MATCH(Multiples!#REF!,Growth!$D$10:$D$39,0)),"")</f>
        <v/>
      </c>
      <c r="AA65" s="2335">
        <f>IFERROR(INDEX(Growth!$V$60:$V$69,MATCH(#REF!,Growth!$D$60:$D$69,0)),"")</f>
        <v/>
      </c>
      <c r="AB65" s="2333">
        <f>Margins!#REF!</f>
        <v/>
      </c>
      <c r="AC65" s="2336">
        <f>#REF!</f>
        <v/>
      </c>
      <c r="AD65" s="2336">
        <f>#REF!</f>
        <v/>
      </c>
      <c r="AE65" s="2336">
        <f>#REF!</f>
        <v/>
      </c>
    </row>
    <row r="66" hidden="1" outlineLevel="1">
      <c r="B66" s="820" t="n"/>
      <c r="Z66" s="2335">
        <f>IFERROR(INDEX(Growth!$V$10:$V$39,MATCH(Multiples!#REF!,Growth!$D$10:$D$39,0)),"")</f>
        <v/>
      </c>
      <c r="AA66" s="2335">
        <f>IFERROR(INDEX(Growth!$V$60:$V$69,MATCH(#REF!,Growth!$D$60:$D$69,0)),"")</f>
        <v/>
      </c>
      <c r="AB66" s="2333">
        <f>Margins!#REF!</f>
        <v/>
      </c>
      <c r="AC66" s="2336">
        <f>#REF!</f>
        <v/>
      </c>
      <c r="AD66" s="2336">
        <f>#REF!</f>
        <v/>
      </c>
      <c r="AE66" s="2336">
        <f>#REF!</f>
        <v/>
      </c>
    </row>
    <row r="67" hidden="1" outlineLevel="1">
      <c r="B67" s="820" t="n"/>
      <c r="Z67" s="2335">
        <f>IFERROR(INDEX(Growth!$V$10:$V$39,MATCH(Multiples!#REF!,Growth!$D$10:$D$39,0)),"")</f>
        <v/>
      </c>
      <c r="AA67" s="2335">
        <f>IFERROR(INDEX(Growth!$V$60:$V$69,MATCH(#REF!,Growth!$D$60:$D$69,0)),"")</f>
        <v/>
      </c>
      <c r="AB67" s="2333">
        <f>Margins!#REF!</f>
        <v/>
      </c>
      <c r="AC67" s="2336">
        <f>#REF!</f>
        <v/>
      </c>
      <c r="AD67" s="2336">
        <f>#REF!</f>
        <v/>
      </c>
      <c r="AE67" s="2336">
        <f>#REF!</f>
        <v/>
      </c>
    </row>
    <row r="68" hidden="1" outlineLevel="1">
      <c r="B68" s="820" t="n"/>
      <c r="Z68" s="2337">
        <f>IFERROR(INDEX(Growth!$V$10:$V$39,MATCH(Multiples!#REF!,Growth!$D$10:$D$39,0)),"")</f>
        <v/>
      </c>
      <c r="AA68" s="2337">
        <f>IFERROR(INDEX(Growth!$V$60:$V$69,MATCH(#REF!,Growth!$D$60:$D$69,0)),"")</f>
        <v/>
      </c>
      <c r="AB68" s="2337">
        <f>Margins!#REF!</f>
        <v/>
      </c>
      <c r="AC68" s="2338">
        <f>#REF!</f>
        <v/>
      </c>
      <c r="AD68" s="2338">
        <f>#REF!</f>
        <v/>
      </c>
      <c r="AE68" s="2338">
        <f>#REF!</f>
        <v/>
      </c>
    </row>
    <row r="69" hidden="1" outlineLevel="1">
      <c r="B69" s="820" t="n"/>
    </row>
    <row r="70" hidden="1" outlineLevel="1">
      <c r="Z70" s="374" t="inlineStr">
        <is>
          <t>Example linear regression</t>
        </is>
      </c>
    </row>
    <row r="71" hidden="1" outlineLevel="1"/>
    <row r="72" hidden="1" outlineLevel="1"/>
    <row r="73" hidden="1" outlineLevel="1"/>
    <row r="74" hidden="1" outlineLevel="1"/>
    <row r="75" hidden="1" outlineLevel="1"/>
    <row r="76" hidden="1" outlineLevel="1"/>
    <row r="77" hidden="1" outlineLevel="1"/>
    <row r="78" hidden="1" outlineLevel="1"/>
    <row r="79" hidden="1" outlineLevel="1"/>
    <row r="80" hidden="1" outlineLevel="1"/>
    <row r="81" hidden="1" outlineLevel="1"/>
    <row r="82" hidden="1" outlineLevel="1"/>
    <row r="83" hidden="1" outlineLevel="1"/>
    <row r="84" hidden="1" outlineLevel="1"/>
    <row r="85" hidden="1" outlineLevel="1"/>
    <row r="86" hidden="1" outlineLevel="1"/>
    <row r="87" collapsed="1"/>
  </sheetData>
  <mergeCells count="13">
    <mergeCell ref="N7:P7"/>
    <mergeCell ref="AL7:AQ7"/>
    <mergeCell ref="AF7:AK7"/>
    <mergeCell ref="I7"/>
    <mergeCell ref="AC37:AD37"/>
    <mergeCell ref="F7:H7"/>
    <mergeCell ref="T7:V7"/>
    <mergeCell ref="Q7:S7"/>
    <mergeCell ref="C7:E7"/>
    <mergeCell ref="W7:Y7"/>
    <mergeCell ref="K7:M7"/>
    <mergeCell ref="Z7:AB7"/>
    <mergeCell ref="AC7:AE7"/>
  </mergeCells>
  <conditionalFormatting sqref="C9:AP18 AQ10:AQ18 AR9:AR18">
    <cfRule type="expression" priority="49" dxfId="0">
      <formula>$AV9="Yes"</formula>
    </cfRule>
  </conditionalFormatting>
  <conditionalFormatting sqref="AQ9">
    <cfRule type="expression" priority="44" dxfId="0">
      <formula>$AV9="Yes"</formula>
    </cfRule>
  </conditionalFormatting>
  <conditionalFormatting sqref="E10:E18">
    <cfRule type="expression" priority="19" dxfId="4">
      <formula>IF(valuation.date-E10&gt;365,1,0)</formula>
    </cfRule>
  </conditionalFormatting>
  <conditionalFormatting sqref="E9">
    <cfRule type="expression" priority="7" dxfId="4">
      <formula>IF(valuation.date-E9&gt;365,1,0)</formula>
    </cfRule>
  </conditionalFormatting>
  <conditionalFormatting sqref="Y9:Y33 AB9:AB33 AE9:AE33 AH9:AH33 AN9:AN33">
    <cfRule type="expression" priority="105" dxfId="0">
      <formula>COUNTIF(#REF!,-1)&gt;0</formula>
    </cfRule>
  </conditionalFormatting>
  <dataValidations count="1">
    <dataValidation sqref="AV9:AV18" showDropDown="0" showInputMessage="1" showErrorMessage="1" allowBlank="1" type="list">
      <formula1>"Yes, No"</formula1>
    </dataValidation>
  </dataValidations>
  <printOptions horizontalCentered="1"/>
  <pageMargins left="0.25" right="0.25" top="0.75" bottom="0.25" header="0.25" footer="0.25"/>
  <pageSetup orientation="landscape" scale="44" horizontalDpi="360" verticalDpi="300"/>
  <headerFooter alignWithMargins="0">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29.xml><?xml version="1.0" encoding="utf-8"?>
<worksheet xmlns="http://schemas.openxmlformats.org/spreadsheetml/2006/main">
  <sheetPr codeName="Sheet19">
    <tabColor theme="9" tint="-0.09997863704336681"/>
    <outlinePr summaryBelow="1" summaryRight="1"/>
    <pageSetUpPr fitToPage="1"/>
  </sheetPr>
  <dimension ref="B1:T61"/>
  <sheetViews>
    <sheetView showGridLines="0" view="pageBreakPreview" zoomScaleSheetLayoutView="100" workbookViewId="0">
      <selection activeCell="L4" sqref="L4"/>
    </sheetView>
  </sheetViews>
  <sheetFormatPr baseColWidth="8" defaultColWidth="8.84375" defaultRowHeight="11.5"/>
  <cols>
    <col width="4.4609375" customWidth="1" style="259" min="1" max="1"/>
    <col width="2.84375" customWidth="1" style="259" min="2" max="2"/>
    <col width="7.84375" customWidth="1" style="259" min="3" max="3"/>
    <col width="29.84375" customWidth="1" style="259" min="4" max="5"/>
    <col width="7.84375" customWidth="1" style="259" min="6" max="11"/>
    <col width="2.84375" customWidth="1" style="259" min="12" max="12"/>
    <col width="1.53515625" customWidth="1" style="259" min="13" max="13"/>
    <col width="12.07421875" bestFit="1" customWidth="1" style="259" min="14" max="14"/>
    <col width="8.84375" customWidth="1" style="259" min="15" max="16384"/>
  </cols>
  <sheetData>
    <row r="1" ht="12" customFormat="1" customHeight="1" s="752" thickBot="1">
      <c r="O1" s="504" t="inlineStr">
        <is>
          <t>Yes</t>
        </is>
      </c>
    </row>
    <row r="2" customFormat="1" s="747">
      <c r="B2" s="505">
        <f>BS!B2</f>
        <v/>
      </c>
      <c r="C2" s="393" t="n"/>
      <c r="D2" s="259" t="n"/>
      <c r="E2" s="259" t="n"/>
      <c r="F2" s="259" t="n"/>
      <c r="G2" s="259" t="n"/>
      <c r="H2" s="259" t="n"/>
      <c r="I2" s="259" t="n"/>
      <c r="J2" s="259" t="n"/>
      <c r="K2" s="259" t="n"/>
      <c r="L2" s="302" t="n"/>
      <c r="O2" s="504" t="inlineStr">
        <is>
          <t>No</t>
        </is>
      </c>
      <c r="P2" s="2339" t="inlineStr">
        <is>
          <t>&lt;&lt; Report table format for guideline transactions</t>
        </is>
      </c>
      <c r="Q2" s="2340" t="n"/>
      <c r="R2" s="2340" t="n"/>
      <c r="S2" s="2341" t="n"/>
    </row>
    <row r="3" ht="15.75" customFormat="1" customHeight="1" s="510">
      <c r="B3" s="505">
        <f>Inputs!$B$3</f>
        <v/>
      </c>
      <c r="C3" s="506" t="n"/>
      <c r="D3" s="506" t="n"/>
      <c r="E3" s="506" t="n"/>
      <c r="F3" s="506" t="n"/>
      <c r="G3" s="506" t="n"/>
      <c r="H3" s="506" t="n"/>
      <c r="I3" s="506" t="n"/>
      <c r="J3" s="506" t="n"/>
      <c r="K3" s="506" t="n"/>
      <c r="L3" s="309" t="n"/>
      <c r="P3" s="2342" t="n"/>
      <c r="S3" s="2343" t="n"/>
    </row>
    <row r="4" customFormat="1" s="510">
      <c r="B4" s="507" t="inlineStr">
        <is>
          <t>Market Approach: Guideline Transaction Method - Indication of Value</t>
        </is>
      </c>
      <c r="C4" s="508" t="n"/>
      <c r="D4" s="508" t="n"/>
      <c r="E4" s="508" t="n"/>
      <c r="F4" s="508" t="n"/>
      <c r="G4" s="508" t="n"/>
      <c r="H4" s="508" t="n"/>
      <c r="I4" s="508" t="n"/>
      <c r="J4" s="508" t="n"/>
      <c r="K4" s="508" t="n"/>
      <c r="L4" s="561">
        <f>valuation.date.header</f>
        <v/>
      </c>
      <c r="P4" s="2342" t="n"/>
      <c r="S4" s="2343" t="n"/>
    </row>
    <row r="5" customFormat="1" s="510">
      <c r="B5" s="510" t="n"/>
      <c r="C5" s="510" t="n"/>
      <c r="D5" s="510" t="n"/>
      <c r="E5" s="510" t="n"/>
      <c r="F5" s="510" t="n"/>
      <c r="G5" s="510" t="n"/>
      <c r="H5" s="510" t="n"/>
      <c r="I5" s="510" t="n"/>
      <c r="J5" s="510" t="n"/>
      <c r="K5" s="510" t="n"/>
      <c r="P5" s="2342" t="n"/>
      <c r="S5" s="2343" t="n"/>
    </row>
    <row r="6">
      <c r="P6" s="2342" t="n"/>
      <c r="S6" s="2343" t="n"/>
    </row>
    <row r="7" ht="18" customFormat="1" customHeight="1" s="432" thickBot="1">
      <c r="C7" s="511" t="inlineStr">
        <is>
          <t>Disclosed financial information for completed transactions</t>
        </is>
      </c>
      <c r="D7" s="512" t="n"/>
      <c r="E7" s="512" t="n"/>
      <c r="F7" s="512" t="n"/>
      <c r="G7" s="512" t="n"/>
      <c r="H7" s="512" t="n"/>
      <c r="I7" s="513" t="n"/>
      <c r="J7" s="513" t="n"/>
      <c r="K7" s="514" t="n"/>
      <c r="P7" s="2344" t="n"/>
      <c r="Q7" s="2345" t="n"/>
      <c r="R7" s="2345" t="n"/>
      <c r="S7" s="2346" t="n"/>
    </row>
    <row r="8" ht="12" customFormat="1" customHeight="1" s="432">
      <c r="B8" s="432" t="n"/>
      <c r="C8" s="515">
        <f>currency.heading1</f>
        <v/>
      </c>
      <c r="D8" s="515" t="n"/>
      <c r="E8" s="515" t="n"/>
      <c r="F8" s="70" t="n"/>
      <c r="G8" s="70" t="n"/>
      <c r="H8" s="70" t="n"/>
      <c r="I8" s="70" t="n"/>
      <c r="J8" s="70" t="n"/>
      <c r="K8" s="70" t="n"/>
      <c r="N8" s="516" t="inlineStr">
        <is>
          <t>Exclude as outlier?</t>
        </is>
      </c>
    </row>
    <row r="9" ht="25.25" customFormat="1" customHeight="1" s="432" thickBot="1">
      <c r="B9" s="432" t="n"/>
      <c r="C9" s="517" t="inlineStr">
        <is>
          <t>Date</t>
        </is>
      </c>
      <c r="D9" s="517" t="inlineStr">
        <is>
          <t>Target</t>
        </is>
      </c>
      <c r="E9" s="517" t="inlineStr">
        <is>
          <t>Acquiror name</t>
        </is>
      </c>
      <c r="F9" s="518" t="inlineStr">
        <is>
          <t>EV</t>
        </is>
      </c>
      <c r="G9" s="518" t="inlineStr">
        <is>
          <t>Revenue</t>
        </is>
      </c>
      <c r="H9" s="518" t="inlineStr">
        <is>
          <t>EBITDA</t>
        </is>
      </c>
      <c r="I9" s="518" t="inlineStr">
        <is>
          <t>EBITDA margin</t>
        </is>
      </c>
      <c r="J9" s="518" t="inlineStr">
        <is>
          <t>EV / Revenue</t>
        </is>
      </c>
      <c r="K9" s="518" t="inlineStr">
        <is>
          <t>EV / EBITDA</t>
        </is>
      </c>
      <c r="N9" s="516" t="n"/>
    </row>
    <row r="10" ht="12" customHeight="1" thickBot="1">
      <c r="B10" s="259" t="n"/>
      <c r="C10" s="2347">
        <f>'GPC Data'!D328</f>
        <v/>
      </c>
      <c r="D10" s="2348">
        <f>'GPC Data'!E328</f>
        <v/>
      </c>
      <c r="E10" s="2348">
        <f>'GPC Data'!F328</f>
        <v/>
      </c>
      <c r="F10" s="2349">
        <f>'GPC Data'!G328</f>
        <v/>
      </c>
      <c r="G10" s="2349">
        <f>'GPC Data'!H328</f>
        <v/>
      </c>
      <c r="H10" s="2349">
        <f>'GPC Data'!I328</f>
        <v/>
      </c>
      <c r="I10" s="2350">
        <f>'GPC Data'!J328</f>
        <v/>
      </c>
      <c r="J10" s="2351">
        <f>'GPC Data'!K328</f>
        <v/>
      </c>
      <c r="K10" s="2351">
        <f>'GPC Data'!L328</f>
        <v/>
      </c>
      <c r="N10" s="443" t="inlineStr">
        <is>
          <t>No</t>
        </is>
      </c>
      <c r="P10" s="752" t="n"/>
      <c r="Q10" s="752" t="n"/>
      <c r="R10" s="752" t="n"/>
      <c r="S10" s="752" t="n"/>
      <c r="T10" s="752" t="n"/>
    </row>
    <row r="11" ht="12" customHeight="1" thickBot="1">
      <c r="B11" s="432" t="n"/>
      <c r="C11" s="2352">
        <f>'GPC Data'!D329</f>
        <v/>
      </c>
      <c r="D11" s="2353">
        <f>'GPC Data'!E329</f>
        <v/>
      </c>
      <c r="E11" s="2353">
        <f>'GPC Data'!F329</f>
        <v/>
      </c>
      <c r="F11" s="2354">
        <f>'GPC Data'!G329</f>
        <v/>
      </c>
      <c r="G11" s="2354">
        <f>'GPC Data'!H329</f>
        <v/>
      </c>
      <c r="H11" s="2354">
        <f>'GPC Data'!I329</f>
        <v/>
      </c>
      <c r="I11" s="2355">
        <f>'GPC Data'!J329</f>
        <v/>
      </c>
      <c r="J11" s="2356">
        <f>'GPC Data'!K329</f>
        <v/>
      </c>
      <c r="K11" s="2356">
        <f>'GPC Data'!L329</f>
        <v/>
      </c>
      <c r="N11" s="443" t="inlineStr">
        <is>
          <t>No</t>
        </is>
      </c>
      <c r="P11" s="752" t="n"/>
      <c r="Q11" s="752" t="n"/>
      <c r="R11" s="752" t="n"/>
      <c r="S11" s="752" t="n"/>
      <c r="T11" s="752" t="n"/>
    </row>
    <row r="12" ht="12" customHeight="1" thickBot="1">
      <c r="B12" s="259" t="n"/>
      <c r="C12" s="2352">
        <f>'GPC Data'!D330</f>
        <v/>
      </c>
      <c r="D12" s="2353">
        <f>'GPC Data'!E330</f>
        <v/>
      </c>
      <c r="E12" s="2353">
        <f>'GPC Data'!F330</f>
        <v/>
      </c>
      <c r="F12" s="2354">
        <f>'GPC Data'!G330</f>
        <v/>
      </c>
      <c r="G12" s="2354">
        <f>'GPC Data'!H330</f>
        <v/>
      </c>
      <c r="H12" s="2354">
        <f>'GPC Data'!I330</f>
        <v/>
      </c>
      <c r="I12" s="2355">
        <f>'GPC Data'!J330</f>
        <v/>
      </c>
      <c r="J12" s="2356">
        <f>'GPC Data'!K330</f>
        <v/>
      </c>
      <c r="K12" s="2356">
        <f>'GPC Data'!L330</f>
        <v/>
      </c>
      <c r="N12" s="443" t="inlineStr">
        <is>
          <t>No</t>
        </is>
      </c>
      <c r="P12" s="752" t="n"/>
      <c r="Q12" s="752" t="n"/>
      <c r="R12" s="752" t="n"/>
      <c r="S12" s="752" t="n"/>
      <c r="T12" s="752" t="n"/>
    </row>
    <row r="13" ht="12" customHeight="1" thickBot="1">
      <c r="B13" s="259" t="n"/>
      <c r="C13" s="2352">
        <f>'GPC Data'!D331</f>
        <v/>
      </c>
      <c r="D13" s="2353">
        <f>'GPC Data'!E331</f>
        <v/>
      </c>
      <c r="E13" s="2353">
        <f>'GPC Data'!F331</f>
        <v/>
      </c>
      <c r="F13" s="2354">
        <f>'GPC Data'!G331</f>
        <v/>
      </c>
      <c r="G13" s="2354">
        <f>'GPC Data'!H331</f>
        <v/>
      </c>
      <c r="H13" s="2354">
        <f>'GPC Data'!I331</f>
        <v/>
      </c>
      <c r="I13" s="2355">
        <f>'GPC Data'!J331</f>
        <v/>
      </c>
      <c r="J13" s="2356">
        <f>'GPC Data'!K331</f>
        <v/>
      </c>
      <c r="K13" s="2356">
        <f>'GPC Data'!L331</f>
        <v/>
      </c>
      <c r="N13" s="443" t="inlineStr">
        <is>
          <t>No</t>
        </is>
      </c>
      <c r="P13" s="752" t="n"/>
      <c r="Q13" s="752" t="n"/>
      <c r="R13" s="752" t="n"/>
      <c r="S13" s="752" t="n"/>
      <c r="T13" s="752" t="n"/>
    </row>
    <row r="14" ht="12" customHeight="1" thickBot="1">
      <c r="B14" s="259" t="n"/>
      <c r="C14" s="2352">
        <f>'GPC Data'!D332</f>
        <v/>
      </c>
      <c r="D14" s="2353">
        <f>'GPC Data'!E332</f>
        <v/>
      </c>
      <c r="E14" s="2353">
        <f>'GPC Data'!F332</f>
        <v/>
      </c>
      <c r="F14" s="2354">
        <f>'GPC Data'!G332</f>
        <v/>
      </c>
      <c r="G14" s="2354">
        <f>'GPC Data'!H332</f>
        <v/>
      </c>
      <c r="H14" s="2354">
        <f>'GPC Data'!I332</f>
        <v/>
      </c>
      <c r="I14" s="2355">
        <f>'GPC Data'!J332</f>
        <v/>
      </c>
      <c r="J14" s="2356">
        <f>'GPC Data'!K332</f>
        <v/>
      </c>
      <c r="K14" s="2356">
        <f>'GPC Data'!L332</f>
        <v/>
      </c>
      <c r="N14" s="443" t="inlineStr">
        <is>
          <t>No</t>
        </is>
      </c>
      <c r="P14" s="752" t="n"/>
      <c r="Q14" s="752" t="n"/>
      <c r="R14" s="752" t="n"/>
      <c r="S14" s="752" t="n"/>
      <c r="T14" s="752" t="n"/>
    </row>
    <row r="15" ht="12" customHeight="1" thickBot="1">
      <c r="B15" s="259" t="n"/>
      <c r="C15" s="2352">
        <f>'GPC Data'!D333</f>
        <v/>
      </c>
      <c r="D15" s="2353">
        <f>'GPC Data'!E333</f>
        <v/>
      </c>
      <c r="E15" s="2353">
        <f>'GPC Data'!F333</f>
        <v/>
      </c>
      <c r="F15" s="2354">
        <f>'GPC Data'!G333</f>
        <v/>
      </c>
      <c r="G15" s="2354">
        <f>'GPC Data'!H333</f>
        <v/>
      </c>
      <c r="H15" s="2354">
        <f>'GPC Data'!I333</f>
        <v/>
      </c>
      <c r="I15" s="2355">
        <f>'GPC Data'!J333</f>
        <v/>
      </c>
      <c r="J15" s="2356">
        <f>'GPC Data'!K333</f>
        <v/>
      </c>
      <c r="K15" s="2356">
        <f>'GPC Data'!L333</f>
        <v/>
      </c>
      <c r="N15" s="443" t="inlineStr">
        <is>
          <t>No</t>
        </is>
      </c>
      <c r="P15" s="752" t="n"/>
      <c r="Q15" s="752" t="n"/>
      <c r="R15" s="752" t="n"/>
      <c r="S15" s="752" t="n"/>
      <c r="T15" s="752" t="n"/>
    </row>
    <row r="16" ht="12" customHeight="1" thickBot="1">
      <c r="B16" s="259" t="n"/>
      <c r="C16" s="2352">
        <f>'GPC Data'!D334</f>
        <v/>
      </c>
      <c r="D16" s="2353">
        <f>'GPC Data'!E334</f>
        <v/>
      </c>
      <c r="E16" s="2353">
        <f>'GPC Data'!F334</f>
        <v/>
      </c>
      <c r="F16" s="2354">
        <f>'GPC Data'!G334</f>
        <v/>
      </c>
      <c r="G16" s="2354">
        <f>'GPC Data'!H334</f>
        <v/>
      </c>
      <c r="H16" s="2354">
        <f>'GPC Data'!I334</f>
        <v/>
      </c>
      <c r="I16" s="2355">
        <f>'GPC Data'!J334</f>
        <v/>
      </c>
      <c r="J16" s="2356">
        <f>'GPC Data'!K334</f>
        <v/>
      </c>
      <c r="K16" s="2356">
        <f>'GPC Data'!L334</f>
        <v/>
      </c>
      <c r="N16" s="443" t="inlineStr">
        <is>
          <t>No</t>
        </is>
      </c>
      <c r="P16" s="752" t="n"/>
      <c r="Q16" s="752" t="n"/>
      <c r="R16" s="752" t="n"/>
      <c r="S16" s="752" t="n"/>
      <c r="T16" s="752" t="n"/>
    </row>
    <row r="17" ht="12" customHeight="1" thickBot="1">
      <c r="B17" s="259" t="n"/>
      <c r="C17" s="2352">
        <f>'GPC Data'!D335</f>
        <v/>
      </c>
      <c r="D17" s="2353">
        <f>'GPC Data'!E335</f>
        <v/>
      </c>
      <c r="E17" s="2353">
        <f>'GPC Data'!F335</f>
        <v/>
      </c>
      <c r="F17" s="2354">
        <f>'GPC Data'!G335</f>
        <v/>
      </c>
      <c r="G17" s="2354">
        <f>'GPC Data'!H335</f>
        <v/>
      </c>
      <c r="H17" s="2354">
        <f>'GPC Data'!I335</f>
        <v/>
      </c>
      <c r="I17" s="2355">
        <f>'GPC Data'!J335</f>
        <v/>
      </c>
      <c r="J17" s="2356">
        <f>'GPC Data'!K335</f>
        <v/>
      </c>
      <c r="K17" s="2356">
        <f>'GPC Data'!L335</f>
        <v/>
      </c>
      <c r="N17" s="443" t="inlineStr">
        <is>
          <t>No</t>
        </is>
      </c>
      <c r="P17" s="752" t="n"/>
      <c r="Q17" s="752" t="n"/>
      <c r="R17" s="752" t="n"/>
      <c r="S17" s="752" t="n"/>
      <c r="T17" s="752" t="n"/>
    </row>
    <row r="18" ht="12" customHeight="1" thickBot="1">
      <c r="B18" s="259" t="n"/>
      <c r="C18" s="2352">
        <f>'GPC Data'!D336</f>
        <v/>
      </c>
      <c r="D18" s="2353">
        <f>'GPC Data'!E336</f>
        <v/>
      </c>
      <c r="E18" s="2353">
        <f>'GPC Data'!F336</f>
        <v/>
      </c>
      <c r="F18" s="2354">
        <f>'GPC Data'!G336</f>
        <v/>
      </c>
      <c r="G18" s="2354">
        <f>'GPC Data'!H336</f>
        <v/>
      </c>
      <c r="H18" s="2354">
        <f>'GPC Data'!I336</f>
        <v/>
      </c>
      <c r="I18" s="2355">
        <f>'GPC Data'!J336</f>
        <v/>
      </c>
      <c r="J18" s="2356">
        <f>'GPC Data'!K336</f>
        <v/>
      </c>
      <c r="K18" s="2356">
        <f>'GPC Data'!L336</f>
        <v/>
      </c>
      <c r="N18" s="443" t="inlineStr">
        <is>
          <t>No</t>
        </is>
      </c>
      <c r="P18" s="752" t="n"/>
      <c r="Q18" s="752" t="n"/>
      <c r="R18" s="752" t="n"/>
      <c r="S18" s="752" t="n"/>
      <c r="T18" s="752" t="n"/>
    </row>
    <row r="19" ht="12" customHeight="1" thickBot="1">
      <c r="B19" s="259" t="n"/>
      <c r="C19" s="2352">
        <f>'GPC Data'!D337</f>
        <v/>
      </c>
      <c r="D19" s="2353">
        <f>'GPC Data'!E337</f>
        <v/>
      </c>
      <c r="E19" s="2353">
        <f>'GPC Data'!F337</f>
        <v/>
      </c>
      <c r="F19" s="2354">
        <f>'GPC Data'!G337</f>
        <v/>
      </c>
      <c r="G19" s="2354">
        <f>'GPC Data'!H337</f>
        <v/>
      </c>
      <c r="H19" s="2354">
        <f>'GPC Data'!I337</f>
        <v/>
      </c>
      <c r="I19" s="2355">
        <f>'GPC Data'!J337</f>
        <v/>
      </c>
      <c r="J19" s="2356">
        <f>'GPC Data'!K337</f>
        <v/>
      </c>
      <c r="K19" s="2356">
        <f>'GPC Data'!L337</f>
        <v/>
      </c>
      <c r="N19" s="443" t="n"/>
      <c r="P19" s="752" t="n"/>
      <c r="Q19" s="752" t="n"/>
      <c r="R19" s="752" t="n"/>
      <c r="S19" s="752" t="n"/>
      <c r="T19" s="752" t="n"/>
    </row>
    <row r="20" ht="12" customHeight="1" thickBot="1">
      <c r="B20" s="259" t="n"/>
      <c r="C20" s="2352">
        <f>'GPC Data'!D338</f>
        <v/>
      </c>
      <c r="D20" s="2353">
        <f>'GPC Data'!E338</f>
        <v/>
      </c>
      <c r="E20" s="2353">
        <f>'GPC Data'!F338</f>
        <v/>
      </c>
      <c r="F20" s="2354">
        <f>'GPC Data'!G338</f>
        <v/>
      </c>
      <c r="G20" s="2354">
        <f>'GPC Data'!H338</f>
        <v/>
      </c>
      <c r="H20" s="2354">
        <f>'GPC Data'!I338</f>
        <v/>
      </c>
      <c r="I20" s="2355">
        <f>'GPC Data'!J338</f>
        <v/>
      </c>
      <c r="J20" s="2356">
        <f>'GPC Data'!K338</f>
        <v/>
      </c>
      <c r="K20" s="2356">
        <f>'GPC Data'!L338</f>
        <v/>
      </c>
      <c r="N20" s="443" t="n"/>
      <c r="P20" s="752" t="n"/>
      <c r="Q20" s="752" t="n"/>
      <c r="R20" s="752" t="n"/>
      <c r="S20" s="752" t="n"/>
      <c r="T20" s="752" t="n"/>
    </row>
    <row r="21" ht="12" customHeight="1" thickBot="1">
      <c r="B21" s="259" t="n"/>
      <c r="C21" s="2352">
        <f>'GPC Data'!D339</f>
        <v/>
      </c>
      <c r="D21" s="2353">
        <f>'GPC Data'!E339</f>
        <v/>
      </c>
      <c r="E21" s="2353">
        <f>'GPC Data'!F339</f>
        <v/>
      </c>
      <c r="F21" s="2354">
        <f>'GPC Data'!G339</f>
        <v/>
      </c>
      <c r="G21" s="2354">
        <f>'GPC Data'!H339</f>
        <v/>
      </c>
      <c r="H21" s="2354">
        <f>'GPC Data'!I339</f>
        <v/>
      </c>
      <c r="I21" s="2355">
        <f>'GPC Data'!J339</f>
        <v/>
      </c>
      <c r="J21" s="2356">
        <f>'GPC Data'!K339</f>
        <v/>
      </c>
      <c r="K21" s="2356">
        <f>'GPC Data'!L339</f>
        <v/>
      </c>
      <c r="N21" s="443" t="n"/>
      <c r="P21" s="752" t="n"/>
      <c r="Q21" s="752" t="n"/>
      <c r="R21" s="752" t="n"/>
      <c r="S21" s="752" t="n"/>
      <c r="T21" s="752" t="n"/>
    </row>
    <row r="22" ht="12" customHeight="1" thickBot="1">
      <c r="B22" s="259" t="n"/>
      <c r="C22" s="2352">
        <f>'GPC Data'!D340</f>
        <v/>
      </c>
      <c r="D22" s="2353">
        <f>'GPC Data'!E340</f>
        <v/>
      </c>
      <c r="E22" s="2353">
        <f>'GPC Data'!F340</f>
        <v/>
      </c>
      <c r="F22" s="2354">
        <f>'GPC Data'!G340</f>
        <v/>
      </c>
      <c r="G22" s="2354">
        <f>'GPC Data'!H340</f>
        <v/>
      </c>
      <c r="H22" s="2354">
        <f>'GPC Data'!I340</f>
        <v/>
      </c>
      <c r="I22" s="2355">
        <f>'GPC Data'!J340</f>
        <v/>
      </c>
      <c r="J22" s="2356">
        <f>'GPC Data'!K340</f>
        <v/>
      </c>
      <c r="K22" s="2356">
        <f>'GPC Data'!L340</f>
        <v/>
      </c>
      <c r="N22" s="443" t="n"/>
      <c r="P22" s="752" t="n"/>
      <c r="Q22" s="752" t="n"/>
      <c r="R22" s="752" t="n"/>
      <c r="S22" s="752" t="n"/>
      <c r="T22" s="752" t="n"/>
    </row>
    <row r="23" ht="12" customHeight="1" thickBot="1">
      <c r="B23" s="259" t="n"/>
      <c r="C23" s="2352">
        <f>'GPC Data'!D341</f>
        <v/>
      </c>
      <c r="D23" s="2353">
        <f>'GPC Data'!E341</f>
        <v/>
      </c>
      <c r="E23" s="2353">
        <f>'GPC Data'!F341</f>
        <v/>
      </c>
      <c r="F23" s="2354">
        <f>'GPC Data'!G341</f>
        <v/>
      </c>
      <c r="G23" s="2354">
        <f>'GPC Data'!H341</f>
        <v/>
      </c>
      <c r="H23" s="2354">
        <f>'GPC Data'!I341</f>
        <v/>
      </c>
      <c r="I23" s="2355">
        <f>'GPC Data'!J341</f>
        <v/>
      </c>
      <c r="J23" s="2356">
        <f>'GPC Data'!K341</f>
        <v/>
      </c>
      <c r="K23" s="2356">
        <f>'GPC Data'!L341</f>
        <v/>
      </c>
      <c r="N23" s="443" t="n"/>
      <c r="P23" s="752" t="n"/>
      <c r="Q23" s="752" t="n"/>
      <c r="R23" s="752" t="n"/>
      <c r="S23" s="752" t="n"/>
      <c r="T23" s="752" t="n"/>
    </row>
    <row r="24" ht="12" customHeight="1" thickBot="1">
      <c r="B24" s="259" t="n"/>
      <c r="C24" s="2352">
        <f>'GPC Data'!D342</f>
        <v/>
      </c>
      <c r="D24" s="2353">
        <f>'GPC Data'!E342</f>
        <v/>
      </c>
      <c r="E24" s="2353">
        <f>'GPC Data'!F342</f>
        <v/>
      </c>
      <c r="F24" s="2354">
        <f>'GPC Data'!G342</f>
        <v/>
      </c>
      <c r="G24" s="2354">
        <f>'GPC Data'!H342</f>
        <v/>
      </c>
      <c r="H24" s="2354">
        <f>'GPC Data'!I342</f>
        <v/>
      </c>
      <c r="I24" s="2355">
        <f>'GPC Data'!J342</f>
        <v/>
      </c>
      <c r="J24" s="2356">
        <f>'GPC Data'!K342</f>
        <v/>
      </c>
      <c r="K24" s="2356">
        <f>'GPC Data'!L342</f>
        <v/>
      </c>
      <c r="N24" s="443" t="n"/>
      <c r="P24" s="752" t="n"/>
      <c r="Q24" s="752" t="n"/>
      <c r="R24" s="752" t="n"/>
      <c r="S24" s="752" t="n"/>
      <c r="T24" s="752" t="n"/>
    </row>
    <row r="25" ht="12" customHeight="1" thickBot="1">
      <c r="B25" s="259" t="n"/>
      <c r="C25" s="2352">
        <f>'GPC Data'!D343</f>
        <v/>
      </c>
      <c r="D25" s="2353">
        <f>'GPC Data'!E343</f>
        <v/>
      </c>
      <c r="E25" s="2353">
        <f>'GPC Data'!F343</f>
        <v/>
      </c>
      <c r="F25" s="2354">
        <f>'GPC Data'!G343</f>
        <v/>
      </c>
      <c r="G25" s="2354">
        <f>'GPC Data'!H343</f>
        <v/>
      </c>
      <c r="H25" s="2354">
        <f>'GPC Data'!I343</f>
        <v/>
      </c>
      <c r="I25" s="2355">
        <f>'GPC Data'!J343</f>
        <v/>
      </c>
      <c r="J25" s="2356">
        <f>'GPC Data'!K343</f>
        <v/>
      </c>
      <c r="K25" s="2356">
        <f>'GPC Data'!L343</f>
        <v/>
      </c>
      <c r="N25" s="443" t="n"/>
      <c r="P25" s="752" t="n"/>
      <c r="Q25" s="752" t="n"/>
      <c r="R25" s="752" t="n"/>
      <c r="S25" s="752" t="n"/>
      <c r="T25" s="752" t="n"/>
    </row>
    <row r="26" ht="12" customHeight="1" thickBot="1">
      <c r="B26" s="259" t="n"/>
      <c r="C26" s="2352">
        <f>'GPC Data'!D344</f>
        <v/>
      </c>
      <c r="D26" s="2353">
        <f>'GPC Data'!E344</f>
        <v/>
      </c>
      <c r="E26" s="2353">
        <f>'GPC Data'!F344</f>
        <v/>
      </c>
      <c r="F26" s="2354">
        <f>'GPC Data'!G344</f>
        <v/>
      </c>
      <c r="G26" s="2354">
        <f>'GPC Data'!H344</f>
        <v/>
      </c>
      <c r="H26" s="2354">
        <f>'GPC Data'!I344</f>
        <v/>
      </c>
      <c r="I26" s="2355">
        <f>'GPC Data'!J344</f>
        <v/>
      </c>
      <c r="J26" s="2356">
        <f>'GPC Data'!K344</f>
        <v/>
      </c>
      <c r="K26" s="2356">
        <f>'GPC Data'!L344</f>
        <v/>
      </c>
      <c r="N26" s="443" t="n"/>
      <c r="P26" s="752" t="n"/>
      <c r="Q26" s="752" t="n"/>
      <c r="R26" s="752" t="n"/>
      <c r="S26" s="752" t="n"/>
      <c r="T26" s="752" t="n"/>
    </row>
    <row r="27" ht="12" customHeight="1" thickBot="1">
      <c r="B27" s="259" t="n"/>
      <c r="C27" s="2352">
        <f>'GPC Data'!D345</f>
        <v/>
      </c>
      <c r="D27" s="2353">
        <f>'GPC Data'!E345</f>
        <v/>
      </c>
      <c r="E27" s="2353">
        <f>'GPC Data'!F345</f>
        <v/>
      </c>
      <c r="F27" s="2354">
        <f>'GPC Data'!G345</f>
        <v/>
      </c>
      <c r="G27" s="2354">
        <f>'GPC Data'!H345</f>
        <v/>
      </c>
      <c r="H27" s="2354">
        <f>'GPC Data'!I345</f>
        <v/>
      </c>
      <c r="I27" s="2355">
        <f>'GPC Data'!J345</f>
        <v/>
      </c>
      <c r="J27" s="2356">
        <f>'GPC Data'!K345</f>
        <v/>
      </c>
      <c r="K27" s="2356">
        <f>'GPC Data'!L345</f>
        <v/>
      </c>
      <c r="N27" s="443" t="n"/>
      <c r="P27" s="752" t="n"/>
      <c r="Q27" s="752" t="n"/>
      <c r="R27" s="752" t="n"/>
      <c r="S27" s="752" t="n"/>
      <c r="T27" s="752" t="n"/>
    </row>
    <row r="28" ht="12" customHeight="1" thickBot="1">
      <c r="B28" s="259" t="n"/>
      <c r="C28" s="2352">
        <f>'GPC Data'!D346</f>
        <v/>
      </c>
      <c r="D28" s="2353">
        <f>'GPC Data'!E346</f>
        <v/>
      </c>
      <c r="E28" s="2353">
        <f>'GPC Data'!F346</f>
        <v/>
      </c>
      <c r="F28" s="2354">
        <f>'GPC Data'!G346</f>
        <v/>
      </c>
      <c r="G28" s="2354">
        <f>'GPC Data'!H346</f>
        <v/>
      </c>
      <c r="H28" s="2354">
        <f>'GPC Data'!I346</f>
        <v/>
      </c>
      <c r="I28" s="2355">
        <f>'GPC Data'!J346</f>
        <v/>
      </c>
      <c r="J28" s="2356">
        <f>'GPC Data'!K346</f>
        <v/>
      </c>
      <c r="K28" s="2356">
        <f>'GPC Data'!L346</f>
        <v/>
      </c>
      <c r="N28" s="443" t="n"/>
      <c r="P28" s="752" t="n"/>
      <c r="Q28" s="752" t="n"/>
      <c r="R28" s="752" t="n"/>
      <c r="S28" s="752" t="n"/>
      <c r="T28" s="752" t="n"/>
    </row>
    <row r="29" ht="12" customHeight="1" thickBot="1">
      <c r="B29" s="259" t="n"/>
      <c r="C29" s="2352">
        <f>'GPC Data'!D347</f>
        <v/>
      </c>
      <c r="D29" s="2353">
        <f>'GPC Data'!E347</f>
        <v/>
      </c>
      <c r="E29" s="2353">
        <f>'GPC Data'!F347</f>
        <v/>
      </c>
      <c r="F29" s="2354">
        <f>'GPC Data'!G347</f>
        <v/>
      </c>
      <c r="G29" s="2354">
        <f>'GPC Data'!H347</f>
        <v/>
      </c>
      <c r="H29" s="2354">
        <f>'GPC Data'!I347</f>
        <v/>
      </c>
      <c r="I29" s="2355">
        <f>'GPC Data'!J347</f>
        <v/>
      </c>
      <c r="J29" s="2356">
        <f>'GPC Data'!K347</f>
        <v/>
      </c>
      <c r="K29" s="2356">
        <f>'GPC Data'!L347</f>
        <v/>
      </c>
      <c r="N29" s="443" t="n"/>
      <c r="P29" s="752" t="n"/>
      <c r="Q29" s="752" t="n"/>
      <c r="R29" s="752" t="n"/>
      <c r="S29" s="752" t="n"/>
      <c r="T29" s="752" t="n"/>
    </row>
    <row r="30" ht="12" customHeight="1" thickBot="1">
      <c r="B30" s="259" t="n"/>
      <c r="C30" s="2352">
        <f>'GPC Data'!D348</f>
        <v/>
      </c>
      <c r="D30" s="2353">
        <f>'GPC Data'!E348</f>
        <v/>
      </c>
      <c r="E30" s="2353">
        <f>'GPC Data'!F348</f>
        <v/>
      </c>
      <c r="F30" s="2354">
        <f>'GPC Data'!G348</f>
        <v/>
      </c>
      <c r="G30" s="2354">
        <f>'GPC Data'!H348</f>
        <v/>
      </c>
      <c r="H30" s="2354">
        <f>'GPC Data'!I348</f>
        <v/>
      </c>
      <c r="I30" s="2355">
        <f>'GPC Data'!J348</f>
        <v/>
      </c>
      <c r="J30" s="2356">
        <f>'GPC Data'!K348</f>
        <v/>
      </c>
      <c r="K30" s="2356">
        <f>'GPC Data'!L348</f>
        <v/>
      </c>
      <c r="N30" s="443" t="n"/>
      <c r="P30" s="752" t="n"/>
      <c r="Q30" s="752" t="n"/>
      <c r="R30" s="752" t="n"/>
      <c r="S30" s="752" t="n"/>
      <c r="T30" s="752" t="n"/>
    </row>
    <row r="31" ht="12" customHeight="1" thickBot="1">
      <c r="B31" s="259" t="n"/>
      <c r="C31" s="2352">
        <f>'GPC Data'!D349</f>
        <v/>
      </c>
      <c r="D31" s="2353">
        <f>'GPC Data'!E349</f>
        <v/>
      </c>
      <c r="E31" s="2353">
        <f>'GPC Data'!F349</f>
        <v/>
      </c>
      <c r="F31" s="2354">
        <f>'GPC Data'!G349</f>
        <v/>
      </c>
      <c r="G31" s="2354">
        <f>'GPC Data'!H349</f>
        <v/>
      </c>
      <c r="H31" s="2354">
        <f>'GPC Data'!I349</f>
        <v/>
      </c>
      <c r="I31" s="2355">
        <f>'GPC Data'!J349</f>
        <v/>
      </c>
      <c r="J31" s="2356">
        <f>'GPC Data'!K349</f>
        <v/>
      </c>
      <c r="K31" s="2356">
        <f>'GPC Data'!L349</f>
        <v/>
      </c>
      <c r="N31" s="443" t="n"/>
      <c r="P31" s="752" t="n"/>
      <c r="Q31" s="752" t="n"/>
      <c r="R31" s="752" t="n"/>
      <c r="S31" s="752" t="n"/>
      <c r="T31" s="752" t="n"/>
    </row>
    <row r="32" ht="12" customHeight="1" thickBot="1">
      <c r="B32" s="259" t="n"/>
      <c r="C32" s="2352">
        <f>'GPC Data'!D350</f>
        <v/>
      </c>
      <c r="D32" s="2353">
        <f>'GPC Data'!E350</f>
        <v/>
      </c>
      <c r="E32" s="2353">
        <f>'GPC Data'!F350</f>
        <v/>
      </c>
      <c r="F32" s="2354">
        <f>'GPC Data'!G350</f>
        <v/>
      </c>
      <c r="G32" s="2354">
        <f>'GPC Data'!H350</f>
        <v/>
      </c>
      <c r="H32" s="2354">
        <f>'GPC Data'!I350</f>
        <v/>
      </c>
      <c r="I32" s="2355">
        <f>'GPC Data'!J350</f>
        <v/>
      </c>
      <c r="J32" s="2356">
        <f>'GPC Data'!K350</f>
        <v/>
      </c>
      <c r="K32" s="2356">
        <f>'GPC Data'!L350</f>
        <v/>
      </c>
      <c r="N32" s="443" t="n"/>
      <c r="P32" s="752" t="n"/>
      <c r="Q32" s="752" t="n"/>
      <c r="R32" s="752" t="n"/>
      <c r="S32" s="752" t="n"/>
      <c r="T32" s="752" t="n"/>
    </row>
    <row r="33" ht="12" customHeight="1" thickBot="1">
      <c r="B33" s="259" t="n"/>
      <c r="C33" s="2352">
        <f>'GPC Data'!D351</f>
        <v/>
      </c>
      <c r="D33" s="2353">
        <f>'GPC Data'!E351</f>
        <v/>
      </c>
      <c r="E33" s="2353">
        <f>'GPC Data'!F351</f>
        <v/>
      </c>
      <c r="F33" s="2354">
        <f>'GPC Data'!G351</f>
        <v/>
      </c>
      <c r="G33" s="2354">
        <f>'GPC Data'!H351</f>
        <v/>
      </c>
      <c r="H33" s="2354">
        <f>'GPC Data'!I351</f>
        <v/>
      </c>
      <c r="I33" s="2355">
        <f>'GPC Data'!J351</f>
        <v/>
      </c>
      <c r="J33" s="2356">
        <f>'GPC Data'!K351</f>
        <v/>
      </c>
      <c r="K33" s="2356">
        <f>'GPC Data'!L351</f>
        <v/>
      </c>
      <c r="N33" s="443" t="n"/>
      <c r="P33" s="752" t="n"/>
      <c r="Q33" s="752" t="n"/>
      <c r="R33" s="752" t="n"/>
      <c r="S33" s="752" t="n"/>
      <c r="T33" s="752" t="n"/>
    </row>
    <row r="34" ht="12" customHeight="1" thickBot="1">
      <c r="B34" s="259" t="n"/>
      <c r="C34" s="2352">
        <f>'GPC Data'!D352</f>
        <v/>
      </c>
      <c r="D34" s="2353">
        <f>'GPC Data'!E352</f>
        <v/>
      </c>
      <c r="E34" s="2353">
        <f>'GPC Data'!F352</f>
        <v/>
      </c>
      <c r="F34" s="2354">
        <f>'GPC Data'!G352</f>
        <v/>
      </c>
      <c r="G34" s="2354">
        <f>'GPC Data'!H352</f>
        <v/>
      </c>
      <c r="H34" s="2354">
        <f>'GPC Data'!I352</f>
        <v/>
      </c>
      <c r="I34" s="2355">
        <f>'GPC Data'!J352</f>
        <v/>
      </c>
      <c r="J34" s="2356">
        <f>'GPC Data'!K352</f>
        <v/>
      </c>
      <c r="K34" s="2356">
        <f>'GPC Data'!L352</f>
        <v/>
      </c>
      <c r="N34" s="443" t="n"/>
      <c r="P34" s="752" t="n"/>
      <c r="Q34" s="752" t="n"/>
      <c r="R34" s="752" t="n"/>
      <c r="S34" s="752" t="n"/>
      <c r="T34" s="752" t="n"/>
    </row>
    <row r="35" ht="12" customHeight="1" thickBot="1">
      <c r="B35" s="259" t="n"/>
      <c r="C35" s="2352">
        <f>'GPC Data'!D353</f>
        <v/>
      </c>
      <c r="D35" s="2353">
        <f>'GPC Data'!E353</f>
        <v/>
      </c>
      <c r="E35" s="2353">
        <f>'GPC Data'!F353</f>
        <v/>
      </c>
      <c r="F35" s="2354">
        <f>'GPC Data'!G353</f>
        <v/>
      </c>
      <c r="G35" s="2354">
        <f>'GPC Data'!H353</f>
        <v/>
      </c>
      <c r="H35" s="2354">
        <f>'GPC Data'!I353</f>
        <v/>
      </c>
      <c r="I35" s="2355">
        <f>'GPC Data'!J353</f>
        <v/>
      </c>
      <c r="J35" s="2356">
        <f>'GPC Data'!K353</f>
        <v/>
      </c>
      <c r="K35" s="2356">
        <f>'GPC Data'!L353</f>
        <v/>
      </c>
      <c r="N35" s="443" t="n"/>
      <c r="P35" s="752" t="n"/>
      <c r="Q35" s="752" t="n"/>
      <c r="R35" s="752" t="n"/>
      <c r="S35" s="752" t="n"/>
      <c r="T35" s="752" t="n"/>
    </row>
    <row r="36" ht="12" customHeight="1" thickBot="1">
      <c r="B36" s="259" t="n"/>
      <c r="C36" s="2352">
        <f>'GPC Data'!D354</f>
        <v/>
      </c>
      <c r="D36" s="2353">
        <f>'GPC Data'!E354</f>
        <v/>
      </c>
      <c r="E36" s="2353">
        <f>'GPC Data'!F354</f>
        <v/>
      </c>
      <c r="F36" s="2354">
        <f>'GPC Data'!G354</f>
        <v/>
      </c>
      <c r="G36" s="2354">
        <f>'GPC Data'!H354</f>
        <v/>
      </c>
      <c r="H36" s="2354">
        <f>'GPC Data'!I354</f>
        <v/>
      </c>
      <c r="I36" s="2355">
        <f>'GPC Data'!J354</f>
        <v/>
      </c>
      <c r="J36" s="2356">
        <f>'GPC Data'!K354</f>
        <v/>
      </c>
      <c r="K36" s="2356">
        <f>'GPC Data'!L354</f>
        <v/>
      </c>
      <c r="N36" s="443" t="n"/>
      <c r="P36" s="752" t="n"/>
      <c r="Q36" s="752" t="n"/>
      <c r="R36" s="752" t="n"/>
      <c r="S36" s="752" t="n"/>
      <c r="T36" s="752" t="n"/>
    </row>
    <row r="37" ht="12" customHeight="1" thickBot="1">
      <c r="B37" s="259" t="n"/>
      <c r="C37" s="2352">
        <f>'GPC Data'!D355</f>
        <v/>
      </c>
      <c r="D37" s="2353">
        <f>'GPC Data'!E355</f>
        <v/>
      </c>
      <c r="E37" s="2353">
        <f>'GPC Data'!F355</f>
        <v/>
      </c>
      <c r="F37" s="2354">
        <f>'GPC Data'!G355</f>
        <v/>
      </c>
      <c r="G37" s="2354">
        <f>'GPC Data'!H355</f>
        <v/>
      </c>
      <c r="H37" s="2354">
        <f>'GPC Data'!I355</f>
        <v/>
      </c>
      <c r="I37" s="2355">
        <f>'GPC Data'!J355</f>
        <v/>
      </c>
      <c r="J37" s="2356">
        <f>'GPC Data'!K355</f>
        <v/>
      </c>
      <c r="K37" s="2356">
        <f>'GPC Data'!L355</f>
        <v/>
      </c>
      <c r="N37" s="443" t="n"/>
      <c r="P37" s="752" t="n"/>
      <c r="Q37" s="752" t="n"/>
      <c r="R37" s="752" t="n"/>
      <c r="S37" s="752" t="n"/>
      <c r="T37" s="752" t="n"/>
    </row>
    <row r="38" ht="12" customHeight="1" thickBot="1">
      <c r="B38" s="259" t="n"/>
      <c r="C38" s="2352">
        <f>'GPC Data'!D356</f>
        <v/>
      </c>
      <c r="D38" s="2353">
        <f>'GPC Data'!E356</f>
        <v/>
      </c>
      <c r="E38" s="2353">
        <f>'GPC Data'!F356</f>
        <v/>
      </c>
      <c r="F38" s="2354">
        <f>'GPC Data'!G356</f>
        <v/>
      </c>
      <c r="G38" s="2354">
        <f>'GPC Data'!H356</f>
        <v/>
      </c>
      <c r="H38" s="2354">
        <f>'GPC Data'!I356</f>
        <v/>
      </c>
      <c r="I38" s="2355">
        <f>'GPC Data'!J356</f>
        <v/>
      </c>
      <c r="J38" s="2356">
        <f>'GPC Data'!K356</f>
        <v/>
      </c>
      <c r="K38" s="2356">
        <f>'GPC Data'!L356</f>
        <v/>
      </c>
      <c r="N38" s="443" t="n"/>
      <c r="P38" s="752" t="n"/>
      <c r="Q38" s="752" t="n"/>
      <c r="R38" s="752" t="n"/>
      <c r="S38" s="752" t="n"/>
      <c r="T38" s="752" t="n"/>
    </row>
    <row r="39" ht="12" customHeight="1" thickBot="1">
      <c r="B39" s="259" t="n"/>
      <c r="C39" s="2352">
        <f>'GPC Data'!D357</f>
        <v/>
      </c>
      <c r="D39" s="2353">
        <f>'GPC Data'!E357</f>
        <v/>
      </c>
      <c r="E39" s="2353">
        <f>'GPC Data'!F357</f>
        <v/>
      </c>
      <c r="F39" s="2354">
        <f>'GPC Data'!G357</f>
        <v/>
      </c>
      <c r="G39" s="2354">
        <f>'GPC Data'!H357</f>
        <v/>
      </c>
      <c r="H39" s="2354">
        <f>'GPC Data'!I357</f>
        <v/>
      </c>
      <c r="I39" s="2355">
        <f>'GPC Data'!J357</f>
        <v/>
      </c>
      <c r="J39" s="2356">
        <f>'GPC Data'!K357</f>
        <v/>
      </c>
      <c r="K39" s="2356">
        <f>'GPC Data'!L357</f>
        <v/>
      </c>
      <c r="N39" s="443" t="inlineStr">
        <is>
          <t>No</t>
        </is>
      </c>
      <c r="P39" s="752" t="n"/>
      <c r="Q39" s="752" t="n"/>
      <c r="R39" s="752" t="n"/>
      <c r="S39" s="752" t="n"/>
      <c r="T39" s="752" t="n"/>
    </row>
    <row r="40" ht="12" customHeight="1" thickBot="1">
      <c r="B40" s="432" t="n"/>
      <c r="C40" s="2357" t="n"/>
      <c r="D40" s="2358" t="n"/>
      <c r="E40" s="2358" t="n"/>
      <c r="F40" s="2359" t="n"/>
      <c r="G40" s="2359" t="n"/>
      <c r="H40" s="2359" t="n"/>
      <c r="I40" s="2360" t="n"/>
      <c r="J40" s="2361" t="n"/>
      <c r="K40" s="2361" t="n"/>
      <c r="N40" s="443" t="inlineStr">
        <is>
          <t>No</t>
        </is>
      </c>
      <c r="P40" s="752" t="n"/>
      <c r="Q40" s="752" t="n"/>
      <c r="R40" s="752" t="n"/>
      <c r="S40" s="752" t="n"/>
      <c r="T40" s="752" t="n"/>
    </row>
    <row r="41" ht="1.25" customHeight="1">
      <c r="B41" s="432" t="n"/>
      <c r="C41" s="2362" t="n"/>
      <c r="D41" s="2363" t="n"/>
      <c r="E41" s="2363" t="n"/>
      <c r="F41" s="2364" t="n"/>
      <c r="G41" s="2364" t="n"/>
      <c r="H41" s="2364" t="n"/>
      <c r="I41" s="2365" t="n"/>
      <c r="J41" s="2366" t="n"/>
      <c r="K41" s="2366" t="n"/>
      <c r="N41" s="1007" t="n"/>
      <c r="P41" s="752" t="n"/>
      <c r="Q41" s="752" t="n"/>
      <c r="R41" s="752" t="n"/>
      <c r="S41" s="752">
        <f t="array" ref="S41:S59">""</f>
        <v/>
      </c>
      <c r="T41" s="752" t="n"/>
    </row>
    <row r="42">
      <c r="B42" s="259" t="n"/>
      <c r="C42" s="259" t="n"/>
      <c r="D42" s="259" t="n"/>
      <c r="E42" s="259" t="inlineStr">
        <is>
          <t>Max</t>
        </is>
      </c>
      <c r="F42" s="2354">
        <f>IFERROR(MAX(F10:F41),"")</f>
        <v/>
      </c>
      <c r="G42" s="2354">
        <f>IFERROR(MAX(G10:G41),"")</f>
        <v/>
      </c>
      <c r="H42" s="2354">
        <f>IFERROR(MAX(H10:H41),"")</f>
        <v/>
      </c>
      <c r="I42" s="2355">
        <f>IFERROR(MAX(I10:I41),"")</f>
        <v/>
      </c>
      <c r="J42" s="2356">
        <f>IFERROR(MAX(J10:J41),"")</f>
        <v/>
      </c>
      <c r="K42" s="2356">
        <f>IFERROR(MAX(K10:K41),"")</f>
        <v/>
      </c>
      <c r="P42" s="752" t="n"/>
      <c r="Q42" s="752" t="n"/>
      <c r="R42" s="752" t="n"/>
      <c r="S42" s="752" t="str"/>
      <c r="T42" s="752" t="n"/>
    </row>
    <row r="43">
      <c r="B43" s="259" t="n"/>
      <c r="C43" s="259" t="n"/>
      <c r="D43" s="259" t="n"/>
      <c r="E43" s="259" t="inlineStr">
        <is>
          <t>Mean</t>
        </is>
      </c>
      <c r="F43" s="2354">
        <f>IFERROR(AVERAGE(F10:F41),"")</f>
        <v/>
      </c>
      <c r="G43" s="2354">
        <f>IFERROR(AVERAGE(G10:G41),"")</f>
        <v/>
      </c>
      <c r="H43" s="2354">
        <f>IFERROR(AVERAGE(H10:H41),"")</f>
        <v/>
      </c>
      <c r="I43" s="2355">
        <f>IFERROR(AVERAGE(I10:I41),"")</f>
        <v/>
      </c>
      <c r="J43" s="2356">
        <f>IFERROR(AVERAGE(J10:J41),"")</f>
        <v/>
      </c>
      <c r="K43" s="2356">
        <f>IFERROR(AVERAGE(K10:K41),"")</f>
        <v/>
      </c>
      <c r="S43" s="259" t="str"/>
    </row>
    <row r="44">
      <c r="B44" s="432" t="n"/>
      <c r="C44" s="432" t="n"/>
      <c r="D44" s="259" t="n"/>
      <c r="E44" s="259" t="inlineStr">
        <is>
          <t>Median</t>
        </is>
      </c>
      <c r="F44" s="2367">
        <f>IFERROR(MEDIAN(F10:F41),"")</f>
        <v/>
      </c>
      <c r="G44" s="2367">
        <f>IFERROR(MEDIAN(G10:G41),"")</f>
        <v/>
      </c>
      <c r="H44" s="2367">
        <f>IFERROR(MEDIAN(H10:H41),"")</f>
        <v/>
      </c>
      <c r="I44" s="2087">
        <f>IFERROR(MEDIAN(I10:I41),"")</f>
        <v/>
      </c>
      <c r="J44" s="2368">
        <f>IFERROR(MEDIAN(J10:J41),"")</f>
        <v/>
      </c>
      <c r="K44" s="2368">
        <f>IFERROR(MEDIAN(K10:K41),"")</f>
        <v/>
      </c>
      <c r="S44" s="259" t="str"/>
    </row>
    <row r="45">
      <c r="B45" s="259" t="n"/>
      <c r="C45" s="259" t="n"/>
      <c r="D45" s="259" t="n"/>
      <c r="E45" s="259" t="inlineStr">
        <is>
          <t>Low</t>
        </is>
      </c>
      <c r="F45" s="2367">
        <f>IFERROR(MIN(F10:F41),"")</f>
        <v/>
      </c>
      <c r="G45" s="2367">
        <f>IFERROR(MIN(G10:G41),"")</f>
        <v/>
      </c>
      <c r="H45" s="2367">
        <f>IFERROR(MIN(H10:H41),"")</f>
        <v/>
      </c>
      <c r="I45" s="2087">
        <f>IFERROR(MIN(I10:I41),"")</f>
        <v/>
      </c>
      <c r="J45" s="2368">
        <f>IFERROR(MIN(J10:J41),"")</f>
        <v/>
      </c>
      <c r="K45" s="2368">
        <f>IFERROR(MIN(K10:K41),"")</f>
        <v/>
      </c>
      <c r="M45" s="752" t="n"/>
      <c r="N45" s="752" t="n"/>
      <c r="O45" s="752" t="n"/>
      <c r="P45" s="752" t="n"/>
      <c r="S45" s="259" t="str"/>
    </row>
    <row r="46">
      <c r="B46" s="259" t="n"/>
      <c r="C46" s="466" t="inlineStr">
        <is>
          <t>Excluding outliers</t>
        </is>
      </c>
      <c r="D46" s="259" t="n"/>
      <c r="E46" s="762" t="inlineStr">
        <is>
          <t>Max</t>
        </is>
      </c>
      <c r="F46" s="2369">
        <f t="array" ref="F46">IFERROR(MAX(IF($N$10:$N$41="No",F10:F41)),"")</f>
        <v/>
      </c>
      <c r="G46" s="2369">
        <f t="array" ref="G46">IFERROR(MAX(IF($N$10:$N$41="No",G10:G41)),"")</f>
        <v/>
      </c>
      <c r="H46" s="2369">
        <f t="array" ref="H46">IFERROR(MAX(IF($N$10:$N$41="No",H10:H41)),"")</f>
        <v/>
      </c>
      <c r="I46" s="2370">
        <f t="array" ref="I46">IFERROR(MAX(IF($N$10:$N$41="No",I10:I41)),"")</f>
        <v/>
      </c>
      <c r="J46" s="2371">
        <f t="array" ref="J46">IFERROR(MAX(IF($N$10:$N$41="No",J10:J41)),"")</f>
        <v/>
      </c>
      <c r="K46" s="2371">
        <f t="array" ref="K46">IFERROR(MAX(IF($N$10:$N$41="No",K10:K41)),"")</f>
        <v/>
      </c>
      <c r="M46" s="752" t="n"/>
      <c r="N46" s="752" t="n"/>
      <c r="O46" s="752" t="n"/>
      <c r="P46" s="752" t="n"/>
      <c r="S46" s="259" t="str"/>
    </row>
    <row r="47">
      <c r="B47" s="259" t="n"/>
      <c r="C47" s="259" t="n"/>
      <c r="D47" s="259" t="n"/>
      <c r="E47" s="259" t="inlineStr">
        <is>
          <t>Mean</t>
        </is>
      </c>
      <c r="F47" s="2367">
        <f>IFERROR(AVERAGEIF($N$10:$N$41,"No",F10:F41),"")</f>
        <v/>
      </c>
      <c r="G47" s="2367">
        <f>IFERROR(AVERAGEIF($N$10:$N$41,"No",G10:G41),"")</f>
        <v/>
      </c>
      <c r="H47" s="2367">
        <f>IFERROR(AVERAGEIF($N$10:$N$41,"No",H10:H41),"")</f>
        <v/>
      </c>
      <c r="I47" s="2087">
        <f>IFERROR(AVERAGEIF($N$10:$N$41,"No",I10:I41),"")</f>
        <v/>
      </c>
      <c r="J47" s="2368">
        <f>IFERROR(AVERAGEIF($N$10:$N$41,"No",J10:J41),"")</f>
        <v/>
      </c>
      <c r="K47" s="2368">
        <f>IFERROR(AVERAGEIF($N$10:$N$41,"No",K10:K41),"")</f>
        <v/>
      </c>
      <c r="M47" s="752" t="n"/>
      <c r="N47" s="752" t="n"/>
      <c r="O47" s="752" t="n"/>
      <c r="P47" s="752" t="n"/>
      <c r="S47" s="259" t="str"/>
    </row>
    <row r="48">
      <c r="B48" s="259" t="n"/>
      <c r="C48" s="432" t="n"/>
      <c r="D48" s="259" t="n"/>
      <c r="E48" s="259" t="inlineStr">
        <is>
          <t>Median</t>
        </is>
      </c>
      <c r="F48" s="2367">
        <f t="array" ref="F48">IFERROR(MEDIAN(IF($N$10:$N$41="No",F10:F41)),"")</f>
        <v/>
      </c>
      <c r="G48" s="2367">
        <f t="array" ref="G48">IFERROR(MEDIAN(IF($N$10:$N$41="No",G10:G41)),"")</f>
        <v/>
      </c>
      <c r="H48" s="2367">
        <f t="array" ref="H48">IFERROR(MEDIAN(IF($N$10:$N$41="No",H10:H41)),"")</f>
        <v/>
      </c>
      <c r="I48" s="2087">
        <f t="array" ref="I48">IFERROR(MEDIAN(IF($N$10:$N$41="No",I10:I41)),"")</f>
        <v/>
      </c>
      <c r="J48" s="2368">
        <f t="array" ref="J48">IFERROR(MEDIAN(IF($N$10:$N$41="No",J10:J41)),"")</f>
        <v/>
      </c>
      <c r="K48" s="2368">
        <f t="array" ref="K48">IFERROR(MEDIAN(IF($N$10:$N$41="No",K10:K41)),"")</f>
        <v/>
      </c>
      <c r="M48" s="752" t="n"/>
      <c r="N48" s="752" t="n"/>
      <c r="O48" s="752" t="n"/>
      <c r="P48" s="752" t="n"/>
      <c r="S48" s="259" t="str"/>
    </row>
    <row r="49">
      <c r="B49" s="259" t="n"/>
      <c r="C49" s="259" t="n"/>
      <c r="D49" s="259" t="n"/>
      <c r="E49" s="545" t="inlineStr">
        <is>
          <t>Low</t>
        </is>
      </c>
      <c r="F49" s="2372">
        <f t="array" ref="F49">IFERROR(MIN(IF($N$10:$N$41="No",F10:F41)),"")</f>
        <v/>
      </c>
      <c r="G49" s="2372">
        <f t="array" ref="G49">IFERROR(MIN(IF($N$10:$N$41="No",G10:G41)),"")</f>
        <v/>
      </c>
      <c r="H49" s="2372">
        <f t="array" ref="H49">IFERROR(MIN(IF($N$10:$N$41="No",H10:H41)),"")</f>
        <v/>
      </c>
      <c r="I49" s="2373">
        <f t="array" ref="I49">IFERROR(MIN(IF($N$10:$N$41="No",I10:I41)),"")</f>
        <v/>
      </c>
      <c r="J49" s="2374">
        <f t="array" ref="J49">IFERROR(MIN(IF($N$10:$N$41="No",J10:J41)),"")</f>
        <v/>
      </c>
      <c r="K49" s="2374">
        <f t="array" ref="K49">IFERROR(MIN(IF($N$10:$N$41="No",K10:K41)),"")</f>
        <v/>
      </c>
      <c r="M49" s="752" t="n"/>
      <c r="N49" s="752" t="n"/>
      <c r="O49" s="752" t="n"/>
      <c r="P49" s="752" t="n"/>
      <c r="S49" s="259" t="str"/>
    </row>
    <row r="50" ht="13" customHeight="1">
      <c r="B50" s="259" t="n"/>
      <c r="C50" s="910" t="inlineStr">
        <is>
          <t>Sources: Refinitiv EIKON</t>
        </is>
      </c>
      <c r="D50" s="259" t="n"/>
      <c r="E50" s="259" t="n"/>
      <c r="F50" s="259" t="n"/>
      <c r="G50" s="259" t="n"/>
      <c r="H50" s="259" t="n"/>
      <c r="I50" s="259" t="n"/>
      <c r="J50" s="259" t="n"/>
      <c r="K50" s="259" t="n"/>
      <c r="L50" s="259" t="n"/>
      <c r="M50" s="752" t="n"/>
      <c r="N50" s="550" t="n"/>
      <c r="O50" s="550" t="n"/>
      <c r="P50" s="550" t="n"/>
      <c r="S50" s="259" t="str"/>
    </row>
    <row r="51" customFormat="1" s="551">
      <c r="B51" s="551" t="n"/>
      <c r="C51" s="551" t="n"/>
      <c r="D51" s="551" t="n"/>
      <c r="E51" s="551" t="n"/>
      <c r="F51" s="551" t="n"/>
      <c r="G51" s="551" t="n"/>
      <c r="H51" s="551" t="n"/>
      <c r="I51" s="551" t="n"/>
      <c r="J51" s="551" t="n"/>
      <c r="K51" s="551" t="n"/>
      <c r="L51" s="551" t="n"/>
      <c r="M51" s="552" t="n"/>
      <c r="N51" s="553" t="n"/>
      <c r="O51" s="554" t="n"/>
      <c r="P51" s="2375" t="n"/>
      <c r="Q51" s="259" t="n"/>
      <c r="S51" s="551" t="str"/>
    </row>
    <row r="52" customFormat="1" s="551">
      <c r="M52" s="552" t="n"/>
      <c r="N52" s="553" t="n"/>
      <c r="O52" s="554" t="n"/>
      <c r="P52" s="2375" t="n"/>
      <c r="Q52" s="259" t="n"/>
      <c r="S52" s="551" t="str"/>
    </row>
    <row r="53" customFormat="1" s="1033">
      <c r="B53" s="2376" t="n"/>
      <c r="C53" s="2376" t="n"/>
      <c r="M53" s="557" t="n"/>
      <c r="N53" s="553" t="n"/>
      <c r="O53" s="554" t="n"/>
      <c r="P53" s="2375" t="n"/>
      <c r="Q53" s="259" t="n"/>
      <c r="S53" s="1033" t="str"/>
    </row>
    <row r="54" customFormat="1" s="1033">
      <c r="B54" s="2376" t="n"/>
      <c r="C54" s="2376" t="n"/>
      <c r="M54" s="557" t="n"/>
      <c r="N54" s="553" t="n"/>
      <c r="O54" s="554" t="n"/>
      <c r="P54" s="2375" t="n"/>
      <c r="Q54" s="259" t="n"/>
      <c r="S54" s="1033" t="str"/>
    </row>
    <row r="55" customFormat="1" s="1033">
      <c r="E55" s="557" t="n"/>
      <c r="F55" s="557" t="n"/>
      <c r="G55" s="557" t="n"/>
      <c r="H55" s="557" t="n"/>
      <c r="I55" s="557" t="n"/>
      <c r="J55" s="557" t="n"/>
      <c r="K55" s="557" t="n"/>
      <c r="M55" s="557" t="n"/>
      <c r="N55" s="753" t="n"/>
      <c r="O55" s="753" t="n"/>
      <c r="P55" s="2375" t="n"/>
      <c r="Q55" s="259" t="n"/>
      <c r="S55" s="1033" t="str"/>
    </row>
    <row r="56" ht="13" customHeight="1">
      <c r="E56" s="550" t="n"/>
      <c r="F56" s="558" t="n"/>
      <c r="G56" s="752" t="n"/>
      <c r="H56" s="752" t="n"/>
      <c r="I56" s="752" t="n"/>
      <c r="J56" s="752" t="n"/>
      <c r="K56" s="550" t="n"/>
      <c r="M56" s="752" t="n"/>
      <c r="N56" s="752" t="n"/>
      <c r="O56" s="2375">
        <f>IF(O55="Other","INPUT %","")</f>
        <v/>
      </c>
      <c r="P56" s="752" t="n"/>
      <c r="S56" s="259" t="str"/>
    </row>
    <row r="57">
      <c r="E57" s="2377" t="n"/>
      <c r="F57" s="753" t="n"/>
      <c r="G57" s="752" t="n"/>
      <c r="H57" s="752" t="n"/>
      <c r="I57" s="752" t="n"/>
      <c r="J57" s="752" t="n"/>
      <c r="K57" s="2378" t="n"/>
      <c r="M57" s="752" t="n"/>
      <c r="N57" s="752" t="n"/>
      <c r="O57" s="752" t="n"/>
      <c r="P57" s="752" t="n"/>
      <c r="S57" s="259" t="str"/>
    </row>
    <row r="58">
      <c r="E58" s="752" t="n"/>
      <c r="F58" s="752" t="n"/>
      <c r="G58" s="752" t="n"/>
      <c r="H58" s="752" t="n"/>
      <c r="I58" s="752" t="n"/>
      <c r="J58" s="752" t="n"/>
      <c r="K58" s="752" t="n"/>
      <c r="S58" s="259" t="str"/>
    </row>
    <row r="59">
      <c r="E59" s="752" t="n"/>
      <c r="F59" s="752" t="n"/>
      <c r="G59" s="752" t="n"/>
      <c r="H59" s="752" t="n"/>
      <c r="I59" s="752" t="n"/>
      <c r="J59" s="752" t="n"/>
      <c r="K59" s="752" t="n"/>
      <c r="S59" s="259" t="str"/>
    </row>
    <row r="60">
      <c r="E60" s="752" t="n"/>
      <c r="F60" s="752" t="n"/>
      <c r="G60" s="752" t="n"/>
      <c r="H60" s="752" t="n"/>
      <c r="I60" s="752" t="n"/>
      <c r="J60" s="752" t="n"/>
      <c r="K60" s="752" t="n"/>
    </row>
    <row r="61">
      <c r="E61" s="752" t="n"/>
      <c r="F61" s="752" t="n"/>
      <c r="G61" s="752" t="n"/>
      <c r="H61" s="752" t="n"/>
      <c r="I61" s="752" t="n"/>
      <c r="J61" s="752" t="n"/>
      <c r="K61" s="752" t="n"/>
    </row>
  </sheetData>
  <mergeCells count="1">
    <mergeCell ref="P2:S7"/>
  </mergeCells>
  <dataValidations count="2">
    <dataValidation sqref="O55" showDropDown="0" showInputMessage="1" showErrorMessage="1" allowBlank="1" type="list">
      <formula1>"High, Low, Mean, Median, Other"</formula1>
    </dataValidation>
    <dataValidation sqref="N10:N41" showDropDown="0" showInputMessage="1" showErrorMessage="1" allowBlank="1" type="list">
      <formula1>$O$1:$O$2</formula1>
    </dataValidation>
  </dataValidations>
  <printOptions horizontalCentered="1"/>
  <pageMargins left="0.25" right="0.25" top="0.75" bottom="0.25" header="0.5" footer="0.5"/>
  <pageSetup orientation="landscape" scale="93"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0.xml><?xml version="1.0" encoding="utf-8"?>
<worksheet xmlns="http://schemas.openxmlformats.org/spreadsheetml/2006/main">
  <sheetPr codeName="Sheet20">
    <tabColor theme="9" tint="-0.09997863704336681"/>
    <outlinePr summaryBelow="1" summaryRight="1"/>
    <pageSetUpPr fitToPage="1"/>
  </sheetPr>
  <dimension ref="B2:AK96"/>
  <sheetViews>
    <sheetView showGridLines="0" view="pageBreakPreview" zoomScale="60" zoomScaleNormal="100" zoomScaleSheetLayoutView="85" workbookViewId="0">
      <selection activeCell="X4" sqref="X4"/>
    </sheetView>
  </sheetViews>
  <sheetFormatPr baseColWidth="8" defaultColWidth="8.84375" defaultRowHeight="11.5" outlineLevelRow="1"/>
  <cols>
    <col width="5.84375" customWidth="1" style="259" min="1" max="1"/>
    <col width="3" customWidth="1" style="259" min="2" max="2"/>
    <col width="2" customWidth="1" style="259" min="3" max="3"/>
    <col width="24.3828125" customWidth="1" style="259" min="4" max="4"/>
    <col width="9.61328125" customWidth="1" style="259" min="5" max="5"/>
    <col outlineLevel="1" width="9.61328125" customWidth="1" style="259" min="6" max="13"/>
    <col width="9.61328125" customWidth="1" style="259" min="14" max="23"/>
    <col width="2.84375" customWidth="1" style="259" min="24" max="24"/>
    <col width="2.07421875" customWidth="1" style="259" min="25" max="25"/>
    <col width="11.07421875" customWidth="1" style="259" min="26" max="26"/>
    <col width="8.84375" customWidth="1" style="259" min="27" max="16384"/>
  </cols>
  <sheetData>
    <row r="1" customFormat="1" s="752"/>
    <row r="2" ht="15.5" customFormat="1" customHeight="1" s="747">
      <c r="B2" s="505">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825" t="n"/>
    </row>
    <row r="3" ht="15.5" customFormat="1" customHeight="1" s="510">
      <c r="B3" s="742">
        <f>Inputs!$B$3</f>
        <v/>
      </c>
      <c r="C3" s="506" t="n"/>
      <c r="D3" s="506" t="n"/>
      <c r="E3" s="506" t="n"/>
      <c r="F3" s="506" t="n"/>
      <c r="G3" s="506" t="n"/>
      <c r="H3" s="506" t="n"/>
      <c r="I3" s="506" t="n"/>
      <c r="J3" s="506" t="n"/>
      <c r="K3" s="506" t="n"/>
      <c r="L3" s="506" t="n"/>
      <c r="M3" s="506" t="n"/>
      <c r="N3" s="506" t="n"/>
      <c r="O3" s="743" t="n"/>
      <c r="P3" s="744" t="n"/>
      <c r="Q3" s="744" t="n"/>
      <c r="R3" s="744" t="n"/>
      <c r="S3" s="744" t="n"/>
      <c r="T3" s="744" t="n"/>
      <c r="U3" s="744" t="n"/>
      <c r="V3" s="744" t="n"/>
      <c r="W3" s="744" t="n"/>
      <c r="X3" s="826" t="n"/>
    </row>
    <row r="4" customFormat="1" s="510">
      <c r="B4" s="742" t="inlineStr">
        <is>
          <t>Guideline Companies: Revenue and EBITDA Growth Trends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3">
        <f>valuation.date.header</f>
        <v/>
      </c>
    </row>
    <row r="5" ht="5" customFormat="1" customHeight="1" s="510" thickBot="1">
      <c r="B5" s="827" t="n"/>
      <c r="C5" s="828" t="n"/>
      <c r="D5" s="828" t="n"/>
      <c r="E5" s="828" t="n"/>
      <c r="F5" s="828" t="n"/>
      <c r="G5" s="828" t="n"/>
      <c r="H5" s="828" t="n"/>
      <c r="I5" s="828" t="n"/>
      <c r="J5" s="828" t="n"/>
      <c r="K5" s="828" t="n"/>
      <c r="L5" s="828" t="n"/>
      <c r="M5" s="828" t="n"/>
      <c r="N5" s="828" t="n"/>
      <c r="O5" s="828" t="n"/>
      <c r="P5" s="828" t="n"/>
      <c r="Q5" s="828" t="n"/>
      <c r="R5" s="828" t="n"/>
      <c r="S5" s="828" t="n"/>
      <c r="T5" s="828" t="n"/>
      <c r="U5" s="828" t="n"/>
      <c r="V5" s="828" t="n"/>
      <c r="W5" s="828" t="n"/>
      <c r="X5" s="828" t="n"/>
    </row>
    <row r="6" ht="12" customFormat="1" customHeight="1" s="432" thickTop="1">
      <c r="O6" s="896" t="n"/>
      <c r="P6" s="896" t="n"/>
      <c r="Q6" s="896" t="n"/>
      <c r="R6" s="896" t="n"/>
      <c r="S6" s="896" t="n"/>
      <c r="T6" s="896" t="n"/>
      <c r="U6" s="896" t="n"/>
      <c r="V6" s="896" t="n"/>
      <c r="W6" s="896" t="n"/>
    </row>
    <row r="7" customFormat="1" s="432">
      <c r="D7" s="830" t="inlineStr">
        <is>
          <t>Revenue</t>
        </is>
      </c>
      <c r="O7" s="896" t="n"/>
      <c r="P7" s="896" t="n"/>
      <c r="Q7" s="896" t="n"/>
      <c r="R7" s="896" t="n"/>
      <c r="S7" s="896" t="n"/>
      <c r="T7" s="896" t="n"/>
      <c r="U7" s="896" t="n"/>
      <c r="V7" s="896" t="n"/>
      <c r="W7" s="896" t="n"/>
    </row>
    <row r="8" ht="25.5" customFormat="1" customHeight="1" s="432">
      <c r="B8" s="831" t="n"/>
      <c r="D8" s="832" t="n"/>
      <c r="E8" s="2379" t="n"/>
      <c r="F8" s="2380" t="n"/>
      <c r="K8" s="1847" t="inlineStr">
        <is>
          <t>Projected</t>
        </is>
      </c>
      <c r="M8" s="1847" t="n"/>
      <c r="N8" s="1847" t="inlineStr">
        <is>
          <t>Historical Growth</t>
        </is>
      </c>
      <c r="S8" s="1848" t="inlineStr">
        <is>
          <t>Projected Growth</t>
        </is>
      </c>
      <c r="W8" s="1848" t="n"/>
      <c r="X8" s="433" t="inlineStr"/>
      <c r="Y8" s="433" t="n"/>
      <c r="Z8" s="433" t="n"/>
      <c r="AA8" s="433" t="n"/>
      <c r="AB8" s="433" t="inlineStr"/>
      <c r="AC8" s="2381" t="n"/>
      <c r="AD8" s="2382" t="inlineStr">
        <is>
          <t>2 Year CAGR</t>
        </is>
      </c>
      <c r="AE8" s="2382" t="inlineStr">
        <is>
          <t>Median</t>
        </is>
      </c>
      <c r="AF8" s="2383" t="n"/>
      <c r="AG8" s="433" t="inlineStr"/>
      <c r="AH8" s="433" t="inlineStr"/>
    </row>
    <row r="9" ht="12" customFormat="1" customHeight="1" s="432" thickBot="1">
      <c r="D9" s="2384" t="inlineStr">
        <is>
          <t>Company Name</t>
        </is>
      </c>
      <c r="E9" s="2385" t="inlineStr">
        <is>
          <t>Last FYE</t>
        </is>
      </c>
      <c r="F9" s="2386" t="inlineStr">
        <is>
          <t>FYE-3</t>
        </is>
      </c>
      <c r="G9" s="2386" t="inlineStr">
        <is>
          <t>FYE-2</t>
        </is>
      </c>
      <c r="H9" s="2386" t="inlineStr">
        <is>
          <t>FYE-1</t>
        </is>
      </c>
      <c r="I9" s="2386" t="inlineStr">
        <is>
          <t>FYE</t>
        </is>
      </c>
      <c r="J9" s="1847" t="inlineStr">
        <is>
          <t>TTM</t>
        </is>
      </c>
      <c r="K9" s="1847" t="inlineStr">
        <is>
          <t>FYE + 1</t>
        </is>
      </c>
      <c r="L9" s="1847" t="inlineStr">
        <is>
          <t>FYE + 2</t>
        </is>
      </c>
      <c r="M9" s="1847" t="inlineStr">
        <is>
          <t>FYE + 3</t>
        </is>
      </c>
      <c r="N9" s="1847" t="inlineStr">
        <is>
          <t>FYE - 3</t>
        </is>
      </c>
      <c r="O9" s="1847" t="inlineStr">
        <is>
          <t>FYE -2</t>
        </is>
      </c>
      <c r="P9" s="1847" t="inlineStr">
        <is>
          <t>FYE -1</t>
        </is>
      </c>
      <c r="Q9" s="1847" t="inlineStr">
        <is>
          <t>FYE</t>
        </is>
      </c>
      <c r="R9" s="1847" t="inlineStr">
        <is>
          <t>3 Year CAGR</t>
        </is>
      </c>
      <c r="S9" s="1847" t="inlineStr">
        <is>
          <t>FYE + 1</t>
        </is>
      </c>
      <c r="T9" s="1847" t="inlineStr">
        <is>
          <t>FYE + 2</t>
        </is>
      </c>
      <c r="U9" s="1847" t="inlineStr">
        <is>
          <t>FYE + 3</t>
        </is>
      </c>
      <c r="V9" s="1847" t="inlineStr">
        <is>
          <t>2 Year CAGR</t>
        </is>
      </c>
      <c r="W9" s="1847" t="inlineStr">
        <is>
          <t>3 Year CAGR</t>
        </is>
      </c>
      <c r="X9" s="1833" t="n"/>
      <c r="Y9" s="1833" t="n"/>
      <c r="Z9" s="516" t="inlineStr">
        <is>
          <t>Exclude as outlier?</t>
        </is>
      </c>
      <c r="AA9" s="1833" t="n"/>
      <c r="AB9" s="1833" t="n"/>
      <c r="AC9" s="2381">
        <f>client.name.long</f>
        <v/>
      </c>
      <c r="AD9" s="2387">
        <f>(#REF!/#REF!)^(1/2)-1</f>
        <v/>
      </c>
      <c r="AE9" s="2387">
        <f>$V$45</f>
        <v/>
      </c>
      <c r="AF9" s="2383" t="n"/>
      <c r="AG9" s="1833" t="n"/>
      <c r="AH9" s="1833" t="n"/>
    </row>
    <row r="10" ht="12" customFormat="1" customHeight="1" s="432" thickBot="1">
      <c r="C10" s="844" t="n">
        <v>1</v>
      </c>
      <c r="D10" s="2388">
        <f>'GPC Data'!E294</f>
        <v/>
      </c>
      <c r="E10" s="2389">
        <f>'GPC Data'!P22</f>
        <v/>
      </c>
      <c r="F10" s="2390">
        <f>'GPC Data'!F124</f>
        <v/>
      </c>
      <c r="G10" s="2390">
        <f>'GPC Data'!G124</f>
        <v/>
      </c>
      <c r="H10" s="2390">
        <f>'GPC Data'!H124</f>
        <v/>
      </c>
      <c r="I10" s="2390">
        <f>'GPC Data'!I124</f>
        <v/>
      </c>
      <c r="J10" s="2390">
        <f>'GPC Data'!J124</f>
        <v/>
      </c>
      <c r="K10" s="2391">
        <f>'GPC Data'!K124</f>
        <v/>
      </c>
      <c r="L10" s="2391">
        <f>'GPC Data'!L124</f>
        <v/>
      </c>
      <c r="M10" s="2391">
        <f>'GPC Data'!M124</f>
        <v/>
      </c>
      <c r="N10" s="2392" t="n"/>
      <c r="O10" s="2393">
        <f>G10/F10-1</f>
        <v/>
      </c>
      <c r="P10" s="2393">
        <f>H10/G10-1</f>
        <v/>
      </c>
      <c r="Q10" s="2393">
        <f>I10/H10-1</f>
        <v/>
      </c>
      <c r="R10" s="2394">
        <f>(I10/F10)^(1/3)-1</f>
        <v/>
      </c>
      <c r="S10" s="2395">
        <f>K10/I10-1</f>
        <v/>
      </c>
      <c r="T10" s="2395">
        <f>L10/J10-1</f>
        <v/>
      </c>
      <c r="U10" s="2395">
        <f>M10/K10-1</f>
        <v/>
      </c>
      <c r="V10" s="2396">
        <f>(U10/S10)^(1/2)-1</f>
        <v/>
      </c>
      <c r="W10" s="854">
        <f>(U10/I10)^(1/3)-1</f>
        <v/>
      </c>
      <c r="X10" s="1833" t="n"/>
      <c r="Y10" s="1833" t="n"/>
      <c r="Z10" s="443" t="inlineStr">
        <is>
          <t>No</t>
        </is>
      </c>
      <c r="AA10" s="1833" t="n"/>
      <c r="AB10" s="1833" t="n"/>
      <c r="AC10" s="2381">
        <f>D10</f>
        <v/>
      </c>
      <c r="AD10" s="2397">
        <f>V10</f>
        <v/>
      </c>
      <c r="AE10" s="2397">
        <f>$V$45</f>
        <v/>
      </c>
      <c r="AF10" s="856" t="n">
        <v>0</v>
      </c>
      <c r="AG10" s="1833" t="n"/>
      <c r="AH10" s="1833" t="n"/>
    </row>
    <row r="11" ht="12" customFormat="1" customHeight="1" s="432" thickBot="1">
      <c r="C11" s="844">
        <f>C10+1</f>
        <v/>
      </c>
      <c r="D11" s="2398">
        <f>'GPC Data'!E295</f>
        <v/>
      </c>
      <c r="E11" s="2399">
        <f>'GPC Data'!P23</f>
        <v/>
      </c>
      <c r="F11" s="2400">
        <f>'GPC Data'!F125</f>
        <v/>
      </c>
      <c r="G11" s="2400">
        <f>'GPC Data'!G125</f>
        <v/>
      </c>
      <c r="H11" s="2400">
        <f>'GPC Data'!H125</f>
        <v/>
      </c>
      <c r="I11" s="2400">
        <f>'GPC Data'!I125</f>
        <v/>
      </c>
      <c r="J11" s="2400">
        <f>'GPC Data'!J125</f>
        <v/>
      </c>
      <c r="K11" s="2401">
        <f>'GPC Data'!K125</f>
        <v/>
      </c>
      <c r="L11" s="2401">
        <f>'GPC Data'!L125</f>
        <v/>
      </c>
      <c r="M11" s="2401">
        <f>'GPC Data'!M125</f>
        <v/>
      </c>
      <c r="N11" s="2402" t="n"/>
      <c r="O11" s="2383">
        <f>G11/F11-1</f>
        <v/>
      </c>
      <c r="P11" s="2383">
        <f>H11/G11-1</f>
        <v/>
      </c>
      <c r="Q11" s="2383">
        <f>I11/H11-1</f>
        <v/>
      </c>
      <c r="R11" s="2403">
        <f>(I11/F11)^(1/3)-1</f>
        <v/>
      </c>
      <c r="S11" s="2404">
        <f>K11/I11-1</f>
        <v/>
      </c>
      <c r="T11" s="2404">
        <f>L11/J11-1</f>
        <v/>
      </c>
      <c r="U11" s="2404">
        <f>M11/K11-1</f>
        <v/>
      </c>
      <c r="V11" s="2405">
        <f>(U11/S11)^(1/2)-1</f>
        <v/>
      </c>
      <c r="W11" s="2405">
        <f>(U11/I11)^(1/3)-1</f>
        <v/>
      </c>
      <c r="X11" s="1833" t="n"/>
      <c r="Y11" s="1833" t="n"/>
      <c r="Z11" s="443" t="inlineStr">
        <is>
          <t>No</t>
        </is>
      </c>
      <c r="AA11" s="1833" t="n"/>
      <c r="AB11" s="1833" t="n"/>
      <c r="AC11" s="2381">
        <f>D11</f>
        <v/>
      </c>
      <c r="AD11" s="2397">
        <f>V11</f>
        <v/>
      </c>
      <c r="AE11" s="2397">
        <f>$V$45</f>
        <v/>
      </c>
      <c r="AF11" s="856" t="n">
        <v>1.5</v>
      </c>
      <c r="AG11" s="1833" t="n"/>
      <c r="AH11" s="1833" t="n"/>
    </row>
    <row r="12" ht="12" customFormat="1" customHeight="1" s="432" thickBot="1">
      <c r="C12" s="844">
        <f>C11+1</f>
        <v/>
      </c>
      <c r="D12" s="2398">
        <f>'GPC Data'!E296</f>
        <v/>
      </c>
      <c r="E12" s="2399">
        <f>'GPC Data'!P24</f>
        <v/>
      </c>
      <c r="F12" s="2400">
        <f>'GPC Data'!F126</f>
        <v/>
      </c>
      <c r="G12" s="2400">
        <f>'GPC Data'!G126</f>
        <v/>
      </c>
      <c r="H12" s="2400">
        <f>'GPC Data'!H126</f>
        <v/>
      </c>
      <c r="I12" s="2400">
        <f>'GPC Data'!I126</f>
        <v/>
      </c>
      <c r="J12" s="2400">
        <f>'GPC Data'!J126</f>
        <v/>
      </c>
      <c r="K12" s="2401">
        <f>'GPC Data'!K126</f>
        <v/>
      </c>
      <c r="L12" s="2401">
        <f>'GPC Data'!L126</f>
        <v/>
      </c>
      <c r="M12" s="2401">
        <f>'GPC Data'!M126</f>
        <v/>
      </c>
      <c r="N12" s="2402" t="n"/>
      <c r="O12" s="2383">
        <f>G12/F12-1</f>
        <v/>
      </c>
      <c r="P12" s="2383">
        <f>H12/G12-1</f>
        <v/>
      </c>
      <c r="Q12" s="2383">
        <f>I12/H12-1</f>
        <v/>
      </c>
      <c r="R12" s="2403">
        <f>(I12/F12)^(1/3)-1</f>
        <v/>
      </c>
      <c r="S12" s="2404">
        <f>K12/I12-1</f>
        <v/>
      </c>
      <c r="T12" s="2404">
        <f>L12/J12-1</f>
        <v/>
      </c>
      <c r="U12" s="2404">
        <f>M12/K12-1</f>
        <v/>
      </c>
      <c r="V12" s="2405">
        <f>(U12/S12)^(1/2)-1</f>
        <v/>
      </c>
      <c r="W12" s="2405">
        <f>(U12/I12)^(1/3)-1</f>
        <v/>
      </c>
      <c r="X12" s="1833" t="inlineStr"/>
      <c r="Y12" s="1833" t="n"/>
      <c r="Z12" s="443" t="inlineStr">
        <is>
          <t>No</t>
        </is>
      </c>
      <c r="AA12" s="1833" t="n"/>
      <c r="AB12" s="1833" t="inlineStr"/>
      <c r="AC12" s="2381">
        <f>D12</f>
        <v/>
      </c>
      <c r="AD12" s="2397">
        <f>V12</f>
        <v/>
      </c>
      <c r="AE12" s="2383" t="n"/>
      <c r="AF12" s="2383" t="n"/>
      <c r="AG12" s="1833" t="inlineStr"/>
      <c r="AH12" s="1833" t="inlineStr"/>
    </row>
    <row r="13" ht="12" customFormat="1" customHeight="1" s="432" thickBot="1">
      <c r="C13" s="844">
        <f>C12+1</f>
        <v/>
      </c>
      <c r="D13" s="2398">
        <f>'GPC Data'!E297</f>
        <v/>
      </c>
      <c r="E13" s="2399">
        <f>'GPC Data'!P25</f>
        <v/>
      </c>
      <c r="F13" s="2400">
        <f>'GPC Data'!F127</f>
        <v/>
      </c>
      <c r="G13" s="2400">
        <f>'GPC Data'!G127</f>
        <v/>
      </c>
      <c r="H13" s="2400">
        <f>'GPC Data'!H127</f>
        <v/>
      </c>
      <c r="I13" s="2400">
        <f>'GPC Data'!I127</f>
        <v/>
      </c>
      <c r="J13" s="2400">
        <f>'GPC Data'!J127</f>
        <v/>
      </c>
      <c r="K13" s="2401">
        <f>'GPC Data'!K127</f>
        <v/>
      </c>
      <c r="L13" s="2401">
        <f>'GPC Data'!L127</f>
        <v/>
      </c>
      <c r="M13" s="2401">
        <f>'GPC Data'!M127</f>
        <v/>
      </c>
      <c r="N13" s="2402" t="n"/>
      <c r="O13" s="2383">
        <f>G13/F13-1</f>
        <v/>
      </c>
      <c r="P13" s="2383">
        <f>H13/G13-1</f>
        <v/>
      </c>
      <c r="Q13" s="2383">
        <f>I13/H13-1</f>
        <v/>
      </c>
      <c r="R13" s="2403">
        <f>(I13/F13)^(1/3)-1</f>
        <v/>
      </c>
      <c r="S13" s="2404">
        <f>K13/I13-1</f>
        <v/>
      </c>
      <c r="T13" s="2404">
        <f>L13/J13-1</f>
        <v/>
      </c>
      <c r="U13" s="2404">
        <f>M13/K13-1</f>
        <v/>
      </c>
      <c r="V13" s="2405">
        <f>(U13/S13)^(1/2)-1</f>
        <v/>
      </c>
      <c r="W13" s="2405">
        <f>(U13/I13)^(1/3)-1</f>
        <v/>
      </c>
      <c r="X13" s="1833" t="inlineStr"/>
      <c r="Y13" s="1833" t="n"/>
      <c r="Z13" s="443" t="inlineStr">
        <is>
          <t>No</t>
        </is>
      </c>
      <c r="AA13" s="1833" t="n"/>
      <c r="AB13" s="1833" t="inlineStr"/>
      <c r="AC13" s="2381">
        <f>D13</f>
        <v/>
      </c>
      <c r="AD13" s="2397">
        <f>V13</f>
        <v/>
      </c>
      <c r="AE13" s="2383" t="n"/>
      <c r="AF13" s="2383" t="n"/>
      <c r="AG13" s="1833" t="inlineStr"/>
      <c r="AH13" s="1833" t="inlineStr"/>
    </row>
    <row r="14" ht="12" customFormat="1" customHeight="1" s="432" thickBot="1">
      <c r="C14" s="844">
        <f>C13+1</f>
        <v/>
      </c>
      <c r="D14" s="2398">
        <f>'GPC Data'!E298</f>
        <v/>
      </c>
      <c r="E14" s="2399">
        <f>'GPC Data'!P26</f>
        <v/>
      </c>
      <c r="F14" s="2400">
        <f>'GPC Data'!F128</f>
        <v/>
      </c>
      <c r="G14" s="2400">
        <f>'GPC Data'!G128</f>
        <v/>
      </c>
      <c r="H14" s="2400">
        <f>'GPC Data'!H128</f>
        <v/>
      </c>
      <c r="I14" s="2400">
        <f>'GPC Data'!I128</f>
        <v/>
      </c>
      <c r="J14" s="2400">
        <f>'GPC Data'!J128</f>
        <v/>
      </c>
      <c r="K14" s="2401">
        <f>'GPC Data'!K128</f>
        <v/>
      </c>
      <c r="L14" s="2401">
        <f>'GPC Data'!L128</f>
        <v/>
      </c>
      <c r="M14" s="2401">
        <f>'GPC Data'!M128</f>
        <v/>
      </c>
      <c r="N14" s="2402" t="n"/>
      <c r="O14" s="2383">
        <f>G14/F14-1</f>
        <v/>
      </c>
      <c r="P14" s="2383">
        <f>H14/G14-1</f>
        <v/>
      </c>
      <c r="Q14" s="2383">
        <f>I14/H14-1</f>
        <v/>
      </c>
      <c r="R14" s="2403">
        <f>(I14/F14)^(1/3)-1</f>
        <v/>
      </c>
      <c r="S14" s="2404">
        <f>K14/I14-1</f>
        <v/>
      </c>
      <c r="T14" s="2404">
        <f>L14/J14-1</f>
        <v/>
      </c>
      <c r="U14" s="2404">
        <f>M14/K14-1</f>
        <v/>
      </c>
      <c r="V14" s="2405">
        <f>(U14/S14)^(1/2)-1</f>
        <v/>
      </c>
      <c r="W14" s="2405">
        <f>(U14/I14)^(1/3)-1</f>
        <v/>
      </c>
      <c r="X14" s="1833" t="n"/>
      <c r="Y14" s="1833" t="n"/>
      <c r="Z14" s="443" t="inlineStr">
        <is>
          <t>No</t>
        </is>
      </c>
      <c r="AA14" s="1833" t="n"/>
      <c r="AB14" s="1833" t="n"/>
      <c r="AC14" s="2381">
        <f>D14</f>
        <v/>
      </c>
      <c r="AD14" s="2397">
        <f>V14</f>
        <v/>
      </c>
      <c r="AE14" s="2383" t="n"/>
      <c r="AF14" s="2383" t="n"/>
      <c r="AG14" s="1833" t="n"/>
      <c r="AH14" s="1833" t="n"/>
    </row>
    <row r="15" ht="12" customFormat="1" customHeight="1" s="432" thickBot="1">
      <c r="C15" s="844">
        <f>C14+1</f>
        <v/>
      </c>
      <c r="D15" s="2398">
        <f>'GPC Data'!E299</f>
        <v/>
      </c>
      <c r="E15" s="2399">
        <f>'GPC Data'!P27</f>
        <v/>
      </c>
      <c r="F15" s="2400">
        <f>'GPC Data'!F129</f>
        <v/>
      </c>
      <c r="G15" s="2400">
        <f>'GPC Data'!G129</f>
        <v/>
      </c>
      <c r="H15" s="2400">
        <f>'GPC Data'!H129</f>
        <v/>
      </c>
      <c r="I15" s="2400">
        <f>'GPC Data'!I129</f>
        <v/>
      </c>
      <c r="J15" s="2400">
        <f>'GPC Data'!J129</f>
        <v/>
      </c>
      <c r="K15" s="2401">
        <f>'GPC Data'!K129</f>
        <v/>
      </c>
      <c r="L15" s="2401">
        <f>'GPC Data'!L129</f>
        <v/>
      </c>
      <c r="M15" s="2401">
        <f>'GPC Data'!M129</f>
        <v/>
      </c>
      <c r="N15" s="2402" t="n"/>
      <c r="O15" s="2383">
        <f>G15/F15-1</f>
        <v/>
      </c>
      <c r="P15" s="2383">
        <f>H15/G15-1</f>
        <v/>
      </c>
      <c r="Q15" s="2383">
        <f>I15/H15-1</f>
        <v/>
      </c>
      <c r="R15" s="2403">
        <f>(I15/F15)^(1/3)-1</f>
        <v/>
      </c>
      <c r="S15" s="2404">
        <f>K15/I15-1</f>
        <v/>
      </c>
      <c r="T15" s="2404">
        <f>L15/J15-1</f>
        <v/>
      </c>
      <c r="U15" s="2404">
        <f>M15/K15-1</f>
        <v/>
      </c>
      <c r="V15" s="2405">
        <f>(U15/S15)^(1/2)-1</f>
        <v/>
      </c>
      <c r="W15" s="2405">
        <f>(U15/I15)^(1/3)-1</f>
        <v/>
      </c>
      <c r="X15" s="1833" t="inlineStr"/>
      <c r="Y15" s="1833" t="n"/>
      <c r="Z15" s="443" t="inlineStr">
        <is>
          <t>No</t>
        </is>
      </c>
      <c r="AA15" s="1833" t="n"/>
      <c r="AB15" s="1833" t="inlineStr"/>
      <c r="AC15" s="2381">
        <f>D15</f>
        <v/>
      </c>
      <c r="AD15" s="2397">
        <f>V15</f>
        <v/>
      </c>
      <c r="AE15" s="2383" t="n"/>
      <c r="AF15" s="2383" t="n"/>
      <c r="AG15" s="1833" t="inlineStr"/>
      <c r="AH15" s="1833" t="inlineStr"/>
    </row>
    <row r="16" ht="12" customFormat="1" customHeight="1" s="432" thickBot="1">
      <c r="C16" s="844">
        <f>C15+1</f>
        <v/>
      </c>
      <c r="D16" s="2398">
        <f>'GPC Data'!E300</f>
        <v/>
      </c>
      <c r="E16" s="2399">
        <f>'GPC Data'!P28</f>
        <v/>
      </c>
      <c r="F16" s="2400">
        <f>'GPC Data'!F130</f>
        <v/>
      </c>
      <c r="G16" s="2400">
        <f>'GPC Data'!G130</f>
        <v/>
      </c>
      <c r="H16" s="2400">
        <f>'GPC Data'!H130</f>
        <v/>
      </c>
      <c r="I16" s="2400">
        <f>'GPC Data'!I130</f>
        <v/>
      </c>
      <c r="J16" s="2400">
        <f>'GPC Data'!J130</f>
        <v/>
      </c>
      <c r="K16" s="2401">
        <f>'GPC Data'!K130</f>
        <v/>
      </c>
      <c r="L16" s="2401">
        <f>'GPC Data'!L130</f>
        <v/>
      </c>
      <c r="M16" s="2401">
        <f>'GPC Data'!M130</f>
        <v/>
      </c>
      <c r="N16" s="2402" t="n"/>
      <c r="O16" s="2383">
        <f>G16/F16-1</f>
        <v/>
      </c>
      <c r="P16" s="2383">
        <f>H16/G16-1</f>
        <v/>
      </c>
      <c r="Q16" s="2383">
        <f>I16/H16-1</f>
        <v/>
      </c>
      <c r="R16" s="2403">
        <f>(I16/F16)^(1/3)-1</f>
        <v/>
      </c>
      <c r="S16" s="2404">
        <f>K16/I16-1</f>
        <v/>
      </c>
      <c r="T16" s="2404">
        <f>L16/J16-1</f>
        <v/>
      </c>
      <c r="U16" s="2404">
        <f>M16/K16-1</f>
        <v/>
      </c>
      <c r="V16" s="2405">
        <f>(U16/S16)^(1/2)-1</f>
        <v/>
      </c>
      <c r="W16" s="2405">
        <f>(U16/I16)^(1/3)-1</f>
        <v/>
      </c>
      <c r="X16" s="1833" t="inlineStr"/>
      <c r="Y16" s="1833" t="n"/>
      <c r="Z16" s="443" t="inlineStr">
        <is>
          <t>No</t>
        </is>
      </c>
      <c r="AA16" s="1833" t="n"/>
      <c r="AB16" s="1833" t="inlineStr"/>
      <c r="AC16" s="2381">
        <f>D16</f>
        <v/>
      </c>
      <c r="AD16" s="2397">
        <f>V16</f>
        <v/>
      </c>
      <c r="AE16" s="2383" t="n"/>
      <c r="AF16" s="2383" t="n"/>
      <c r="AG16" s="1833" t="inlineStr"/>
      <c r="AH16" s="1833" t="inlineStr"/>
    </row>
    <row r="17" ht="12" customFormat="1" customHeight="1" s="432" thickBot="1">
      <c r="C17" s="844">
        <f>C16+1</f>
        <v/>
      </c>
      <c r="D17" s="2398">
        <f>'GPC Data'!E301</f>
        <v/>
      </c>
      <c r="E17" s="2399">
        <f>'GPC Data'!P29</f>
        <v/>
      </c>
      <c r="F17" s="2400">
        <f>'GPC Data'!F131</f>
        <v/>
      </c>
      <c r="G17" s="2400">
        <f>'GPC Data'!G131</f>
        <v/>
      </c>
      <c r="H17" s="2400">
        <f>'GPC Data'!H131</f>
        <v/>
      </c>
      <c r="I17" s="2400">
        <f>'GPC Data'!I131</f>
        <v/>
      </c>
      <c r="J17" s="2400">
        <f>'GPC Data'!J131</f>
        <v/>
      </c>
      <c r="K17" s="2401">
        <f>'GPC Data'!K131</f>
        <v/>
      </c>
      <c r="L17" s="2401">
        <f>'GPC Data'!L131</f>
        <v/>
      </c>
      <c r="M17" s="2401">
        <f>'GPC Data'!M131</f>
        <v/>
      </c>
      <c r="N17" s="2402" t="n"/>
      <c r="O17" s="2383">
        <f>G17/F17-1</f>
        <v/>
      </c>
      <c r="P17" s="2383">
        <f>H17/G17-1</f>
        <v/>
      </c>
      <c r="Q17" s="2383">
        <f>I17/H17-1</f>
        <v/>
      </c>
      <c r="R17" s="2403">
        <f>(I17/F17)^(1/3)-1</f>
        <v/>
      </c>
      <c r="S17" s="2404">
        <f>K17/I17-1</f>
        <v/>
      </c>
      <c r="T17" s="2404">
        <f>L17/J17-1</f>
        <v/>
      </c>
      <c r="U17" s="2404">
        <f>M17/K17-1</f>
        <v/>
      </c>
      <c r="V17" s="2405">
        <f>(U17/S17)^(1/2)-1</f>
        <v/>
      </c>
      <c r="W17" s="2405">
        <f>(U17/I17)^(1/3)-1</f>
        <v/>
      </c>
      <c r="X17" s="1833" t="n"/>
      <c r="Y17" s="1833" t="n"/>
      <c r="Z17" s="443" t="inlineStr">
        <is>
          <t>No</t>
        </is>
      </c>
      <c r="AA17" s="1833" t="n"/>
      <c r="AB17" s="1833" t="n"/>
      <c r="AC17" s="2381">
        <f>D17</f>
        <v/>
      </c>
      <c r="AD17" s="2397">
        <f>V17</f>
        <v/>
      </c>
      <c r="AE17" s="2383" t="n"/>
      <c r="AF17" s="2383" t="n"/>
      <c r="AG17" s="1833" t="n"/>
      <c r="AH17" s="1833" t="n"/>
    </row>
    <row r="18" ht="12" customFormat="1" customHeight="1" s="432" thickBot="1">
      <c r="C18" s="844">
        <f>C17+1</f>
        <v/>
      </c>
      <c r="D18" s="2398">
        <f>'GPC Data'!E302</f>
        <v/>
      </c>
      <c r="E18" s="2399">
        <f>'GPC Data'!P30</f>
        <v/>
      </c>
      <c r="F18" s="2400">
        <f>'GPC Data'!F132</f>
        <v/>
      </c>
      <c r="G18" s="2400">
        <f>'GPC Data'!G132</f>
        <v/>
      </c>
      <c r="H18" s="2400">
        <f>'GPC Data'!H132</f>
        <v/>
      </c>
      <c r="I18" s="2400">
        <f>'GPC Data'!I132</f>
        <v/>
      </c>
      <c r="J18" s="2400">
        <f>'GPC Data'!J132</f>
        <v/>
      </c>
      <c r="K18" s="2401">
        <f>'GPC Data'!K132</f>
        <v/>
      </c>
      <c r="L18" s="2401">
        <f>'GPC Data'!L132</f>
        <v/>
      </c>
      <c r="M18" s="2401">
        <f>'GPC Data'!M132</f>
        <v/>
      </c>
      <c r="N18" s="2402" t="n"/>
      <c r="O18" s="2383">
        <f>G18/F18-1</f>
        <v/>
      </c>
      <c r="P18" s="2383">
        <f>H18/G18-1</f>
        <v/>
      </c>
      <c r="Q18" s="2383">
        <f>I18/H18-1</f>
        <v/>
      </c>
      <c r="R18" s="2403">
        <f>(I18/F18)^(1/3)-1</f>
        <v/>
      </c>
      <c r="S18" s="2404">
        <f>K18/I18-1</f>
        <v/>
      </c>
      <c r="T18" s="2404">
        <f>L18/J18-1</f>
        <v/>
      </c>
      <c r="U18" s="2404">
        <f>M18/K18-1</f>
        <v/>
      </c>
      <c r="V18" s="2405">
        <f>(U18/S18)^(1/2)-1</f>
        <v/>
      </c>
      <c r="W18" s="2405">
        <f>(U18/I18)^(1/3)-1</f>
        <v/>
      </c>
      <c r="X18" s="1833" t="inlineStr"/>
      <c r="Y18" s="1833" t="n"/>
      <c r="Z18" s="443" t="inlineStr">
        <is>
          <t>No</t>
        </is>
      </c>
      <c r="AA18" s="1833" t="n"/>
      <c r="AB18" s="1833" t="inlineStr"/>
      <c r="AC18" s="2381">
        <f>D18</f>
        <v/>
      </c>
      <c r="AD18" s="2397">
        <f>V18</f>
        <v/>
      </c>
      <c r="AE18" s="2383" t="n"/>
      <c r="AF18" s="2383" t="n"/>
      <c r="AG18" s="1833" t="inlineStr"/>
      <c r="AH18" s="1833" t="inlineStr"/>
    </row>
    <row r="19" ht="12" customFormat="1" customHeight="1" s="432" thickBot="1">
      <c r="C19" s="844">
        <f>C18+1</f>
        <v/>
      </c>
      <c r="D19" s="2398">
        <f>'GPC Data'!E303</f>
        <v/>
      </c>
      <c r="E19" s="2399">
        <f>'GPC Data'!P31</f>
        <v/>
      </c>
      <c r="F19" s="2400">
        <f>'GPC Data'!F133</f>
        <v/>
      </c>
      <c r="G19" s="2400">
        <f>'GPC Data'!G133</f>
        <v/>
      </c>
      <c r="H19" s="2400">
        <f>'GPC Data'!H133</f>
        <v/>
      </c>
      <c r="I19" s="2400">
        <f>'GPC Data'!I133</f>
        <v/>
      </c>
      <c r="J19" s="2400">
        <f>'GPC Data'!J133</f>
        <v/>
      </c>
      <c r="K19" s="2401">
        <f>'GPC Data'!K133</f>
        <v/>
      </c>
      <c r="L19" s="2401">
        <f>'GPC Data'!L133</f>
        <v/>
      </c>
      <c r="M19" s="2401">
        <f>'GPC Data'!M133</f>
        <v/>
      </c>
      <c r="N19" s="2402" t="n"/>
      <c r="O19" s="2383">
        <f>G19/F19-1</f>
        <v/>
      </c>
      <c r="P19" s="2383">
        <f>H19/G19-1</f>
        <v/>
      </c>
      <c r="Q19" s="2383">
        <f>I19/H19-1</f>
        <v/>
      </c>
      <c r="R19" s="2403">
        <f>(I19/F19)^(1/3)-1</f>
        <v/>
      </c>
      <c r="S19" s="2404">
        <f>K19/I19-1</f>
        <v/>
      </c>
      <c r="T19" s="2404">
        <f>L19/J19-1</f>
        <v/>
      </c>
      <c r="U19" s="2404">
        <f>M19/K19-1</f>
        <v/>
      </c>
      <c r="V19" s="2405">
        <f>(U19/S19)^(1/2)-1</f>
        <v/>
      </c>
      <c r="W19" s="2405">
        <f>(U19/I19)^(1/3)-1</f>
        <v/>
      </c>
      <c r="X19" s="1833" t="inlineStr"/>
      <c r="Y19" s="1833" t="n"/>
      <c r="Z19" s="443" t="inlineStr">
        <is>
          <t>No</t>
        </is>
      </c>
      <c r="AA19" s="1833" t="n"/>
      <c r="AB19" s="1833" t="inlineStr"/>
      <c r="AC19" s="2381">
        <f>D19</f>
        <v/>
      </c>
      <c r="AD19" s="2397">
        <f>V19</f>
        <v/>
      </c>
      <c r="AE19" s="2383" t="n"/>
      <c r="AF19" s="2383" t="n"/>
      <c r="AG19" s="1833" t="inlineStr"/>
      <c r="AH19" s="1833" t="inlineStr"/>
    </row>
    <row r="20" outlineLevel="1" ht="12" customFormat="1" customHeight="1" s="432" thickBot="1">
      <c r="C20" s="844">
        <f>C19+1</f>
        <v/>
      </c>
      <c r="D20" s="2398">
        <f>'GPC Data'!E304</f>
        <v/>
      </c>
      <c r="E20" s="2399">
        <f>'GPC Data'!P32</f>
        <v/>
      </c>
      <c r="F20" s="2400">
        <f>'GPC Data'!F134</f>
        <v/>
      </c>
      <c r="G20" s="2400">
        <f>'GPC Data'!G134</f>
        <v/>
      </c>
      <c r="H20" s="2400">
        <f>'GPC Data'!H134</f>
        <v/>
      </c>
      <c r="I20" s="2400">
        <f>'GPC Data'!I134</f>
        <v/>
      </c>
      <c r="J20" s="2400">
        <f>'GPC Data'!J134</f>
        <v/>
      </c>
      <c r="K20" s="2401">
        <f>'GPC Data'!K134</f>
        <v/>
      </c>
      <c r="L20" s="2401">
        <f>'GPC Data'!L134</f>
        <v/>
      </c>
      <c r="M20" s="2401">
        <f>'GPC Data'!M134</f>
        <v/>
      </c>
      <c r="N20" s="2402" t="n"/>
      <c r="O20" s="2383">
        <f>G20/F20-1</f>
        <v/>
      </c>
      <c r="P20" s="2383">
        <f>H20/G20-1</f>
        <v/>
      </c>
      <c r="Q20" s="2383">
        <f>I20/H20-1</f>
        <v/>
      </c>
      <c r="R20" s="2403">
        <f>(I20/F20)^(1/3)-1</f>
        <v/>
      </c>
      <c r="S20" s="2404">
        <f>K20/I20-1</f>
        <v/>
      </c>
      <c r="T20" s="2404">
        <f>L20/J20-1</f>
        <v/>
      </c>
      <c r="U20" s="2404">
        <f>M20/K20-1</f>
        <v/>
      </c>
      <c r="V20" s="2405">
        <f>(U20/S20)^(1/2)-1</f>
        <v/>
      </c>
      <c r="W20" s="2405">
        <f>(U20/I20)^(1/3)-1</f>
        <v/>
      </c>
      <c r="X20" s="1833" t="inlineStr"/>
      <c r="Y20" s="1833" t="n"/>
      <c r="Z20" s="443" t="inlineStr">
        <is>
          <t>Yes</t>
        </is>
      </c>
      <c r="AA20" s="1833" t="n"/>
      <c r="AB20" s="1833" t="inlineStr"/>
      <c r="AC20" s="2381">
        <f>D20</f>
        <v/>
      </c>
      <c r="AD20" s="2397">
        <f>V20</f>
        <v/>
      </c>
      <c r="AE20" s="2383" t="n"/>
      <c r="AF20" s="2383" t="n"/>
      <c r="AG20" s="1833" t="inlineStr"/>
      <c r="AH20" s="1833" t="inlineStr"/>
    </row>
    <row r="21" outlineLevel="1" ht="12" customFormat="1" customHeight="1" s="432" thickBot="1">
      <c r="C21" s="844">
        <f>C20+1</f>
        <v/>
      </c>
      <c r="D21" s="2398">
        <f>'GPC Data'!E305</f>
        <v/>
      </c>
      <c r="E21" s="2399">
        <f>'GPC Data'!P33</f>
        <v/>
      </c>
      <c r="F21" s="2400">
        <f>'GPC Data'!F135</f>
        <v/>
      </c>
      <c r="G21" s="2400">
        <f>'GPC Data'!G135</f>
        <v/>
      </c>
      <c r="H21" s="2400">
        <f>'GPC Data'!H135</f>
        <v/>
      </c>
      <c r="I21" s="2400">
        <f>'GPC Data'!I135</f>
        <v/>
      </c>
      <c r="J21" s="2400">
        <f>'GPC Data'!J135</f>
        <v/>
      </c>
      <c r="K21" s="2401">
        <f>'GPC Data'!K135</f>
        <v/>
      </c>
      <c r="L21" s="2401">
        <f>'GPC Data'!L135</f>
        <v/>
      </c>
      <c r="M21" s="2401">
        <f>'GPC Data'!M135</f>
        <v/>
      </c>
      <c r="N21" s="2402" t="n"/>
      <c r="O21" s="2383">
        <f>G21/F21-1</f>
        <v/>
      </c>
      <c r="P21" s="2383">
        <f>H21/G21-1</f>
        <v/>
      </c>
      <c r="Q21" s="2383">
        <f>I21/H21-1</f>
        <v/>
      </c>
      <c r="R21" s="2403">
        <f>(I21/F21)^(1/3)-1</f>
        <v/>
      </c>
      <c r="S21" s="2404">
        <f>K21/I21-1</f>
        <v/>
      </c>
      <c r="T21" s="2404">
        <f>L21/J21-1</f>
        <v/>
      </c>
      <c r="U21" s="2404">
        <f>M21/K21-1</f>
        <v/>
      </c>
      <c r="V21" s="2405">
        <f>(U21/S21)^(1/2)-1</f>
        <v/>
      </c>
      <c r="W21" s="2405">
        <f>(U21/I21)^(1/3)-1</f>
        <v/>
      </c>
      <c r="X21" s="1833" t="inlineStr"/>
      <c r="Y21" s="1833" t="n"/>
      <c r="Z21" s="443" t="inlineStr">
        <is>
          <t>Yes</t>
        </is>
      </c>
      <c r="AA21" s="1833" t="n"/>
      <c r="AB21" s="1833" t="inlineStr"/>
      <c r="AC21" s="2381">
        <f>D21</f>
        <v/>
      </c>
      <c r="AD21" s="2397">
        <f>V21</f>
        <v/>
      </c>
      <c r="AE21" s="2383" t="n"/>
      <c r="AF21" s="2383" t="n"/>
      <c r="AG21" s="1833" t="inlineStr"/>
      <c r="AH21" s="1833" t="inlineStr"/>
    </row>
    <row r="22" outlineLevel="1" ht="12" customFormat="1" customHeight="1" s="432" thickBot="1">
      <c r="C22" s="844">
        <f>C21+1</f>
        <v/>
      </c>
      <c r="D22" s="2398">
        <f>'GPC Data'!E306</f>
        <v/>
      </c>
      <c r="E22" s="2399">
        <f>'GPC Data'!P34</f>
        <v/>
      </c>
      <c r="F22" s="2400">
        <f>'GPC Data'!F136</f>
        <v/>
      </c>
      <c r="G22" s="2400">
        <f>'GPC Data'!G136</f>
        <v/>
      </c>
      <c r="H22" s="2400">
        <f>'GPC Data'!H136</f>
        <v/>
      </c>
      <c r="I22" s="2400">
        <f>'GPC Data'!I136</f>
        <v/>
      </c>
      <c r="J22" s="2400">
        <f>'GPC Data'!J136</f>
        <v/>
      </c>
      <c r="K22" s="2401">
        <f>'GPC Data'!K136</f>
        <v/>
      </c>
      <c r="L22" s="2401">
        <f>'GPC Data'!L136</f>
        <v/>
      </c>
      <c r="M22" s="2401">
        <f>'GPC Data'!M136</f>
        <v/>
      </c>
      <c r="N22" s="2402" t="n"/>
      <c r="O22" s="2383">
        <f>G22/F22-1</f>
        <v/>
      </c>
      <c r="P22" s="2383">
        <f>H22/G22-1</f>
        <v/>
      </c>
      <c r="Q22" s="2383">
        <f>I22/H22-1</f>
        <v/>
      </c>
      <c r="R22" s="2403">
        <f>(I22/F22)^(1/3)-1</f>
        <v/>
      </c>
      <c r="S22" s="2404">
        <f>K22/I22-1</f>
        <v/>
      </c>
      <c r="T22" s="2404">
        <f>L22/J22-1</f>
        <v/>
      </c>
      <c r="U22" s="2404">
        <f>M22/K22-1</f>
        <v/>
      </c>
      <c r="V22" s="2405">
        <f>(U22/S22)^(1/2)-1</f>
        <v/>
      </c>
      <c r="W22" s="2405">
        <f>(U22/I22)^(1/3)-1</f>
        <v/>
      </c>
      <c r="X22" s="1833" t="inlineStr"/>
      <c r="Y22" s="1833" t="n"/>
      <c r="Z22" s="443" t="inlineStr">
        <is>
          <t>Yes</t>
        </is>
      </c>
      <c r="AA22" s="1833" t="n"/>
      <c r="AB22" s="1833" t="inlineStr"/>
      <c r="AC22" s="2381">
        <f>D22</f>
        <v/>
      </c>
      <c r="AD22" s="2397">
        <f>V22</f>
        <v/>
      </c>
      <c r="AE22" s="2383" t="n"/>
      <c r="AF22" s="2383" t="n"/>
      <c r="AG22" s="1833" t="inlineStr"/>
      <c r="AH22" s="1833" t="inlineStr"/>
    </row>
    <row r="23" outlineLevel="1" ht="12" customFormat="1" customHeight="1" s="432" thickBot="1">
      <c r="C23" s="844">
        <f>C22+1</f>
        <v/>
      </c>
      <c r="D23" s="2398">
        <f>'GPC Data'!E307</f>
        <v/>
      </c>
      <c r="E23" s="2399">
        <f>'GPC Data'!P35</f>
        <v/>
      </c>
      <c r="F23" s="2400">
        <f>'GPC Data'!F137</f>
        <v/>
      </c>
      <c r="G23" s="2400">
        <f>'GPC Data'!G137</f>
        <v/>
      </c>
      <c r="H23" s="2400">
        <f>'GPC Data'!H137</f>
        <v/>
      </c>
      <c r="I23" s="2400">
        <f>'GPC Data'!I137</f>
        <v/>
      </c>
      <c r="J23" s="2400">
        <f>'GPC Data'!J137</f>
        <v/>
      </c>
      <c r="K23" s="2401">
        <f>'GPC Data'!K137</f>
        <v/>
      </c>
      <c r="L23" s="2401">
        <f>'GPC Data'!L137</f>
        <v/>
      </c>
      <c r="M23" s="2401">
        <f>'GPC Data'!M137</f>
        <v/>
      </c>
      <c r="N23" s="2402" t="n"/>
      <c r="O23" s="2383">
        <f>G23/F23-1</f>
        <v/>
      </c>
      <c r="P23" s="2383">
        <f>H23/G23-1</f>
        <v/>
      </c>
      <c r="Q23" s="2383">
        <f>I23/H23-1</f>
        <v/>
      </c>
      <c r="R23" s="2403">
        <f>(I23/F23)^(1/3)-1</f>
        <v/>
      </c>
      <c r="S23" s="2404">
        <f>K23/I23-1</f>
        <v/>
      </c>
      <c r="T23" s="2404">
        <f>L23/J23-1</f>
        <v/>
      </c>
      <c r="U23" s="2404">
        <f>M23/K23-1</f>
        <v/>
      </c>
      <c r="V23" s="2405">
        <f>(U23/S23)^(1/2)-1</f>
        <v/>
      </c>
      <c r="W23" s="2405">
        <f>(U23/I23)^(1/3)-1</f>
        <v/>
      </c>
      <c r="X23" s="1833" t="inlineStr"/>
      <c r="Y23" s="1833" t="n"/>
      <c r="Z23" s="443" t="inlineStr">
        <is>
          <t>Yes</t>
        </is>
      </c>
      <c r="AA23" s="1833" t="n"/>
      <c r="AB23" s="1833" t="inlineStr"/>
      <c r="AC23" s="2381">
        <f>D23</f>
        <v/>
      </c>
      <c r="AD23" s="2397">
        <f>V23</f>
        <v/>
      </c>
      <c r="AE23" s="2383" t="n"/>
      <c r="AF23" s="2383" t="n"/>
      <c r="AG23" s="1833" t="inlineStr"/>
      <c r="AH23" s="1833" t="inlineStr"/>
    </row>
    <row r="24" outlineLevel="1" ht="12" customFormat="1" customHeight="1" s="432" thickBot="1">
      <c r="C24" s="844">
        <f>C23+1</f>
        <v/>
      </c>
      <c r="D24" s="2398">
        <f>'GPC Data'!E308</f>
        <v/>
      </c>
      <c r="E24" s="2399">
        <f>'GPC Data'!P36</f>
        <v/>
      </c>
      <c r="F24" s="2400">
        <f>'GPC Data'!F138</f>
        <v/>
      </c>
      <c r="G24" s="2400">
        <f>'GPC Data'!G138</f>
        <v/>
      </c>
      <c r="H24" s="2400">
        <f>'GPC Data'!H138</f>
        <v/>
      </c>
      <c r="I24" s="2400">
        <f>'GPC Data'!I138</f>
        <v/>
      </c>
      <c r="J24" s="2400">
        <f>'GPC Data'!J138</f>
        <v/>
      </c>
      <c r="K24" s="2401">
        <f>'GPC Data'!K138</f>
        <v/>
      </c>
      <c r="L24" s="2401">
        <f>'GPC Data'!L138</f>
        <v/>
      </c>
      <c r="M24" s="2401">
        <f>'GPC Data'!M138</f>
        <v/>
      </c>
      <c r="N24" s="2402" t="n"/>
      <c r="O24" s="2383">
        <f>G24/F24-1</f>
        <v/>
      </c>
      <c r="P24" s="2383">
        <f>H24/G24-1</f>
        <v/>
      </c>
      <c r="Q24" s="2383">
        <f>I24/H24-1</f>
        <v/>
      </c>
      <c r="R24" s="2403">
        <f>(I24/F24)^(1/3)-1</f>
        <v/>
      </c>
      <c r="S24" s="2404">
        <f>K24/I24-1</f>
        <v/>
      </c>
      <c r="T24" s="2404">
        <f>L24/J24-1</f>
        <v/>
      </c>
      <c r="U24" s="2404">
        <f>M24/K24-1</f>
        <v/>
      </c>
      <c r="V24" s="2405">
        <f>(U24/S24)^(1/2)-1</f>
        <v/>
      </c>
      <c r="W24" s="2405">
        <f>(U24/I24)^(1/3)-1</f>
        <v/>
      </c>
      <c r="X24" s="1833" t="inlineStr"/>
      <c r="Y24" s="1833" t="n"/>
      <c r="Z24" s="443" t="inlineStr">
        <is>
          <t>Yes</t>
        </is>
      </c>
      <c r="AA24" s="1833" t="n"/>
      <c r="AB24" s="1833" t="inlineStr"/>
      <c r="AC24" s="2381">
        <f>D24</f>
        <v/>
      </c>
      <c r="AD24" s="2397">
        <f>V24</f>
        <v/>
      </c>
      <c r="AE24" s="2383" t="n"/>
      <c r="AF24" s="2383" t="n"/>
      <c r="AG24" s="1833" t="inlineStr"/>
      <c r="AH24" s="1833" t="inlineStr"/>
    </row>
    <row r="25" outlineLevel="1" ht="12" customFormat="1" customHeight="1" s="432" thickBot="1">
      <c r="C25" s="844">
        <f>C24+1</f>
        <v/>
      </c>
      <c r="D25" s="2398">
        <f>'GPC Data'!E309</f>
        <v/>
      </c>
      <c r="E25" s="2399">
        <f>'GPC Data'!P37</f>
        <v/>
      </c>
      <c r="F25" s="2400">
        <f>'GPC Data'!F139</f>
        <v/>
      </c>
      <c r="G25" s="2400">
        <f>'GPC Data'!G139</f>
        <v/>
      </c>
      <c r="H25" s="2400">
        <f>'GPC Data'!H139</f>
        <v/>
      </c>
      <c r="I25" s="2400">
        <f>'GPC Data'!I139</f>
        <v/>
      </c>
      <c r="J25" s="2400">
        <f>'GPC Data'!J139</f>
        <v/>
      </c>
      <c r="K25" s="2401">
        <f>'GPC Data'!K139</f>
        <v/>
      </c>
      <c r="L25" s="2401">
        <f>'GPC Data'!L139</f>
        <v/>
      </c>
      <c r="M25" s="2401">
        <f>'GPC Data'!M139</f>
        <v/>
      </c>
      <c r="N25" s="2402" t="n"/>
      <c r="O25" s="2383">
        <f>G25/F25-1</f>
        <v/>
      </c>
      <c r="P25" s="2383">
        <f>H25/G25-1</f>
        <v/>
      </c>
      <c r="Q25" s="2383">
        <f>I25/H25-1</f>
        <v/>
      </c>
      <c r="R25" s="2403">
        <f>(I25/F25)^(1/3)-1</f>
        <v/>
      </c>
      <c r="S25" s="2404">
        <f>K25/I25-1</f>
        <v/>
      </c>
      <c r="T25" s="2404">
        <f>L25/J25-1</f>
        <v/>
      </c>
      <c r="U25" s="2404">
        <f>M25/K25-1</f>
        <v/>
      </c>
      <c r="V25" s="2405">
        <f>(U25/S25)^(1/2)-1</f>
        <v/>
      </c>
      <c r="W25" s="2405">
        <f>(U25/I25)^(1/3)-1</f>
        <v/>
      </c>
      <c r="X25" s="1833" t="inlineStr"/>
      <c r="Y25" s="1833" t="n"/>
      <c r="Z25" s="443" t="inlineStr">
        <is>
          <t>Yes</t>
        </is>
      </c>
      <c r="AA25" s="1833" t="n"/>
      <c r="AB25" s="1833" t="inlineStr"/>
      <c r="AC25" s="2381">
        <f>D25</f>
        <v/>
      </c>
      <c r="AD25" s="2397">
        <f>V25</f>
        <v/>
      </c>
      <c r="AE25" s="2383" t="n"/>
      <c r="AF25" s="2383" t="n"/>
      <c r="AG25" s="1833" t="inlineStr"/>
      <c r="AH25" s="1833" t="inlineStr"/>
    </row>
    <row r="26" outlineLevel="1" ht="12" customFormat="1" customHeight="1" s="432" thickBot="1">
      <c r="C26" s="844">
        <f>C25+1</f>
        <v/>
      </c>
      <c r="D26" s="2398">
        <f>'GPC Data'!E310</f>
        <v/>
      </c>
      <c r="E26" s="2399">
        <f>'GPC Data'!P38</f>
        <v/>
      </c>
      <c r="F26" s="2400">
        <f>'GPC Data'!F140</f>
        <v/>
      </c>
      <c r="G26" s="2400">
        <f>'GPC Data'!G140</f>
        <v/>
      </c>
      <c r="H26" s="2400">
        <f>'GPC Data'!H140</f>
        <v/>
      </c>
      <c r="I26" s="2400">
        <f>'GPC Data'!I140</f>
        <v/>
      </c>
      <c r="J26" s="2400">
        <f>'GPC Data'!J140</f>
        <v/>
      </c>
      <c r="K26" s="2401">
        <f>'GPC Data'!K140</f>
        <v/>
      </c>
      <c r="L26" s="2401">
        <f>'GPC Data'!L140</f>
        <v/>
      </c>
      <c r="M26" s="2401">
        <f>'GPC Data'!M140</f>
        <v/>
      </c>
      <c r="N26" s="2402" t="n"/>
      <c r="O26" s="2383">
        <f>G26/F26-1</f>
        <v/>
      </c>
      <c r="P26" s="2383">
        <f>H26/G26-1</f>
        <v/>
      </c>
      <c r="Q26" s="2383">
        <f>I26/H26-1</f>
        <v/>
      </c>
      <c r="R26" s="2403">
        <f>(I26/F26)^(1/3)-1</f>
        <v/>
      </c>
      <c r="S26" s="2404">
        <f>K26/I26-1</f>
        <v/>
      </c>
      <c r="T26" s="2404">
        <f>L26/J26-1</f>
        <v/>
      </c>
      <c r="U26" s="2404">
        <f>M26/K26-1</f>
        <v/>
      </c>
      <c r="V26" s="2405">
        <f>(U26/S26)^(1/2)-1</f>
        <v/>
      </c>
      <c r="W26" s="2405">
        <f>(U26/I26)^(1/3)-1</f>
        <v/>
      </c>
      <c r="X26" s="1833" t="inlineStr"/>
      <c r="Y26" s="1833" t="n"/>
      <c r="Z26" s="443" t="inlineStr">
        <is>
          <t>Yes</t>
        </is>
      </c>
      <c r="AA26" s="1833" t="n"/>
      <c r="AB26" s="1833" t="inlineStr"/>
      <c r="AC26" s="2381">
        <f>D26</f>
        <v/>
      </c>
      <c r="AD26" s="2397">
        <f>V26</f>
        <v/>
      </c>
      <c r="AE26" s="2383" t="n"/>
      <c r="AF26" s="2383" t="n"/>
      <c r="AG26" s="1833" t="inlineStr"/>
      <c r="AH26" s="1833" t="inlineStr"/>
    </row>
    <row r="27" outlineLevel="1" ht="12" customFormat="1" customHeight="1" s="432" thickBot="1">
      <c r="C27" s="844">
        <f>C26+1</f>
        <v/>
      </c>
      <c r="D27" s="2398">
        <f>'GPC Data'!E311</f>
        <v/>
      </c>
      <c r="E27" s="2399">
        <f>'GPC Data'!P39</f>
        <v/>
      </c>
      <c r="F27" s="2400">
        <f>'GPC Data'!F141</f>
        <v/>
      </c>
      <c r="G27" s="2400">
        <f>'GPC Data'!G141</f>
        <v/>
      </c>
      <c r="H27" s="2400">
        <f>'GPC Data'!H141</f>
        <v/>
      </c>
      <c r="I27" s="2400">
        <f>'GPC Data'!I141</f>
        <v/>
      </c>
      <c r="J27" s="2400">
        <f>'GPC Data'!J141</f>
        <v/>
      </c>
      <c r="K27" s="2401">
        <f>'GPC Data'!K141</f>
        <v/>
      </c>
      <c r="L27" s="2401">
        <f>'GPC Data'!L141</f>
        <v/>
      </c>
      <c r="M27" s="2401">
        <f>'GPC Data'!M141</f>
        <v/>
      </c>
      <c r="N27" s="2402" t="n"/>
      <c r="O27" s="2383">
        <f>G27/F27-1</f>
        <v/>
      </c>
      <c r="P27" s="2383">
        <f>H27/G27-1</f>
        <v/>
      </c>
      <c r="Q27" s="2383">
        <f>I27/H27-1</f>
        <v/>
      </c>
      <c r="R27" s="2403">
        <f>(I27/F27)^(1/3)-1</f>
        <v/>
      </c>
      <c r="S27" s="2404">
        <f>K27/I27-1</f>
        <v/>
      </c>
      <c r="T27" s="2404">
        <f>L27/J27-1</f>
        <v/>
      </c>
      <c r="U27" s="2404">
        <f>M27/K27-1</f>
        <v/>
      </c>
      <c r="V27" s="2405">
        <f>(U27/S27)^(1/2)-1</f>
        <v/>
      </c>
      <c r="W27" s="2405">
        <f>(U27/I27)^(1/3)-1</f>
        <v/>
      </c>
      <c r="X27" s="1833" t="inlineStr"/>
      <c r="Y27" s="1833" t="n"/>
      <c r="Z27" s="443" t="inlineStr">
        <is>
          <t>Yes</t>
        </is>
      </c>
      <c r="AA27" s="1833" t="n"/>
      <c r="AB27" s="1833" t="inlineStr"/>
      <c r="AC27" s="2381">
        <f>D27</f>
        <v/>
      </c>
      <c r="AD27" s="2397">
        <f>V27</f>
        <v/>
      </c>
      <c r="AE27" s="2383" t="n"/>
      <c r="AF27" s="2383" t="n"/>
      <c r="AG27" s="1833" t="inlineStr"/>
      <c r="AH27" s="1833" t="inlineStr"/>
    </row>
    <row r="28" outlineLevel="1" ht="12" customFormat="1" customHeight="1" s="432" thickBot="1">
      <c r="C28" s="844">
        <f>C27+1</f>
        <v/>
      </c>
      <c r="D28" s="2398">
        <f>'GPC Data'!E312</f>
        <v/>
      </c>
      <c r="E28" s="2399">
        <f>'GPC Data'!P40</f>
        <v/>
      </c>
      <c r="F28" s="2400">
        <f>'GPC Data'!F142</f>
        <v/>
      </c>
      <c r="G28" s="2400">
        <f>'GPC Data'!G142</f>
        <v/>
      </c>
      <c r="H28" s="2400">
        <f>'GPC Data'!H142</f>
        <v/>
      </c>
      <c r="I28" s="2400">
        <f>'GPC Data'!I142</f>
        <v/>
      </c>
      <c r="J28" s="2400">
        <f>'GPC Data'!J142</f>
        <v/>
      </c>
      <c r="K28" s="2401">
        <f>'GPC Data'!K142</f>
        <v/>
      </c>
      <c r="L28" s="2401">
        <f>'GPC Data'!L142</f>
        <v/>
      </c>
      <c r="M28" s="2401">
        <f>'GPC Data'!M142</f>
        <v/>
      </c>
      <c r="N28" s="2402" t="n"/>
      <c r="O28" s="2383">
        <f>G28/F28-1</f>
        <v/>
      </c>
      <c r="P28" s="2383">
        <f>H28/G28-1</f>
        <v/>
      </c>
      <c r="Q28" s="2383">
        <f>I28/H28-1</f>
        <v/>
      </c>
      <c r="R28" s="2403">
        <f>(I28/F28)^(1/3)-1</f>
        <v/>
      </c>
      <c r="S28" s="2404">
        <f>K28/I28-1</f>
        <v/>
      </c>
      <c r="T28" s="2404">
        <f>L28/J28-1</f>
        <v/>
      </c>
      <c r="U28" s="2404">
        <f>M28/K28-1</f>
        <v/>
      </c>
      <c r="V28" s="2405">
        <f>(U28/S28)^(1/2)-1</f>
        <v/>
      </c>
      <c r="W28" s="2405">
        <f>(U28/I28)^(1/3)-1</f>
        <v/>
      </c>
      <c r="X28" s="1833" t="inlineStr"/>
      <c r="Y28" s="1833" t="n"/>
      <c r="Z28" s="443" t="inlineStr">
        <is>
          <t>Yes</t>
        </is>
      </c>
      <c r="AA28" s="1833" t="n"/>
      <c r="AB28" s="1833" t="inlineStr"/>
      <c r="AC28" s="2381">
        <f>D28</f>
        <v/>
      </c>
      <c r="AD28" s="2397">
        <f>V28</f>
        <v/>
      </c>
      <c r="AE28" s="2383" t="n"/>
      <c r="AF28" s="2383" t="n"/>
      <c r="AG28" s="1833" t="inlineStr"/>
      <c r="AH28" s="1833" t="inlineStr"/>
    </row>
    <row r="29" outlineLevel="1" ht="12" customFormat="1" customHeight="1" s="432" thickBot="1">
      <c r="C29" s="844">
        <f>C28+1</f>
        <v/>
      </c>
      <c r="D29" s="2398">
        <f>'GPC Data'!E313</f>
        <v/>
      </c>
      <c r="E29" s="2399">
        <f>'GPC Data'!P41</f>
        <v/>
      </c>
      <c r="F29" s="2400">
        <f>'GPC Data'!F143</f>
        <v/>
      </c>
      <c r="G29" s="2400">
        <f>'GPC Data'!G143</f>
        <v/>
      </c>
      <c r="H29" s="2400">
        <f>'GPC Data'!H143</f>
        <v/>
      </c>
      <c r="I29" s="2400">
        <f>'GPC Data'!I143</f>
        <v/>
      </c>
      <c r="J29" s="2400">
        <f>'GPC Data'!J143</f>
        <v/>
      </c>
      <c r="K29" s="2401">
        <f>'GPC Data'!K143</f>
        <v/>
      </c>
      <c r="L29" s="2401">
        <f>'GPC Data'!L143</f>
        <v/>
      </c>
      <c r="M29" s="2401">
        <f>'GPC Data'!M143</f>
        <v/>
      </c>
      <c r="N29" s="2402" t="n"/>
      <c r="O29" s="2383">
        <f>G29/F29-1</f>
        <v/>
      </c>
      <c r="P29" s="2383">
        <f>H29/G29-1</f>
        <v/>
      </c>
      <c r="Q29" s="2383">
        <f>I29/H29-1</f>
        <v/>
      </c>
      <c r="R29" s="2403">
        <f>(I29/F29)^(1/3)-1</f>
        <v/>
      </c>
      <c r="S29" s="2404">
        <f>K29/I29-1</f>
        <v/>
      </c>
      <c r="T29" s="2404">
        <f>L29/J29-1</f>
        <v/>
      </c>
      <c r="U29" s="2404">
        <f>M29/K29-1</f>
        <v/>
      </c>
      <c r="V29" s="2405">
        <f>(U29/S29)^(1/2)-1</f>
        <v/>
      </c>
      <c r="W29" s="2405">
        <f>(U29/I29)^(1/3)-1</f>
        <v/>
      </c>
      <c r="X29" s="1833" t="inlineStr"/>
      <c r="Y29" s="1833" t="n"/>
      <c r="Z29" s="443" t="inlineStr">
        <is>
          <t>Yes</t>
        </is>
      </c>
      <c r="AA29" s="1833" t="n"/>
      <c r="AB29" s="1833" t="inlineStr"/>
      <c r="AC29" s="2381">
        <f>D29</f>
        <v/>
      </c>
      <c r="AD29" s="2397">
        <f>V29</f>
        <v/>
      </c>
      <c r="AE29" s="2383" t="n"/>
      <c r="AF29" s="2383" t="n"/>
      <c r="AG29" s="1833" t="inlineStr"/>
      <c r="AH29" s="1833" t="inlineStr"/>
    </row>
    <row r="30" outlineLevel="1" ht="12" customFormat="1" customHeight="1" s="432" thickBot="1">
      <c r="C30" s="844">
        <f>C29+1</f>
        <v/>
      </c>
      <c r="D30" s="2398">
        <f>'GPC Data'!E314</f>
        <v/>
      </c>
      <c r="E30" s="2399">
        <f>'GPC Data'!P42</f>
        <v/>
      </c>
      <c r="F30" s="2400">
        <f>'GPC Data'!F144</f>
        <v/>
      </c>
      <c r="G30" s="2400">
        <f>'GPC Data'!G144</f>
        <v/>
      </c>
      <c r="H30" s="2400">
        <f>'GPC Data'!H144</f>
        <v/>
      </c>
      <c r="I30" s="2400">
        <f>'GPC Data'!I144</f>
        <v/>
      </c>
      <c r="J30" s="2400">
        <f>'GPC Data'!J144</f>
        <v/>
      </c>
      <c r="K30" s="2401">
        <f>'GPC Data'!K144</f>
        <v/>
      </c>
      <c r="L30" s="2401">
        <f>'GPC Data'!L144</f>
        <v/>
      </c>
      <c r="M30" s="2401">
        <f>'GPC Data'!M144</f>
        <v/>
      </c>
      <c r="N30" s="2402" t="n"/>
      <c r="O30" s="2383">
        <f>G30/F30-1</f>
        <v/>
      </c>
      <c r="P30" s="2383">
        <f>H30/G30-1</f>
        <v/>
      </c>
      <c r="Q30" s="2383">
        <f>I30/H30-1</f>
        <v/>
      </c>
      <c r="R30" s="2403">
        <f>(I30/F30)^(1/3)-1</f>
        <v/>
      </c>
      <c r="S30" s="2404">
        <f>K30/I30-1</f>
        <v/>
      </c>
      <c r="T30" s="2404">
        <f>L30/J30-1</f>
        <v/>
      </c>
      <c r="U30" s="2404">
        <f>M30/K30-1</f>
        <v/>
      </c>
      <c r="V30" s="2405">
        <f>(U30/S30)^(1/2)-1</f>
        <v/>
      </c>
      <c r="W30" s="2405">
        <f>(U30/I30)^(1/3)-1</f>
        <v/>
      </c>
      <c r="X30" s="1833" t="inlineStr"/>
      <c r="Y30" s="1833" t="n"/>
      <c r="Z30" s="443" t="inlineStr">
        <is>
          <t>Yes</t>
        </is>
      </c>
      <c r="AA30" s="1833" t="n"/>
      <c r="AB30" s="1833" t="inlineStr"/>
      <c r="AC30" s="2381">
        <f>D30</f>
        <v/>
      </c>
      <c r="AD30" s="2397">
        <f>V30</f>
        <v/>
      </c>
      <c r="AE30" s="2383" t="n"/>
      <c r="AF30" s="2383" t="n"/>
      <c r="AG30" s="1833" t="inlineStr"/>
      <c r="AH30" s="1833" t="inlineStr"/>
    </row>
    <row r="31" outlineLevel="1" ht="12" customFormat="1" customHeight="1" s="432" thickBot="1">
      <c r="C31" s="844">
        <f>C30+1</f>
        <v/>
      </c>
      <c r="D31" s="2398">
        <f>'GPC Data'!E315</f>
        <v/>
      </c>
      <c r="E31" s="2399">
        <f>'GPC Data'!P43</f>
        <v/>
      </c>
      <c r="F31" s="2400">
        <f>'GPC Data'!F145</f>
        <v/>
      </c>
      <c r="G31" s="2400">
        <f>'GPC Data'!G145</f>
        <v/>
      </c>
      <c r="H31" s="2400">
        <f>'GPC Data'!H145</f>
        <v/>
      </c>
      <c r="I31" s="2400">
        <f>'GPC Data'!I145</f>
        <v/>
      </c>
      <c r="J31" s="2400">
        <f>'GPC Data'!J145</f>
        <v/>
      </c>
      <c r="K31" s="2401">
        <f>'GPC Data'!K145</f>
        <v/>
      </c>
      <c r="L31" s="2401">
        <f>'GPC Data'!L145</f>
        <v/>
      </c>
      <c r="M31" s="2401">
        <f>'GPC Data'!M145</f>
        <v/>
      </c>
      <c r="N31" s="2402" t="n"/>
      <c r="O31" s="2383">
        <f>G31/F31-1</f>
        <v/>
      </c>
      <c r="P31" s="2383">
        <f>H31/G31-1</f>
        <v/>
      </c>
      <c r="Q31" s="2383">
        <f>I31/H31-1</f>
        <v/>
      </c>
      <c r="R31" s="2403">
        <f>(I31/F31)^(1/3)-1</f>
        <v/>
      </c>
      <c r="S31" s="2404">
        <f>K31/I31-1</f>
        <v/>
      </c>
      <c r="T31" s="2404">
        <f>L31/J31-1</f>
        <v/>
      </c>
      <c r="U31" s="2404">
        <f>M31/K31-1</f>
        <v/>
      </c>
      <c r="V31" s="2405">
        <f>(U31/S31)^(1/2)-1</f>
        <v/>
      </c>
      <c r="W31" s="2405">
        <f>(U31/I31)^(1/3)-1</f>
        <v/>
      </c>
      <c r="X31" s="1833" t="inlineStr"/>
      <c r="Y31" s="1833" t="n"/>
      <c r="Z31" s="443" t="inlineStr">
        <is>
          <t>Yes</t>
        </is>
      </c>
      <c r="AA31" s="1833" t="n"/>
      <c r="AB31" s="1833" t="inlineStr"/>
      <c r="AC31" s="2381">
        <f>D31</f>
        <v/>
      </c>
      <c r="AD31" s="2397">
        <f>V31</f>
        <v/>
      </c>
      <c r="AE31" s="2383" t="n"/>
      <c r="AF31" s="2383" t="n"/>
      <c r="AG31" s="1833" t="inlineStr"/>
      <c r="AH31" s="1833" t="inlineStr"/>
    </row>
    <row r="32" outlineLevel="1" ht="12" customFormat="1" customHeight="1" s="432" thickBot="1">
      <c r="C32" s="844">
        <f>C31+1</f>
        <v/>
      </c>
      <c r="D32" s="2398">
        <f>'GPC Data'!E316</f>
        <v/>
      </c>
      <c r="E32" s="2399">
        <f>'GPC Data'!P44</f>
        <v/>
      </c>
      <c r="F32" s="2400">
        <f>'GPC Data'!F146</f>
        <v/>
      </c>
      <c r="G32" s="2400">
        <f>'GPC Data'!G146</f>
        <v/>
      </c>
      <c r="H32" s="2400">
        <f>'GPC Data'!H146</f>
        <v/>
      </c>
      <c r="I32" s="2400">
        <f>'GPC Data'!I146</f>
        <v/>
      </c>
      <c r="J32" s="2400">
        <f>'GPC Data'!J146</f>
        <v/>
      </c>
      <c r="K32" s="2401">
        <f>'GPC Data'!K146</f>
        <v/>
      </c>
      <c r="L32" s="2401">
        <f>'GPC Data'!L146</f>
        <v/>
      </c>
      <c r="M32" s="2401">
        <f>'GPC Data'!M146</f>
        <v/>
      </c>
      <c r="N32" s="2402" t="n"/>
      <c r="O32" s="2383">
        <f>G32/F32-1</f>
        <v/>
      </c>
      <c r="P32" s="2383">
        <f>H32/G32-1</f>
        <v/>
      </c>
      <c r="Q32" s="2383">
        <f>I32/H32-1</f>
        <v/>
      </c>
      <c r="R32" s="2403">
        <f>(I32/F32)^(1/3)-1</f>
        <v/>
      </c>
      <c r="S32" s="2404">
        <f>K32/I32-1</f>
        <v/>
      </c>
      <c r="T32" s="2404">
        <f>L32/J32-1</f>
        <v/>
      </c>
      <c r="U32" s="2404">
        <f>M32/K32-1</f>
        <v/>
      </c>
      <c r="V32" s="2405">
        <f>(U32/S32)^(1/2)-1</f>
        <v/>
      </c>
      <c r="W32" s="2405">
        <f>(U32/I32)^(1/3)-1</f>
        <v/>
      </c>
      <c r="X32" s="1833" t="inlineStr"/>
      <c r="Y32" s="1833" t="n"/>
      <c r="Z32" s="443" t="inlineStr">
        <is>
          <t>Yes</t>
        </is>
      </c>
      <c r="AA32" s="1833" t="n"/>
      <c r="AB32" s="1833" t="inlineStr"/>
      <c r="AC32" s="2381">
        <f>D32</f>
        <v/>
      </c>
      <c r="AD32" s="2397">
        <f>V32</f>
        <v/>
      </c>
      <c r="AE32" s="2383" t="n"/>
      <c r="AF32" s="2383" t="n"/>
      <c r="AG32" s="1833" t="inlineStr"/>
      <c r="AH32" s="1833" t="inlineStr"/>
    </row>
    <row r="33" outlineLevel="1" ht="12" customFormat="1" customHeight="1" s="432" thickBot="1">
      <c r="C33" s="844">
        <f>C32+1</f>
        <v/>
      </c>
      <c r="D33" s="2398">
        <f>'GPC Data'!E317</f>
        <v/>
      </c>
      <c r="E33" s="2399">
        <f>'GPC Data'!P45</f>
        <v/>
      </c>
      <c r="F33" s="2400">
        <f>'GPC Data'!F147</f>
        <v/>
      </c>
      <c r="G33" s="2400">
        <f>'GPC Data'!G147</f>
        <v/>
      </c>
      <c r="H33" s="2400">
        <f>'GPC Data'!H147</f>
        <v/>
      </c>
      <c r="I33" s="2400">
        <f>'GPC Data'!I147</f>
        <v/>
      </c>
      <c r="J33" s="2400">
        <f>'GPC Data'!J147</f>
        <v/>
      </c>
      <c r="K33" s="2401">
        <f>'GPC Data'!K147</f>
        <v/>
      </c>
      <c r="L33" s="2401">
        <f>'GPC Data'!L147</f>
        <v/>
      </c>
      <c r="M33" s="2401">
        <f>'GPC Data'!M147</f>
        <v/>
      </c>
      <c r="N33" s="2402" t="n"/>
      <c r="O33" s="2383">
        <f>G33/F33-1</f>
        <v/>
      </c>
      <c r="P33" s="2383">
        <f>H33/G33-1</f>
        <v/>
      </c>
      <c r="Q33" s="2383">
        <f>I33/H33-1</f>
        <v/>
      </c>
      <c r="R33" s="2403">
        <f>(I33/F33)^(1/3)-1</f>
        <v/>
      </c>
      <c r="S33" s="2404">
        <f>K33/I33-1</f>
        <v/>
      </c>
      <c r="T33" s="2404">
        <f>L33/J33-1</f>
        <v/>
      </c>
      <c r="U33" s="2404">
        <f>M33/K33-1</f>
        <v/>
      </c>
      <c r="V33" s="2405">
        <f>(U33/S33)^(1/2)-1</f>
        <v/>
      </c>
      <c r="W33" s="2405">
        <f>(U33/I33)^(1/3)-1</f>
        <v/>
      </c>
      <c r="X33" s="1833" t="inlineStr"/>
      <c r="Y33" s="1833" t="n"/>
      <c r="Z33" s="443" t="inlineStr">
        <is>
          <t>Yes</t>
        </is>
      </c>
      <c r="AA33" s="1833" t="n"/>
      <c r="AB33" s="1833" t="inlineStr"/>
      <c r="AC33" s="2381">
        <f>D33</f>
        <v/>
      </c>
      <c r="AD33" s="2397">
        <f>V33</f>
        <v/>
      </c>
      <c r="AE33" s="2383" t="n"/>
      <c r="AF33" s="2383" t="n"/>
      <c r="AG33" s="1833" t="inlineStr"/>
      <c r="AH33" s="1833" t="inlineStr"/>
    </row>
    <row r="34" outlineLevel="1" ht="12" customFormat="1" customHeight="1" s="432" thickBot="1">
      <c r="C34" s="844">
        <f>C33+1</f>
        <v/>
      </c>
      <c r="D34" s="2398">
        <f>'GPC Data'!E318</f>
        <v/>
      </c>
      <c r="E34" s="2399">
        <f>'GPC Data'!P46</f>
        <v/>
      </c>
      <c r="F34" s="2400">
        <f>'GPC Data'!F148</f>
        <v/>
      </c>
      <c r="G34" s="2400">
        <f>'GPC Data'!G148</f>
        <v/>
      </c>
      <c r="H34" s="2400">
        <f>'GPC Data'!H148</f>
        <v/>
      </c>
      <c r="I34" s="2400">
        <f>'GPC Data'!I148</f>
        <v/>
      </c>
      <c r="J34" s="2400">
        <f>'GPC Data'!J148</f>
        <v/>
      </c>
      <c r="K34" s="2401">
        <f>'GPC Data'!K148</f>
        <v/>
      </c>
      <c r="L34" s="2401">
        <f>'GPC Data'!L148</f>
        <v/>
      </c>
      <c r="M34" s="2401">
        <f>'GPC Data'!M148</f>
        <v/>
      </c>
      <c r="N34" s="2402" t="n"/>
      <c r="O34" s="2383">
        <f>G34/F34-1</f>
        <v/>
      </c>
      <c r="P34" s="2383">
        <f>H34/G34-1</f>
        <v/>
      </c>
      <c r="Q34" s="2383">
        <f>I34/H34-1</f>
        <v/>
      </c>
      <c r="R34" s="2403">
        <f>(I34/F34)^(1/3)-1</f>
        <v/>
      </c>
      <c r="S34" s="2404">
        <f>K34/I34-1</f>
        <v/>
      </c>
      <c r="T34" s="2404">
        <f>L34/J34-1</f>
        <v/>
      </c>
      <c r="U34" s="2404">
        <f>M34/K34-1</f>
        <v/>
      </c>
      <c r="V34" s="2405">
        <f>(U34/S34)^(1/2)-1</f>
        <v/>
      </c>
      <c r="W34" s="2405">
        <f>(U34/I34)^(1/3)-1</f>
        <v/>
      </c>
      <c r="X34" s="1833" t="inlineStr"/>
      <c r="Y34" s="1833" t="n"/>
      <c r="Z34" s="443" t="inlineStr">
        <is>
          <t>Yes</t>
        </is>
      </c>
      <c r="AA34" s="1833" t="n"/>
      <c r="AB34" s="1833" t="inlineStr"/>
      <c r="AC34" s="2381">
        <f>D34</f>
        <v/>
      </c>
      <c r="AD34" s="2397">
        <f>V34</f>
        <v/>
      </c>
      <c r="AE34" s="2383" t="n"/>
      <c r="AF34" s="2383" t="n"/>
      <c r="AG34" s="1833" t="inlineStr"/>
      <c r="AH34" s="1833" t="inlineStr"/>
    </row>
    <row r="35" outlineLevel="1" ht="12" customFormat="1" customHeight="1" s="432" thickBot="1">
      <c r="C35" s="844">
        <f>C34+1</f>
        <v/>
      </c>
      <c r="D35" s="2398">
        <f>'GPC Data'!E319</f>
        <v/>
      </c>
      <c r="E35" s="2399">
        <f>'GPC Data'!P47</f>
        <v/>
      </c>
      <c r="F35" s="2400">
        <f>'GPC Data'!F149</f>
        <v/>
      </c>
      <c r="G35" s="2400">
        <f>'GPC Data'!G149</f>
        <v/>
      </c>
      <c r="H35" s="2400">
        <f>'GPC Data'!H149</f>
        <v/>
      </c>
      <c r="I35" s="2400">
        <f>'GPC Data'!I149</f>
        <v/>
      </c>
      <c r="J35" s="2400">
        <f>'GPC Data'!J149</f>
        <v/>
      </c>
      <c r="K35" s="2401">
        <f>'GPC Data'!K149</f>
        <v/>
      </c>
      <c r="L35" s="2401">
        <f>'GPC Data'!L149</f>
        <v/>
      </c>
      <c r="M35" s="2401">
        <f>'GPC Data'!M149</f>
        <v/>
      </c>
      <c r="N35" s="2402" t="n"/>
      <c r="O35" s="2383">
        <f>G35/F35-1</f>
        <v/>
      </c>
      <c r="P35" s="2383">
        <f>H35/G35-1</f>
        <v/>
      </c>
      <c r="Q35" s="2383">
        <f>I35/H35-1</f>
        <v/>
      </c>
      <c r="R35" s="2403">
        <f>(I35/F35)^(1/3)-1</f>
        <v/>
      </c>
      <c r="S35" s="2404">
        <f>K35/I35-1</f>
        <v/>
      </c>
      <c r="T35" s="2404">
        <f>L35/J35-1</f>
        <v/>
      </c>
      <c r="U35" s="2404">
        <f>M35/K35-1</f>
        <v/>
      </c>
      <c r="V35" s="2405">
        <f>(U35/S35)^(1/2)-1</f>
        <v/>
      </c>
      <c r="W35" s="2405">
        <f>(U35/I35)^(1/3)-1</f>
        <v/>
      </c>
      <c r="X35" s="1833" t="inlineStr"/>
      <c r="Y35" s="1833" t="n"/>
      <c r="Z35" s="443" t="inlineStr">
        <is>
          <t>Yes</t>
        </is>
      </c>
      <c r="AA35" s="1833" t="n"/>
      <c r="AB35" s="1833" t="inlineStr"/>
      <c r="AC35" s="2381">
        <f>D35</f>
        <v/>
      </c>
      <c r="AD35" s="2397">
        <f>V35</f>
        <v/>
      </c>
      <c r="AE35" s="2383" t="n"/>
      <c r="AF35" s="2383" t="n"/>
      <c r="AG35" s="1833" t="inlineStr"/>
      <c r="AH35" s="1833" t="inlineStr"/>
    </row>
    <row r="36" outlineLevel="1" ht="12" customFormat="1" customHeight="1" s="432" thickBot="1">
      <c r="C36" s="844">
        <f>C35+1</f>
        <v/>
      </c>
      <c r="D36" s="2398">
        <f>'GPC Data'!E320</f>
        <v/>
      </c>
      <c r="E36" s="2399">
        <f>'GPC Data'!P48</f>
        <v/>
      </c>
      <c r="F36" s="2400">
        <f>'GPC Data'!F150</f>
        <v/>
      </c>
      <c r="G36" s="2400">
        <f>'GPC Data'!G150</f>
        <v/>
      </c>
      <c r="H36" s="2400">
        <f>'GPC Data'!H150</f>
        <v/>
      </c>
      <c r="I36" s="2400">
        <f>'GPC Data'!I150</f>
        <v/>
      </c>
      <c r="J36" s="2400">
        <f>'GPC Data'!J150</f>
        <v/>
      </c>
      <c r="K36" s="2401">
        <f>'GPC Data'!K150</f>
        <v/>
      </c>
      <c r="L36" s="2401">
        <f>'GPC Data'!L150</f>
        <v/>
      </c>
      <c r="M36" s="2401">
        <f>'GPC Data'!M150</f>
        <v/>
      </c>
      <c r="N36" s="2402" t="n"/>
      <c r="O36" s="2383">
        <f>G36/F36-1</f>
        <v/>
      </c>
      <c r="P36" s="2383">
        <f>H36/G36-1</f>
        <v/>
      </c>
      <c r="Q36" s="2383">
        <f>I36/H36-1</f>
        <v/>
      </c>
      <c r="R36" s="2403">
        <f>(I36/F36)^(1/3)-1</f>
        <v/>
      </c>
      <c r="S36" s="2404">
        <f>K36/I36-1</f>
        <v/>
      </c>
      <c r="T36" s="2404">
        <f>L36/J36-1</f>
        <v/>
      </c>
      <c r="U36" s="2404">
        <f>M36/K36-1</f>
        <v/>
      </c>
      <c r="V36" s="2405">
        <f>(U36/S36)^(1/2)-1</f>
        <v/>
      </c>
      <c r="W36" s="2405">
        <f>(U36/I36)^(1/3)-1</f>
        <v/>
      </c>
      <c r="X36" s="1833" t="inlineStr"/>
      <c r="Y36" s="1833" t="n"/>
      <c r="Z36" s="443" t="inlineStr">
        <is>
          <t>Yes</t>
        </is>
      </c>
      <c r="AA36" s="1833" t="n"/>
      <c r="AB36" s="1833" t="inlineStr"/>
      <c r="AC36" s="2381">
        <f>D36</f>
        <v/>
      </c>
      <c r="AD36" s="2397">
        <f>V36</f>
        <v/>
      </c>
      <c r="AE36" s="2383" t="n"/>
      <c r="AF36" s="2383" t="n"/>
      <c r="AG36" s="1833" t="inlineStr"/>
      <c r="AH36" s="1833" t="inlineStr"/>
    </row>
    <row r="37" outlineLevel="1" ht="12" customFormat="1" customHeight="1" s="432" thickBot="1">
      <c r="C37" s="844">
        <f>C36+1</f>
        <v/>
      </c>
      <c r="D37" s="2398">
        <f>'GPC Data'!E321</f>
        <v/>
      </c>
      <c r="E37" s="2399">
        <f>'GPC Data'!P49</f>
        <v/>
      </c>
      <c r="F37" s="2400">
        <f>'GPC Data'!F151</f>
        <v/>
      </c>
      <c r="G37" s="2400">
        <f>'GPC Data'!G151</f>
        <v/>
      </c>
      <c r="H37" s="2400">
        <f>'GPC Data'!H151</f>
        <v/>
      </c>
      <c r="I37" s="2400">
        <f>'GPC Data'!I151</f>
        <v/>
      </c>
      <c r="J37" s="2400">
        <f>'GPC Data'!J151</f>
        <v/>
      </c>
      <c r="K37" s="2401">
        <f>'GPC Data'!K151</f>
        <v/>
      </c>
      <c r="L37" s="2401">
        <f>'GPC Data'!L151</f>
        <v/>
      </c>
      <c r="M37" s="2401">
        <f>'GPC Data'!M151</f>
        <v/>
      </c>
      <c r="N37" s="2402" t="n"/>
      <c r="O37" s="2383">
        <f>G37/F37-1</f>
        <v/>
      </c>
      <c r="P37" s="2383">
        <f>H37/G37-1</f>
        <v/>
      </c>
      <c r="Q37" s="2383">
        <f>I37/H37-1</f>
        <v/>
      </c>
      <c r="R37" s="2403">
        <f>(I37/F37)^(1/3)-1</f>
        <v/>
      </c>
      <c r="S37" s="2404">
        <f>K37/I37-1</f>
        <v/>
      </c>
      <c r="T37" s="2404">
        <f>L37/J37-1</f>
        <v/>
      </c>
      <c r="U37" s="2404">
        <f>M37/K37-1</f>
        <v/>
      </c>
      <c r="V37" s="2405">
        <f>(U37/S37)^(1/2)-1</f>
        <v/>
      </c>
      <c r="W37" s="2405">
        <f>(U37/I37)^(1/3)-1</f>
        <v/>
      </c>
      <c r="X37" s="1833" t="inlineStr"/>
      <c r="Y37" s="1833" t="n"/>
      <c r="Z37" s="443" t="inlineStr">
        <is>
          <t>Yes</t>
        </is>
      </c>
      <c r="AA37" s="1833" t="n"/>
      <c r="AB37" s="1833" t="inlineStr"/>
      <c r="AC37" s="2381">
        <f>D37</f>
        <v/>
      </c>
      <c r="AD37" s="2397">
        <f>V37</f>
        <v/>
      </c>
      <c r="AE37" s="2383" t="n"/>
      <c r="AF37" s="2383" t="n"/>
      <c r="AG37" s="1833" t="inlineStr"/>
      <c r="AH37" s="1833" t="inlineStr"/>
    </row>
    <row r="38" outlineLevel="1" ht="12" customFormat="1" customHeight="1" s="432" thickBot="1">
      <c r="C38" s="844">
        <f>C37+1</f>
        <v/>
      </c>
      <c r="D38" s="2398">
        <f>'GPC Data'!E322</f>
        <v/>
      </c>
      <c r="E38" s="2399">
        <f>'GPC Data'!P50</f>
        <v/>
      </c>
      <c r="F38" s="2400">
        <f>'GPC Data'!F152</f>
        <v/>
      </c>
      <c r="G38" s="2400">
        <f>'GPC Data'!G152</f>
        <v/>
      </c>
      <c r="H38" s="2400">
        <f>'GPC Data'!H152</f>
        <v/>
      </c>
      <c r="I38" s="2400">
        <f>'GPC Data'!I152</f>
        <v/>
      </c>
      <c r="J38" s="2400">
        <f>'GPC Data'!J152</f>
        <v/>
      </c>
      <c r="K38" s="2401">
        <f>'GPC Data'!K152</f>
        <v/>
      </c>
      <c r="L38" s="2401">
        <f>'GPC Data'!L152</f>
        <v/>
      </c>
      <c r="M38" s="2401">
        <f>'GPC Data'!M152</f>
        <v/>
      </c>
      <c r="N38" s="2402" t="n"/>
      <c r="O38" s="2383">
        <f>G38/F38-1</f>
        <v/>
      </c>
      <c r="P38" s="2383">
        <f>H38/G38-1</f>
        <v/>
      </c>
      <c r="Q38" s="2383">
        <f>I38/H38-1</f>
        <v/>
      </c>
      <c r="R38" s="2403">
        <f>(I38/F38)^(1/3)-1</f>
        <v/>
      </c>
      <c r="S38" s="2404">
        <f>K38/I38-1</f>
        <v/>
      </c>
      <c r="T38" s="2404">
        <f>L38/J38-1</f>
        <v/>
      </c>
      <c r="U38" s="2404">
        <f>M38/K38-1</f>
        <v/>
      </c>
      <c r="V38" s="2405">
        <f>(U38/S38)^(1/2)-1</f>
        <v/>
      </c>
      <c r="W38" s="2405">
        <f>(U38/I38)^(1/3)-1</f>
        <v/>
      </c>
      <c r="X38" s="1833" t="inlineStr"/>
      <c r="Y38" s="1833" t="n"/>
      <c r="Z38" s="443" t="inlineStr">
        <is>
          <t>Yes</t>
        </is>
      </c>
      <c r="AA38" s="1833" t="n"/>
      <c r="AB38" s="1833" t="inlineStr"/>
      <c r="AC38" s="2381">
        <f>D38</f>
        <v/>
      </c>
      <c r="AD38" s="2397">
        <f>V38</f>
        <v/>
      </c>
      <c r="AE38" s="2383" t="n"/>
      <c r="AF38" s="2383" t="n"/>
      <c r="AG38" s="1833" t="inlineStr"/>
      <c r="AH38" s="1833" t="inlineStr"/>
    </row>
    <row r="39" outlineLevel="1" ht="12" customFormat="1" customHeight="1" s="432" thickBot="1">
      <c r="C39" s="844">
        <f>C18+1</f>
        <v/>
      </c>
      <c r="D39" s="2398">
        <f>'GPC Data'!E323</f>
        <v/>
      </c>
      <c r="E39" s="2399">
        <f>'GPC Data'!P51</f>
        <v/>
      </c>
      <c r="F39" s="2400">
        <f>'GPC Data'!F153</f>
        <v/>
      </c>
      <c r="G39" s="2400">
        <f>'GPC Data'!G153</f>
        <v/>
      </c>
      <c r="H39" s="2400">
        <f>'GPC Data'!H153</f>
        <v/>
      </c>
      <c r="I39" s="2400">
        <f>'GPC Data'!I153</f>
        <v/>
      </c>
      <c r="J39" s="2400">
        <f>'GPC Data'!J153</f>
        <v/>
      </c>
      <c r="K39" s="2401">
        <f>'GPC Data'!K153</f>
        <v/>
      </c>
      <c r="L39" s="2401">
        <f>'GPC Data'!L153</f>
        <v/>
      </c>
      <c r="M39" s="2401">
        <f>'GPC Data'!M153</f>
        <v/>
      </c>
      <c r="N39" s="2402" t="n"/>
      <c r="O39" s="2383">
        <f>G39/F39-1</f>
        <v/>
      </c>
      <c r="P39" s="2383">
        <f>H39/G39-1</f>
        <v/>
      </c>
      <c r="Q39" s="2383">
        <f>I39/H39-1</f>
        <v/>
      </c>
      <c r="R39" s="2403">
        <f>(I39/F39)^(1/3)-1</f>
        <v/>
      </c>
      <c r="S39" s="2404">
        <f>K39/I39-1</f>
        <v/>
      </c>
      <c r="T39" s="2404">
        <f>L39/J39-1</f>
        <v/>
      </c>
      <c r="U39" s="2404">
        <f>M39/K39-1</f>
        <v/>
      </c>
      <c r="V39" s="2405">
        <f>(U39/S39)^(1/2)-1</f>
        <v/>
      </c>
      <c r="W39" s="2405">
        <f>(U39/I39)^(1/3)-1</f>
        <v/>
      </c>
      <c r="X39" s="1833" t="inlineStr"/>
      <c r="Y39" s="1833" t="n"/>
      <c r="Z39" s="443" t="inlineStr">
        <is>
          <t>Yes</t>
        </is>
      </c>
      <c r="AA39" s="1833" t="n"/>
      <c r="AB39" s="1833" t="inlineStr"/>
      <c r="AC39" s="2381">
        <f>D39</f>
        <v/>
      </c>
      <c r="AD39" s="2397">
        <f>V39</f>
        <v/>
      </c>
      <c r="AE39" s="2383" t="n"/>
      <c r="AF39" s="2383" t="n"/>
      <c r="AG39" s="1833" t="inlineStr"/>
      <c r="AH39" s="1833" t="inlineStr"/>
    </row>
    <row r="40">
      <c r="B40" s="432" t="n"/>
      <c r="D40" s="2406">
        <f>"As of "&amp;TEXT(valuation.date,"d mmmm yyy")&amp;"."&amp;" Historical and forecast consensus financial statements for the selected guideline public companies provided by EIKON."</f>
        <v/>
      </c>
      <c r="E40" s="2407" t="n"/>
      <c r="F40" s="2407" t="n"/>
      <c r="G40" s="2407" t="n"/>
      <c r="H40" s="2407" t="n"/>
      <c r="I40" s="2407" t="n"/>
      <c r="J40" s="2407" t="n"/>
      <c r="K40" s="2407" t="n"/>
      <c r="L40" s="2407" t="n"/>
      <c r="M40" s="2407" t="n"/>
      <c r="N40" s="2407" t="n"/>
      <c r="O40" s="2407" t="n"/>
      <c r="P40" s="2407" t="n"/>
      <c r="Q40" s="2407" t="n"/>
      <c r="R40" s="2407" t="n"/>
      <c r="S40" s="2407" t="n"/>
      <c r="T40" s="2407" t="n"/>
      <c r="U40" s="2407" t="n"/>
      <c r="V40" s="2407" t="n"/>
      <c r="W40" s="2407" t="n"/>
      <c r="X40" s="2407" t="n"/>
      <c r="Y40" s="2408" t="n"/>
      <c r="Z40" s="2408" t="n"/>
      <c r="AA40" s="2407" t="n"/>
      <c r="AB40" s="2407" t="n"/>
      <c r="AG40" s="2407" t="n"/>
      <c r="AH40" s="2407" t="n"/>
    </row>
    <row r="41">
      <c r="B41" s="432" t="n"/>
      <c r="D41" s="2409" t="n"/>
      <c r="E41" s="2407" t="n"/>
      <c r="F41" s="2407" t="n"/>
      <c r="G41" s="2407" t="n"/>
      <c r="H41" s="2407" t="n"/>
      <c r="I41" s="2407" t="n"/>
      <c r="J41" s="2407" t="n"/>
      <c r="K41" s="2407" t="n"/>
      <c r="L41" s="2407" t="n"/>
      <c r="M41" s="2407" t="n"/>
      <c r="N41" s="2407" t="n"/>
      <c r="O41" s="2407" t="n"/>
      <c r="P41" s="2407" t="n"/>
      <c r="Q41" s="2407" t="n"/>
      <c r="R41" s="2407" t="n"/>
      <c r="S41" s="2407" t="n"/>
      <c r="T41" s="2407" t="n"/>
      <c r="U41" s="2407" t="n"/>
      <c r="V41" s="2407" t="n"/>
      <c r="W41" s="2407" t="n"/>
      <c r="X41" s="2407" t="n"/>
      <c r="Y41" s="2408" t="n"/>
      <c r="Z41" s="2408" t="n"/>
      <c r="AA41" s="2407" t="n"/>
      <c r="AB41" s="2407" t="n"/>
      <c r="AG41" s="2407" t="n"/>
      <c r="AH41" s="2407" t="n"/>
    </row>
    <row r="42">
      <c r="D42" s="2408" t="n"/>
      <c r="E42" s="2410" t="inlineStr">
        <is>
          <t>High</t>
        </is>
      </c>
      <c r="F42" s="2410" t="n"/>
      <c r="G42" s="2410" t="n"/>
      <c r="H42" s="2410" t="n"/>
      <c r="I42" s="2410" t="n"/>
      <c r="J42" s="2410" t="n"/>
      <c r="K42" s="2410" t="n"/>
      <c r="L42" s="762" t="n"/>
      <c r="M42" s="762" t="n"/>
      <c r="N42" s="2411">
        <f>MAX(N10:N39)</f>
        <v/>
      </c>
      <c r="O42" s="2412">
        <f>MAX(O10:O39)</f>
        <v/>
      </c>
      <c r="P42" s="2412">
        <f>MAX(P10:P39)</f>
        <v/>
      </c>
      <c r="Q42" s="2412">
        <f>MAX(Q10:Q39)</f>
        <v/>
      </c>
      <c r="R42" s="2412">
        <f>MAX(R10:R39)</f>
        <v/>
      </c>
      <c r="S42" s="2413">
        <f>MAX(S10:S39)</f>
        <v/>
      </c>
      <c r="T42" s="2413">
        <f>MAX(T10:T39)</f>
        <v/>
      </c>
      <c r="U42" s="2413">
        <f>MAX(U10:U39)</f>
        <v/>
      </c>
      <c r="V42" s="2413">
        <f>MAX(V10:V39)</f>
        <v/>
      </c>
      <c r="W42" s="2413">
        <f>MAX(W10:W39)</f>
        <v/>
      </c>
      <c r="X42" s="2407" t="n"/>
      <c r="Y42" s="2408" t="n"/>
      <c r="Z42" s="2408" t="n"/>
      <c r="AA42" s="2407" t="n"/>
      <c r="AB42" s="2407" t="inlineStr"/>
      <c r="AC42" s="2407" t="inlineStr"/>
      <c r="AD42" s="2407" t="inlineStr"/>
      <c r="AE42" s="2407" t="inlineStr"/>
      <c r="AF42" s="2407" t="inlineStr"/>
      <c r="AG42" s="2407" t="inlineStr"/>
      <c r="AH42" s="2407" t="inlineStr"/>
    </row>
    <row r="43">
      <c r="D43" s="2408" t="n"/>
      <c r="E43" s="2408" t="inlineStr">
        <is>
          <t>75th Percentile</t>
        </is>
      </c>
      <c r="F43" s="2408" t="n"/>
      <c r="G43" s="2408" t="n"/>
      <c r="H43" s="2408" t="n"/>
      <c r="I43" s="2408" t="n"/>
      <c r="J43" s="2408" t="n"/>
      <c r="K43" s="2408" t="n"/>
      <c r="L43" s="259" t="n"/>
      <c r="M43" s="259" t="n"/>
      <c r="N43" s="2414">
        <f>PERCENTILE(N10:N39,0.75)</f>
        <v/>
      </c>
      <c r="O43" s="2330">
        <f>PERCENTILE(O10:O39,0.75)</f>
        <v/>
      </c>
      <c r="P43" s="2330">
        <f>PERCENTILE(P10:P39,0.75)</f>
        <v/>
      </c>
      <c r="Q43" s="2330">
        <f>PERCENTILE(Q10:Q39,0.75)</f>
        <v/>
      </c>
      <c r="R43" s="2330">
        <f>PERCENTILE(R10:R39,0.75)</f>
        <v/>
      </c>
      <c r="S43" s="2415">
        <f>PERCENTILE(S10:S39,0.75)</f>
        <v/>
      </c>
      <c r="T43" s="2415">
        <f>PERCENTILE(T10:T39,0.75)</f>
        <v/>
      </c>
      <c r="U43" s="2415">
        <f>PERCENTILE(U10:U39,0.75)</f>
        <v/>
      </c>
      <c r="V43" s="2415">
        <f>PERCENTILE(V10:V39,0.75)</f>
        <v/>
      </c>
      <c r="W43" s="2415">
        <f>PERCENTILE(W10:W39,0.75)</f>
        <v/>
      </c>
      <c r="X43" s="2407" t="n"/>
      <c r="Y43" s="2408" t="n"/>
      <c r="Z43" s="2408" t="n"/>
      <c r="AA43" s="2407" t="n"/>
      <c r="AB43" s="2407" t="n"/>
      <c r="AC43" s="2407" t="n"/>
      <c r="AD43" s="2407" t="n"/>
      <c r="AE43" s="2407" t="n"/>
      <c r="AF43" s="2407" t="n"/>
      <c r="AG43" s="2407" t="n"/>
      <c r="AH43" s="2407" t="n"/>
    </row>
    <row r="44">
      <c r="D44" s="2408" t="n"/>
      <c r="E44" s="2408" t="inlineStr">
        <is>
          <t>Mean</t>
        </is>
      </c>
      <c r="F44" s="2408" t="n"/>
      <c r="G44" s="2408" t="n"/>
      <c r="H44" s="2408" t="n"/>
      <c r="I44" s="2408" t="n"/>
      <c r="J44" s="2408" t="n"/>
      <c r="K44" s="2408" t="n"/>
      <c r="L44" s="259" t="n"/>
      <c r="M44" s="259" t="n"/>
      <c r="N44" s="2414">
        <f>AVERAGE(N10:N39)</f>
        <v/>
      </c>
      <c r="O44" s="2330">
        <f>AVERAGE(O10:O39)</f>
        <v/>
      </c>
      <c r="P44" s="2330">
        <f>AVERAGE(P10:P39)</f>
        <v/>
      </c>
      <c r="Q44" s="2330">
        <f>AVERAGE(Q10:Q39)</f>
        <v/>
      </c>
      <c r="R44" s="2330">
        <f>AVERAGE(R10:R39)</f>
        <v/>
      </c>
      <c r="S44" s="2415">
        <f>AVERAGE(S10:S39)</f>
        <v/>
      </c>
      <c r="T44" s="2415">
        <f>AVERAGE(T10:T39)</f>
        <v/>
      </c>
      <c r="U44" s="2415">
        <f>AVERAGE(U10:U39)</f>
        <v/>
      </c>
      <c r="V44" s="2415">
        <f>AVERAGE(V10:V39)</f>
        <v/>
      </c>
      <c r="W44" s="2415">
        <f>AVERAGE(W10:W39)</f>
        <v/>
      </c>
      <c r="X44" s="2408" t="inlineStr"/>
      <c r="Y44" s="2408" t="n"/>
      <c r="Z44" s="2408" t="n"/>
      <c r="AA44" s="2408" t="n"/>
      <c r="AB44" s="2408" t="inlineStr"/>
      <c r="AC44" s="2408" t="inlineStr"/>
      <c r="AD44" s="2408" t="inlineStr"/>
      <c r="AE44" s="2408" t="inlineStr"/>
      <c r="AF44" s="2408" t="inlineStr"/>
      <c r="AG44" s="2408" t="inlineStr"/>
      <c r="AH44" s="2408" t="inlineStr"/>
    </row>
    <row r="45" ht="13" customHeight="1">
      <c r="D45" s="2416" t="n"/>
      <c r="E45" s="2417" t="inlineStr">
        <is>
          <t>Median</t>
        </is>
      </c>
      <c r="F45" s="2418" t="n"/>
      <c r="G45" s="2418" t="n"/>
      <c r="H45" s="2418" t="n"/>
      <c r="I45" s="2418" t="n"/>
      <c r="J45" s="2418" t="n"/>
      <c r="K45" s="2418" t="n"/>
      <c r="L45" s="246" t="n"/>
      <c r="M45" s="246" t="n"/>
      <c r="N45" s="2419">
        <f>MEDIAN(N10:N39)</f>
        <v/>
      </c>
      <c r="O45" s="2415">
        <f>MEDIAN(O10:O39)</f>
        <v/>
      </c>
      <c r="P45" s="2415">
        <f>MEDIAN(P10:P39)</f>
        <v/>
      </c>
      <c r="Q45" s="2415">
        <f>MEDIAN(Q10:Q39)</f>
        <v/>
      </c>
      <c r="R45" s="2415">
        <f>MEDIAN(R10:R39)</f>
        <v/>
      </c>
      <c r="S45" s="2415">
        <f>MEDIAN(S10:S39)</f>
        <v/>
      </c>
      <c r="T45" s="2415">
        <f>MEDIAN(T10:T39)</f>
        <v/>
      </c>
      <c r="U45" s="2415">
        <f>MEDIAN(U10:U39)</f>
        <v/>
      </c>
      <c r="V45" s="2415">
        <f>MEDIAN(V10:V39)</f>
        <v/>
      </c>
      <c r="W45" s="2415">
        <f>MEDIAN(W10:W39)</f>
        <v/>
      </c>
      <c r="X45" s="2420" t="inlineStr"/>
      <c r="Y45" s="2408" t="n"/>
      <c r="Z45" s="2408" t="n"/>
      <c r="AA45" s="2420" t="n"/>
      <c r="AB45" s="2420" t="inlineStr"/>
      <c r="AC45" s="2420" t="inlineStr"/>
      <c r="AD45" s="2420" t="n"/>
      <c r="AE45" s="2420" t="inlineStr"/>
      <c r="AF45" s="2420" t="inlineStr"/>
      <c r="AG45" s="2420" t="inlineStr"/>
      <c r="AH45" s="2420" t="inlineStr"/>
    </row>
    <row r="46" ht="13" customHeight="1">
      <c r="D46" s="2416" t="n"/>
      <c r="E46" s="2408" t="inlineStr">
        <is>
          <t>25th Percentile</t>
        </is>
      </c>
      <c r="F46" s="2416" t="n"/>
      <c r="G46" s="2416" t="n"/>
      <c r="H46" s="2416" t="n"/>
      <c r="I46" s="2416" t="n"/>
      <c r="J46" s="2416" t="n"/>
      <c r="K46" s="2416" t="n"/>
      <c r="L46" s="259" t="n"/>
      <c r="M46" s="259" t="n"/>
      <c r="N46" s="2414">
        <f>PERCENTILE(N10:N39,0.25)</f>
        <v/>
      </c>
      <c r="O46" s="2330">
        <f>PERCENTILE(O10:O39,0.25)</f>
        <v/>
      </c>
      <c r="P46" s="2330">
        <f>PERCENTILE(P10:P39,0.25)</f>
        <v/>
      </c>
      <c r="Q46" s="2330">
        <f>PERCENTILE(Q10:Q39,0.25)</f>
        <v/>
      </c>
      <c r="R46" s="2330">
        <f>PERCENTILE(R10:R39,0.25)</f>
        <v/>
      </c>
      <c r="S46" s="2415">
        <f>PERCENTILE(S10:S39,0.25)</f>
        <v/>
      </c>
      <c r="T46" s="2415">
        <f>PERCENTILE(T10:T39,0.25)</f>
        <v/>
      </c>
      <c r="U46" s="2415">
        <f>PERCENTILE(U10:U39,0.25)</f>
        <v/>
      </c>
      <c r="V46" s="2415">
        <f>PERCENTILE(V10:V39,0.25)</f>
        <v/>
      </c>
      <c r="W46" s="2415">
        <f>PERCENTILE(W10:W39,0.25)</f>
        <v/>
      </c>
      <c r="X46" s="2420" t="n"/>
      <c r="Y46" s="2408" t="n"/>
      <c r="Z46" s="2408" t="n"/>
      <c r="AA46" s="2420" t="n"/>
      <c r="AB46" s="2420" t="n"/>
      <c r="AC46" s="2420" t="n"/>
      <c r="AD46" s="2420" t="n"/>
      <c r="AE46" s="2420" t="n"/>
      <c r="AF46" s="2420" t="n"/>
      <c r="AG46" s="2420" t="n"/>
      <c r="AH46" s="2420" t="n"/>
    </row>
    <row r="47">
      <c r="D47" s="2408" t="n"/>
      <c r="E47" s="2421" t="inlineStr">
        <is>
          <t>Low</t>
        </is>
      </c>
      <c r="F47" s="2421" t="n"/>
      <c r="G47" s="2421" t="n"/>
      <c r="H47" s="2421" t="n"/>
      <c r="I47" s="2421" t="n"/>
      <c r="J47" s="2421" t="n"/>
      <c r="K47" s="2421" t="n"/>
      <c r="L47" s="545" t="n"/>
      <c r="M47" s="545" t="n"/>
      <c r="N47" s="2422">
        <f>MIN(N10:N39)</f>
        <v/>
      </c>
      <c r="O47" s="2423">
        <f>MIN(O10:O39)</f>
        <v/>
      </c>
      <c r="P47" s="2423">
        <f>MIN(P10:P39)</f>
        <v/>
      </c>
      <c r="Q47" s="2423">
        <f>MIN(Q10:Q39)</f>
        <v/>
      </c>
      <c r="R47" s="2423">
        <f>MIN(R10:R39)</f>
        <v/>
      </c>
      <c r="S47" s="2424">
        <f>MIN(S10:S39)</f>
        <v/>
      </c>
      <c r="T47" s="2424">
        <f>MIN(T10:T39)</f>
        <v/>
      </c>
      <c r="U47" s="2424">
        <f>MIN(U10:U39)</f>
        <v/>
      </c>
      <c r="V47" s="2424">
        <f>MIN(V10:V39)</f>
        <v/>
      </c>
      <c r="W47" s="2424">
        <f>MIN(W10:W39)</f>
        <v/>
      </c>
      <c r="X47" s="2408" t="inlineStr"/>
      <c r="Y47" s="2408" t="n"/>
      <c r="Z47" s="2408" t="n"/>
      <c r="AA47" s="2408" t="n"/>
      <c r="AB47" s="2408" t="n"/>
      <c r="AC47" s="2408" t="inlineStr"/>
      <c r="AD47" s="2408" t="inlineStr"/>
      <c r="AE47" s="2408" t="inlineStr"/>
      <c r="AF47" s="2408" t="inlineStr"/>
      <c r="AG47" s="2408" t="inlineStr"/>
      <c r="AH47" s="2408" t="inlineStr"/>
    </row>
    <row r="48">
      <c r="D48" s="2408" t="n"/>
      <c r="E48" s="466" t="inlineStr">
        <is>
          <t>Excluding outliers</t>
        </is>
      </c>
      <c r="F48" s="2408" t="n"/>
      <c r="G48" s="2408" t="n"/>
      <c r="H48" s="2408" t="n"/>
      <c r="I48" s="2408" t="n"/>
      <c r="J48" s="2408" t="n"/>
      <c r="K48" s="2408" t="n"/>
      <c r="N48" s="2330" t="n"/>
      <c r="O48" s="2330" t="n"/>
      <c r="P48" s="2330" t="n"/>
      <c r="Q48" s="2330" t="n"/>
      <c r="R48" s="2330" t="n"/>
      <c r="S48" s="2330" t="n"/>
      <c r="T48" s="2330" t="n"/>
      <c r="U48" s="2330" t="n"/>
      <c r="V48" s="2330" t="n"/>
      <c r="W48" s="2330" t="n"/>
      <c r="X48" s="2408" t="n"/>
      <c r="Y48" s="2408" t="n"/>
      <c r="Z48" s="2408" t="n"/>
      <c r="AA48" s="2408" t="n"/>
      <c r="AB48" s="2408" t="n"/>
      <c r="AC48" s="2408" t="n"/>
      <c r="AD48" s="2408" t="n"/>
      <c r="AE48" s="2408" t="n"/>
      <c r="AF48" s="2408" t="n"/>
      <c r="AG48" s="2408" t="n"/>
      <c r="AH48" s="2408" t="n"/>
    </row>
    <row r="49">
      <c r="D49" s="2408" t="n"/>
      <c r="E49" s="2410" t="inlineStr">
        <is>
          <t>High</t>
        </is>
      </c>
      <c r="F49" s="2410" t="n"/>
      <c r="G49" s="2410" t="n"/>
      <c r="H49" s="2410" t="n"/>
      <c r="I49" s="2410" t="n"/>
      <c r="J49" s="2410" t="n"/>
      <c r="K49" s="2410" t="n"/>
      <c r="L49" s="762" t="n"/>
      <c r="M49" s="762" t="n"/>
      <c r="N49" s="2411">
        <f t="array" ref="N49">IFERROR(MAX(IF($Z$10:$Z$39="No",N10:N39)),"")</f>
        <v/>
      </c>
      <c r="O49" s="2412">
        <f t="array" ref="O49">IFERROR(MAX(IF($Z$10:$Z$39="No",O10:O39)),"")</f>
        <v/>
      </c>
      <c r="P49" s="2412">
        <f t="array" ref="P49">IFERROR(MAX(IF($Z$10:$Z$39="No",P10:P39)),"")</f>
        <v/>
      </c>
      <c r="Q49" s="2412">
        <f t="array" ref="Q49">IFERROR(MAX(IF($Z$10:$Z$39="No",Q10:Q39)),"")</f>
        <v/>
      </c>
      <c r="R49" s="2412">
        <f t="array" ref="R49">IFERROR(MAX(IF($Z$10:$Z$39="No",R10:R39)),"")</f>
        <v/>
      </c>
      <c r="S49" s="2413">
        <f t="array" ref="S49">IFERROR(MAX(IF($Z$10:$Z$39="No",S10:S39)),"")</f>
        <v/>
      </c>
      <c r="T49" s="2413">
        <f t="array" ref="T49">IFERROR(MAX(IF($Z$10:$Z$39="No",T10:T39)),"")</f>
        <v/>
      </c>
      <c r="U49" s="2413">
        <f t="array" ref="U49">IFERROR(MAX(IF($Z$10:$Z$39="No",U10:U39)),"")</f>
        <v/>
      </c>
      <c r="V49" s="2413">
        <f t="array" ref="V49">IFERROR(MAX(IF($Z$10:$Z$39="No",V10:V39)),"")</f>
        <v/>
      </c>
      <c r="W49" s="2413">
        <f t="array" ref="W49">IFERROR(MAX(IF($Z$10:$Z$39="No",W10:W39)),"")</f>
        <v/>
      </c>
      <c r="X49" s="2408" t="n"/>
      <c r="Y49" s="2408" t="n"/>
      <c r="Z49" s="2408" t="n"/>
      <c r="AA49" s="2408" t="n"/>
      <c r="AB49" s="2408" t="n"/>
      <c r="AC49" s="2408" t="n"/>
      <c r="AD49" s="2408" t="n"/>
      <c r="AE49" s="2408" t="n"/>
      <c r="AF49" s="2408" t="n"/>
      <c r="AG49" s="2408" t="n"/>
      <c r="AH49" s="2408" t="n"/>
    </row>
    <row r="50">
      <c r="D50" s="2408" t="n"/>
      <c r="E50" s="2408" t="inlineStr">
        <is>
          <t>75th Percentile</t>
        </is>
      </c>
      <c r="F50" s="2408" t="n"/>
      <c r="G50" s="2408" t="n"/>
      <c r="H50" s="2408" t="n"/>
      <c r="I50" s="2408" t="n"/>
      <c r="J50" s="2408" t="n"/>
      <c r="K50" s="2408" t="n"/>
      <c r="L50" s="259" t="n"/>
      <c r="M50" s="259" t="n"/>
      <c r="N50" s="2414">
        <f t="array" ref="N50">PERCENTILE(IF($Z$10:$Z$39="No",N10:N39),0.75)</f>
        <v/>
      </c>
      <c r="O50" s="2330">
        <f t="array" ref="O50">PERCENTILE(IF($Z$10:$Z$39="No",O10:O39),0.75)</f>
        <v/>
      </c>
      <c r="P50" s="2330">
        <f t="array" ref="P50">PERCENTILE(IF($Z$10:$Z$39="No",P10:P39),0.75)</f>
        <v/>
      </c>
      <c r="Q50" s="2330">
        <f t="array" ref="Q50">PERCENTILE(IF($Z$10:$Z$39="No",Q10:Q39),0.75)</f>
        <v/>
      </c>
      <c r="R50" s="2330">
        <f t="array" ref="R50">PERCENTILE(IF($Z$10:$Z$39="No",R10:R39),0.75)</f>
        <v/>
      </c>
      <c r="S50" s="2415">
        <f t="array" ref="S50">PERCENTILE(IF($Z$10:$Z$39="No",S10:S39),0.75)</f>
        <v/>
      </c>
      <c r="T50" s="2415">
        <f t="array" ref="T50">PERCENTILE(IF($Z$10:$Z$39="No",T10:T39),0.75)</f>
        <v/>
      </c>
      <c r="U50" s="2415">
        <f t="array" ref="U50">PERCENTILE(IF($Z$10:$Z$39="No",U10:U39),0.75)</f>
        <v/>
      </c>
      <c r="V50" s="2415">
        <f t="array" ref="V50">PERCENTILE(IF($Z$10:$Z$39="No",V10:V39),0.75)</f>
        <v/>
      </c>
      <c r="W50" s="2415">
        <f t="array" ref="W50">PERCENTILE(IF($Z$10:$Z$39="No",W10:W39),0.75)</f>
        <v/>
      </c>
      <c r="X50" s="2408" t="n"/>
      <c r="Y50" s="2408" t="n"/>
      <c r="Z50" s="2408" t="n"/>
      <c r="AA50" s="2408" t="n"/>
      <c r="AB50" s="2408" t="n"/>
      <c r="AC50" s="2408" t="n"/>
      <c r="AD50" s="2408" t="n"/>
      <c r="AE50" s="2408" t="n"/>
      <c r="AF50" s="2408" t="n"/>
      <c r="AG50" s="2408" t="n"/>
      <c r="AH50" s="2408" t="n"/>
    </row>
    <row r="51">
      <c r="D51" s="2408" t="n"/>
      <c r="E51" s="2408" t="inlineStr">
        <is>
          <t>Mean</t>
        </is>
      </c>
      <c r="F51" s="2408" t="n"/>
      <c r="G51" s="2408" t="n"/>
      <c r="H51" s="2408" t="n"/>
      <c r="I51" s="2408" t="n"/>
      <c r="J51" s="2408" t="n"/>
      <c r="K51" s="2408" t="n"/>
      <c r="L51" s="259" t="n"/>
      <c r="M51" s="259" t="n"/>
      <c r="N51" s="2414">
        <f t="array" ref="N51">IFERROR(AVERAGEIF($Z$10:$Z$39,"No",N10:N39),"")</f>
        <v/>
      </c>
      <c r="O51" s="2330">
        <f>IFERROR(AVERAGEIF($Z$10:$Z$39,"No",O10:O39),"")</f>
        <v/>
      </c>
      <c r="P51" s="2330">
        <f t="array" ref="P51">IFERROR(AVERAGEIF($Z$10:$Z$39,"No",P10:P39),"")</f>
        <v/>
      </c>
      <c r="Q51" s="2330">
        <f t="array" ref="Q51">IFERROR(AVERAGEIF($Z$10:$Z$39,"No",Q10:Q39),"")</f>
        <v/>
      </c>
      <c r="R51" s="2330">
        <f t="array" ref="R51">IFERROR(AVERAGEIF($Z$10:$Z$39,"No",R10:R39),"")</f>
        <v/>
      </c>
      <c r="S51" s="2415">
        <f t="array" ref="S51">IFERROR(AVERAGEIF($Z$10:$Z$39,"No",S10:S39),"")</f>
        <v/>
      </c>
      <c r="T51" s="2415">
        <f t="array" ref="T51">IFERROR(AVERAGEIF($Z$10:$Z$39,"No",T10:T39),"")</f>
        <v/>
      </c>
      <c r="U51" s="2415">
        <f t="array" ref="U51">IFERROR(AVERAGEIF($Z$10:$Z$39,"No",U10:U39),"")</f>
        <v/>
      </c>
      <c r="V51" s="2415">
        <f t="array" ref="V51">IFERROR(AVERAGEIF($Z$10:$Z$39,"No",V10:V39),"")</f>
        <v/>
      </c>
      <c r="W51" s="2415">
        <f t="array" ref="W51">IFERROR(AVERAGEIF($Z$10:$Z$39,"No",W10:W39),"")</f>
        <v/>
      </c>
      <c r="X51" s="2408" t="n"/>
      <c r="Y51" s="2408" t="n"/>
      <c r="Z51" s="2408" t="n"/>
      <c r="AA51" s="2408" t="n"/>
      <c r="AB51" s="2408" t="n"/>
      <c r="AC51" s="2408" t="n"/>
      <c r="AD51" s="2408" t="n"/>
      <c r="AE51" s="2408" t="n"/>
      <c r="AF51" s="2408" t="n"/>
      <c r="AG51" s="2408" t="n"/>
      <c r="AH51" s="2408" t="n"/>
    </row>
    <row r="52" ht="13" customHeight="1">
      <c r="D52" s="2408" t="n"/>
      <c r="E52" s="2417" t="inlineStr">
        <is>
          <t>Median</t>
        </is>
      </c>
      <c r="F52" s="2418" t="n"/>
      <c r="G52" s="2418" t="n"/>
      <c r="H52" s="2418" t="n"/>
      <c r="I52" s="2418" t="n"/>
      <c r="J52" s="2418" t="n"/>
      <c r="K52" s="2418" t="n"/>
      <c r="L52" s="246" t="n"/>
      <c r="M52" s="246" t="n"/>
      <c r="N52" s="2419">
        <f t="array" ref="N52">IFERROR(MEDIAN(IF($Z$10:$Z$39="No",N10:N39)),"")</f>
        <v/>
      </c>
      <c r="O52" s="2415">
        <f t="array" ref="O52">IFERROR(MEDIAN(IF($Z$10:$Z$39="No",O10:O39)),"")</f>
        <v/>
      </c>
      <c r="P52" s="2415">
        <f t="array" ref="P52">IFERROR(MEDIAN(IF($Z$10:$Z$39="No",P10:P39)),"")</f>
        <v/>
      </c>
      <c r="Q52" s="2415">
        <f t="array" ref="Q52">IFERROR(MEDIAN(IF($Z$10:$Z$39="No",Q10:Q39)),"")</f>
        <v/>
      </c>
      <c r="R52" s="2415">
        <f t="array" ref="R52">IFERROR(MEDIAN(IF($Z$10:$Z$39="No",R10:R39)),"")</f>
        <v/>
      </c>
      <c r="S52" s="2415">
        <f t="array" ref="S52">IFERROR(MEDIAN(IF($Z$10:$Z$39="No",S10:S39)),"")</f>
        <v/>
      </c>
      <c r="T52" s="2415">
        <f t="array" ref="T52">IFERROR(MEDIAN(IF($Z$10:$Z$39="No",T10:T39)),"")</f>
        <v/>
      </c>
      <c r="U52" s="2415">
        <f t="array" ref="U52">IFERROR(MEDIAN(IF($Z$10:$Z$39="No",U10:U39)),"")</f>
        <v/>
      </c>
      <c r="V52" s="2415">
        <f t="array" ref="V52">IFERROR(MEDIAN(IF($Z$10:$Z$39="No",V10:V39)),"")</f>
        <v/>
      </c>
      <c r="W52" s="2415">
        <f t="array" ref="W52">IFERROR(MEDIAN(IF($Z$10:$Z$39="No",W10:W39)),"")</f>
        <v/>
      </c>
      <c r="X52" s="2408" t="n"/>
      <c r="Y52" s="2408" t="n"/>
      <c r="Z52" s="2408" t="n"/>
      <c r="AA52" s="2408" t="n"/>
      <c r="AB52" s="2408" t="n"/>
      <c r="AC52" s="2408" t="n"/>
      <c r="AD52" s="2408" t="n"/>
      <c r="AE52" s="2408" t="n"/>
      <c r="AF52" s="2408" t="n"/>
      <c r="AG52" s="2408" t="n"/>
      <c r="AH52" s="2408" t="n"/>
    </row>
    <row r="53" ht="13" customHeight="1">
      <c r="D53" s="2408" t="n"/>
      <c r="E53" s="2408" t="inlineStr">
        <is>
          <t>25th Percentile</t>
        </is>
      </c>
      <c r="F53" s="2416" t="n"/>
      <c r="G53" s="2416" t="n"/>
      <c r="H53" s="2416" t="n"/>
      <c r="I53" s="2416" t="n"/>
      <c r="J53" s="2416" t="n"/>
      <c r="K53" s="2416" t="n"/>
      <c r="L53" s="259" t="n"/>
      <c r="M53" s="259" t="n"/>
      <c r="N53" s="2414">
        <f t="array" ref="N53">PERCENTILE(IF($Z$10:$Z$39="No",N10:N39),0.25)</f>
        <v/>
      </c>
      <c r="O53" s="2330">
        <f t="array" ref="O53">PERCENTILE(IF($Z$10:$Z$39="No",O10:O39),0.25)</f>
        <v/>
      </c>
      <c r="P53" s="2330">
        <f t="array" ref="P53">PERCENTILE(IF($Z$10:$Z$39="No",P10:P39),0.25)</f>
        <v/>
      </c>
      <c r="Q53" s="2330">
        <f t="array" ref="Q53">PERCENTILE(IF($Z$10:$Z$39="No",Q10:Q39),0.25)</f>
        <v/>
      </c>
      <c r="R53" s="2330">
        <f t="array" ref="R53">PERCENTILE(IF($Z$10:$Z$39="No",R10:R39),0.25)</f>
        <v/>
      </c>
      <c r="S53" s="2415">
        <f t="array" ref="S53">PERCENTILE(IF($Z$10:$Z$39="No",S10:S39),0.25)</f>
        <v/>
      </c>
      <c r="T53" s="2415">
        <f t="array" ref="T53">PERCENTILE(IF($Z$10:$Z$39="No",T10:T39),0.25)</f>
        <v/>
      </c>
      <c r="U53" s="2415">
        <f t="array" ref="U53">PERCENTILE(IF($Z$10:$Z$39="No",U10:U39),0.25)</f>
        <v/>
      </c>
      <c r="V53" s="2415">
        <f t="array" ref="V53">PERCENTILE(IF($Z$10:$Z$39="No",V10:V39),0.25)</f>
        <v/>
      </c>
      <c r="W53" s="2415">
        <f t="array" ref="W53">PERCENTILE(IF($Z$10:$Z$39="No",W10:W39),0.25)</f>
        <v/>
      </c>
      <c r="X53" s="2408" t="n"/>
      <c r="Y53" s="2408" t="n"/>
      <c r="Z53" s="2408" t="n"/>
      <c r="AA53" s="2408" t="n"/>
      <c r="AB53" s="2408" t="n"/>
      <c r="AC53" s="2408" t="n"/>
      <c r="AD53" s="2408" t="n"/>
      <c r="AE53" s="2408" t="n"/>
      <c r="AF53" s="2408" t="n"/>
      <c r="AG53" s="2408" t="n"/>
      <c r="AH53" s="2408" t="n"/>
    </row>
    <row r="54" ht="13" customFormat="1" customHeight="1" s="432">
      <c r="D54" s="2425" t="n"/>
      <c r="E54" s="2421" t="inlineStr">
        <is>
          <t>Low</t>
        </is>
      </c>
      <c r="F54" s="2421" t="n"/>
      <c r="G54" s="2421" t="n"/>
      <c r="H54" s="2421" t="n"/>
      <c r="I54" s="2421" t="n"/>
      <c r="J54" s="2421" t="n"/>
      <c r="K54" s="2421" t="n"/>
      <c r="L54" s="545" t="n"/>
      <c r="M54" s="545" t="n"/>
      <c r="N54" s="2422">
        <f t="array" ref="N54">IFERROR(MIN(IF($Z$10:$Z$39="No",N10:N39)),"")</f>
        <v/>
      </c>
      <c r="O54" s="2423">
        <f t="array" ref="O54">IFERROR(MIN(IF($Z$10:$Z$39="No",O10:O39)),"")</f>
        <v/>
      </c>
      <c r="P54" s="2423">
        <f t="array" ref="P54">IFERROR(MIN(IF($Z$10:$Z$39="No",P10:P39)),"")</f>
        <v/>
      </c>
      <c r="Q54" s="2423">
        <f t="array" ref="Q54">IFERROR(MIN(IF($Z$10:$Z$39="No",Q10:Q39)),"")</f>
        <v/>
      </c>
      <c r="R54" s="2423">
        <f t="array" ref="R54">IFERROR(MIN(IF($Z$10:$Z$39="No",R10:R39)),"")</f>
        <v/>
      </c>
      <c r="S54" s="2424">
        <f t="array" ref="S54">IFERROR(MIN(IF($Z$10:$Z$39="No",S10:S39)),"")</f>
        <v/>
      </c>
      <c r="T54" s="2424">
        <f t="array" ref="T54">IFERROR(MIN(IF($Z$10:$Z$39="No",T10:T39)),"")</f>
        <v/>
      </c>
      <c r="U54" s="2424">
        <f t="array" ref="U54">IFERROR(MIN(IF($Z$10:$Z$39="No",U10:U39)),"")</f>
        <v/>
      </c>
      <c r="V54" s="2424">
        <f t="array" ref="V54">IFERROR(MIN(IF($Z$10:$Z$39="No",V10:V39)),"")</f>
        <v/>
      </c>
      <c r="W54" s="2424">
        <f t="array" ref="W54">IFERROR(MIN(IF($Z$10:$Z$39="No",W10:W39)),"")</f>
        <v/>
      </c>
      <c r="X54" s="2425" t="n"/>
      <c r="Y54" s="2408" t="n"/>
      <c r="Z54" s="2408" t="n"/>
      <c r="AA54" s="2425" t="n"/>
      <c r="AB54" s="2425" t="n"/>
      <c r="AC54" s="2425" t="n"/>
      <c r="AD54" s="2425" t="n"/>
      <c r="AE54" s="2425" t="n"/>
      <c r="AF54" s="2425" t="n"/>
      <c r="AG54" s="2425" t="n"/>
      <c r="AH54" s="2425" t="n"/>
    </row>
    <row r="55" ht="13" customFormat="1" customHeight="1" s="432">
      <c r="D55" s="2425" t="n"/>
      <c r="E55" s="2425" t="n"/>
      <c r="F55" s="2425" t="n"/>
      <c r="G55" s="2425" t="n"/>
      <c r="H55" s="2425" t="n"/>
      <c r="I55" s="2425" t="n"/>
      <c r="J55" s="2425" t="n"/>
      <c r="K55" s="2425" t="n"/>
      <c r="L55" s="2425" t="n"/>
      <c r="M55" s="2425" t="n"/>
      <c r="N55" s="2425" t="n"/>
      <c r="O55" s="2425" t="n"/>
      <c r="P55" s="2425" t="n"/>
      <c r="Q55" s="2425" t="n"/>
      <c r="R55" s="2425" t="n"/>
      <c r="S55" s="2425" t="n"/>
      <c r="T55" s="2425" t="n"/>
      <c r="U55" s="2425" t="n"/>
      <c r="V55" s="2425" t="n"/>
      <c r="W55" s="2425" t="n"/>
      <c r="X55" s="2425" t="n"/>
      <c r="Y55" s="1033" t="n"/>
      <c r="Z55" s="1033" t="n"/>
      <c r="AA55" s="1033" t="n"/>
      <c r="AB55" s="1033" t="n"/>
      <c r="AC55" s="1033" t="n"/>
      <c r="AD55" s="1033" t="n"/>
      <c r="AE55" s="1033" t="n"/>
      <c r="AF55" s="1033" t="n"/>
      <c r="AG55" s="1033" t="n"/>
      <c r="AH55" s="1033" t="n"/>
      <c r="AI55" s="1033" t="n"/>
      <c r="AJ55" s="1033" t="n"/>
      <c r="AK55" s="1033" t="n"/>
    </row>
    <row r="56" ht="13" customFormat="1" customHeight="1" s="432">
      <c r="D56" s="2425" t="n"/>
      <c r="E56" s="2425" t="n"/>
      <c r="F56" s="2425" t="n"/>
      <c r="G56" s="2425" t="n"/>
      <c r="H56" s="2425" t="n"/>
      <c r="I56" s="2425" t="n"/>
      <c r="J56" s="2425" t="n"/>
      <c r="K56" s="2425" t="n"/>
      <c r="L56" s="2425" t="n"/>
      <c r="M56" s="2425" t="n"/>
      <c r="N56" s="2425" t="n"/>
      <c r="O56" s="2425" t="n"/>
      <c r="P56" s="2425" t="n"/>
      <c r="Q56" s="2425" t="n"/>
      <c r="R56" s="2425" t="n"/>
      <c r="S56" s="2425" t="n"/>
      <c r="T56" s="2425" t="n"/>
      <c r="U56" s="2425" t="n"/>
      <c r="V56" s="2425" t="n"/>
      <c r="W56" s="2425" t="n"/>
      <c r="X56" s="2425" t="n"/>
      <c r="Y56" s="1033" t="n"/>
      <c r="Z56" s="1033" t="n"/>
      <c r="AA56" s="1033" t="n"/>
      <c r="AB56" s="1033" t="n"/>
      <c r="AC56" s="1033" t="n"/>
      <c r="AD56" s="1033" t="n"/>
      <c r="AE56" s="1033" t="n"/>
      <c r="AF56" s="1033" t="n"/>
      <c r="AG56" s="1033" t="n"/>
      <c r="AH56" s="1033" t="n"/>
      <c r="AI56" s="1033" t="n"/>
      <c r="AJ56" s="1033" t="n"/>
      <c r="AK56" s="1033" t="n"/>
    </row>
    <row r="57">
      <c r="B57" s="259" t="n"/>
      <c r="C57" s="259" t="n"/>
      <c r="D57" s="830" t="inlineStr">
        <is>
          <t>EBITDA</t>
        </is>
      </c>
      <c r="E57" s="432" t="n"/>
      <c r="F57" s="432" t="n"/>
      <c r="G57" s="432" t="n"/>
      <c r="H57" s="432" t="n"/>
      <c r="I57" s="432" t="n"/>
      <c r="J57" s="432" t="n"/>
      <c r="K57" s="432" t="n"/>
      <c r="L57" s="432" t="n"/>
      <c r="M57" s="432" t="n"/>
      <c r="N57" s="432" t="n"/>
      <c r="O57" s="896" t="n"/>
      <c r="P57" s="896" t="n"/>
      <c r="Q57" s="896" t="n"/>
      <c r="R57" s="896" t="n"/>
      <c r="S57" s="896" t="n"/>
      <c r="T57" s="896" t="n"/>
      <c r="U57" s="896" t="n"/>
      <c r="V57" s="896" t="n"/>
      <c r="W57" s="896" t="n"/>
      <c r="X57" s="259" t="n"/>
      <c r="Y57" s="1033" t="n"/>
      <c r="Z57" s="1033" t="n"/>
      <c r="AA57" s="1033" t="n"/>
      <c r="AB57" s="1033" t="n"/>
      <c r="AC57" s="1033" t="n"/>
      <c r="AD57" s="1033" t="n"/>
      <c r="AE57" s="1033" t="n"/>
      <c r="AF57" s="1033" t="n"/>
      <c r="AG57" s="1033" t="n"/>
      <c r="AH57" s="1033" t="n"/>
      <c r="AI57" s="1033" t="n"/>
      <c r="AJ57" s="1033" t="n"/>
      <c r="AK57" s="1033" t="n"/>
    </row>
    <row r="58" ht="13.25" customHeight="1">
      <c r="D58" s="832" t="n"/>
      <c r="E58" s="2380" t="n"/>
      <c r="F58" s="2380" t="n"/>
      <c r="K58" s="1847" t="inlineStr">
        <is>
          <t>Projected</t>
        </is>
      </c>
      <c r="M58" s="1847" t="n"/>
      <c r="N58" s="1847" t="inlineStr">
        <is>
          <t>Historical Growth</t>
        </is>
      </c>
      <c r="S58" s="1848" t="inlineStr">
        <is>
          <t>Projected Growth</t>
        </is>
      </c>
      <c r="W58" s="1848" t="n"/>
    </row>
    <row r="59" ht="20.4" customHeight="1" thickBot="1">
      <c r="D59" s="2384" t="inlineStr">
        <is>
          <t>Company Name</t>
        </is>
      </c>
      <c r="E59" s="2386" t="inlineStr">
        <is>
          <t>Last FYE</t>
        </is>
      </c>
      <c r="F59" s="2386" t="inlineStr">
        <is>
          <t>FYE-3</t>
        </is>
      </c>
      <c r="G59" s="2386" t="inlineStr">
        <is>
          <t>FYE-2</t>
        </is>
      </c>
      <c r="H59" s="2386" t="inlineStr">
        <is>
          <t>FYE-1</t>
        </is>
      </c>
      <c r="I59" s="2386" t="inlineStr">
        <is>
          <t>FYE</t>
        </is>
      </c>
      <c r="J59" s="1847" t="inlineStr">
        <is>
          <t>TTM</t>
        </is>
      </c>
      <c r="K59" s="1847" t="inlineStr">
        <is>
          <t>FYE + 1</t>
        </is>
      </c>
      <c r="L59" s="1847" t="inlineStr">
        <is>
          <t>FYE + 2</t>
        </is>
      </c>
      <c r="M59" s="1847" t="inlineStr">
        <is>
          <t>FYE + 3</t>
        </is>
      </c>
      <c r="N59" s="1847" t="inlineStr">
        <is>
          <t>FYE - 3</t>
        </is>
      </c>
      <c r="O59" s="1847" t="inlineStr">
        <is>
          <t>FYE -2</t>
        </is>
      </c>
      <c r="P59" s="1847" t="inlineStr">
        <is>
          <t>FYE -1</t>
        </is>
      </c>
      <c r="Q59" s="1847" t="inlineStr">
        <is>
          <t>FYE</t>
        </is>
      </c>
      <c r="R59" s="1847" t="inlineStr">
        <is>
          <t>3 Year CAGR</t>
        </is>
      </c>
      <c r="S59" s="1847" t="inlineStr">
        <is>
          <t>FYE + 1</t>
        </is>
      </c>
      <c r="T59" s="1847" t="inlineStr">
        <is>
          <t>FYE + 2</t>
        </is>
      </c>
      <c r="U59" s="1847" t="inlineStr">
        <is>
          <t>FYE + 3</t>
        </is>
      </c>
      <c r="V59" s="1847" t="inlineStr">
        <is>
          <t>2 Year CAGR</t>
        </is>
      </c>
      <c r="W59" s="1847" t="inlineStr">
        <is>
          <t>3 Year CAGR</t>
        </is>
      </c>
      <c r="Z59" s="516" t="inlineStr">
        <is>
          <t>Exclude as outlier?</t>
        </is>
      </c>
    </row>
    <row r="60" ht="12" customHeight="1" thickBot="1">
      <c r="C60" s="436" t="n">
        <v>1</v>
      </c>
      <c r="D60" s="2426">
        <f>'GPC Data'!E124</f>
        <v/>
      </c>
      <c r="E60" s="2427">
        <f>'GPC Data'!P22</f>
        <v/>
      </c>
      <c r="F60" s="2390">
        <f>'GPC Data'!N124</f>
        <v/>
      </c>
      <c r="G60" s="2390">
        <f>'GPC Data'!O124</f>
        <v/>
      </c>
      <c r="H60" s="2390">
        <f>'GPC Data'!P124</f>
        <v/>
      </c>
      <c r="I60" s="2390">
        <f>'GPC Data'!Q124</f>
        <v/>
      </c>
      <c r="J60" s="2390">
        <f>'GPC Data'!R124</f>
        <v/>
      </c>
      <c r="K60" s="2391">
        <f>'GPC Data'!S124</f>
        <v/>
      </c>
      <c r="L60" s="2391">
        <f>'GPC Data'!T124</f>
        <v/>
      </c>
      <c r="M60" s="2391">
        <f>'GPC Data'!U124</f>
        <v/>
      </c>
      <c r="N60" s="2392">
        <f>IFERROR(F60/#REF!-1,"")</f>
        <v/>
      </c>
      <c r="O60" s="2393">
        <f>G60/F60-1</f>
        <v/>
      </c>
      <c r="P60" s="2393">
        <f>H60/G60-1</f>
        <v/>
      </c>
      <c r="Q60" s="2393">
        <f>I60/H60-1</f>
        <v/>
      </c>
      <c r="R60" s="2428">
        <f>(I60/F60)^(1/3)-1</f>
        <v/>
      </c>
      <c r="S60" s="2395">
        <f>K60/I60-1</f>
        <v/>
      </c>
      <c r="T60" s="2395">
        <f>L60/J60-1</f>
        <v/>
      </c>
      <c r="U60" s="2395">
        <f>M60/K60-1</f>
        <v/>
      </c>
      <c r="V60" s="2395">
        <f>(U60/S60)^(1/2)-1</f>
        <v/>
      </c>
      <c r="W60" s="2395">
        <f>(U60/I60)^(1/3)-1</f>
        <v/>
      </c>
      <c r="Z60" s="443" t="inlineStr">
        <is>
          <t>No</t>
        </is>
      </c>
    </row>
    <row r="61" ht="12" customHeight="1" thickBot="1">
      <c r="C61" s="436" t="n">
        <v>2</v>
      </c>
      <c r="D61" s="2398">
        <f>'GPC Data'!E125</f>
        <v/>
      </c>
      <c r="E61" s="2429">
        <f>'GPC Data'!P23</f>
        <v/>
      </c>
      <c r="F61" s="2400">
        <f>'GPC Data'!N125</f>
        <v/>
      </c>
      <c r="G61" s="2400">
        <f>'GPC Data'!O125</f>
        <v/>
      </c>
      <c r="H61" s="2400">
        <f>'GPC Data'!P125</f>
        <v/>
      </c>
      <c r="I61" s="2400">
        <f>'GPC Data'!Q125</f>
        <v/>
      </c>
      <c r="J61" s="2400">
        <f>'GPC Data'!R125</f>
        <v/>
      </c>
      <c r="K61" s="2401">
        <f>'GPC Data'!S125</f>
        <v/>
      </c>
      <c r="L61" s="2401">
        <f>'GPC Data'!T125</f>
        <v/>
      </c>
      <c r="M61" s="2401">
        <f>'GPC Data'!U125</f>
        <v/>
      </c>
      <c r="N61" s="2402">
        <f>IFERROR(F61/#REF!-1,"")</f>
        <v/>
      </c>
      <c r="O61" s="2383">
        <f>G61/F61-1</f>
        <v/>
      </c>
      <c r="P61" s="2383">
        <f>H61/G61-1</f>
        <v/>
      </c>
      <c r="Q61" s="2383">
        <f>I61/H61-1</f>
        <v/>
      </c>
      <c r="R61" s="2430">
        <f>(I61/F61)^(1/3)-1</f>
        <v/>
      </c>
      <c r="S61" s="2404">
        <f>K61/I61-1</f>
        <v/>
      </c>
      <c r="T61" s="2404">
        <f>L61/J61-1</f>
        <v/>
      </c>
      <c r="U61" s="2404">
        <f>M61/K61-1</f>
        <v/>
      </c>
      <c r="V61" s="2404">
        <f>(U61/S61)^(1/2)-1</f>
        <v/>
      </c>
      <c r="W61" s="2404">
        <f>(U61/I61)^(1/3)-1</f>
        <v/>
      </c>
      <c r="Z61" s="443" t="inlineStr">
        <is>
          <t>No</t>
        </is>
      </c>
    </row>
    <row r="62" ht="12" customHeight="1" thickBot="1">
      <c r="C62" s="436" t="n">
        <v>3</v>
      </c>
      <c r="D62" s="2398">
        <f>'GPC Data'!E126</f>
        <v/>
      </c>
      <c r="E62" s="2429">
        <f>'GPC Data'!P24</f>
        <v/>
      </c>
      <c r="F62" s="2400">
        <f>'GPC Data'!N126</f>
        <v/>
      </c>
      <c r="G62" s="2400">
        <f>'GPC Data'!O126</f>
        <v/>
      </c>
      <c r="H62" s="2400">
        <f>'GPC Data'!P126</f>
        <v/>
      </c>
      <c r="I62" s="2400">
        <f>'GPC Data'!Q126</f>
        <v/>
      </c>
      <c r="J62" s="2400">
        <f>'GPC Data'!R126</f>
        <v/>
      </c>
      <c r="K62" s="2401">
        <f>'GPC Data'!S126</f>
        <v/>
      </c>
      <c r="L62" s="2401">
        <f>'GPC Data'!T126</f>
        <v/>
      </c>
      <c r="M62" s="2401">
        <f>'GPC Data'!U126</f>
        <v/>
      </c>
      <c r="N62" s="2402">
        <f>IFERROR(F62/#REF!-1,"")</f>
        <v/>
      </c>
      <c r="O62" s="2383">
        <f>G62/F62-1</f>
        <v/>
      </c>
      <c r="P62" s="2383">
        <f>H62/G62-1</f>
        <v/>
      </c>
      <c r="Q62" s="2383">
        <f>I62/H62-1</f>
        <v/>
      </c>
      <c r="R62" s="2430">
        <f>(I62/F62)^(1/3)-1</f>
        <v/>
      </c>
      <c r="S62" s="2404">
        <f>K62/I62-1</f>
        <v/>
      </c>
      <c r="T62" s="2404">
        <f>L62/J62-1</f>
        <v/>
      </c>
      <c r="U62" s="2404">
        <f>M62/K62-1</f>
        <v/>
      </c>
      <c r="V62" s="2404">
        <f>(U62/S62)^(1/2)-1</f>
        <v/>
      </c>
      <c r="W62" s="2404">
        <f>(U62/I62)^(1/3)-1</f>
        <v/>
      </c>
      <c r="Z62" s="443" t="inlineStr">
        <is>
          <t>No</t>
        </is>
      </c>
    </row>
    <row r="63" ht="12" customHeight="1" thickBot="1">
      <c r="C63" s="436" t="n">
        <v>4</v>
      </c>
      <c r="D63" s="2398">
        <f>'GPC Data'!E127</f>
        <v/>
      </c>
      <c r="E63" s="2429">
        <f>'GPC Data'!P25</f>
        <v/>
      </c>
      <c r="F63" s="2400">
        <f>'GPC Data'!N127</f>
        <v/>
      </c>
      <c r="G63" s="2400">
        <f>'GPC Data'!O127</f>
        <v/>
      </c>
      <c r="H63" s="2400">
        <f>'GPC Data'!P127</f>
        <v/>
      </c>
      <c r="I63" s="2400">
        <f>'GPC Data'!Q127</f>
        <v/>
      </c>
      <c r="J63" s="2400">
        <f>'GPC Data'!R127</f>
        <v/>
      </c>
      <c r="K63" s="2401">
        <f>'GPC Data'!S127</f>
        <v/>
      </c>
      <c r="L63" s="2401">
        <f>'GPC Data'!T127</f>
        <v/>
      </c>
      <c r="M63" s="2401">
        <f>'GPC Data'!U127</f>
        <v/>
      </c>
      <c r="N63" s="2402">
        <f>IFERROR(F63/#REF!-1,"")</f>
        <v/>
      </c>
      <c r="O63" s="2383">
        <f>G63/F63-1</f>
        <v/>
      </c>
      <c r="P63" s="2383">
        <f>H63/G63-1</f>
        <v/>
      </c>
      <c r="Q63" s="2383">
        <f>I63/H63-1</f>
        <v/>
      </c>
      <c r="R63" s="2430">
        <f>(I63/F63)^(1/3)-1</f>
        <v/>
      </c>
      <c r="S63" s="2404">
        <f>K63/I63-1</f>
        <v/>
      </c>
      <c r="T63" s="2404">
        <f>L63/J63-1</f>
        <v/>
      </c>
      <c r="U63" s="2404">
        <f>M63/K63-1</f>
        <v/>
      </c>
      <c r="V63" s="2404">
        <f>(U63/S63)^(1/2)-1</f>
        <v/>
      </c>
      <c r="W63" s="2404">
        <f>(U63/I63)^(1/3)-1</f>
        <v/>
      </c>
      <c r="Z63" s="443" t="inlineStr">
        <is>
          <t>No</t>
        </is>
      </c>
    </row>
    <row r="64" ht="12" customHeight="1" thickBot="1">
      <c r="C64" s="436" t="n">
        <v>5</v>
      </c>
      <c r="D64" s="2398">
        <f>'GPC Data'!E128</f>
        <v/>
      </c>
      <c r="E64" s="2429">
        <f>'GPC Data'!P26</f>
        <v/>
      </c>
      <c r="F64" s="2400">
        <f>'GPC Data'!N128</f>
        <v/>
      </c>
      <c r="G64" s="2400">
        <f>'GPC Data'!O128</f>
        <v/>
      </c>
      <c r="H64" s="2400">
        <f>'GPC Data'!P128</f>
        <v/>
      </c>
      <c r="I64" s="2400">
        <f>'GPC Data'!Q128</f>
        <v/>
      </c>
      <c r="J64" s="2400">
        <f>'GPC Data'!R128</f>
        <v/>
      </c>
      <c r="K64" s="2401">
        <f>'GPC Data'!S128</f>
        <v/>
      </c>
      <c r="L64" s="2401">
        <f>'GPC Data'!T128</f>
        <v/>
      </c>
      <c r="M64" s="2401">
        <f>'GPC Data'!U128</f>
        <v/>
      </c>
      <c r="N64" s="2402">
        <f>IFERROR(F64/#REF!-1,"")</f>
        <v/>
      </c>
      <c r="O64" s="2383">
        <f>G64/F64-1</f>
        <v/>
      </c>
      <c r="P64" s="2383">
        <f>H64/G64-1</f>
        <v/>
      </c>
      <c r="Q64" s="2383">
        <f>I64/H64-1</f>
        <v/>
      </c>
      <c r="R64" s="2430">
        <f>(I64/F64)^(1/3)-1</f>
        <v/>
      </c>
      <c r="S64" s="2404">
        <f>K64/I64-1</f>
        <v/>
      </c>
      <c r="T64" s="2404">
        <f>L64/J64-1</f>
        <v/>
      </c>
      <c r="U64" s="2404">
        <f>M64/K64-1</f>
        <v/>
      </c>
      <c r="V64" s="2404">
        <f>(U64/S64)^(1/2)-1</f>
        <v/>
      </c>
      <c r="W64" s="2404">
        <f>(U64/I64)^(1/3)-1</f>
        <v/>
      </c>
      <c r="Z64" s="443" t="inlineStr">
        <is>
          <t>No</t>
        </is>
      </c>
    </row>
    <row r="65" ht="12" customHeight="1" thickBot="1">
      <c r="C65" s="436" t="n">
        <v>6</v>
      </c>
      <c r="D65" s="2398">
        <f>'GPC Data'!E129</f>
        <v/>
      </c>
      <c r="E65" s="2429">
        <f>'GPC Data'!P27</f>
        <v/>
      </c>
      <c r="F65" s="2400">
        <f>'GPC Data'!N129</f>
        <v/>
      </c>
      <c r="G65" s="2400">
        <f>'GPC Data'!O129</f>
        <v/>
      </c>
      <c r="H65" s="2400">
        <f>'GPC Data'!P129</f>
        <v/>
      </c>
      <c r="I65" s="2400">
        <f>'GPC Data'!Q129</f>
        <v/>
      </c>
      <c r="J65" s="2400">
        <f>'GPC Data'!R129</f>
        <v/>
      </c>
      <c r="K65" s="2401">
        <f>'GPC Data'!S129</f>
        <v/>
      </c>
      <c r="L65" s="2401">
        <f>'GPC Data'!T129</f>
        <v/>
      </c>
      <c r="M65" s="2401">
        <f>'GPC Data'!U129</f>
        <v/>
      </c>
      <c r="N65" s="2402">
        <f>IFERROR(F65/#REF!-1,"")</f>
        <v/>
      </c>
      <c r="O65" s="2383">
        <f>G65/F65-1</f>
        <v/>
      </c>
      <c r="P65" s="2383">
        <f>H65/G65-1</f>
        <v/>
      </c>
      <c r="Q65" s="2383">
        <f>I65/H65-1</f>
        <v/>
      </c>
      <c r="R65" s="2430">
        <f>(I65/F65)^(1/3)-1</f>
        <v/>
      </c>
      <c r="S65" s="2404">
        <f>K65/I65-1</f>
        <v/>
      </c>
      <c r="T65" s="2404">
        <f>L65/J65-1</f>
        <v/>
      </c>
      <c r="U65" s="2404">
        <f>M65/K65-1</f>
        <v/>
      </c>
      <c r="V65" s="2404">
        <f>(U65/S65)^(1/2)-1</f>
        <v/>
      </c>
      <c r="W65" s="2404">
        <f>(U65/I65)^(1/3)-1</f>
        <v/>
      </c>
      <c r="Z65" s="443" t="inlineStr">
        <is>
          <t>No</t>
        </is>
      </c>
    </row>
    <row r="66" ht="12" customHeight="1" thickBot="1">
      <c r="C66" s="436" t="n">
        <v>7</v>
      </c>
      <c r="D66" s="2398">
        <f>'GPC Data'!E130</f>
        <v/>
      </c>
      <c r="E66" s="2429">
        <f>'GPC Data'!P28</f>
        <v/>
      </c>
      <c r="F66" s="2400">
        <f>'GPC Data'!N130</f>
        <v/>
      </c>
      <c r="G66" s="2400">
        <f>'GPC Data'!O130</f>
        <v/>
      </c>
      <c r="H66" s="2400">
        <f>'GPC Data'!P130</f>
        <v/>
      </c>
      <c r="I66" s="2400">
        <f>'GPC Data'!Q130</f>
        <v/>
      </c>
      <c r="J66" s="2400">
        <f>'GPC Data'!R130</f>
        <v/>
      </c>
      <c r="K66" s="2401">
        <f>'GPC Data'!S130</f>
        <v/>
      </c>
      <c r="L66" s="2401">
        <f>'GPC Data'!T130</f>
        <v/>
      </c>
      <c r="M66" s="2401">
        <f>'GPC Data'!U130</f>
        <v/>
      </c>
      <c r="N66" s="2402">
        <f>IFERROR(F66/#REF!-1,"")</f>
        <v/>
      </c>
      <c r="O66" s="2383">
        <f>G66/F66-1</f>
        <v/>
      </c>
      <c r="P66" s="2383">
        <f>H66/G66-1</f>
        <v/>
      </c>
      <c r="Q66" s="2383">
        <f>I66/H66-1</f>
        <v/>
      </c>
      <c r="R66" s="2430">
        <f>(I66/F66)^(1/3)-1</f>
        <v/>
      </c>
      <c r="S66" s="2404">
        <f>K66/I66-1</f>
        <v/>
      </c>
      <c r="T66" s="2404">
        <f>L66/J66-1</f>
        <v/>
      </c>
      <c r="U66" s="2404">
        <f>M66/K66-1</f>
        <v/>
      </c>
      <c r="V66" s="2404">
        <f>(U66/S66)^(1/2)-1</f>
        <v/>
      </c>
      <c r="W66" s="2404">
        <f>(U66/I66)^(1/3)-1</f>
        <v/>
      </c>
      <c r="Z66" s="443" t="inlineStr">
        <is>
          <t>No</t>
        </is>
      </c>
    </row>
    <row r="67" ht="12" customHeight="1" thickBot="1">
      <c r="C67" s="436" t="n">
        <v>8</v>
      </c>
      <c r="D67" s="2398">
        <f>'GPC Data'!E131</f>
        <v/>
      </c>
      <c r="E67" s="2429">
        <f>'GPC Data'!P29</f>
        <v/>
      </c>
      <c r="F67" s="2400">
        <f>'GPC Data'!N131</f>
        <v/>
      </c>
      <c r="G67" s="2400">
        <f>'GPC Data'!O131</f>
        <v/>
      </c>
      <c r="H67" s="2400">
        <f>'GPC Data'!P131</f>
        <v/>
      </c>
      <c r="I67" s="2400">
        <f>'GPC Data'!Q131</f>
        <v/>
      </c>
      <c r="J67" s="2400">
        <f>'GPC Data'!R131</f>
        <v/>
      </c>
      <c r="K67" s="2401">
        <f>'GPC Data'!S131</f>
        <v/>
      </c>
      <c r="L67" s="2401">
        <f>'GPC Data'!T131</f>
        <v/>
      </c>
      <c r="M67" s="2401">
        <f>'GPC Data'!U131</f>
        <v/>
      </c>
      <c r="N67" s="2402">
        <f>IFERROR(F67/#REF!-1,"")</f>
        <v/>
      </c>
      <c r="O67" s="2383">
        <f>G67/F67-1</f>
        <v/>
      </c>
      <c r="P67" s="2383">
        <f>H67/G67-1</f>
        <v/>
      </c>
      <c r="Q67" s="2383">
        <f>I67/H67-1</f>
        <v/>
      </c>
      <c r="R67" s="2430">
        <f>(I67/F67)^(1/3)-1</f>
        <v/>
      </c>
      <c r="S67" s="2404">
        <f>K67/I67-1</f>
        <v/>
      </c>
      <c r="T67" s="2404">
        <f>L67/J67-1</f>
        <v/>
      </c>
      <c r="U67" s="2404">
        <f>M67/K67-1</f>
        <v/>
      </c>
      <c r="V67" s="2404">
        <f>(U67/S67)^(1/2)-1</f>
        <v/>
      </c>
      <c r="W67" s="2404">
        <f>(U67/I67)^(1/3)-1</f>
        <v/>
      </c>
      <c r="Z67" s="443" t="inlineStr">
        <is>
          <t>No</t>
        </is>
      </c>
    </row>
    <row r="68" ht="12" customHeight="1" thickBot="1">
      <c r="C68" s="436" t="n">
        <v>9</v>
      </c>
      <c r="D68" s="2398">
        <f>'GPC Data'!E132</f>
        <v/>
      </c>
      <c r="E68" s="2429">
        <f>'GPC Data'!P30</f>
        <v/>
      </c>
      <c r="F68" s="2400">
        <f>'GPC Data'!N132</f>
        <v/>
      </c>
      <c r="G68" s="2400">
        <f>'GPC Data'!O132</f>
        <v/>
      </c>
      <c r="H68" s="2400">
        <f>'GPC Data'!P132</f>
        <v/>
      </c>
      <c r="I68" s="2400">
        <f>'GPC Data'!Q132</f>
        <v/>
      </c>
      <c r="J68" s="2400">
        <f>'GPC Data'!R132</f>
        <v/>
      </c>
      <c r="K68" s="2401">
        <f>'GPC Data'!S132</f>
        <v/>
      </c>
      <c r="L68" s="2401">
        <f>'GPC Data'!T132</f>
        <v/>
      </c>
      <c r="M68" s="2401">
        <f>'GPC Data'!U132</f>
        <v/>
      </c>
      <c r="N68" s="2402">
        <f>IFERROR(F68/#REF!-1,"")</f>
        <v/>
      </c>
      <c r="O68" s="2383">
        <f>G68/F68-1</f>
        <v/>
      </c>
      <c r="P68" s="2383">
        <f>H68/G68-1</f>
        <v/>
      </c>
      <c r="Q68" s="2383">
        <f>I68/H68-1</f>
        <v/>
      </c>
      <c r="R68" s="2430">
        <f>(I68/F68)^(1/3)-1</f>
        <v/>
      </c>
      <c r="S68" s="2404">
        <f>K68/I68-1</f>
        <v/>
      </c>
      <c r="T68" s="2404">
        <f>L68/J68-1</f>
        <v/>
      </c>
      <c r="U68" s="2404">
        <f>M68/K68-1</f>
        <v/>
      </c>
      <c r="V68" s="2404">
        <f>(U68/S68)^(1/2)-1</f>
        <v/>
      </c>
      <c r="W68" s="2404">
        <f>(U68/I68)^(1/3)-1</f>
        <v/>
      </c>
      <c r="Z68" s="443" t="inlineStr">
        <is>
          <t>No</t>
        </is>
      </c>
    </row>
    <row r="69" ht="12" customHeight="1" thickBot="1">
      <c r="C69" s="436" t="n">
        <v>10</v>
      </c>
      <c r="D69" s="2398">
        <f>'GPC Data'!E133</f>
        <v/>
      </c>
      <c r="E69" s="2429">
        <f>'GPC Data'!P31</f>
        <v/>
      </c>
      <c r="F69" s="2400">
        <f>'GPC Data'!N133</f>
        <v/>
      </c>
      <c r="G69" s="2400">
        <f>'GPC Data'!O133</f>
        <v/>
      </c>
      <c r="H69" s="2400">
        <f>'GPC Data'!P133</f>
        <v/>
      </c>
      <c r="I69" s="2400">
        <f>'GPC Data'!Q133</f>
        <v/>
      </c>
      <c r="J69" s="2400">
        <f>'GPC Data'!R133</f>
        <v/>
      </c>
      <c r="K69" s="2401">
        <f>'GPC Data'!S133</f>
        <v/>
      </c>
      <c r="L69" s="2401">
        <f>'GPC Data'!T133</f>
        <v/>
      </c>
      <c r="M69" s="2401">
        <f>'GPC Data'!U133</f>
        <v/>
      </c>
      <c r="N69" s="2402">
        <f>IFERROR(F69/#REF!-1,"")</f>
        <v/>
      </c>
      <c r="O69" s="2383">
        <f>G69/F69-1</f>
        <v/>
      </c>
      <c r="P69" s="2383">
        <f>H69/G69-1</f>
        <v/>
      </c>
      <c r="Q69" s="2383">
        <f>I69/H69-1</f>
        <v/>
      </c>
      <c r="R69" s="2430">
        <f>(I69/F69)^(1/3)-1</f>
        <v/>
      </c>
      <c r="S69" s="2404">
        <f>K69/I69-1</f>
        <v/>
      </c>
      <c r="T69" s="2404">
        <f>L69/J69-1</f>
        <v/>
      </c>
      <c r="U69" s="2404">
        <f>M69/K69-1</f>
        <v/>
      </c>
      <c r="V69" s="2404">
        <f>(U69/S69)^(1/2)-1</f>
        <v/>
      </c>
      <c r="W69" s="2404">
        <f>(U69/I69)^(1/3)-1</f>
        <v/>
      </c>
      <c r="Z69" s="443" t="inlineStr">
        <is>
          <t>No</t>
        </is>
      </c>
    </row>
    <row r="70" hidden="1" outlineLevel="1" ht="12" customHeight="1" thickBot="1">
      <c r="C70" s="436" t="n"/>
      <c r="D70" s="2398">
        <f>'GPC Data'!E134</f>
        <v/>
      </c>
      <c r="E70" s="2429">
        <f>'GPC Data'!P32</f>
        <v/>
      </c>
      <c r="F70" s="2400">
        <f>'GPC Data'!N134</f>
        <v/>
      </c>
      <c r="G70" s="2400">
        <f>'GPC Data'!O134</f>
        <v/>
      </c>
      <c r="H70" s="2400">
        <f>'GPC Data'!P134</f>
        <v/>
      </c>
      <c r="I70" s="2400">
        <f>'GPC Data'!Q134</f>
        <v/>
      </c>
      <c r="J70" s="2400">
        <f>'GPC Data'!R134</f>
        <v/>
      </c>
      <c r="K70" s="2401">
        <f>'GPC Data'!S134</f>
        <v/>
      </c>
      <c r="L70" s="2401">
        <f>'GPC Data'!T134</f>
        <v/>
      </c>
      <c r="M70" s="2401">
        <f>'GPC Data'!U134</f>
        <v/>
      </c>
      <c r="N70" s="2402">
        <f>IFERROR(F70/#REF!-1,"")</f>
        <v/>
      </c>
      <c r="O70" s="2383">
        <f>G70/F70-1</f>
        <v/>
      </c>
      <c r="P70" s="2383">
        <f>H70/G70-1</f>
        <v/>
      </c>
      <c r="Q70" s="2383">
        <f>I70/H70-1</f>
        <v/>
      </c>
      <c r="R70" s="2430">
        <f>(I70/F70)^(1/3)-1</f>
        <v/>
      </c>
      <c r="S70" s="2404">
        <f>K70/I70-1</f>
        <v/>
      </c>
      <c r="T70" s="2404">
        <f>L70/J70-1</f>
        <v/>
      </c>
      <c r="U70" s="2404">
        <f>M70/K70-1</f>
        <v/>
      </c>
      <c r="V70" s="2404">
        <f>(U70/S70)^(1/2)-1</f>
        <v/>
      </c>
      <c r="W70" s="2404">
        <f>(U70/I70)^(1/3)-1</f>
        <v/>
      </c>
      <c r="Z70" s="443" t="inlineStr">
        <is>
          <t>Yes</t>
        </is>
      </c>
    </row>
    <row r="71" hidden="1" outlineLevel="1" ht="12" customHeight="1" thickBot="1">
      <c r="C71" s="436" t="n"/>
      <c r="D71" s="2398">
        <f>'GPC Data'!E135</f>
        <v/>
      </c>
      <c r="E71" s="2429">
        <f>'GPC Data'!P33</f>
        <v/>
      </c>
      <c r="F71" s="2400">
        <f>'GPC Data'!N135</f>
        <v/>
      </c>
      <c r="G71" s="2400">
        <f>'GPC Data'!O135</f>
        <v/>
      </c>
      <c r="H71" s="2400">
        <f>'GPC Data'!P135</f>
        <v/>
      </c>
      <c r="I71" s="2400">
        <f>'GPC Data'!Q135</f>
        <v/>
      </c>
      <c r="J71" s="2400">
        <f>'GPC Data'!R135</f>
        <v/>
      </c>
      <c r="K71" s="2401">
        <f>'GPC Data'!S135</f>
        <v/>
      </c>
      <c r="L71" s="2401">
        <f>'GPC Data'!T135</f>
        <v/>
      </c>
      <c r="M71" s="2401">
        <f>'GPC Data'!U135</f>
        <v/>
      </c>
      <c r="N71" s="2402">
        <f>IFERROR(F71/#REF!-1,"")</f>
        <v/>
      </c>
      <c r="O71" s="2383">
        <f>G71/F71-1</f>
        <v/>
      </c>
      <c r="P71" s="2383">
        <f>H71/G71-1</f>
        <v/>
      </c>
      <c r="Q71" s="2383">
        <f>I71/H71-1</f>
        <v/>
      </c>
      <c r="R71" s="2430">
        <f>(I71/F71)^(1/3)-1</f>
        <v/>
      </c>
      <c r="S71" s="2404">
        <f>K71/I71-1</f>
        <v/>
      </c>
      <c r="T71" s="2404">
        <f>L71/J71-1</f>
        <v/>
      </c>
      <c r="U71" s="2404">
        <f>M71/K71-1</f>
        <v/>
      </c>
      <c r="V71" s="2404">
        <f>(U71/S71)^(1/2)-1</f>
        <v/>
      </c>
      <c r="W71" s="2404">
        <f>(U71/I71)^(1/3)-1</f>
        <v/>
      </c>
      <c r="Z71" s="443" t="inlineStr">
        <is>
          <t>Yes</t>
        </is>
      </c>
    </row>
    <row r="72" hidden="1" outlineLevel="1" ht="12" customHeight="1" thickBot="1">
      <c r="C72" s="436" t="n"/>
      <c r="D72" s="2398">
        <f>'GPC Data'!E136</f>
        <v/>
      </c>
      <c r="E72" s="2429">
        <f>'GPC Data'!P34</f>
        <v/>
      </c>
      <c r="F72" s="2400">
        <f>'GPC Data'!N136</f>
        <v/>
      </c>
      <c r="G72" s="2400">
        <f>'GPC Data'!O136</f>
        <v/>
      </c>
      <c r="H72" s="2400">
        <f>'GPC Data'!P136</f>
        <v/>
      </c>
      <c r="I72" s="2400">
        <f>'GPC Data'!Q136</f>
        <v/>
      </c>
      <c r="J72" s="2400">
        <f>'GPC Data'!R136</f>
        <v/>
      </c>
      <c r="K72" s="2401">
        <f>'GPC Data'!S136</f>
        <v/>
      </c>
      <c r="L72" s="2401">
        <f>'GPC Data'!T136</f>
        <v/>
      </c>
      <c r="M72" s="2401">
        <f>'GPC Data'!U136</f>
        <v/>
      </c>
      <c r="N72" s="2402">
        <f>IFERROR(F72/#REF!-1,"")</f>
        <v/>
      </c>
      <c r="O72" s="2383">
        <f>G72/F72-1</f>
        <v/>
      </c>
      <c r="P72" s="2383">
        <f>H72/G72-1</f>
        <v/>
      </c>
      <c r="Q72" s="2383">
        <f>I72/H72-1</f>
        <v/>
      </c>
      <c r="R72" s="2430">
        <f>(I72/F72)^(1/3)-1</f>
        <v/>
      </c>
      <c r="S72" s="2404">
        <f>K72/I72-1</f>
        <v/>
      </c>
      <c r="T72" s="2404">
        <f>L72/J72-1</f>
        <v/>
      </c>
      <c r="U72" s="2404">
        <f>M72/K72-1</f>
        <v/>
      </c>
      <c r="V72" s="2404">
        <f>(U72/S72)^(1/2)-1</f>
        <v/>
      </c>
      <c r="W72" s="2404">
        <f>(U72/I72)^(1/3)-1</f>
        <v/>
      </c>
      <c r="Z72" s="443" t="inlineStr">
        <is>
          <t>Yes</t>
        </is>
      </c>
    </row>
    <row r="73" hidden="1" outlineLevel="1" ht="12" customHeight="1" thickBot="1">
      <c r="C73" s="436" t="n"/>
      <c r="D73" s="2398">
        <f>'GPC Data'!E137</f>
        <v/>
      </c>
      <c r="E73" s="2429">
        <f>'GPC Data'!P35</f>
        <v/>
      </c>
      <c r="F73" s="2400">
        <f>'GPC Data'!N137</f>
        <v/>
      </c>
      <c r="G73" s="2400">
        <f>'GPC Data'!O137</f>
        <v/>
      </c>
      <c r="H73" s="2400">
        <f>'GPC Data'!P137</f>
        <v/>
      </c>
      <c r="I73" s="2400">
        <f>'GPC Data'!Q137</f>
        <v/>
      </c>
      <c r="J73" s="2400">
        <f>'GPC Data'!R137</f>
        <v/>
      </c>
      <c r="K73" s="2401">
        <f>'GPC Data'!S137</f>
        <v/>
      </c>
      <c r="L73" s="2401">
        <f>'GPC Data'!T137</f>
        <v/>
      </c>
      <c r="M73" s="2401">
        <f>'GPC Data'!U137</f>
        <v/>
      </c>
      <c r="N73" s="2402">
        <f>IFERROR(F73/#REF!-1,"")</f>
        <v/>
      </c>
      <c r="O73" s="2383">
        <f>G73/F73-1</f>
        <v/>
      </c>
      <c r="P73" s="2383">
        <f>H73/G73-1</f>
        <v/>
      </c>
      <c r="Q73" s="2383">
        <f>I73/H73-1</f>
        <v/>
      </c>
      <c r="R73" s="2430">
        <f>(I73/F73)^(1/3)-1</f>
        <v/>
      </c>
      <c r="S73" s="2404">
        <f>K73/I73-1</f>
        <v/>
      </c>
      <c r="T73" s="2404">
        <f>L73/J73-1</f>
        <v/>
      </c>
      <c r="U73" s="2404">
        <f>M73/K73-1</f>
        <v/>
      </c>
      <c r="V73" s="2404">
        <f>(U73/S73)^(1/2)-1</f>
        <v/>
      </c>
      <c r="W73" s="2404">
        <f>(U73/I73)^(1/3)-1</f>
        <v/>
      </c>
      <c r="Z73" s="443" t="inlineStr">
        <is>
          <t>Yes</t>
        </is>
      </c>
    </row>
    <row r="74" hidden="1" outlineLevel="1" ht="12" customHeight="1" thickBot="1">
      <c r="C74" s="436" t="n"/>
      <c r="D74" s="2398">
        <f>'GPC Data'!E138</f>
        <v/>
      </c>
      <c r="E74" s="2429">
        <f>'GPC Data'!P36</f>
        <v/>
      </c>
      <c r="F74" s="2400">
        <f>'GPC Data'!N138</f>
        <v/>
      </c>
      <c r="G74" s="2400">
        <f>'GPC Data'!O138</f>
        <v/>
      </c>
      <c r="H74" s="2400">
        <f>'GPC Data'!P138</f>
        <v/>
      </c>
      <c r="I74" s="2400">
        <f>'GPC Data'!Q138</f>
        <v/>
      </c>
      <c r="J74" s="2400">
        <f>'GPC Data'!R138</f>
        <v/>
      </c>
      <c r="K74" s="2401">
        <f>'GPC Data'!S138</f>
        <v/>
      </c>
      <c r="L74" s="2401">
        <f>'GPC Data'!T138</f>
        <v/>
      </c>
      <c r="M74" s="2401">
        <f>'GPC Data'!U138</f>
        <v/>
      </c>
      <c r="N74" s="2402">
        <f>IFERROR(F74/#REF!-1,"")</f>
        <v/>
      </c>
      <c r="O74" s="2383">
        <f>G74/F74-1</f>
        <v/>
      </c>
      <c r="P74" s="2383">
        <f>H74/G74-1</f>
        <v/>
      </c>
      <c r="Q74" s="2383">
        <f>I74/H74-1</f>
        <v/>
      </c>
      <c r="R74" s="2430">
        <f>(I74/F74)^(1/3)-1</f>
        <v/>
      </c>
      <c r="S74" s="2404">
        <f>K74/I74-1</f>
        <v/>
      </c>
      <c r="T74" s="2404">
        <f>L74/J74-1</f>
        <v/>
      </c>
      <c r="U74" s="2404">
        <f>M74/K74-1</f>
        <v/>
      </c>
      <c r="V74" s="2404">
        <f>(U74/S74)^(1/2)-1</f>
        <v/>
      </c>
      <c r="W74" s="2404">
        <f>(U74/I74)^(1/3)-1</f>
        <v/>
      </c>
      <c r="Z74" s="443" t="inlineStr">
        <is>
          <t>Yes</t>
        </is>
      </c>
    </row>
    <row r="75" hidden="1" outlineLevel="1" ht="12" customHeight="1" thickBot="1">
      <c r="C75" s="436" t="n"/>
      <c r="D75" s="2398">
        <f>'GPC Data'!E139</f>
        <v/>
      </c>
      <c r="E75" s="2429">
        <f>'GPC Data'!P37</f>
        <v/>
      </c>
      <c r="F75" s="2400">
        <f>'GPC Data'!N139</f>
        <v/>
      </c>
      <c r="G75" s="2400">
        <f>'GPC Data'!O139</f>
        <v/>
      </c>
      <c r="H75" s="2400">
        <f>'GPC Data'!P139</f>
        <v/>
      </c>
      <c r="I75" s="2400">
        <f>'GPC Data'!Q139</f>
        <v/>
      </c>
      <c r="J75" s="2400">
        <f>'GPC Data'!R139</f>
        <v/>
      </c>
      <c r="K75" s="2401">
        <f>'GPC Data'!S139</f>
        <v/>
      </c>
      <c r="L75" s="2401">
        <f>'GPC Data'!T139</f>
        <v/>
      </c>
      <c r="M75" s="2401">
        <f>'GPC Data'!U139</f>
        <v/>
      </c>
      <c r="N75" s="2402">
        <f>IFERROR(F75/#REF!-1,"")</f>
        <v/>
      </c>
      <c r="O75" s="2383">
        <f>G75/F75-1</f>
        <v/>
      </c>
      <c r="P75" s="2383">
        <f>H75/G75-1</f>
        <v/>
      </c>
      <c r="Q75" s="2383">
        <f>I75/H75-1</f>
        <v/>
      </c>
      <c r="R75" s="2430">
        <f>(I75/F75)^(1/3)-1</f>
        <v/>
      </c>
      <c r="S75" s="2404">
        <f>K75/I75-1</f>
        <v/>
      </c>
      <c r="T75" s="2404">
        <f>L75/J75-1</f>
        <v/>
      </c>
      <c r="U75" s="2404">
        <f>M75/K75-1</f>
        <v/>
      </c>
      <c r="V75" s="2404">
        <f>(U75/S75)^(1/2)-1</f>
        <v/>
      </c>
      <c r="W75" s="2404">
        <f>(U75/I75)^(1/3)-1</f>
        <v/>
      </c>
      <c r="Z75" s="443" t="inlineStr">
        <is>
          <t>Yes</t>
        </is>
      </c>
    </row>
    <row r="76" hidden="1" outlineLevel="1" ht="12" customHeight="1" thickBot="1">
      <c r="C76" s="436" t="n"/>
      <c r="D76" s="2398">
        <f>'GPC Data'!E140</f>
        <v/>
      </c>
      <c r="E76" s="2429">
        <f>'GPC Data'!P38</f>
        <v/>
      </c>
      <c r="F76" s="2400">
        <f>'GPC Data'!N140</f>
        <v/>
      </c>
      <c r="G76" s="2400">
        <f>'GPC Data'!O140</f>
        <v/>
      </c>
      <c r="H76" s="2400">
        <f>'GPC Data'!P140</f>
        <v/>
      </c>
      <c r="I76" s="2400">
        <f>'GPC Data'!Q140</f>
        <v/>
      </c>
      <c r="J76" s="2400">
        <f>'GPC Data'!R140</f>
        <v/>
      </c>
      <c r="K76" s="2401">
        <f>'GPC Data'!S140</f>
        <v/>
      </c>
      <c r="L76" s="2401">
        <f>'GPC Data'!T140</f>
        <v/>
      </c>
      <c r="M76" s="2401">
        <f>'GPC Data'!U140</f>
        <v/>
      </c>
      <c r="N76" s="2402">
        <f>IFERROR(F76/#REF!-1,"")</f>
        <v/>
      </c>
      <c r="O76" s="2383">
        <f>G76/F76-1</f>
        <v/>
      </c>
      <c r="P76" s="2383">
        <f>H76/G76-1</f>
        <v/>
      </c>
      <c r="Q76" s="2383">
        <f>I76/H76-1</f>
        <v/>
      </c>
      <c r="R76" s="2430">
        <f>(I76/F76)^(1/3)-1</f>
        <v/>
      </c>
      <c r="S76" s="2404">
        <f>K76/I76-1</f>
        <v/>
      </c>
      <c r="T76" s="2404">
        <f>L76/J76-1</f>
        <v/>
      </c>
      <c r="U76" s="2404">
        <f>M76/K76-1</f>
        <v/>
      </c>
      <c r="V76" s="2404">
        <f>(U76/S76)^(1/2)-1</f>
        <v/>
      </c>
      <c r="W76" s="2404">
        <f>(U76/I76)^(1/3)-1</f>
        <v/>
      </c>
      <c r="Z76" s="443" t="inlineStr">
        <is>
          <t>Yes</t>
        </is>
      </c>
    </row>
    <row r="77" hidden="1" outlineLevel="1" ht="12" customHeight="1" thickBot="1">
      <c r="C77" s="436" t="n"/>
      <c r="D77" s="2398">
        <f>'GPC Data'!E141</f>
        <v/>
      </c>
      <c r="E77" s="2429">
        <f>'GPC Data'!P39</f>
        <v/>
      </c>
      <c r="F77" s="2400">
        <f>'GPC Data'!N141</f>
        <v/>
      </c>
      <c r="G77" s="2400">
        <f>'GPC Data'!O141</f>
        <v/>
      </c>
      <c r="H77" s="2400">
        <f>'GPC Data'!P141</f>
        <v/>
      </c>
      <c r="I77" s="2400">
        <f>'GPC Data'!Q141</f>
        <v/>
      </c>
      <c r="J77" s="2400">
        <f>'GPC Data'!R141</f>
        <v/>
      </c>
      <c r="K77" s="2401">
        <f>'GPC Data'!S141</f>
        <v/>
      </c>
      <c r="L77" s="2401">
        <f>'GPC Data'!T141</f>
        <v/>
      </c>
      <c r="M77" s="2401">
        <f>'GPC Data'!U141</f>
        <v/>
      </c>
      <c r="N77" s="2402">
        <f>IFERROR(F77/#REF!-1,"")</f>
        <v/>
      </c>
      <c r="O77" s="2383">
        <f>G77/F77-1</f>
        <v/>
      </c>
      <c r="P77" s="2383">
        <f>H77/G77-1</f>
        <v/>
      </c>
      <c r="Q77" s="2383">
        <f>I77/H77-1</f>
        <v/>
      </c>
      <c r="R77" s="2430">
        <f>(I77/F77)^(1/3)-1</f>
        <v/>
      </c>
      <c r="S77" s="2404">
        <f>K77/I77-1</f>
        <v/>
      </c>
      <c r="T77" s="2404">
        <f>L77/J77-1</f>
        <v/>
      </c>
      <c r="U77" s="2404">
        <f>M77/K77-1</f>
        <v/>
      </c>
      <c r="V77" s="2404">
        <f>(U77/S77)^(1/2)-1</f>
        <v/>
      </c>
      <c r="W77" s="2404">
        <f>(U77/I77)^(1/3)-1</f>
        <v/>
      </c>
      <c r="Z77" s="443" t="inlineStr">
        <is>
          <t>Yes</t>
        </is>
      </c>
    </row>
    <row r="78" hidden="1" outlineLevel="1" ht="12" customHeight="1" thickBot="1">
      <c r="C78" s="436" t="n"/>
      <c r="D78" s="2398">
        <f>'GPC Data'!E142</f>
        <v/>
      </c>
      <c r="E78" s="2429">
        <f>'GPC Data'!P40</f>
        <v/>
      </c>
      <c r="F78" s="2400">
        <f>'GPC Data'!N142</f>
        <v/>
      </c>
      <c r="G78" s="2400">
        <f>'GPC Data'!O142</f>
        <v/>
      </c>
      <c r="H78" s="2400">
        <f>'GPC Data'!P142</f>
        <v/>
      </c>
      <c r="I78" s="2400">
        <f>'GPC Data'!Q142</f>
        <v/>
      </c>
      <c r="J78" s="2400">
        <f>'GPC Data'!R142</f>
        <v/>
      </c>
      <c r="K78" s="2401">
        <f>'GPC Data'!S142</f>
        <v/>
      </c>
      <c r="L78" s="2401">
        <f>'GPC Data'!T142</f>
        <v/>
      </c>
      <c r="M78" s="2401">
        <f>'GPC Data'!U142</f>
        <v/>
      </c>
      <c r="N78" s="2402">
        <f>IFERROR(F78/#REF!-1,"")</f>
        <v/>
      </c>
      <c r="O78" s="2383">
        <f>G78/F78-1</f>
        <v/>
      </c>
      <c r="P78" s="2383">
        <f>H78/G78-1</f>
        <v/>
      </c>
      <c r="Q78" s="2383">
        <f>I78/H78-1</f>
        <v/>
      </c>
      <c r="R78" s="2430">
        <f>(I78/F78)^(1/3)-1</f>
        <v/>
      </c>
      <c r="S78" s="2404">
        <f>K78/I78-1</f>
        <v/>
      </c>
      <c r="T78" s="2404">
        <f>L78/J78-1</f>
        <v/>
      </c>
      <c r="U78" s="2404">
        <f>M78/K78-1</f>
        <v/>
      </c>
      <c r="V78" s="2404">
        <f>(U78/S78)^(1/2)-1</f>
        <v/>
      </c>
      <c r="W78" s="2404">
        <f>(U78/I78)^(1/3)-1</f>
        <v/>
      </c>
      <c r="Z78" s="443" t="inlineStr">
        <is>
          <t>Yes</t>
        </is>
      </c>
    </row>
    <row r="79" hidden="1" outlineLevel="1" ht="12" customHeight="1" thickBot="1">
      <c r="C79" s="436" t="n"/>
      <c r="D79" s="2398">
        <f>'GPC Data'!E143</f>
        <v/>
      </c>
      <c r="E79" s="2429">
        <f>'GPC Data'!P41</f>
        <v/>
      </c>
      <c r="F79" s="2400">
        <f>'GPC Data'!N143</f>
        <v/>
      </c>
      <c r="G79" s="2400">
        <f>'GPC Data'!O143</f>
        <v/>
      </c>
      <c r="H79" s="2400">
        <f>'GPC Data'!P143</f>
        <v/>
      </c>
      <c r="I79" s="2400">
        <f>'GPC Data'!Q143</f>
        <v/>
      </c>
      <c r="J79" s="2400">
        <f>'GPC Data'!R143</f>
        <v/>
      </c>
      <c r="K79" s="2401">
        <f>'GPC Data'!S143</f>
        <v/>
      </c>
      <c r="L79" s="2401">
        <f>'GPC Data'!T143</f>
        <v/>
      </c>
      <c r="M79" s="2401">
        <f>'GPC Data'!U143</f>
        <v/>
      </c>
      <c r="N79" s="2402">
        <f>IFERROR(F79/#REF!-1,"")</f>
        <v/>
      </c>
      <c r="O79" s="2383">
        <f>G79/F79-1</f>
        <v/>
      </c>
      <c r="P79" s="2383">
        <f>H79/G79-1</f>
        <v/>
      </c>
      <c r="Q79" s="2383">
        <f>I79/H79-1</f>
        <v/>
      </c>
      <c r="R79" s="2430">
        <f>(I79/F79)^(1/3)-1</f>
        <v/>
      </c>
      <c r="S79" s="2404">
        <f>K79/I79-1</f>
        <v/>
      </c>
      <c r="T79" s="2404">
        <f>L79/J79-1</f>
        <v/>
      </c>
      <c r="U79" s="2404">
        <f>M79/K79-1</f>
        <v/>
      </c>
      <c r="V79" s="2404">
        <f>(U79/S79)^(1/2)-1</f>
        <v/>
      </c>
      <c r="W79" s="2404">
        <f>(U79/I79)^(1/3)-1</f>
        <v/>
      </c>
      <c r="Z79" s="443" t="inlineStr">
        <is>
          <t>Yes</t>
        </is>
      </c>
    </row>
    <row r="80" hidden="1" outlineLevel="1" ht="12" customHeight="1" thickBot="1">
      <c r="C80" s="436" t="n"/>
      <c r="D80" s="2398">
        <f>'GPC Data'!E144</f>
        <v/>
      </c>
      <c r="E80" s="2429">
        <f>'GPC Data'!P42</f>
        <v/>
      </c>
      <c r="F80" s="2400">
        <f>'GPC Data'!N144</f>
        <v/>
      </c>
      <c r="G80" s="2400">
        <f>'GPC Data'!O144</f>
        <v/>
      </c>
      <c r="H80" s="2400">
        <f>'GPC Data'!P144</f>
        <v/>
      </c>
      <c r="I80" s="2400">
        <f>'GPC Data'!Q144</f>
        <v/>
      </c>
      <c r="J80" s="2400">
        <f>'GPC Data'!R144</f>
        <v/>
      </c>
      <c r="K80" s="2401">
        <f>'GPC Data'!S144</f>
        <v/>
      </c>
      <c r="L80" s="2401">
        <f>'GPC Data'!T144</f>
        <v/>
      </c>
      <c r="M80" s="2401">
        <f>'GPC Data'!U144</f>
        <v/>
      </c>
      <c r="N80" s="2402">
        <f>IFERROR(F80/#REF!-1,"")</f>
        <v/>
      </c>
      <c r="O80" s="2383">
        <f>G80/F80-1</f>
        <v/>
      </c>
      <c r="P80" s="2383">
        <f>H80/G80-1</f>
        <v/>
      </c>
      <c r="Q80" s="2383">
        <f>I80/H80-1</f>
        <v/>
      </c>
      <c r="R80" s="2430">
        <f>(I80/F80)^(1/3)-1</f>
        <v/>
      </c>
      <c r="S80" s="2404">
        <f>K80/I80-1</f>
        <v/>
      </c>
      <c r="T80" s="2404">
        <f>L80/J80-1</f>
        <v/>
      </c>
      <c r="U80" s="2404">
        <f>M80/K80-1</f>
        <v/>
      </c>
      <c r="V80" s="2404">
        <f>(U80/S80)^(1/2)-1</f>
        <v/>
      </c>
      <c r="W80" s="2404">
        <f>(U80/I80)^(1/3)-1</f>
        <v/>
      </c>
      <c r="Z80" s="443" t="inlineStr">
        <is>
          <t>Yes</t>
        </is>
      </c>
    </row>
    <row r="81" hidden="1" outlineLevel="1" ht="12" customHeight="1" thickBot="1">
      <c r="C81" s="436" t="n"/>
      <c r="D81" s="2398">
        <f>'GPC Data'!E145</f>
        <v/>
      </c>
      <c r="E81" s="2429">
        <f>'GPC Data'!P43</f>
        <v/>
      </c>
      <c r="F81" s="2400">
        <f>'GPC Data'!N145</f>
        <v/>
      </c>
      <c r="G81" s="2400">
        <f>'GPC Data'!O145</f>
        <v/>
      </c>
      <c r="H81" s="2400">
        <f>'GPC Data'!P145</f>
        <v/>
      </c>
      <c r="I81" s="2400">
        <f>'GPC Data'!Q145</f>
        <v/>
      </c>
      <c r="J81" s="2400">
        <f>'GPC Data'!R145</f>
        <v/>
      </c>
      <c r="K81" s="2401">
        <f>'GPC Data'!S145</f>
        <v/>
      </c>
      <c r="L81" s="2401">
        <f>'GPC Data'!T145</f>
        <v/>
      </c>
      <c r="M81" s="2401">
        <f>'GPC Data'!U145</f>
        <v/>
      </c>
      <c r="N81" s="2402">
        <f>IFERROR(F81/#REF!-1,"")</f>
        <v/>
      </c>
      <c r="O81" s="2383">
        <f>G81/F81-1</f>
        <v/>
      </c>
      <c r="P81" s="2383">
        <f>H81/G81-1</f>
        <v/>
      </c>
      <c r="Q81" s="2383">
        <f>I81/H81-1</f>
        <v/>
      </c>
      <c r="R81" s="2430">
        <f>(I81/F81)^(1/3)-1</f>
        <v/>
      </c>
      <c r="S81" s="2404">
        <f>K81/I81-1</f>
        <v/>
      </c>
      <c r="T81" s="2404">
        <f>L81/J81-1</f>
        <v/>
      </c>
      <c r="U81" s="2404">
        <f>M81/K81-1</f>
        <v/>
      </c>
      <c r="V81" s="2404">
        <f>(U81/S81)^(1/2)-1</f>
        <v/>
      </c>
      <c r="W81" s="2404">
        <f>(U81/I81)^(1/3)-1</f>
        <v/>
      </c>
      <c r="Z81" s="443" t="inlineStr">
        <is>
          <t>Yes</t>
        </is>
      </c>
    </row>
    <row r="82" collapsed="1">
      <c r="D82" s="2409">
        <f>"As of "&amp;TEXT(valuation.date,"d mmmm yyy")&amp;"."&amp;" Historical and forecast consensus financial statements for the selected guideline public companies provided by EIKON."</f>
        <v/>
      </c>
      <c r="E82" s="2407" t="n"/>
      <c r="F82" s="2407" t="n"/>
      <c r="G82" s="2407" t="n"/>
      <c r="H82" s="2407" t="n"/>
      <c r="I82" s="2407" t="n"/>
      <c r="J82" s="2407" t="n"/>
      <c r="K82" s="2407" t="n"/>
      <c r="L82" s="2407" t="n"/>
      <c r="M82" s="2407" t="n"/>
      <c r="N82" s="2407" t="n"/>
      <c r="O82" s="2407" t="n"/>
      <c r="P82" s="2407" t="n"/>
      <c r="Q82" s="2407" t="n"/>
      <c r="R82" s="2407" t="n"/>
      <c r="S82" s="2407" t="n"/>
      <c r="T82" s="2407" t="n"/>
      <c r="U82" s="2407" t="n"/>
      <c r="V82" s="2407" t="n"/>
      <c r="W82" s="2407" t="n"/>
    </row>
    <row r="83">
      <c r="D83" s="2409" t="n"/>
      <c r="E83" s="2407" t="n"/>
      <c r="F83" s="2407" t="n"/>
      <c r="G83" s="2407" t="n"/>
      <c r="H83" s="2407" t="n"/>
      <c r="I83" s="2407" t="n"/>
      <c r="J83" s="2407" t="n"/>
      <c r="K83" s="2407" t="n"/>
      <c r="L83" s="2407" t="n"/>
      <c r="M83" s="2407" t="n"/>
      <c r="N83" s="2407" t="n"/>
      <c r="O83" s="2407" t="n"/>
      <c r="P83" s="2407" t="n"/>
      <c r="Q83" s="2407" t="n"/>
      <c r="R83" s="2407" t="n"/>
      <c r="S83" s="2407" t="n"/>
      <c r="T83" s="2407" t="n"/>
      <c r="U83" s="2407" t="n"/>
      <c r="V83" s="2407" t="n"/>
      <c r="W83" s="2407" t="n"/>
    </row>
    <row r="84">
      <c r="D84" s="2408" t="n"/>
      <c r="E84" s="2410" t="inlineStr">
        <is>
          <t>High</t>
        </is>
      </c>
      <c r="F84" s="2410" t="n"/>
      <c r="G84" s="2410" t="n"/>
      <c r="H84" s="2410" t="n"/>
      <c r="I84" s="2410" t="n"/>
      <c r="J84" s="2410" t="n"/>
      <c r="K84" s="2410" t="n"/>
      <c r="L84" s="762" t="n"/>
      <c r="M84" s="762" t="n"/>
      <c r="N84" s="2411">
        <f>MAX(N60:N81)</f>
        <v/>
      </c>
      <c r="O84" s="2412">
        <f>MAX(O60:O81)</f>
        <v/>
      </c>
      <c r="P84" s="2412">
        <f>MAX(P60:P81)</f>
        <v/>
      </c>
      <c r="Q84" s="2412">
        <f>MAX(Q60:Q81)</f>
        <v/>
      </c>
      <c r="R84" s="2412">
        <f>MAX(R60:R81)</f>
        <v/>
      </c>
      <c r="S84" s="2413">
        <f>MAX(S60:S81)</f>
        <v/>
      </c>
      <c r="T84" s="2413">
        <f>MAX(T60:T81)</f>
        <v/>
      </c>
      <c r="U84" s="2413">
        <f>MAX(U60:U81)</f>
        <v/>
      </c>
      <c r="V84" s="2413">
        <f>MAX(V60:V81)</f>
        <v/>
      </c>
      <c r="W84" s="2413">
        <f>MAX(W60:W81)</f>
        <v/>
      </c>
    </row>
    <row r="85">
      <c r="D85" s="2408" t="n"/>
      <c r="E85" s="2408" t="inlineStr">
        <is>
          <t>75th Percentile</t>
        </is>
      </c>
      <c r="F85" s="2408" t="n"/>
      <c r="G85" s="2408" t="n"/>
      <c r="H85" s="2408" t="n"/>
      <c r="I85" s="2408" t="n"/>
      <c r="J85" s="2408" t="n"/>
      <c r="K85" s="2408" t="n"/>
      <c r="L85" s="259" t="n"/>
      <c r="M85" s="259" t="n"/>
      <c r="N85" s="2414">
        <f>PERCENTILE(N60:N81,0.75)</f>
        <v/>
      </c>
      <c r="O85" s="2330">
        <f>PERCENTILE(O60:O81,0.75)</f>
        <v/>
      </c>
      <c r="P85" s="2330">
        <f>PERCENTILE(P60:P81,0.75)</f>
        <v/>
      </c>
      <c r="Q85" s="2330">
        <f>PERCENTILE(Q60:Q81,0.75)</f>
        <v/>
      </c>
      <c r="R85" s="2330">
        <f>PERCENTILE(R60:R81,0.75)</f>
        <v/>
      </c>
      <c r="S85" s="2415">
        <f>PERCENTILE(S60:S81,0.75)</f>
        <v/>
      </c>
      <c r="T85" s="2415">
        <f>PERCENTILE(T60:T81,0.75)</f>
        <v/>
      </c>
      <c r="U85" s="2415">
        <f>PERCENTILE(U60:U81,0.75)</f>
        <v/>
      </c>
      <c r="V85" s="2415">
        <f>PERCENTILE(V60:V81,0.75)</f>
        <v/>
      </c>
      <c r="W85" s="2415">
        <f>PERCENTILE(W60:W81,0.75)</f>
        <v/>
      </c>
    </row>
    <row r="86">
      <c r="D86" s="2408" t="n"/>
      <c r="E86" s="2408" t="inlineStr">
        <is>
          <t>Mean</t>
        </is>
      </c>
      <c r="F86" s="2408" t="n"/>
      <c r="G86" s="2408" t="n"/>
      <c r="H86" s="2408" t="n"/>
      <c r="I86" s="2408" t="n"/>
      <c r="J86" s="2408" t="n"/>
      <c r="K86" s="2408" t="n"/>
      <c r="L86" s="259" t="n"/>
      <c r="M86" s="259" t="n"/>
      <c r="N86" s="2414">
        <f>AVERAGE(N60:N81)</f>
        <v/>
      </c>
      <c r="O86" s="2330">
        <f>AVERAGE(O60:O81)</f>
        <v/>
      </c>
      <c r="P86" s="2330">
        <f>AVERAGE(P60:P81)</f>
        <v/>
      </c>
      <c r="Q86" s="2330">
        <f>AVERAGE(Q60:Q81)</f>
        <v/>
      </c>
      <c r="R86" s="2330">
        <f>AVERAGE(R60:R81)</f>
        <v/>
      </c>
      <c r="S86" s="2415">
        <f>AVERAGE(S60:S81)</f>
        <v/>
      </c>
      <c r="T86" s="2415">
        <f>AVERAGE(T60:T81)</f>
        <v/>
      </c>
      <c r="U86" s="2415">
        <f>AVERAGE(U60:U81)</f>
        <v/>
      </c>
      <c r="V86" s="2415">
        <f>AVERAGE(V60:V81)</f>
        <v/>
      </c>
      <c r="W86" s="2415">
        <f>AVERAGE(W60:W81)</f>
        <v/>
      </c>
    </row>
    <row r="87" ht="13" customHeight="1">
      <c r="D87" s="2416" t="n"/>
      <c r="E87" s="2417" t="inlineStr">
        <is>
          <t>Median</t>
        </is>
      </c>
      <c r="F87" s="2418" t="n"/>
      <c r="G87" s="2418" t="n"/>
      <c r="H87" s="2418" t="n"/>
      <c r="I87" s="2418" t="n"/>
      <c r="J87" s="2418" t="n"/>
      <c r="K87" s="2418" t="n"/>
      <c r="L87" s="246" t="n"/>
      <c r="M87" s="246" t="n"/>
      <c r="N87" s="2419">
        <f>MEDIAN(N60:N81)</f>
        <v/>
      </c>
      <c r="O87" s="2415">
        <f>MEDIAN(O60:O81)</f>
        <v/>
      </c>
      <c r="P87" s="2415">
        <f>MEDIAN(P60:P81)</f>
        <v/>
      </c>
      <c r="Q87" s="2415">
        <f>MEDIAN(Q60:Q81)</f>
        <v/>
      </c>
      <c r="R87" s="2415">
        <f>MEDIAN(R60:R81)</f>
        <v/>
      </c>
      <c r="S87" s="2415">
        <f>MEDIAN(S60:S81)</f>
        <v/>
      </c>
      <c r="T87" s="2415">
        <f>MEDIAN(T60:T81)</f>
        <v/>
      </c>
      <c r="U87" s="2415">
        <f>MEDIAN(U60:U81)</f>
        <v/>
      </c>
      <c r="V87" s="2415">
        <f>MEDIAN(V60:V81)</f>
        <v/>
      </c>
      <c r="W87" s="2415">
        <f>MEDIAN(W60:W81)</f>
        <v/>
      </c>
    </row>
    <row r="88" ht="13" customHeight="1">
      <c r="D88" s="2416" t="n"/>
      <c r="E88" s="2408" t="inlineStr">
        <is>
          <t>25th Percentile</t>
        </is>
      </c>
      <c r="F88" s="2416" t="n"/>
      <c r="G88" s="2416" t="n"/>
      <c r="H88" s="2416" t="n"/>
      <c r="I88" s="2416" t="n"/>
      <c r="J88" s="2416" t="n"/>
      <c r="K88" s="2416" t="n"/>
      <c r="L88" s="259" t="n"/>
      <c r="M88" s="259" t="n"/>
      <c r="N88" s="2414">
        <f>PERCENTILE(N60:N81,0.25)</f>
        <v/>
      </c>
      <c r="O88" s="2330">
        <f>PERCENTILE(O60:O81,0.25)</f>
        <v/>
      </c>
      <c r="P88" s="2330">
        <f>PERCENTILE(P60:P81,0.25)</f>
        <v/>
      </c>
      <c r="Q88" s="2330">
        <f>PERCENTILE(Q60:Q81,0.25)</f>
        <v/>
      </c>
      <c r="R88" s="2330">
        <f>PERCENTILE(R60:R81,0.25)</f>
        <v/>
      </c>
      <c r="S88" s="2415">
        <f>PERCENTILE(S60:S81,0.25)</f>
        <v/>
      </c>
      <c r="T88" s="2415">
        <f>PERCENTILE(T60:T81,0.25)</f>
        <v/>
      </c>
      <c r="U88" s="2415">
        <f>PERCENTILE(U60:U81,0.25)</f>
        <v/>
      </c>
      <c r="V88" s="2415">
        <f>PERCENTILE(V60:V81,0.25)</f>
        <v/>
      </c>
      <c r="W88" s="2415">
        <f>PERCENTILE(W60:W81,0.25)</f>
        <v/>
      </c>
    </row>
    <row r="89">
      <c r="D89" s="2408" t="n"/>
      <c r="E89" s="2421" t="inlineStr">
        <is>
          <t>Low</t>
        </is>
      </c>
      <c r="F89" s="2421" t="n"/>
      <c r="G89" s="2421" t="n"/>
      <c r="H89" s="2421" t="n"/>
      <c r="I89" s="2421" t="n"/>
      <c r="J89" s="2421" t="n"/>
      <c r="K89" s="2421" t="n"/>
      <c r="L89" s="545" t="n"/>
      <c r="M89" s="545" t="n"/>
      <c r="N89" s="2422">
        <f>MIN(N60:N81)</f>
        <v/>
      </c>
      <c r="O89" s="2423">
        <f>MIN(O60:O81)</f>
        <v/>
      </c>
      <c r="P89" s="2423">
        <f>MIN(P60:P81)</f>
        <v/>
      </c>
      <c r="Q89" s="2423">
        <f>MIN(Q60:Q81)</f>
        <v/>
      </c>
      <c r="R89" s="2423">
        <f>MIN(R60:R81)</f>
        <v/>
      </c>
      <c r="S89" s="2424">
        <f>MIN(S60:S81)</f>
        <v/>
      </c>
      <c r="T89" s="2424">
        <f>MIN(T60:T81)</f>
        <v/>
      </c>
      <c r="U89" s="2424">
        <f>MIN(U60:U81)</f>
        <v/>
      </c>
      <c r="V89" s="2424">
        <f>MIN(V60:V81)</f>
        <v/>
      </c>
      <c r="W89" s="2424">
        <f>MIN(W60:W81)</f>
        <v/>
      </c>
    </row>
    <row r="90">
      <c r="D90" s="2408" t="n"/>
      <c r="E90" s="466" t="inlineStr">
        <is>
          <t>Excluding outliers</t>
        </is>
      </c>
      <c r="F90" s="2408" t="n"/>
      <c r="G90" s="2408" t="n"/>
      <c r="H90" s="2408" t="n"/>
      <c r="I90" s="2408" t="n"/>
      <c r="J90" s="2408" t="n"/>
      <c r="K90" s="2408" t="n"/>
      <c r="N90" s="2330" t="n"/>
      <c r="O90" s="2330" t="n"/>
      <c r="P90" s="2330" t="n"/>
      <c r="Q90" s="2330" t="n"/>
      <c r="R90" s="2330" t="n"/>
      <c r="S90" s="2330" t="n"/>
      <c r="T90" s="2330" t="n"/>
      <c r="U90" s="2330" t="n"/>
      <c r="V90" s="2330" t="n"/>
      <c r="W90" s="2330" t="n"/>
    </row>
    <row r="91">
      <c r="D91" s="2408" t="n"/>
      <c r="E91" s="2410" t="inlineStr">
        <is>
          <t>High</t>
        </is>
      </c>
      <c r="F91" s="2410" t="n"/>
      <c r="G91" s="2410" t="n"/>
      <c r="H91" s="2410" t="n"/>
      <c r="I91" s="2410" t="n"/>
      <c r="J91" s="2410" t="n"/>
      <c r="K91" s="2410" t="n"/>
      <c r="L91" s="762" t="n"/>
      <c r="M91" s="762" t="n"/>
      <c r="N91" s="2411">
        <f t="array" ref="N91">IFERROR(MAX(IF($Z$60:$Z$81="No",N60:N81)),"")</f>
        <v/>
      </c>
      <c r="O91" s="2412">
        <f t="array" ref="O91">IFERROR(MAX(IF($Z$60:$Z$81="No",O60:O81)),"")</f>
        <v/>
      </c>
      <c r="P91" s="2412">
        <f t="array" ref="P91">IFERROR(MAX(IF($Z$60:$Z$81="No",P60:P81)),"")</f>
        <v/>
      </c>
      <c r="Q91" s="2412">
        <f t="array" ref="Q91">IFERROR(MAX(IF($Z$60:$Z$81="No",Q60:Q81)),"")</f>
        <v/>
      </c>
      <c r="R91" s="2412">
        <f t="array" ref="R91">IFERROR(MAX(IF($Z$60:$Z$81="No",R60:R81)),"")</f>
        <v/>
      </c>
      <c r="S91" s="2413">
        <f t="array" ref="S91">IFERROR(MAX(IF($Z$60:$Z$81="No",S60:S81)),"")</f>
        <v/>
      </c>
      <c r="T91" s="2413">
        <f t="array" ref="T91">IFERROR(MAX(IF($Z$60:$Z$81="No",T60:T81)),"")</f>
        <v/>
      </c>
      <c r="U91" s="2413">
        <f t="array" ref="U91">IFERROR(MAX(IF($Z$60:$Z$81="No",U60:U81)),"")</f>
        <v/>
      </c>
      <c r="V91" s="2413">
        <f t="array" ref="V91">IFERROR(MAX(IF($Z$60:$Z$81="No",V60:V81)),"")</f>
        <v/>
      </c>
      <c r="W91" s="2413">
        <f t="array" ref="W91">IFERROR(MAX(IF($Z$60:$Z$81="No",W60:W81)),"")</f>
        <v/>
      </c>
    </row>
    <row r="92">
      <c r="D92" s="2408" t="n"/>
      <c r="E92" s="2408" t="inlineStr">
        <is>
          <t>75th Percentile</t>
        </is>
      </c>
      <c r="F92" s="2408" t="n"/>
      <c r="G92" s="2408" t="n"/>
      <c r="H92" s="2408" t="n"/>
      <c r="I92" s="2408" t="n"/>
      <c r="J92" s="2408" t="n"/>
      <c r="K92" s="2408" t="n"/>
      <c r="L92" s="259" t="n"/>
      <c r="M92" s="259" t="n"/>
      <c r="N92" s="2414">
        <f t="array" ref="N92">PERCENTILE(IF($Z$60:$Z$81="No",N60:N81),0.75)</f>
        <v/>
      </c>
      <c r="O92" s="2330">
        <f t="array" ref="O92">PERCENTILE(IF($Z$60:$Z$81="No",O60:O81),0.75)</f>
        <v/>
      </c>
      <c r="P92" s="2330">
        <f t="array" ref="P92">PERCENTILE(IF($Z$60:$Z$81="No",P60:P81),0.75)</f>
        <v/>
      </c>
      <c r="Q92" s="2330">
        <f t="array" ref="Q92">PERCENTILE(IF($Z$60:$Z$81="No",Q60:Q81),0.75)</f>
        <v/>
      </c>
      <c r="R92" s="2330">
        <f t="array" ref="R92">PERCENTILE(IF($Z$60:$Z$81="No",R60:R81),0.75)</f>
        <v/>
      </c>
      <c r="S92" s="2415">
        <f t="array" ref="S92">PERCENTILE(IF($Z$60:$Z$81="No",S60:S81),0.75)</f>
        <v/>
      </c>
      <c r="T92" s="2415">
        <f t="array" ref="T92">PERCENTILE(IF($Z$60:$Z$81="No",T60:T81),0.75)</f>
        <v/>
      </c>
      <c r="U92" s="2415">
        <f t="array" ref="U92">PERCENTILE(IF($Z$60:$Z$81="No",U60:U81),0.75)</f>
        <v/>
      </c>
      <c r="V92" s="2415">
        <f t="array" ref="V92">PERCENTILE(IF($Z$60:$Z$81="No",V60:V81),0.75)</f>
        <v/>
      </c>
      <c r="W92" s="2415">
        <f t="array" ref="W92">PERCENTILE(IF($Z$60:$Z$81="No",W60:W81),0.75)</f>
        <v/>
      </c>
    </row>
    <row r="93">
      <c r="D93" s="2408" t="n"/>
      <c r="E93" s="2408" t="inlineStr">
        <is>
          <t>Mean</t>
        </is>
      </c>
      <c r="F93" s="2408" t="n"/>
      <c r="G93" s="2408" t="n"/>
      <c r="H93" s="2408" t="n"/>
      <c r="I93" s="2408" t="n"/>
      <c r="J93" s="2408" t="n"/>
      <c r="K93" s="2408" t="n"/>
      <c r="L93" s="259" t="n"/>
      <c r="M93" s="259" t="n"/>
      <c r="N93" s="2414">
        <f>IFERROR(AVERAGEIF($Z$60:$Z$81,"No",N60:N81),"")</f>
        <v/>
      </c>
      <c r="O93" s="2330">
        <f>IFERROR(AVERAGEIF($Z$60:$Z$81,"No",O60:O81),"")</f>
        <v/>
      </c>
      <c r="P93" s="2330">
        <f>IFERROR(AVERAGEIF($Z$60:$Z$81,"No",P60:P81),"")</f>
        <v/>
      </c>
      <c r="Q93" s="2330">
        <f>IFERROR(AVERAGEIF($Z$60:$Z$81,"No",Q60:Q81),"")</f>
        <v/>
      </c>
      <c r="R93" s="2330">
        <f>IFERROR(AVERAGEIF($Z$60:$Z$81,"No",R60:R81),"")</f>
        <v/>
      </c>
      <c r="S93" s="2415">
        <f>IFERROR(AVERAGEIF($Z$60:$Z$81,"No",S60:S81),"")</f>
        <v/>
      </c>
      <c r="T93" s="2415">
        <f>IFERROR(AVERAGEIF($Z$60:$Z$81,"No",T60:T81),"")</f>
        <v/>
      </c>
      <c r="U93" s="2415">
        <f>IFERROR(AVERAGEIF($Z$60:$Z$81,"No",U60:U81),"")</f>
        <v/>
      </c>
      <c r="V93" s="2415">
        <f>IFERROR(AVERAGEIF($Z$60:$Z$81,"No",V60:V81),"")</f>
        <v/>
      </c>
      <c r="W93" s="2415">
        <f>IFERROR(AVERAGEIF($Z$60:$Z$81,"No",W60:W81),"")</f>
        <v/>
      </c>
    </row>
    <row r="94" ht="13" customHeight="1">
      <c r="D94" s="2408" t="n"/>
      <c r="E94" s="2417" t="inlineStr">
        <is>
          <t>Median</t>
        </is>
      </c>
      <c r="F94" s="2418" t="n"/>
      <c r="G94" s="2418" t="n"/>
      <c r="H94" s="2418" t="n"/>
      <c r="I94" s="2418" t="n"/>
      <c r="J94" s="2418" t="n"/>
      <c r="K94" s="2418" t="n"/>
      <c r="L94" s="246" t="n"/>
      <c r="M94" s="246" t="n"/>
      <c r="N94" s="2419">
        <f t="array" ref="N94">IFERROR(MEDIAN(IF($Z$60:$Z$81="No",N60:N81)),"")</f>
        <v/>
      </c>
      <c r="O94" s="2415">
        <f t="array" ref="O94">IFERROR(MEDIAN(IF($Z$60:$Z$81="No",O60:O81)),"")</f>
        <v/>
      </c>
      <c r="P94" s="2415">
        <f t="array" ref="P94">IFERROR(MEDIAN(IF($Z$60:$Z$81="No",P60:P81)),"")</f>
        <v/>
      </c>
      <c r="Q94" s="2415">
        <f t="array" ref="Q94">IFERROR(MEDIAN(IF($Z$60:$Z$81="No",Q60:Q81)),"")</f>
        <v/>
      </c>
      <c r="R94" s="2415">
        <f t="array" ref="R94">IFERROR(MEDIAN(IF($Z$60:$Z$81="No",R60:R81)),"")</f>
        <v/>
      </c>
      <c r="S94" s="2415">
        <f t="array" ref="S94">IFERROR(MEDIAN(IF($Z$60:$Z$81="No",S60:S81)),"")</f>
        <v/>
      </c>
      <c r="T94" s="2415">
        <f t="array" ref="T94">IFERROR(MEDIAN(IF($Z$60:$Z$81="No",T60:T81)),"")</f>
        <v/>
      </c>
      <c r="U94" s="2415">
        <f t="array" ref="U94">IFERROR(MEDIAN(IF($Z$60:$Z$81="No",U60:U81)),"")</f>
        <v/>
      </c>
      <c r="V94" s="2415">
        <f t="array" ref="V94">IFERROR(MEDIAN(IF($Z$60:$Z$81="No",V60:V81)),"")</f>
        <v/>
      </c>
      <c r="W94" s="2415">
        <f t="array" ref="W94">IFERROR(MEDIAN(IF($Z$60:$Z$81="No",W60:W81)),"")</f>
        <v/>
      </c>
    </row>
    <row r="95" ht="13" customHeight="1">
      <c r="D95" s="2408" t="n"/>
      <c r="E95" s="2408" t="inlineStr">
        <is>
          <t>25th Percentile</t>
        </is>
      </c>
      <c r="F95" s="2416" t="n"/>
      <c r="G95" s="2416" t="n"/>
      <c r="H95" s="2416" t="n"/>
      <c r="I95" s="2416" t="n"/>
      <c r="J95" s="2416" t="n"/>
      <c r="K95" s="2416" t="n"/>
      <c r="L95" s="259" t="n"/>
      <c r="M95" s="259" t="n"/>
      <c r="N95" s="2414">
        <f t="array" ref="N95">PERCENTILE(IF($Z$60:$Z$81="No",N60:N81),0.25)</f>
        <v/>
      </c>
      <c r="O95" s="2330">
        <f t="array" ref="O95">PERCENTILE(IF($Z$60:$Z$81="No",O60:O81),0.25)</f>
        <v/>
      </c>
      <c r="P95" s="2330">
        <f t="array" ref="P95">PERCENTILE(IF($Z$60:$Z$81="No",P60:P81),0.25)</f>
        <v/>
      </c>
      <c r="Q95" s="2330">
        <f t="array" ref="Q95">PERCENTILE(IF($Z$60:$Z$81="No",Q60:Q81),0.25)</f>
        <v/>
      </c>
      <c r="R95" s="2330">
        <f t="array" ref="R95">PERCENTILE(IF($Z$60:$Z$81="No",R60:R81),0.25)</f>
        <v/>
      </c>
      <c r="S95" s="2415">
        <f t="array" ref="S95">PERCENTILE(IF($Z$60:$Z$81="No",S60:S81),0.25)</f>
        <v/>
      </c>
      <c r="T95" s="2415">
        <f t="array" ref="T95">PERCENTILE(IF($Z$60:$Z$81="No",T60:T81),0.25)</f>
        <v/>
      </c>
      <c r="U95" s="2415">
        <f t="array" ref="U95">PERCENTILE(IF($Z$60:$Z$81="No",U60:U81),0.25)</f>
        <v/>
      </c>
      <c r="V95" s="2415">
        <f t="array" ref="V95">PERCENTILE(IF($Z$60:$Z$81="No",V60:V81),0.25)</f>
        <v/>
      </c>
      <c r="W95" s="2415">
        <f t="array" ref="W95">PERCENTILE(IF($Z$60:$Z$81="No",W60:W81),0.25)</f>
        <v/>
      </c>
    </row>
    <row r="96" ht="13" customHeight="1">
      <c r="D96" s="2425" t="n"/>
      <c r="E96" s="2421" t="inlineStr">
        <is>
          <t>Low</t>
        </is>
      </c>
      <c r="F96" s="2421" t="n"/>
      <c r="G96" s="2421" t="n"/>
      <c r="H96" s="2421" t="n"/>
      <c r="I96" s="2421" t="n"/>
      <c r="J96" s="2421" t="n"/>
      <c r="K96" s="2421" t="n"/>
      <c r="L96" s="545" t="n"/>
      <c r="M96" s="545" t="n"/>
      <c r="N96" s="2422">
        <f t="array" ref="N96">IFERROR(MIN(IF($Z$60:$Z$81="No",N60:N81)),"")</f>
        <v/>
      </c>
      <c r="O96" s="2423">
        <f t="array" ref="O96">IFERROR(MIN(IF($Z$60:$Z$81="No",O60:O81)),"")</f>
        <v/>
      </c>
      <c r="P96" s="2423">
        <f t="array" ref="P96">IFERROR(MIN(IF($Z$60:$Z$81="No",P60:P81)),"")</f>
        <v/>
      </c>
      <c r="Q96" s="2423">
        <f t="array" ref="Q96">IFERROR(MIN(IF($Z$60:$Z$81="No",Q60:Q81)),"")</f>
        <v/>
      </c>
      <c r="R96" s="2423">
        <f t="array" ref="R96">IFERROR(MIN(IF($Z$60:$Z$81="No",R60:R81)),"")</f>
        <v/>
      </c>
      <c r="S96" s="2424">
        <f t="array" ref="S96">IFERROR(MIN(IF($Z$60:$Z$81="No",S60:S81)),"")</f>
        <v/>
      </c>
      <c r="T96" s="2424">
        <f t="array" ref="T96">IFERROR(MIN(IF($Z$60:$Z$81="No",T60:T81)),"")</f>
        <v/>
      </c>
      <c r="U96" s="2424">
        <f t="array" ref="U96">IFERROR(MIN(IF($Z$60:$Z$81="No",U60:U81)),"")</f>
        <v/>
      </c>
      <c r="V96" s="2424">
        <f t="array" ref="V96">IFERROR(MIN(IF($Z$60:$Z$81="No",V60:V81)),"")</f>
        <v/>
      </c>
      <c r="W96" s="2424">
        <f t="array" ref="W96">IFERROR(MIN(IF($Z$60:$Z$81="No",W60:W81)),"")</f>
        <v/>
      </c>
    </row>
  </sheetData>
  <mergeCells count="8">
    <mergeCell ref="N8:R8"/>
    <mergeCell ref="K8:L8"/>
    <mergeCell ref="S58:V58"/>
    <mergeCell ref="S8:V8"/>
    <mergeCell ref="N58:R58"/>
    <mergeCell ref="F8:J8"/>
    <mergeCell ref="F58:J58"/>
    <mergeCell ref="K58:L58"/>
  </mergeCells>
  <dataValidations count="1">
    <dataValidation sqref="Z10:Z39 Z60:Z81" showDropDown="0" showInputMessage="1" showErrorMessage="1" allowBlank="1" type="list">
      <formula1>"Yes, No"</formula1>
    </dataValidation>
  </dataValidations>
  <pageMargins left="0.7" right="0.7" top="0.75" bottom="0.75" header="0.3" footer="0.3"/>
  <pageSetup orientation="portrait" paperSize="9" scale="34"/>
  <headerFooter>
    <oddHeader>&amp;R&amp;"Arial"&amp;1 &amp;K000000Confidential#</oddHeader>
    <oddFooter/>
    <evenHeader/>
    <evenFooter/>
    <firstHeader/>
    <firstFooter/>
  </headerFooter>
  <colBreaks count="1" manualBreakCount="1">
    <brk id="24" min="0" max="1048575" man="1"/>
  </colBreaks>
  <drawing xmlns:r="http://schemas.openxmlformats.org/officeDocument/2006/relationships" r:id="rId1"/>
  <legacyDrawing xmlns:r="http://schemas.openxmlformats.org/officeDocument/2006/relationships" r:id="anysvml"/>
</worksheet>
</file>

<file path=xl/worksheets/sheet31.xml><?xml version="1.0" encoding="utf-8"?>
<worksheet xmlns="http://schemas.openxmlformats.org/spreadsheetml/2006/main">
  <sheetPr codeName="Sheet22">
    <tabColor theme="9" tint="-0.09997863704336681"/>
    <outlinePr summaryBelow="1" summaryRight="1"/>
    <pageSetUpPr/>
  </sheetPr>
  <dimension ref="B1:AF105"/>
  <sheetViews>
    <sheetView showGridLines="0" view="pageBreakPreview" zoomScale="70" zoomScaleNormal="100" zoomScaleSheetLayoutView="70" workbookViewId="0">
      <selection activeCell="N4" sqref="N4"/>
    </sheetView>
  </sheetViews>
  <sheetFormatPr baseColWidth="8" defaultColWidth="8.84375" defaultRowHeight="11.5" outlineLevelRow="1"/>
  <cols>
    <col width="3.3828125" customWidth="1" style="259" min="1" max="1"/>
    <col width="3" customWidth="1" style="259" min="2" max="2"/>
    <col width="2" customWidth="1" style="259" min="3" max="3"/>
    <col width="24.84375" customWidth="1" style="259" min="4" max="4"/>
    <col width="11.07421875" customWidth="1" style="259" min="5" max="5"/>
    <col width="8.53515625" customWidth="1" style="259" min="6" max="13"/>
    <col width="5.07421875" customWidth="1" style="259" min="14" max="15"/>
    <col width="8.53515625" customWidth="1" style="259" min="16" max="25"/>
    <col width="2.84375" customWidth="1" style="259" min="26" max="26"/>
    <col width="8.84375" customWidth="1" style="259" min="27" max="16384"/>
  </cols>
  <sheetData>
    <row r="1" customFormat="1" s="752">
      <c r="O1" s="510" t="n"/>
      <c r="P1" s="510" t="n"/>
      <c r="Q1" s="510" t="n"/>
      <c r="R1" s="510" t="n"/>
      <c r="S1" s="510" t="n"/>
      <c r="T1" s="510" t="n"/>
      <c r="U1" s="510" t="n"/>
      <c r="V1" s="510" t="n"/>
      <c r="W1" s="510" t="n"/>
      <c r="X1" s="510" t="n"/>
      <c r="Y1" s="510" t="n"/>
      <c r="Z1" s="510" t="n"/>
      <c r="AA1" s="510" t="n"/>
    </row>
    <row r="2" ht="15.5" customFormat="1" customHeight="1" s="747">
      <c r="B2" s="505">
        <f>Inputs!B2</f>
        <v/>
      </c>
      <c r="C2" s="894" t="n"/>
      <c r="D2" s="894" t="n"/>
      <c r="E2" s="894" t="n"/>
      <c r="F2" s="894" t="n"/>
      <c r="G2" s="894" t="n"/>
      <c r="H2" s="894" t="n"/>
      <c r="I2" s="894" t="n"/>
      <c r="J2" s="894" t="n"/>
      <c r="K2" s="894" t="n"/>
      <c r="L2" s="894" t="n"/>
      <c r="M2" s="894" t="n"/>
      <c r="N2" s="741" t="n"/>
      <c r="T2" s="510" t="n"/>
      <c r="U2" s="510" t="n"/>
      <c r="V2" s="510" t="n"/>
      <c r="W2" s="510" t="n"/>
      <c r="X2" s="510" t="n"/>
      <c r="Y2" s="510" t="n"/>
      <c r="Z2" s="510" t="n"/>
      <c r="AA2" s="510" t="n"/>
    </row>
    <row r="3" ht="15.5" customFormat="1" customHeight="1" s="510">
      <c r="B3" s="742">
        <f>Inputs!$B$3</f>
        <v/>
      </c>
      <c r="C3" s="506" t="n"/>
      <c r="D3" s="506" t="n"/>
      <c r="E3" s="506" t="n"/>
      <c r="F3" s="506" t="n"/>
      <c r="G3" s="506" t="n"/>
      <c r="H3" s="506" t="n"/>
      <c r="I3" s="506" t="n"/>
      <c r="J3" s="506" t="n"/>
      <c r="K3" s="506" t="n"/>
      <c r="L3" s="506" t="n"/>
      <c r="M3" s="506" t="n"/>
      <c r="N3" s="745" t="n"/>
    </row>
    <row r="4" ht="15.5" customFormat="1" customHeight="1" s="510">
      <c r="B4" s="742" t="inlineStr">
        <is>
          <t>Guideline Companies: EBITDA and EBIT margins</t>
        </is>
      </c>
      <c r="C4" s="506" t="n"/>
      <c r="D4" s="506" t="n"/>
      <c r="E4" s="506" t="n"/>
      <c r="F4" s="506" t="n"/>
      <c r="G4" s="506" t="n"/>
      <c r="H4" s="506" t="n"/>
      <c r="I4" s="506" t="n"/>
      <c r="J4" s="506" t="n"/>
      <c r="K4" s="506" t="n"/>
      <c r="L4" s="506" t="n"/>
      <c r="M4" s="506" t="n"/>
      <c r="N4" s="503">
        <f>valuation.date.header</f>
        <v/>
      </c>
    </row>
    <row r="5" ht="15.5" customFormat="1" customHeight="1" s="510">
      <c r="B5" s="895" t="n"/>
      <c r="C5" s="895" t="n"/>
      <c r="D5" s="895" t="n"/>
      <c r="E5" s="895" t="n"/>
      <c r="F5" s="895" t="n"/>
      <c r="G5" s="895" t="n"/>
      <c r="H5" s="895" t="n"/>
      <c r="I5" s="895" t="n"/>
      <c r="J5" s="895" t="n"/>
      <c r="K5" s="895" t="n"/>
      <c r="L5" s="895" t="n"/>
      <c r="M5" s="895" t="n"/>
      <c r="N5" s="895" t="n"/>
    </row>
    <row r="6" customFormat="1" s="432">
      <c r="B6" s="432" t="n"/>
      <c r="C6" s="432" t="n"/>
      <c r="D6" s="830" t="inlineStr">
        <is>
          <t>Gross Margin</t>
        </is>
      </c>
      <c r="K6" s="432" t="n"/>
      <c r="L6" s="432" t="n"/>
      <c r="M6" s="432" t="n"/>
      <c r="N6" s="432" t="n"/>
      <c r="O6" s="432" t="n"/>
      <c r="P6" s="432" t="n"/>
      <c r="Q6" s="896" t="n"/>
      <c r="R6" s="896" t="n"/>
      <c r="S6" s="896" t="n"/>
      <c r="T6" s="896" t="n"/>
      <c r="U6" s="896" t="n"/>
      <c r="V6" s="896" t="n"/>
      <c r="W6" s="896" t="n"/>
      <c r="X6" s="896" t="n"/>
      <c r="Y6" s="896" t="n"/>
      <c r="Z6" s="432" t="n"/>
    </row>
    <row r="7" ht="12" customFormat="1" customHeight="1" s="432">
      <c r="B7" s="831" t="n"/>
      <c r="D7" s="832" t="n"/>
      <c r="E7" s="2380" t="n"/>
      <c r="F7" s="2380" t="n"/>
      <c r="K7" s="1847" t="inlineStr">
        <is>
          <t>Projected</t>
        </is>
      </c>
      <c r="N7" s="2430" t="n"/>
      <c r="O7" s="2430" t="n"/>
      <c r="P7" s="2383" t="n"/>
      <c r="Q7" s="2383" t="n"/>
      <c r="R7" s="2431" t="n"/>
      <c r="S7" s="2431" t="n"/>
      <c r="T7" s="2432" t="inlineStr">
        <is>
          <t>FYE</t>
        </is>
      </c>
      <c r="U7" s="2433" t="inlineStr">
        <is>
          <t>FYE+1</t>
        </is>
      </c>
      <c r="V7" s="2433" t="inlineStr">
        <is>
          <t>Median</t>
        </is>
      </c>
      <c r="W7" s="2433" t="n"/>
      <c r="X7" s="2431" t="n"/>
      <c r="Y7" s="2431" t="n"/>
      <c r="Z7" s="433" t="inlineStr"/>
      <c r="AA7" s="433" t="inlineStr"/>
      <c r="AB7" s="433" t="inlineStr"/>
      <c r="AC7" s="433" t="inlineStr"/>
      <c r="AD7" s="433" t="inlineStr"/>
      <c r="AE7" s="433" t="inlineStr"/>
      <c r="AF7" s="433" t="inlineStr"/>
    </row>
    <row r="8" ht="12" customFormat="1" customHeight="1" s="432" thickBot="1">
      <c r="D8" s="2384" t="inlineStr">
        <is>
          <t>Company Name</t>
        </is>
      </c>
      <c r="E8" s="2386" t="n"/>
      <c r="F8" s="2386" t="inlineStr">
        <is>
          <t>FYE-3</t>
        </is>
      </c>
      <c r="G8" s="2386" t="inlineStr">
        <is>
          <t>FYE-2</t>
        </is>
      </c>
      <c r="H8" s="2386" t="inlineStr">
        <is>
          <t>FYE-1</t>
        </is>
      </c>
      <c r="I8" s="2386" t="inlineStr">
        <is>
          <t>FYE</t>
        </is>
      </c>
      <c r="J8" s="1847" t="inlineStr">
        <is>
          <t>TTM</t>
        </is>
      </c>
      <c r="K8" s="2386" t="inlineStr">
        <is>
          <t>FYE + 1</t>
        </is>
      </c>
      <c r="L8" s="2386" t="inlineStr">
        <is>
          <t>FYE + 2</t>
        </is>
      </c>
      <c r="M8" s="1847" t="inlineStr">
        <is>
          <t>FYE + 3</t>
        </is>
      </c>
      <c r="N8" s="2430" t="n"/>
      <c r="O8" s="2430" t="n"/>
      <c r="P8" s="516" t="inlineStr">
        <is>
          <t>Exclude as outlier?</t>
        </is>
      </c>
      <c r="Q8" s="2383" t="n"/>
      <c r="R8" s="2431" t="n"/>
      <c r="S8" s="2431">
        <f>client.name.long</f>
        <v/>
      </c>
      <c r="T8" s="2434" t="n"/>
      <c r="U8" s="2435" t="n"/>
      <c r="V8" s="2435">
        <f>MEDIAN($I$102,$K$102)</f>
        <v/>
      </c>
      <c r="W8" s="2436" t="n"/>
      <c r="X8" s="2431" t="n"/>
      <c r="Y8" s="2431" t="n"/>
      <c r="Z8" s="1833" t="n"/>
      <c r="AA8" s="1833" t="n"/>
      <c r="AB8" s="1833" t="n"/>
      <c r="AC8" s="1833" t="n"/>
      <c r="AD8" s="1833" t="n"/>
      <c r="AE8" s="1833" t="n"/>
      <c r="AF8" s="1833" t="n"/>
    </row>
    <row r="9" ht="12" customFormat="1" customHeight="1" s="432" thickBot="1">
      <c r="C9" s="844" t="n">
        <v>1</v>
      </c>
      <c r="D9" s="2388">
        <f>'GPC Data'!E124</f>
        <v/>
      </c>
      <c r="E9" s="904" t="n"/>
      <c r="F9" s="2428" t="n"/>
      <c r="G9" s="2428">
        <f>IFERROR(Growth!#REF!/Growth!#REF!,"")</f>
        <v/>
      </c>
      <c r="H9" s="2428">
        <f>'GPC Data'!F192</f>
        <v/>
      </c>
      <c r="I9" s="2428">
        <f>'GPC Data'!G192</f>
        <v/>
      </c>
      <c r="J9" s="2428">
        <f>'GPC Data'!H192</f>
        <v/>
      </c>
      <c r="K9" s="2428">
        <f>'GPC Data'!I192</f>
        <v/>
      </c>
      <c r="L9" s="2428">
        <f>'GPC Data'!J192</f>
        <v/>
      </c>
      <c r="M9" s="2428">
        <f>'GPC Data'!K192</f>
        <v/>
      </c>
      <c r="N9" s="2430" t="n"/>
      <c r="O9" s="2430" t="n"/>
      <c r="P9" s="443" t="inlineStr">
        <is>
          <t>No</t>
        </is>
      </c>
      <c r="Q9" s="2383" t="n"/>
      <c r="R9" s="2431" t="n"/>
      <c r="S9" s="2431">
        <f>D9</f>
        <v/>
      </c>
      <c r="T9" s="2437">
        <f>I9</f>
        <v/>
      </c>
      <c r="U9" s="2438">
        <f>K9</f>
        <v/>
      </c>
      <c r="V9" s="2438">
        <f>MEDIAN($I$102,$K$102)</f>
        <v/>
      </c>
      <c r="W9" s="2431" t="n"/>
      <c r="X9" s="907" t="n">
        <v>0</v>
      </c>
      <c r="Y9" s="907" t="n"/>
      <c r="Z9" s="1833" t="n"/>
      <c r="AA9" s="1833" t="n"/>
      <c r="AB9" s="1833" t="n"/>
      <c r="AC9" s="1833" t="n"/>
      <c r="AD9" s="1833" t="n"/>
      <c r="AE9" s="1833" t="n"/>
      <c r="AF9" s="1833" t="n"/>
    </row>
    <row r="10" ht="12" customFormat="1" customHeight="1" s="432" thickBot="1">
      <c r="C10" s="844" t="n">
        <v>2</v>
      </c>
      <c r="D10" s="2439">
        <f>'GPC Data'!E125</f>
        <v/>
      </c>
      <c r="E10" s="2429" t="n"/>
      <c r="F10" s="2430">
        <f>IFERROR(Growth!#REF!/Growth!#REF!,"")</f>
        <v/>
      </c>
      <c r="G10" s="2430">
        <f>IFERROR(Growth!#REF!/Growth!#REF!,"")</f>
        <v/>
      </c>
      <c r="H10" s="2430">
        <f>'GPC Data'!F193</f>
        <v/>
      </c>
      <c r="I10" s="2430">
        <f>'GPC Data'!G193</f>
        <v/>
      </c>
      <c r="J10" s="2430">
        <f>'GPC Data'!H193</f>
        <v/>
      </c>
      <c r="K10" s="2430">
        <f>'GPC Data'!I193</f>
        <v/>
      </c>
      <c r="L10" s="2430">
        <f>'GPC Data'!J193</f>
        <v/>
      </c>
      <c r="M10" s="2430">
        <f>'GPC Data'!K193</f>
        <v/>
      </c>
      <c r="N10" s="2430" t="n"/>
      <c r="O10" s="2430" t="n"/>
      <c r="P10" s="443" t="inlineStr">
        <is>
          <t>No</t>
        </is>
      </c>
      <c r="Q10" s="2383" t="n"/>
      <c r="R10" s="2431" t="n"/>
      <c r="S10" s="2431">
        <f>D10</f>
        <v/>
      </c>
      <c r="T10" s="2437">
        <f>I10</f>
        <v/>
      </c>
      <c r="U10" s="2438">
        <f>K10</f>
        <v/>
      </c>
      <c r="V10" s="2438">
        <f>MEDIAN($I$102,$K$102)</f>
        <v/>
      </c>
      <c r="W10" s="2431" t="n"/>
      <c r="X10" s="907" t="n">
        <v>1.5</v>
      </c>
      <c r="Y10" s="907" t="n"/>
      <c r="Z10" s="1833" t="n"/>
      <c r="AA10" s="1833" t="n"/>
      <c r="AB10" s="1833" t="n"/>
      <c r="AC10" s="1833" t="n"/>
      <c r="AD10" s="1833" t="n"/>
      <c r="AE10" s="1833" t="n"/>
      <c r="AF10" s="1833" t="n"/>
    </row>
    <row r="11" ht="12" customFormat="1" customHeight="1" s="432" thickBot="1">
      <c r="C11" s="844" t="n">
        <v>3</v>
      </c>
      <c r="D11" s="2439">
        <f>'GPC Data'!E126</f>
        <v/>
      </c>
      <c r="E11" s="2429" t="n"/>
      <c r="F11" s="2430">
        <f>IFERROR(Growth!#REF!/Growth!#REF!,"")</f>
        <v/>
      </c>
      <c r="G11" s="2430">
        <f>IFERROR(Growth!#REF!/Growth!#REF!,"")</f>
        <v/>
      </c>
      <c r="H11" s="2430">
        <f>'GPC Data'!F194</f>
        <v/>
      </c>
      <c r="I11" s="2430">
        <f>'GPC Data'!G194</f>
        <v/>
      </c>
      <c r="J11" s="2430">
        <f>'GPC Data'!H194</f>
        <v/>
      </c>
      <c r="K11" s="2430">
        <f>'GPC Data'!I194</f>
        <v/>
      </c>
      <c r="L11" s="2430">
        <f>'GPC Data'!J194</f>
        <v/>
      </c>
      <c r="M11" s="2430">
        <f>'GPC Data'!K194</f>
        <v/>
      </c>
      <c r="N11" s="2430" t="n"/>
      <c r="O11" s="2430" t="n"/>
      <c r="P11" s="443" t="inlineStr">
        <is>
          <t>No</t>
        </is>
      </c>
      <c r="Q11" s="2383" t="n"/>
      <c r="R11" s="2431" t="n"/>
      <c r="S11" s="2431">
        <f>D11</f>
        <v/>
      </c>
      <c r="T11" s="2437">
        <f>I11</f>
        <v/>
      </c>
      <c r="U11" s="2438">
        <f>K11</f>
        <v/>
      </c>
      <c r="V11" s="2431" t="n"/>
      <c r="W11" s="2431" t="n"/>
      <c r="X11" s="2431" t="n"/>
      <c r="Y11" s="2431" t="n"/>
      <c r="Z11" s="1833" t="inlineStr"/>
      <c r="AA11" s="1833" t="inlineStr"/>
      <c r="AB11" s="1833" t="inlineStr"/>
      <c r="AC11" s="1833" t="inlineStr"/>
      <c r="AD11" s="1833" t="inlineStr"/>
      <c r="AE11" s="1833" t="inlineStr"/>
      <c r="AF11" s="1833" t="inlineStr"/>
    </row>
    <row r="12" ht="12" customFormat="1" customHeight="1" s="432" thickBot="1">
      <c r="C12" s="844" t="n">
        <v>4</v>
      </c>
      <c r="D12" s="2439">
        <f>'GPC Data'!E127</f>
        <v/>
      </c>
      <c r="E12" s="2429" t="n"/>
      <c r="F12" s="2430">
        <f>IFERROR(Growth!#REF!/Growth!#REF!,"")</f>
        <v/>
      </c>
      <c r="G12" s="2430">
        <f>IFERROR(Growth!#REF!/Growth!#REF!,"")</f>
        <v/>
      </c>
      <c r="H12" s="2430">
        <f>'GPC Data'!F195</f>
        <v/>
      </c>
      <c r="I12" s="2430">
        <f>'GPC Data'!G195</f>
        <v/>
      </c>
      <c r="J12" s="2430">
        <f>'GPC Data'!H195</f>
        <v/>
      </c>
      <c r="K12" s="2430">
        <f>'GPC Data'!I195</f>
        <v/>
      </c>
      <c r="L12" s="2430">
        <f>'GPC Data'!J195</f>
        <v/>
      </c>
      <c r="M12" s="2430">
        <f>'GPC Data'!K195</f>
        <v/>
      </c>
      <c r="N12" s="2430" t="n"/>
      <c r="O12" s="2430" t="n"/>
      <c r="P12" s="443" t="inlineStr">
        <is>
          <t>No</t>
        </is>
      </c>
      <c r="Q12" s="2383" t="n"/>
      <c r="R12" s="2431" t="n"/>
      <c r="S12" s="2431">
        <f>D12</f>
        <v/>
      </c>
      <c r="T12" s="2437">
        <f>I12</f>
        <v/>
      </c>
      <c r="U12" s="2438">
        <f>K12</f>
        <v/>
      </c>
      <c r="V12" s="2431" t="n"/>
      <c r="W12" s="2431" t="n"/>
      <c r="X12" s="2431" t="n"/>
      <c r="Y12" s="2431" t="n"/>
      <c r="Z12" s="1833" t="inlineStr"/>
      <c r="AA12" s="1833" t="inlineStr"/>
      <c r="AB12" s="1833" t="inlineStr"/>
      <c r="AC12" s="1833" t="inlineStr"/>
      <c r="AD12" s="1833" t="inlineStr"/>
      <c r="AE12" s="1833" t="inlineStr"/>
      <c r="AF12" s="1833" t="inlineStr"/>
    </row>
    <row r="13" ht="12" customFormat="1" customHeight="1" s="432" thickBot="1">
      <c r="C13" s="844" t="n">
        <v>5</v>
      </c>
      <c r="D13" s="2439">
        <f>'GPC Data'!E128</f>
        <v/>
      </c>
      <c r="E13" s="2429" t="n"/>
      <c r="F13" s="2430">
        <f>IFERROR(Growth!#REF!/Growth!#REF!,"")</f>
        <v/>
      </c>
      <c r="G13" s="2430">
        <f>IFERROR(Growth!#REF!/Growth!#REF!,"")</f>
        <v/>
      </c>
      <c r="H13" s="2430">
        <f>'GPC Data'!F196</f>
        <v/>
      </c>
      <c r="I13" s="2430">
        <f>'GPC Data'!G196</f>
        <v/>
      </c>
      <c r="J13" s="2430">
        <f>'GPC Data'!H196</f>
        <v/>
      </c>
      <c r="K13" s="2430">
        <f>'GPC Data'!I196</f>
        <v/>
      </c>
      <c r="L13" s="2430">
        <f>'GPC Data'!J196</f>
        <v/>
      </c>
      <c r="M13" s="2430">
        <f>'GPC Data'!K196</f>
        <v/>
      </c>
      <c r="N13" s="2430" t="n"/>
      <c r="O13" s="2430" t="n"/>
      <c r="P13" s="443" t="inlineStr">
        <is>
          <t>No</t>
        </is>
      </c>
      <c r="Q13" s="2383" t="n"/>
      <c r="R13" s="2431" t="n"/>
      <c r="S13" s="2431">
        <f>D13</f>
        <v/>
      </c>
      <c r="T13" s="2437">
        <f>I13</f>
        <v/>
      </c>
      <c r="U13" s="2438">
        <f>K13</f>
        <v/>
      </c>
      <c r="V13" s="2431" t="n"/>
      <c r="W13" s="2431" t="n"/>
      <c r="X13" s="2431" t="n"/>
      <c r="Y13" s="2431" t="n"/>
      <c r="Z13" s="1833" t="n"/>
      <c r="AA13" s="1833" t="n"/>
      <c r="AB13" s="1833" t="n"/>
      <c r="AC13" s="1833" t="n"/>
      <c r="AD13" s="1833" t="n"/>
      <c r="AE13" s="1833" t="n"/>
      <c r="AF13" s="1833" t="n"/>
    </row>
    <row r="14" ht="12" customFormat="1" customHeight="1" s="432" thickBot="1">
      <c r="C14" s="844" t="n">
        <v>6</v>
      </c>
      <c r="D14" s="2439">
        <f>'GPC Data'!E129</f>
        <v/>
      </c>
      <c r="E14" s="2429" t="n"/>
      <c r="F14" s="2430">
        <f>IFERROR(Growth!#REF!/Growth!#REF!,"")</f>
        <v/>
      </c>
      <c r="G14" s="2430">
        <f>IFERROR(Growth!#REF!/Growth!#REF!,"")</f>
        <v/>
      </c>
      <c r="H14" s="2430">
        <f>'GPC Data'!F197</f>
        <v/>
      </c>
      <c r="I14" s="2430">
        <f>'GPC Data'!G197</f>
        <v/>
      </c>
      <c r="J14" s="2430">
        <f>'GPC Data'!H197</f>
        <v/>
      </c>
      <c r="K14" s="2430">
        <f>'GPC Data'!I197</f>
        <v/>
      </c>
      <c r="L14" s="2430">
        <f>'GPC Data'!J197</f>
        <v/>
      </c>
      <c r="M14" s="2430">
        <f>'GPC Data'!K197</f>
        <v/>
      </c>
      <c r="N14" s="2430" t="n"/>
      <c r="O14" s="2430" t="n"/>
      <c r="P14" s="443" t="inlineStr">
        <is>
          <t>No</t>
        </is>
      </c>
      <c r="Q14" s="2383" t="n"/>
      <c r="R14" s="2431" t="n"/>
      <c r="S14" s="2431">
        <f>D14</f>
        <v/>
      </c>
      <c r="T14" s="2437">
        <f>I14</f>
        <v/>
      </c>
      <c r="U14" s="2438">
        <f>K14</f>
        <v/>
      </c>
      <c r="V14" s="2431" t="n"/>
      <c r="W14" s="2431" t="n"/>
      <c r="X14" s="2431" t="n"/>
      <c r="Y14" s="2431" t="n"/>
      <c r="Z14" s="1833" t="inlineStr"/>
      <c r="AA14" s="1833" t="inlineStr"/>
      <c r="AB14" s="1833" t="inlineStr"/>
      <c r="AC14" s="1833" t="inlineStr"/>
      <c r="AD14" s="1833" t="inlineStr"/>
      <c r="AE14" s="1833" t="inlineStr"/>
      <c r="AF14" s="1833" t="inlineStr"/>
    </row>
    <row r="15" ht="12" customFormat="1" customHeight="1" s="432" thickBot="1">
      <c r="C15" s="844" t="n">
        <v>7</v>
      </c>
      <c r="D15" s="2439">
        <f>'GPC Data'!E130</f>
        <v/>
      </c>
      <c r="E15" s="2429" t="n"/>
      <c r="F15" s="2430">
        <f>IFERROR(Growth!#REF!/Growth!#REF!,"")</f>
        <v/>
      </c>
      <c r="G15" s="2430">
        <f>IFERROR(Growth!#REF!/Growth!#REF!,"")</f>
        <v/>
      </c>
      <c r="H15" s="2430">
        <f>'GPC Data'!F198</f>
        <v/>
      </c>
      <c r="I15" s="2430">
        <f>'GPC Data'!G198</f>
        <v/>
      </c>
      <c r="J15" s="2430">
        <f>'GPC Data'!H198</f>
        <v/>
      </c>
      <c r="K15" s="2430">
        <f>'GPC Data'!I198</f>
        <v/>
      </c>
      <c r="L15" s="2430">
        <f>'GPC Data'!J198</f>
        <v/>
      </c>
      <c r="M15" s="2430">
        <f>'GPC Data'!K198</f>
        <v/>
      </c>
      <c r="N15" s="2430" t="n"/>
      <c r="O15" s="2430" t="n"/>
      <c r="P15" s="443" t="inlineStr">
        <is>
          <t>No</t>
        </is>
      </c>
      <c r="Q15" s="2383" t="n"/>
      <c r="R15" s="2431" t="n"/>
      <c r="S15" s="2431">
        <f>D15</f>
        <v/>
      </c>
      <c r="T15" s="2437">
        <f>I15</f>
        <v/>
      </c>
      <c r="U15" s="2438">
        <f>K15</f>
        <v/>
      </c>
      <c r="V15" s="2431" t="n"/>
      <c r="W15" s="2431" t="n"/>
      <c r="X15" s="2431" t="n"/>
      <c r="Y15" s="2431" t="n"/>
      <c r="Z15" s="1833" t="inlineStr"/>
      <c r="AA15" s="1833" t="inlineStr"/>
      <c r="AB15" s="1833" t="inlineStr"/>
      <c r="AC15" s="1833" t="inlineStr"/>
      <c r="AD15" s="1833" t="inlineStr"/>
      <c r="AE15" s="1833" t="inlineStr"/>
      <c r="AF15" s="1833" t="inlineStr"/>
    </row>
    <row r="16" ht="12" customFormat="1" customHeight="1" s="432" thickBot="1">
      <c r="C16" s="844" t="n">
        <v>8</v>
      </c>
      <c r="D16" s="2439">
        <f>'GPC Data'!E131</f>
        <v/>
      </c>
      <c r="E16" s="2429" t="n"/>
      <c r="F16" s="2430">
        <f>IFERROR(Growth!#REF!/Growth!#REF!,"")</f>
        <v/>
      </c>
      <c r="G16" s="2430">
        <f>IFERROR(Growth!#REF!/Growth!#REF!,"")</f>
        <v/>
      </c>
      <c r="H16" s="2430">
        <f>'GPC Data'!F199</f>
        <v/>
      </c>
      <c r="I16" s="2430">
        <f>'GPC Data'!G199</f>
        <v/>
      </c>
      <c r="J16" s="2430">
        <f>'GPC Data'!H199</f>
        <v/>
      </c>
      <c r="K16" s="2430">
        <f>'GPC Data'!I199</f>
        <v/>
      </c>
      <c r="L16" s="2430">
        <f>'GPC Data'!J199</f>
        <v/>
      </c>
      <c r="M16" s="2430">
        <f>'GPC Data'!K199</f>
        <v/>
      </c>
      <c r="N16" s="2430" t="n"/>
      <c r="O16" s="2430" t="n"/>
      <c r="P16" s="443" t="inlineStr">
        <is>
          <t>No</t>
        </is>
      </c>
      <c r="Q16" s="2383" t="n"/>
      <c r="R16" s="2431" t="n"/>
      <c r="S16" s="2431">
        <f>D16</f>
        <v/>
      </c>
      <c r="T16" s="2437">
        <f>I16</f>
        <v/>
      </c>
      <c r="U16" s="2438">
        <f>K16</f>
        <v/>
      </c>
      <c r="V16" s="2431" t="n"/>
      <c r="W16" s="2431" t="n"/>
      <c r="X16" s="2431" t="n"/>
      <c r="Y16" s="2431" t="n"/>
      <c r="Z16" s="1833" t="n"/>
      <c r="AA16" s="1833" t="n"/>
      <c r="AB16" s="1833" t="n"/>
      <c r="AC16" s="1833" t="n"/>
      <c r="AD16" s="1833" t="n"/>
      <c r="AE16" s="1833" t="n"/>
      <c r="AF16" s="1833" t="n"/>
    </row>
    <row r="17" ht="12" customFormat="1" customHeight="1" s="432" thickBot="1">
      <c r="C17" s="844" t="n">
        <v>9</v>
      </c>
      <c r="D17" s="2439">
        <f>'GPC Data'!E132</f>
        <v/>
      </c>
      <c r="E17" s="2429" t="n"/>
      <c r="F17" s="2430">
        <f>IFERROR(Growth!#REF!/Growth!#REF!,"")</f>
        <v/>
      </c>
      <c r="G17" s="2430">
        <f>IFERROR(Growth!#REF!/Growth!#REF!,"")</f>
        <v/>
      </c>
      <c r="H17" s="2430">
        <f>'GPC Data'!F200</f>
        <v/>
      </c>
      <c r="I17" s="2430">
        <f>'GPC Data'!G200</f>
        <v/>
      </c>
      <c r="J17" s="2430">
        <f>'GPC Data'!H200</f>
        <v/>
      </c>
      <c r="K17" s="2430">
        <f>'GPC Data'!I200</f>
        <v/>
      </c>
      <c r="L17" s="2430">
        <f>'GPC Data'!J200</f>
        <v/>
      </c>
      <c r="M17" s="2430">
        <f>'GPC Data'!K200</f>
        <v/>
      </c>
      <c r="N17" s="2430" t="n"/>
      <c r="O17" s="2430" t="n"/>
      <c r="P17" s="443" t="inlineStr">
        <is>
          <t>No</t>
        </is>
      </c>
      <c r="Q17" s="2383" t="n"/>
      <c r="R17" s="2431" t="n"/>
      <c r="S17" s="2431">
        <f>D17</f>
        <v/>
      </c>
      <c r="T17" s="2437">
        <f>I17</f>
        <v/>
      </c>
      <c r="U17" s="2438">
        <f>K17</f>
        <v/>
      </c>
      <c r="V17" s="2431" t="n"/>
      <c r="W17" s="2431" t="n"/>
      <c r="X17" s="2431" t="n"/>
      <c r="Y17" s="2431" t="n"/>
      <c r="Z17" s="1833" t="inlineStr"/>
      <c r="AA17" s="1833" t="inlineStr"/>
      <c r="AB17" s="1833" t="inlineStr"/>
      <c r="AC17" s="1833" t="inlineStr"/>
      <c r="AD17" s="1833" t="inlineStr"/>
      <c r="AE17" s="1833" t="inlineStr"/>
      <c r="AF17" s="1833" t="inlineStr"/>
    </row>
    <row r="18" ht="12" customFormat="1" customHeight="1" s="432" thickBot="1">
      <c r="C18" s="844" t="n"/>
      <c r="D18" s="2439">
        <f>'GPC Data'!E133</f>
        <v/>
      </c>
      <c r="E18" s="2429" t="n"/>
      <c r="F18" s="2430">
        <f>IFERROR(Growth!F1/Growth!#REF!,"")</f>
        <v/>
      </c>
      <c r="G18" s="2430">
        <f>IFERROR(Growth!G1/Growth!#REF!,"")</f>
        <v/>
      </c>
      <c r="H18" s="2430">
        <f>'GPC Data'!F201</f>
        <v/>
      </c>
      <c r="I18" s="2430">
        <f>'GPC Data'!G201</f>
        <v/>
      </c>
      <c r="J18" s="2430">
        <f>'GPC Data'!H201</f>
        <v/>
      </c>
      <c r="K18" s="2430">
        <f>'GPC Data'!I201</f>
        <v/>
      </c>
      <c r="L18" s="2430">
        <f>'GPC Data'!J201</f>
        <v/>
      </c>
      <c r="M18" s="2430">
        <f>'GPC Data'!K201</f>
        <v/>
      </c>
      <c r="N18" s="2430" t="n"/>
      <c r="O18" s="2430" t="n"/>
      <c r="P18" s="443" t="inlineStr">
        <is>
          <t>No</t>
        </is>
      </c>
      <c r="Q18" s="2383" t="n"/>
      <c r="R18" s="2431" t="n"/>
      <c r="S18" s="2431" t="n"/>
      <c r="T18" s="2437" t="n"/>
      <c r="U18" s="2438" t="n"/>
      <c r="V18" s="2431" t="n"/>
      <c r="W18" s="2431" t="n"/>
      <c r="X18" s="2431" t="n"/>
      <c r="Y18" s="2431" t="n"/>
      <c r="Z18" s="1833" t="n"/>
      <c r="AA18" s="1833" t="n"/>
      <c r="AB18" s="1833" t="n"/>
      <c r="AC18" s="1833" t="n"/>
      <c r="AD18" s="1833" t="n"/>
      <c r="AE18" s="1833" t="n"/>
      <c r="AF18" s="1833" t="n"/>
    </row>
    <row r="19" outlineLevel="1" ht="10.75" customFormat="1" customHeight="1" s="432" thickBot="1">
      <c r="C19" s="844" t="n"/>
      <c r="D19" s="2439">
        <f>'GPC Data'!E134</f>
        <v/>
      </c>
      <c r="E19" s="2429" t="n"/>
      <c r="F19" s="2430">
        <f>IFERROR(Growth!F14/Growth!#REF!,"")</f>
        <v/>
      </c>
      <c r="G19" s="2430">
        <f>IFERROR(Growth!G14/Growth!#REF!,"")</f>
        <v/>
      </c>
      <c r="H19" s="2430">
        <f>'GPC Data'!F202</f>
        <v/>
      </c>
      <c r="I19" s="2430">
        <f>'GPC Data'!G202</f>
        <v/>
      </c>
      <c r="J19" s="2430">
        <f>'GPC Data'!H202</f>
        <v/>
      </c>
      <c r="K19" s="2430">
        <f>'GPC Data'!I202</f>
        <v/>
      </c>
      <c r="L19" s="2430">
        <f>'GPC Data'!J202</f>
        <v/>
      </c>
      <c r="M19" s="2430">
        <f>'GPC Data'!K202</f>
        <v/>
      </c>
      <c r="N19" s="2430" t="n"/>
      <c r="O19" s="2430" t="n"/>
      <c r="P19" s="443" t="inlineStr">
        <is>
          <t>Yes</t>
        </is>
      </c>
      <c r="Q19" s="2383" t="n"/>
      <c r="R19" s="2431" t="n"/>
      <c r="S19" s="2431" t="n"/>
      <c r="T19" s="2437" t="n"/>
      <c r="U19" s="2438" t="n"/>
      <c r="V19" s="2431" t="n"/>
      <c r="W19" s="2431" t="n"/>
      <c r="X19" s="2431" t="n"/>
      <c r="Y19" s="2431" t="n"/>
      <c r="Z19" s="1833" t="n"/>
      <c r="AA19" s="1833" t="n"/>
      <c r="AB19" s="1833" t="n"/>
      <c r="AC19" s="1833" t="n"/>
      <c r="AD19" s="1833" t="n"/>
      <c r="AE19" s="1833" t="n"/>
      <c r="AF19" s="1833" t="n"/>
    </row>
    <row r="20" outlineLevel="1" ht="10.75" customFormat="1" customHeight="1" s="432" thickBot="1">
      <c r="C20" s="844" t="n"/>
      <c r="D20" s="2439">
        <f>'GPC Data'!E135</f>
        <v/>
      </c>
      <c r="E20" s="2429" t="n"/>
      <c r="F20" s="2430">
        <f>IFERROR(Growth!F15/Growth!#REF!,"")</f>
        <v/>
      </c>
      <c r="G20" s="2430">
        <f>IFERROR(Growth!G15/Growth!#REF!,"")</f>
        <v/>
      </c>
      <c r="H20" s="2430">
        <f>'GPC Data'!F203</f>
        <v/>
      </c>
      <c r="I20" s="2430">
        <f>'GPC Data'!G203</f>
        <v/>
      </c>
      <c r="J20" s="2430">
        <f>'GPC Data'!H203</f>
        <v/>
      </c>
      <c r="K20" s="2430">
        <f>'GPC Data'!I203</f>
        <v/>
      </c>
      <c r="L20" s="2430">
        <f>'GPC Data'!J203</f>
        <v/>
      </c>
      <c r="M20" s="2430">
        <f>'GPC Data'!K203</f>
        <v/>
      </c>
      <c r="N20" s="2430" t="n"/>
      <c r="O20" s="2430" t="n"/>
      <c r="P20" s="443" t="inlineStr">
        <is>
          <t>Yes</t>
        </is>
      </c>
      <c r="Q20" s="2383" t="n"/>
      <c r="R20" s="2431" t="n"/>
      <c r="S20" s="2431" t="n"/>
      <c r="T20" s="2437" t="n"/>
      <c r="U20" s="2438" t="n"/>
      <c r="V20" s="2431" t="n"/>
      <c r="W20" s="2431" t="n"/>
      <c r="X20" s="2431" t="n"/>
      <c r="Y20" s="2431" t="n"/>
      <c r="Z20" s="1833" t="n"/>
      <c r="AA20" s="1833" t="n"/>
      <c r="AB20" s="1833" t="n"/>
      <c r="AC20" s="1833" t="n"/>
      <c r="AD20" s="1833" t="n"/>
      <c r="AE20" s="1833" t="n"/>
      <c r="AF20" s="1833" t="n"/>
    </row>
    <row r="21" outlineLevel="1" ht="10.75" customFormat="1" customHeight="1" s="432" thickBot="1">
      <c r="C21" s="844" t="n"/>
      <c r="D21" s="2439">
        <f>'GPC Data'!E136</f>
        <v/>
      </c>
      <c r="E21" s="2429" t="n"/>
      <c r="F21" s="2430">
        <f>IFERROR(Growth!F16/Growth!#REF!,"")</f>
        <v/>
      </c>
      <c r="G21" s="2430">
        <f>IFERROR(Growth!G16/Growth!#REF!,"")</f>
        <v/>
      </c>
      <c r="H21" s="2430">
        <f>'GPC Data'!F204</f>
        <v/>
      </c>
      <c r="I21" s="2430">
        <f>'GPC Data'!G204</f>
        <v/>
      </c>
      <c r="J21" s="2430">
        <f>'GPC Data'!H204</f>
        <v/>
      </c>
      <c r="K21" s="2430">
        <f>'GPC Data'!I204</f>
        <v/>
      </c>
      <c r="L21" s="2430">
        <f>'GPC Data'!J204</f>
        <v/>
      </c>
      <c r="M21" s="2430">
        <f>'GPC Data'!K204</f>
        <v/>
      </c>
      <c r="N21" s="2430" t="n"/>
      <c r="O21" s="2430" t="n"/>
      <c r="P21" s="443" t="inlineStr">
        <is>
          <t>Yes</t>
        </is>
      </c>
      <c r="Q21" s="2383" t="n"/>
      <c r="R21" s="2431" t="n"/>
      <c r="S21" s="2431" t="n"/>
      <c r="T21" s="2437" t="n"/>
      <c r="U21" s="2438" t="n"/>
      <c r="V21" s="2431" t="n"/>
      <c r="W21" s="2431" t="n"/>
      <c r="X21" s="2431" t="n"/>
      <c r="Y21" s="2431" t="n"/>
      <c r="Z21" s="1833" t="n"/>
      <c r="AA21" s="1833" t="n"/>
      <c r="AB21" s="1833" t="n"/>
      <c r="AC21" s="1833" t="n"/>
      <c r="AD21" s="1833" t="n"/>
      <c r="AE21" s="1833" t="n"/>
      <c r="AF21" s="1833" t="n"/>
    </row>
    <row r="22" outlineLevel="1" ht="10.75" customFormat="1" customHeight="1" s="432" thickBot="1">
      <c r="C22" s="844" t="n"/>
      <c r="D22" s="2439">
        <f>'GPC Data'!E137</f>
        <v/>
      </c>
      <c r="E22" s="2429" t="n"/>
      <c r="F22" s="2430">
        <f>IFERROR(Growth!F17/Growth!#REF!,"")</f>
        <v/>
      </c>
      <c r="G22" s="2430">
        <f>IFERROR(Growth!G17/Growth!#REF!,"")</f>
        <v/>
      </c>
      <c r="H22" s="2430">
        <f>'GPC Data'!F205</f>
        <v/>
      </c>
      <c r="I22" s="2430">
        <f>'GPC Data'!G205</f>
        <v/>
      </c>
      <c r="J22" s="2430">
        <f>'GPC Data'!H205</f>
        <v/>
      </c>
      <c r="K22" s="2430">
        <f>'GPC Data'!I205</f>
        <v/>
      </c>
      <c r="L22" s="2430">
        <f>'GPC Data'!J205</f>
        <v/>
      </c>
      <c r="M22" s="2430">
        <f>'GPC Data'!K205</f>
        <v/>
      </c>
      <c r="N22" s="2430" t="n"/>
      <c r="O22" s="2430" t="n"/>
      <c r="P22" s="443" t="inlineStr">
        <is>
          <t>Yes</t>
        </is>
      </c>
      <c r="Q22" s="2383" t="n"/>
      <c r="R22" s="2431" t="n"/>
      <c r="S22" s="2431" t="n"/>
      <c r="T22" s="2437" t="n"/>
      <c r="U22" s="2438" t="n"/>
      <c r="V22" s="2431" t="n"/>
      <c r="W22" s="2431" t="n"/>
      <c r="X22" s="2431" t="n"/>
      <c r="Y22" s="2431" t="n"/>
      <c r="Z22" s="1833" t="n"/>
      <c r="AA22" s="1833" t="n"/>
      <c r="AB22" s="1833" t="n"/>
      <c r="AC22" s="1833" t="n"/>
      <c r="AD22" s="1833" t="n"/>
      <c r="AE22" s="1833" t="n"/>
      <c r="AF22" s="1833" t="n"/>
    </row>
    <row r="23" outlineLevel="1" ht="10.75" customFormat="1" customHeight="1" s="432" thickBot="1">
      <c r="C23" s="844" t="n"/>
      <c r="D23" s="2439">
        <f>'GPC Data'!E138</f>
        <v/>
      </c>
      <c r="E23" s="2429" t="n"/>
      <c r="F23" s="2430">
        <f>IFERROR(Growth!F18/Growth!#REF!,"")</f>
        <v/>
      </c>
      <c r="G23" s="2430">
        <f>IFERROR(Growth!G18/Growth!#REF!,"")</f>
        <v/>
      </c>
      <c r="H23" s="2430">
        <f>'GPC Data'!F206</f>
        <v/>
      </c>
      <c r="I23" s="2430">
        <f>'GPC Data'!G206</f>
        <v/>
      </c>
      <c r="J23" s="2430">
        <f>'GPC Data'!H206</f>
        <v/>
      </c>
      <c r="K23" s="2430">
        <f>'GPC Data'!I206</f>
        <v/>
      </c>
      <c r="L23" s="2430">
        <f>'GPC Data'!J206</f>
        <v/>
      </c>
      <c r="M23" s="2430">
        <f>'GPC Data'!K206</f>
        <v/>
      </c>
      <c r="N23" s="2430" t="n"/>
      <c r="O23" s="2430" t="n"/>
      <c r="P23" s="443" t="inlineStr">
        <is>
          <t>Yes</t>
        </is>
      </c>
      <c r="Q23" s="2383" t="n"/>
      <c r="R23" s="2431" t="n"/>
      <c r="S23" s="2431" t="n"/>
      <c r="T23" s="2437" t="n"/>
      <c r="U23" s="2438" t="n"/>
      <c r="V23" s="2431" t="n"/>
      <c r="W23" s="2431" t="n"/>
      <c r="X23" s="2431" t="n"/>
      <c r="Y23" s="2431" t="n"/>
      <c r="Z23" s="1833" t="n"/>
      <c r="AA23" s="1833" t="n"/>
      <c r="AB23" s="1833" t="n"/>
      <c r="AC23" s="1833" t="n"/>
      <c r="AD23" s="1833" t="n"/>
      <c r="AE23" s="1833" t="n"/>
      <c r="AF23" s="1833" t="n"/>
    </row>
    <row r="24" outlineLevel="1" ht="10.75" customFormat="1" customHeight="1" s="432" thickBot="1">
      <c r="C24" s="844" t="n"/>
      <c r="D24" s="2439">
        <f>'GPC Data'!E139</f>
        <v/>
      </c>
      <c r="E24" s="2429" t="n"/>
      <c r="F24" s="2430">
        <f>IFERROR(Growth!F19/Growth!#REF!,"")</f>
        <v/>
      </c>
      <c r="G24" s="2430">
        <f>IFERROR(Growth!G19/Growth!#REF!,"")</f>
        <v/>
      </c>
      <c r="H24" s="2430">
        <f>'GPC Data'!F207</f>
        <v/>
      </c>
      <c r="I24" s="2430">
        <f>'GPC Data'!G207</f>
        <v/>
      </c>
      <c r="J24" s="2430">
        <f>'GPC Data'!H207</f>
        <v/>
      </c>
      <c r="K24" s="2430">
        <f>'GPC Data'!I207</f>
        <v/>
      </c>
      <c r="L24" s="2430">
        <f>'GPC Data'!J207</f>
        <v/>
      </c>
      <c r="M24" s="2430">
        <f>'GPC Data'!K207</f>
        <v/>
      </c>
      <c r="N24" s="2430" t="n"/>
      <c r="O24" s="2430" t="n"/>
      <c r="P24" s="443" t="inlineStr">
        <is>
          <t>Yes</t>
        </is>
      </c>
      <c r="Q24" s="2383" t="n"/>
      <c r="R24" s="2431" t="n"/>
      <c r="S24" s="2431" t="n"/>
      <c r="T24" s="2437" t="n"/>
      <c r="U24" s="2438" t="n"/>
      <c r="V24" s="2431" t="n"/>
      <c r="W24" s="2431" t="n"/>
      <c r="X24" s="2431" t="n"/>
      <c r="Y24" s="2431" t="n"/>
      <c r="Z24" s="1833" t="n"/>
      <c r="AA24" s="1833" t="n"/>
      <c r="AB24" s="1833" t="n"/>
      <c r="AC24" s="1833" t="n"/>
      <c r="AD24" s="1833" t="n"/>
      <c r="AE24" s="1833" t="n"/>
      <c r="AF24" s="1833" t="n"/>
    </row>
    <row r="25" outlineLevel="1" ht="10.75" customFormat="1" customHeight="1" s="432" thickBot="1">
      <c r="C25" s="844" t="n"/>
      <c r="D25" s="2439">
        <f>'GPC Data'!E140</f>
        <v/>
      </c>
      <c r="E25" s="2429" t="n"/>
      <c r="F25" s="2430">
        <f>IFERROR(Growth!F20/Growth!#REF!,"")</f>
        <v/>
      </c>
      <c r="G25" s="2430">
        <f>IFERROR(Growth!G20/Growth!#REF!,"")</f>
        <v/>
      </c>
      <c r="H25" s="2430">
        <f>'GPC Data'!F208</f>
        <v/>
      </c>
      <c r="I25" s="2430">
        <f>'GPC Data'!G208</f>
        <v/>
      </c>
      <c r="J25" s="2430">
        <f>'GPC Data'!H208</f>
        <v/>
      </c>
      <c r="K25" s="2430">
        <f>'GPC Data'!I208</f>
        <v/>
      </c>
      <c r="L25" s="2430">
        <f>'GPC Data'!J208</f>
        <v/>
      </c>
      <c r="M25" s="2430">
        <f>'GPC Data'!K208</f>
        <v/>
      </c>
      <c r="N25" s="2430" t="n"/>
      <c r="O25" s="2430" t="n"/>
      <c r="P25" s="443" t="inlineStr">
        <is>
          <t>Yes</t>
        </is>
      </c>
      <c r="Q25" s="2383" t="n"/>
      <c r="R25" s="2431" t="n"/>
      <c r="S25" s="2431" t="n"/>
      <c r="T25" s="2437" t="n"/>
      <c r="U25" s="2438" t="n"/>
      <c r="V25" s="2431" t="n"/>
      <c r="W25" s="2431" t="n"/>
      <c r="X25" s="2431" t="n"/>
      <c r="Y25" s="2431" t="n"/>
      <c r="Z25" s="1833" t="n"/>
      <c r="AA25" s="1833" t="n"/>
      <c r="AB25" s="1833" t="n"/>
      <c r="AC25" s="1833" t="n"/>
      <c r="AD25" s="1833" t="n"/>
      <c r="AE25" s="1833" t="n"/>
      <c r="AF25" s="1833" t="n"/>
    </row>
    <row r="26" outlineLevel="1" ht="10.75" customFormat="1" customHeight="1" s="432" thickBot="1">
      <c r="C26" s="844" t="n"/>
      <c r="D26" s="2439">
        <f>'GPC Data'!E141</f>
        <v/>
      </c>
      <c r="E26" s="2429" t="n"/>
      <c r="F26" s="2430">
        <f>IFERROR(Growth!F21/Growth!#REF!,"")</f>
        <v/>
      </c>
      <c r="G26" s="2430">
        <f>IFERROR(Growth!G21/Growth!#REF!,"")</f>
        <v/>
      </c>
      <c r="H26" s="2430">
        <f>'GPC Data'!F209</f>
        <v/>
      </c>
      <c r="I26" s="2430">
        <f>'GPC Data'!G209</f>
        <v/>
      </c>
      <c r="J26" s="2430">
        <f>'GPC Data'!H209</f>
        <v/>
      </c>
      <c r="K26" s="2430">
        <f>'GPC Data'!I209</f>
        <v/>
      </c>
      <c r="L26" s="2430">
        <f>'GPC Data'!J209</f>
        <v/>
      </c>
      <c r="M26" s="2430">
        <f>'GPC Data'!K209</f>
        <v/>
      </c>
      <c r="N26" s="2430" t="n"/>
      <c r="O26" s="2430" t="n"/>
      <c r="P26" s="443" t="inlineStr">
        <is>
          <t>Yes</t>
        </is>
      </c>
      <c r="Q26" s="2383" t="n"/>
      <c r="R26" s="2431" t="n"/>
      <c r="S26" s="2431" t="n"/>
      <c r="T26" s="2437" t="n"/>
      <c r="U26" s="2438" t="n"/>
      <c r="V26" s="2431" t="n"/>
      <c r="W26" s="2431" t="n"/>
      <c r="X26" s="2431" t="n"/>
      <c r="Y26" s="2431" t="n"/>
      <c r="Z26" s="1833" t="n"/>
      <c r="AA26" s="1833" t="n"/>
      <c r="AB26" s="1833" t="n"/>
      <c r="AC26" s="1833" t="n"/>
      <c r="AD26" s="1833" t="n"/>
      <c r="AE26" s="1833" t="n"/>
      <c r="AF26" s="1833" t="n"/>
    </row>
    <row r="27" outlineLevel="1" ht="10.75" customFormat="1" customHeight="1" s="432" thickBot="1">
      <c r="C27" s="844" t="n"/>
      <c r="D27" s="2439">
        <f>'GPC Data'!E142</f>
        <v/>
      </c>
      <c r="E27" s="2429" t="n"/>
      <c r="F27" s="2430">
        <f>IFERROR(Growth!F22/Growth!#REF!,"")</f>
        <v/>
      </c>
      <c r="G27" s="2430">
        <f>IFERROR(Growth!G22/Growth!#REF!,"")</f>
        <v/>
      </c>
      <c r="H27" s="2430">
        <f>'GPC Data'!F210</f>
        <v/>
      </c>
      <c r="I27" s="2430">
        <f>'GPC Data'!G210</f>
        <v/>
      </c>
      <c r="J27" s="2430">
        <f>'GPC Data'!H210</f>
        <v/>
      </c>
      <c r="K27" s="2430">
        <f>'GPC Data'!I210</f>
        <v/>
      </c>
      <c r="L27" s="2430">
        <f>'GPC Data'!J210</f>
        <v/>
      </c>
      <c r="M27" s="2430">
        <f>'GPC Data'!K210</f>
        <v/>
      </c>
      <c r="N27" s="2430" t="n"/>
      <c r="O27" s="2430" t="n"/>
      <c r="P27" s="443" t="inlineStr">
        <is>
          <t>Yes</t>
        </is>
      </c>
      <c r="Q27" s="2383" t="n"/>
      <c r="R27" s="2431" t="n"/>
      <c r="S27" s="2431" t="n"/>
      <c r="T27" s="2437" t="n"/>
      <c r="U27" s="2438" t="n"/>
      <c r="V27" s="2431" t="n"/>
      <c r="W27" s="2431" t="n"/>
      <c r="X27" s="2431" t="n"/>
      <c r="Y27" s="2431" t="n"/>
      <c r="Z27" s="1833" t="n"/>
      <c r="AA27" s="1833" t="n"/>
      <c r="AB27" s="1833" t="n"/>
      <c r="AC27" s="1833" t="n"/>
      <c r="AD27" s="1833" t="n"/>
      <c r="AE27" s="1833" t="n"/>
      <c r="AF27" s="1833" t="n"/>
    </row>
    <row r="28" outlineLevel="1" ht="12" customFormat="1" customHeight="1" s="432" thickBot="1">
      <c r="C28" s="844" t="n"/>
      <c r="D28" s="2439">
        <f>'GPC Data'!E143</f>
        <v/>
      </c>
      <c r="E28" s="2429" t="n"/>
      <c r="F28" s="2430">
        <f>IFERROR(Growth!F23/Growth!#REF!,"")</f>
        <v/>
      </c>
      <c r="G28" s="2430">
        <f>IFERROR(Growth!G23/Growth!#REF!,"")</f>
        <v/>
      </c>
      <c r="H28" s="2430">
        <f>'GPC Data'!F211</f>
        <v/>
      </c>
      <c r="I28" s="2430">
        <f>'GPC Data'!G211</f>
        <v/>
      </c>
      <c r="J28" s="2430">
        <f>'GPC Data'!H211</f>
        <v/>
      </c>
      <c r="K28" s="2430">
        <f>'GPC Data'!I211</f>
        <v/>
      </c>
      <c r="L28" s="2430">
        <f>'GPC Data'!J211</f>
        <v/>
      </c>
      <c r="M28" s="2430">
        <f>'GPC Data'!K211</f>
        <v/>
      </c>
      <c r="N28" s="2430" t="n"/>
      <c r="O28" s="2430" t="n"/>
      <c r="P28" s="443" t="inlineStr">
        <is>
          <t>Yes</t>
        </is>
      </c>
      <c r="Q28" s="2383" t="n"/>
      <c r="R28" s="2431" t="n"/>
      <c r="S28" s="2431" t="n"/>
      <c r="T28" s="2437" t="n"/>
      <c r="U28" s="2438" t="n"/>
      <c r="V28" s="2431" t="n"/>
      <c r="W28" s="2431" t="n"/>
      <c r="X28" s="2431" t="n"/>
      <c r="Y28" s="2431" t="n"/>
      <c r="Z28" s="1833" t="n"/>
      <c r="AA28" s="1833" t="n"/>
      <c r="AB28" s="1833" t="n"/>
      <c r="AC28" s="1833" t="n"/>
      <c r="AD28" s="1833" t="n"/>
      <c r="AE28" s="1833" t="n"/>
      <c r="AF28" s="1833" t="n"/>
    </row>
    <row r="29" outlineLevel="1" ht="12" customFormat="1" customHeight="1" s="432" thickBot="1">
      <c r="C29" s="844" t="n"/>
      <c r="D29" s="2439">
        <f>'GPC Data'!E144</f>
        <v/>
      </c>
      <c r="E29" s="2429" t="n"/>
      <c r="F29" s="2430">
        <f>IFERROR(Growth!F24/Growth!#REF!,"")</f>
        <v/>
      </c>
      <c r="G29" s="2430">
        <f>IFERROR(Growth!G24/Growth!#REF!,"")</f>
        <v/>
      </c>
      <c r="H29" s="2430">
        <f>'GPC Data'!F212</f>
        <v/>
      </c>
      <c r="I29" s="2430">
        <f>'GPC Data'!G212</f>
        <v/>
      </c>
      <c r="J29" s="2430">
        <f>'GPC Data'!H212</f>
        <v/>
      </c>
      <c r="K29" s="2430">
        <f>'GPC Data'!I212</f>
        <v/>
      </c>
      <c r="L29" s="2430">
        <f>'GPC Data'!J212</f>
        <v/>
      </c>
      <c r="M29" s="2430">
        <f>'GPC Data'!K212</f>
        <v/>
      </c>
      <c r="N29" s="2430" t="n"/>
      <c r="O29" s="2430" t="n"/>
      <c r="P29" s="443" t="inlineStr">
        <is>
          <t>Yes</t>
        </is>
      </c>
      <c r="Q29" s="2383" t="n"/>
      <c r="R29" s="2431" t="n"/>
      <c r="S29" s="2431" t="n"/>
      <c r="T29" s="2437" t="n"/>
      <c r="U29" s="2438" t="n"/>
      <c r="V29" s="2431" t="n"/>
      <c r="W29" s="2431" t="n"/>
      <c r="X29" s="2431" t="n"/>
      <c r="Y29" s="2431" t="n"/>
      <c r="Z29" s="1833" t="n"/>
      <c r="AA29" s="1833" t="n"/>
      <c r="AB29" s="1833" t="n"/>
      <c r="AC29" s="1833" t="n"/>
      <c r="AD29" s="1833" t="n"/>
      <c r="AE29" s="1833" t="n"/>
      <c r="AF29" s="1833" t="n"/>
    </row>
    <row r="30" outlineLevel="1" ht="12" customFormat="1" customHeight="1" s="432" thickBot="1">
      <c r="C30" s="844" t="n"/>
      <c r="D30" s="2439">
        <f>'GPC Data'!E145</f>
        <v/>
      </c>
      <c r="E30" s="2429" t="n"/>
      <c r="F30" s="2430">
        <f>IFERROR(Growth!F25/Growth!#REF!,"")</f>
        <v/>
      </c>
      <c r="G30" s="2430">
        <f>IFERROR(Growth!G25/Growth!#REF!,"")</f>
        <v/>
      </c>
      <c r="H30" s="2430">
        <f>'GPC Data'!F213</f>
        <v/>
      </c>
      <c r="I30" s="2430">
        <f>'GPC Data'!G213</f>
        <v/>
      </c>
      <c r="J30" s="2430">
        <f>'GPC Data'!H213</f>
        <v/>
      </c>
      <c r="K30" s="2430">
        <f>'GPC Data'!I213</f>
        <v/>
      </c>
      <c r="L30" s="2430">
        <f>'GPC Data'!J213</f>
        <v/>
      </c>
      <c r="M30" s="2430">
        <f>'GPC Data'!K213</f>
        <v/>
      </c>
      <c r="N30" s="2430" t="n"/>
      <c r="O30" s="2430" t="n"/>
      <c r="P30" s="443" t="inlineStr">
        <is>
          <t>Yes</t>
        </is>
      </c>
      <c r="Q30" s="2383" t="n"/>
      <c r="R30" s="2431" t="n"/>
      <c r="S30" s="2431" t="n"/>
      <c r="T30" s="2437" t="n"/>
      <c r="U30" s="2438" t="n"/>
      <c r="V30" s="2431" t="n"/>
      <c r="W30" s="2431" t="n"/>
      <c r="X30" s="2431" t="n"/>
      <c r="Y30" s="2431" t="n"/>
      <c r="Z30" s="1833" t="n"/>
      <c r="AA30" s="1833" t="n"/>
      <c r="AB30" s="1833" t="n"/>
      <c r="AC30" s="1833" t="n"/>
      <c r="AD30" s="1833" t="n"/>
      <c r="AE30" s="1833" t="n"/>
      <c r="AF30" s="1833" t="n"/>
    </row>
    <row r="31" outlineLevel="1" ht="12" customFormat="1" customHeight="1" s="432" thickBot="1">
      <c r="C31" s="844" t="n"/>
      <c r="D31" s="2439">
        <f>'GPC Data'!E146</f>
        <v/>
      </c>
      <c r="E31" s="2429" t="n"/>
      <c r="F31" s="2430">
        <f>IFERROR(Growth!F26/Growth!#REF!,"")</f>
        <v/>
      </c>
      <c r="G31" s="2430">
        <f>IFERROR(Growth!G26/Growth!#REF!,"")</f>
        <v/>
      </c>
      <c r="H31" s="2430">
        <f>'GPC Data'!F214</f>
        <v/>
      </c>
      <c r="I31" s="2430">
        <f>'GPC Data'!G214</f>
        <v/>
      </c>
      <c r="J31" s="2430">
        <f>'GPC Data'!H214</f>
        <v/>
      </c>
      <c r="K31" s="2430">
        <f>'GPC Data'!I214</f>
        <v/>
      </c>
      <c r="L31" s="2430">
        <f>'GPC Data'!J214</f>
        <v/>
      </c>
      <c r="M31" s="2430">
        <f>'GPC Data'!K214</f>
        <v/>
      </c>
      <c r="N31" s="2430" t="n"/>
      <c r="O31" s="2430" t="n"/>
      <c r="P31" s="443" t="inlineStr">
        <is>
          <t>Yes</t>
        </is>
      </c>
      <c r="Q31" s="2383" t="n"/>
      <c r="R31" s="2431" t="n"/>
      <c r="S31" s="2431" t="n"/>
      <c r="T31" s="2437" t="n"/>
      <c r="U31" s="2438" t="n"/>
      <c r="V31" s="2431" t="n"/>
      <c r="W31" s="2431" t="n"/>
      <c r="X31" s="2431" t="n"/>
      <c r="Y31" s="2431" t="n"/>
      <c r="Z31" s="1833" t="n"/>
      <c r="AA31" s="1833" t="n"/>
      <c r="AB31" s="1833" t="n"/>
      <c r="AC31" s="1833" t="n"/>
      <c r="AD31" s="1833" t="n"/>
      <c r="AE31" s="1833" t="n"/>
      <c r="AF31" s="1833" t="n"/>
    </row>
    <row r="32" outlineLevel="1" ht="12" customFormat="1" customHeight="1" s="432" thickBot="1">
      <c r="C32" s="844" t="n"/>
      <c r="D32" s="2439">
        <f>'GPC Data'!E147</f>
        <v/>
      </c>
      <c r="E32" s="2429" t="n"/>
      <c r="F32" s="2430">
        <f>IFERROR(Growth!F27/Growth!#REF!,"")</f>
        <v/>
      </c>
      <c r="G32" s="2430">
        <f>IFERROR(Growth!G27/Growth!#REF!,"")</f>
        <v/>
      </c>
      <c r="H32" s="2430">
        <f>'GPC Data'!F215</f>
        <v/>
      </c>
      <c r="I32" s="2430">
        <f>'GPC Data'!G215</f>
        <v/>
      </c>
      <c r="J32" s="2430">
        <f>'GPC Data'!H215</f>
        <v/>
      </c>
      <c r="K32" s="2430">
        <f>'GPC Data'!I215</f>
        <v/>
      </c>
      <c r="L32" s="2430">
        <f>'GPC Data'!J215</f>
        <v/>
      </c>
      <c r="M32" s="2430">
        <f>'GPC Data'!K215</f>
        <v/>
      </c>
      <c r="N32" s="2430" t="n"/>
      <c r="O32" s="2430" t="n"/>
      <c r="P32" s="443" t="inlineStr">
        <is>
          <t>Yes</t>
        </is>
      </c>
      <c r="Q32" s="2383" t="n"/>
      <c r="R32" s="2431" t="n"/>
      <c r="S32" s="2431" t="n"/>
      <c r="T32" s="2437" t="n"/>
      <c r="U32" s="2438" t="n"/>
      <c r="V32" s="2431" t="n"/>
      <c r="W32" s="2431" t="n"/>
      <c r="X32" s="2431" t="n"/>
      <c r="Y32" s="2431" t="n"/>
      <c r="Z32" s="1833" t="n"/>
      <c r="AA32" s="1833" t="n"/>
      <c r="AB32" s="1833" t="n"/>
      <c r="AC32" s="1833" t="n"/>
      <c r="AD32" s="1833" t="n"/>
      <c r="AE32" s="1833" t="n"/>
      <c r="AF32" s="1833" t="n"/>
    </row>
    <row r="33" outlineLevel="1" ht="12" customFormat="1" customHeight="1" s="432" thickBot="1">
      <c r="C33" s="844" t="n"/>
      <c r="D33" s="2439">
        <f>'GPC Data'!E148</f>
        <v/>
      </c>
      <c r="E33" s="2429" t="n"/>
      <c r="F33" s="2430">
        <f>IFERROR(Growth!F28/Growth!#REF!,"")</f>
        <v/>
      </c>
      <c r="G33" s="2430">
        <f>IFERROR(Growth!G28/Growth!#REF!,"")</f>
        <v/>
      </c>
      <c r="H33" s="2430">
        <f>'GPC Data'!F216</f>
        <v/>
      </c>
      <c r="I33" s="2430">
        <f>'GPC Data'!G216</f>
        <v/>
      </c>
      <c r="J33" s="2430">
        <f>'GPC Data'!H216</f>
        <v/>
      </c>
      <c r="K33" s="2430">
        <f>'GPC Data'!I216</f>
        <v/>
      </c>
      <c r="L33" s="2430">
        <f>'GPC Data'!J216</f>
        <v/>
      </c>
      <c r="M33" s="2430">
        <f>'GPC Data'!K216</f>
        <v/>
      </c>
      <c r="N33" s="2430" t="n"/>
      <c r="O33" s="2430" t="n"/>
      <c r="P33" s="443" t="inlineStr">
        <is>
          <t>Yes</t>
        </is>
      </c>
      <c r="Q33" s="2383" t="n"/>
      <c r="R33" s="2431" t="n"/>
      <c r="S33" s="2431" t="n"/>
      <c r="T33" s="2437" t="n"/>
      <c r="U33" s="2438" t="n"/>
      <c r="V33" s="2431" t="n"/>
      <c r="W33" s="2431" t="n"/>
      <c r="X33" s="2431" t="n"/>
      <c r="Y33" s="2431" t="n"/>
      <c r="Z33" s="1833" t="n"/>
      <c r="AA33" s="1833" t="n"/>
      <c r="AB33" s="1833" t="n"/>
      <c r="AC33" s="1833" t="n"/>
      <c r="AD33" s="1833" t="n"/>
      <c r="AE33" s="1833" t="n"/>
      <c r="AF33" s="1833" t="n"/>
    </row>
    <row r="34" outlineLevel="1" ht="12" customFormat="1" customHeight="1" s="432" thickBot="1">
      <c r="C34" s="844" t="n"/>
      <c r="D34" s="2439">
        <f>'GPC Data'!E149</f>
        <v/>
      </c>
      <c r="E34" s="2429" t="n"/>
      <c r="F34" s="2430">
        <f>IFERROR(Growth!F29/Growth!#REF!,"")</f>
        <v/>
      </c>
      <c r="G34" s="2430">
        <f>IFERROR(Growth!G29/Growth!#REF!,"")</f>
        <v/>
      </c>
      <c r="H34" s="2430">
        <f>'GPC Data'!F217</f>
        <v/>
      </c>
      <c r="I34" s="2430">
        <f>'GPC Data'!G217</f>
        <v/>
      </c>
      <c r="J34" s="2430">
        <f>'GPC Data'!H217</f>
        <v/>
      </c>
      <c r="K34" s="2430">
        <f>'GPC Data'!I217</f>
        <v/>
      </c>
      <c r="L34" s="2430">
        <f>'GPC Data'!J217</f>
        <v/>
      </c>
      <c r="M34" s="2430">
        <f>'GPC Data'!K217</f>
        <v/>
      </c>
      <c r="N34" s="2430" t="n"/>
      <c r="O34" s="2430" t="n"/>
      <c r="P34" s="443" t="inlineStr">
        <is>
          <t>Yes</t>
        </is>
      </c>
      <c r="Q34" s="2383" t="n"/>
      <c r="R34" s="2431" t="n"/>
      <c r="S34" s="2431" t="n"/>
      <c r="T34" s="2437" t="n"/>
      <c r="U34" s="2438" t="n"/>
      <c r="V34" s="2431" t="n"/>
      <c r="W34" s="2431" t="n"/>
      <c r="X34" s="2431" t="n"/>
      <c r="Y34" s="2431" t="n"/>
      <c r="Z34" s="1833" t="n"/>
      <c r="AA34" s="1833" t="n"/>
      <c r="AB34" s="1833" t="n"/>
      <c r="AC34" s="1833" t="n"/>
      <c r="AD34" s="1833" t="n"/>
      <c r="AE34" s="1833" t="n"/>
      <c r="AF34" s="1833" t="n"/>
    </row>
    <row r="35" outlineLevel="1" ht="12" customFormat="1" customHeight="1" s="432" thickBot="1">
      <c r="C35" s="844" t="n"/>
      <c r="D35" s="2439">
        <f>'GPC Data'!E150</f>
        <v/>
      </c>
      <c r="E35" s="2429" t="n"/>
      <c r="F35" s="2430">
        <f>IFERROR(Growth!F30/Growth!#REF!,"")</f>
        <v/>
      </c>
      <c r="G35" s="2430">
        <f>IFERROR(Growth!G30/Growth!#REF!,"")</f>
        <v/>
      </c>
      <c r="H35" s="2430">
        <f>'GPC Data'!F218</f>
        <v/>
      </c>
      <c r="I35" s="2430">
        <f>'GPC Data'!G218</f>
        <v/>
      </c>
      <c r="J35" s="2430">
        <f>'GPC Data'!H218</f>
        <v/>
      </c>
      <c r="K35" s="2430">
        <f>'GPC Data'!I218</f>
        <v/>
      </c>
      <c r="L35" s="2430">
        <f>'GPC Data'!J218</f>
        <v/>
      </c>
      <c r="M35" s="2430">
        <f>'GPC Data'!K218</f>
        <v/>
      </c>
      <c r="N35" s="2430" t="n"/>
      <c r="O35" s="2430" t="n"/>
      <c r="P35" s="443" t="inlineStr">
        <is>
          <t>Yes</t>
        </is>
      </c>
      <c r="Q35" s="2383" t="n"/>
      <c r="R35" s="2431" t="n"/>
      <c r="S35" s="2431" t="n"/>
      <c r="T35" s="2437" t="n"/>
      <c r="U35" s="2438" t="n"/>
      <c r="V35" s="2431" t="n"/>
      <c r="W35" s="2431" t="n"/>
      <c r="X35" s="2431" t="n"/>
      <c r="Y35" s="2431" t="n"/>
      <c r="Z35" s="1833" t="n"/>
      <c r="AA35" s="1833" t="n"/>
      <c r="AB35" s="1833" t="n"/>
      <c r="AC35" s="1833" t="n"/>
      <c r="AD35" s="1833" t="n"/>
      <c r="AE35" s="1833" t="n"/>
      <c r="AF35" s="1833" t="n"/>
    </row>
    <row r="36" outlineLevel="1" ht="12" customFormat="1" customHeight="1" s="432" thickBot="1">
      <c r="C36" s="844" t="n"/>
      <c r="D36" s="2439">
        <f>'GPC Data'!E151</f>
        <v/>
      </c>
      <c r="E36" s="2429" t="n"/>
      <c r="F36" s="2430">
        <f>IFERROR(Growth!F31/Growth!#REF!,"")</f>
        <v/>
      </c>
      <c r="G36" s="2430">
        <f>IFERROR(Growth!G31/Growth!#REF!,"")</f>
        <v/>
      </c>
      <c r="H36" s="2430">
        <f>'GPC Data'!F219</f>
        <v/>
      </c>
      <c r="I36" s="2430">
        <f>'GPC Data'!G219</f>
        <v/>
      </c>
      <c r="J36" s="2430">
        <f>'GPC Data'!H219</f>
        <v/>
      </c>
      <c r="K36" s="2430">
        <f>'GPC Data'!I219</f>
        <v/>
      </c>
      <c r="L36" s="2430">
        <f>'GPC Data'!J219</f>
        <v/>
      </c>
      <c r="M36" s="2430">
        <f>'GPC Data'!K219</f>
        <v/>
      </c>
      <c r="N36" s="2430" t="n"/>
      <c r="O36" s="2430" t="n"/>
      <c r="P36" s="443" t="inlineStr">
        <is>
          <t>Yes</t>
        </is>
      </c>
      <c r="Q36" s="2383" t="n"/>
      <c r="R36" s="2431" t="n"/>
      <c r="S36" s="2431" t="n"/>
      <c r="T36" s="2437" t="n"/>
      <c r="U36" s="2438" t="n"/>
      <c r="V36" s="2431" t="n"/>
      <c r="W36" s="2431" t="n"/>
      <c r="X36" s="2431" t="n"/>
      <c r="Y36" s="2431" t="n"/>
      <c r="Z36" s="1833" t="n"/>
      <c r="AA36" s="1833" t="n"/>
      <c r="AB36" s="1833" t="n"/>
      <c r="AC36" s="1833" t="n"/>
      <c r="AD36" s="1833" t="n"/>
      <c r="AE36" s="1833" t="n"/>
      <c r="AF36" s="1833" t="n"/>
    </row>
    <row r="37" outlineLevel="1" ht="12" customFormat="1" customHeight="1" s="432" thickBot="1">
      <c r="C37" s="844" t="n"/>
      <c r="D37" s="2439">
        <f>'GPC Data'!E152</f>
        <v/>
      </c>
      <c r="E37" s="2429" t="n"/>
      <c r="F37" s="2430">
        <f>IFERROR(Growth!F32/Growth!#REF!,"")</f>
        <v/>
      </c>
      <c r="G37" s="2430">
        <f>IFERROR(Growth!G32/Growth!#REF!,"")</f>
        <v/>
      </c>
      <c r="H37" s="2430">
        <f>'GPC Data'!F220</f>
        <v/>
      </c>
      <c r="I37" s="2430">
        <f>'GPC Data'!G220</f>
        <v/>
      </c>
      <c r="J37" s="2430">
        <f>'GPC Data'!H220</f>
        <v/>
      </c>
      <c r="K37" s="2430">
        <f>'GPC Data'!I220</f>
        <v/>
      </c>
      <c r="L37" s="2430">
        <f>'GPC Data'!J220</f>
        <v/>
      </c>
      <c r="M37" s="2430">
        <f>'GPC Data'!K220</f>
        <v/>
      </c>
      <c r="N37" s="2430" t="n"/>
      <c r="O37" s="2430" t="n"/>
      <c r="P37" s="443" t="inlineStr">
        <is>
          <t>Yes</t>
        </is>
      </c>
      <c r="Q37" s="2383" t="n"/>
      <c r="R37" s="2431" t="n"/>
      <c r="S37" s="2431" t="n"/>
      <c r="T37" s="2437" t="n"/>
      <c r="U37" s="2438" t="n"/>
      <c r="V37" s="2431" t="n"/>
      <c r="W37" s="2431" t="n"/>
      <c r="X37" s="2431" t="n"/>
      <c r="Y37" s="2431" t="n"/>
      <c r="Z37" s="1833" t="n"/>
      <c r="AA37" s="1833" t="n"/>
      <c r="AB37" s="1833" t="n"/>
      <c r="AC37" s="1833" t="n"/>
      <c r="AD37" s="1833" t="n"/>
      <c r="AE37" s="1833" t="n"/>
      <c r="AF37" s="1833" t="n"/>
    </row>
    <row r="38" outlineLevel="1" ht="12" customFormat="1" customHeight="1" s="432" thickBot="1">
      <c r="C38" s="844" t="n">
        <v>10</v>
      </c>
      <c r="D38" s="2439">
        <f>'GPC Data'!E153</f>
        <v/>
      </c>
      <c r="E38" s="2429" t="n"/>
      <c r="F38" s="2430">
        <f>IFERROR(Growth!F1/Growth!#REF!,"")</f>
        <v/>
      </c>
      <c r="G38" s="2430">
        <f>IFERROR(Growth!G1/Growth!#REF!,"")</f>
        <v/>
      </c>
      <c r="H38" s="2430">
        <f>'GPC Data'!F221</f>
        <v/>
      </c>
      <c r="I38" s="2430">
        <f>'GPC Data'!G221</f>
        <v/>
      </c>
      <c r="J38" s="2430">
        <f>'GPC Data'!H221</f>
        <v/>
      </c>
      <c r="K38" s="2430">
        <f>'GPC Data'!I221</f>
        <v/>
      </c>
      <c r="L38" s="2430">
        <f>'GPC Data'!J221</f>
        <v/>
      </c>
      <c r="M38" s="2430">
        <f>'GPC Data'!K221</f>
        <v/>
      </c>
      <c r="N38" s="2430" t="n"/>
      <c r="O38" s="2430" t="n"/>
      <c r="P38" s="443" t="inlineStr">
        <is>
          <t>Yes</t>
        </is>
      </c>
      <c r="Q38" s="2383" t="n"/>
      <c r="R38" s="2431" t="n"/>
      <c r="S38" s="2431">
        <f>D38</f>
        <v/>
      </c>
      <c r="T38" s="2437">
        <f>I38</f>
        <v/>
      </c>
      <c r="U38" s="2438">
        <f>K38</f>
        <v/>
      </c>
      <c r="V38" s="2431" t="n"/>
      <c r="W38" s="2431" t="n"/>
      <c r="X38" s="2431" t="n"/>
      <c r="Y38" s="2431" t="n"/>
      <c r="Z38" s="1833" t="inlineStr"/>
      <c r="AA38" s="1833" t="inlineStr"/>
      <c r="AB38" s="1833" t="inlineStr"/>
      <c r="AC38" s="1833" t="inlineStr"/>
      <c r="AD38" s="1833" t="inlineStr"/>
      <c r="AE38" s="1833" t="inlineStr"/>
      <c r="AF38" s="1833" t="inlineStr"/>
    </row>
    <row r="39">
      <c r="B39" s="432" t="n"/>
      <c r="D39" s="910">
        <f>"As of "&amp;TEXT(valuation.date,"d mmmm yyy")&amp;"."&amp;" Historical and forecast consensus financial statements for the selected guideline public companies provided by Capital IQ."</f>
        <v/>
      </c>
      <c r="E39" s="2407" t="n"/>
      <c r="F39" s="2407" t="n"/>
      <c r="G39" s="2407" t="n"/>
      <c r="H39" s="2407" t="n"/>
      <c r="I39" s="2407" t="n"/>
      <c r="J39" s="2407" t="n"/>
      <c r="K39" s="2407" t="n"/>
      <c r="L39" s="2407" t="n"/>
      <c r="M39" s="2407" t="n"/>
      <c r="N39" s="2407" t="n"/>
      <c r="O39" s="2407" t="n"/>
      <c r="R39" s="911" t="n"/>
      <c r="S39" s="911" t="n"/>
      <c r="T39" s="911" t="n"/>
      <c r="U39" s="911" t="n"/>
      <c r="V39" s="911" t="n"/>
      <c r="W39" s="911" t="n"/>
      <c r="X39" s="911" t="n"/>
      <c r="Y39" s="911" t="n"/>
      <c r="Z39" s="2407" t="n"/>
      <c r="AA39" s="2407" t="n"/>
      <c r="AB39" s="2407" t="n"/>
      <c r="AC39" s="2407" t="n"/>
      <c r="AD39" s="2407" t="n"/>
      <c r="AE39" s="2407" t="n"/>
      <c r="AF39" s="2407" t="n"/>
    </row>
    <row r="40">
      <c r="B40" s="432" t="n"/>
      <c r="D40" s="910" t="n"/>
      <c r="E40" s="2407" t="n"/>
      <c r="F40" s="2407" t="n"/>
      <c r="G40" s="2407" t="n"/>
      <c r="H40" s="2407" t="n"/>
      <c r="I40" s="2407" t="n"/>
      <c r="J40" s="2407" t="n"/>
      <c r="K40" s="2407" t="n"/>
      <c r="L40" s="2407" t="n"/>
      <c r="M40" s="2407" t="n"/>
      <c r="N40" s="2407" t="n"/>
      <c r="O40" s="2407" t="n"/>
      <c r="R40" s="911" t="n"/>
      <c r="S40" s="911" t="n"/>
      <c r="T40" s="911" t="n"/>
      <c r="U40" s="911" t="n"/>
      <c r="V40" s="911" t="n"/>
      <c r="W40" s="911" t="n"/>
      <c r="X40" s="911" t="n"/>
      <c r="Y40" s="911" t="n"/>
      <c r="Z40" s="2407" t="n"/>
      <c r="AA40" s="2407" t="n"/>
      <c r="AB40" s="2407" t="n"/>
      <c r="AC40" s="2407" t="n"/>
      <c r="AD40" s="2407" t="n"/>
      <c r="AE40" s="2407" t="n"/>
      <c r="AF40" s="2407" t="n"/>
    </row>
    <row r="41">
      <c r="E41" s="2410" t="inlineStr">
        <is>
          <t>High</t>
        </is>
      </c>
      <c r="F41" s="2412">
        <f>MAX(F9:F38)</f>
        <v/>
      </c>
      <c r="G41" s="2412">
        <f>MAX(G9:G38)</f>
        <v/>
      </c>
      <c r="H41" s="2412">
        <f>MAX(H9:H38)</f>
        <v/>
      </c>
      <c r="I41" s="2412">
        <f>MAX(I9:I38)</f>
        <v/>
      </c>
      <c r="J41" s="2412">
        <f>MAX(J9:J38)</f>
        <v/>
      </c>
      <c r="K41" s="2412">
        <f>MAX(K9:K38)</f>
        <v/>
      </c>
      <c r="L41" s="2412">
        <f>MAX(L9:L38)</f>
        <v/>
      </c>
      <c r="M41" s="2412">
        <f>MAX(M9:M38)</f>
        <v/>
      </c>
      <c r="N41" s="2330" t="n"/>
      <c r="O41" s="2330" t="n"/>
      <c r="Z41" s="2407" t="n"/>
      <c r="AA41" s="2407" t="inlineStr"/>
      <c r="AB41" s="2407" t="inlineStr"/>
      <c r="AC41" s="2407" t="inlineStr"/>
      <c r="AD41" s="2407" t="inlineStr"/>
      <c r="AE41" s="2407" t="inlineStr"/>
      <c r="AF41" s="2407" t="inlineStr"/>
    </row>
    <row r="42">
      <c r="E42" s="2408" t="inlineStr">
        <is>
          <t>75th Percentile</t>
        </is>
      </c>
      <c r="F42" s="2330">
        <f>PERCENTILE(F9:F38,0.75)</f>
        <v/>
      </c>
      <c r="G42" s="2330">
        <f>PERCENTILE(G9:G38,0.75)</f>
        <v/>
      </c>
      <c r="H42" s="2330">
        <f>PERCENTILE(H9:H38,0.75)</f>
        <v/>
      </c>
      <c r="I42" s="2330">
        <f>PERCENTILE(I9:I38,0.75)</f>
        <v/>
      </c>
      <c r="J42" s="2330">
        <f>PERCENTILE(J9:J38,0.75)</f>
        <v/>
      </c>
      <c r="K42" s="2330">
        <f>PERCENTILE(K9:K38,0.75)</f>
        <v/>
      </c>
      <c r="L42" s="2330">
        <f>PERCENTILE(L9:L38,0.75)</f>
        <v/>
      </c>
      <c r="M42" s="2330">
        <f>PERCENTILE(M9:M38,0.75)</f>
        <v/>
      </c>
      <c r="N42" s="2330" t="n"/>
      <c r="O42" s="2330" t="n"/>
      <c r="Z42" s="2407" t="n"/>
      <c r="AA42" s="2407" t="n"/>
      <c r="AB42" s="2407" t="n"/>
      <c r="AC42" s="2407" t="n"/>
      <c r="AD42" s="2407" t="n"/>
      <c r="AE42" s="2407" t="n"/>
      <c r="AF42" s="2407" t="n"/>
    </row>
    <row r="43">
      <c r="E43" s="2408" t="inlineStr">
        <is>
          <t>Mean</t>
        </is>
      </c>
      <c r="F43" s="2330">
        <f>AVERAGE(F9:F38)</f>
        <v/>
      </c>
      <c r="G43" s="2330">
        <f>AVERAGE(G9:G38)</f>
        <v/>
      </c>
      <c r="H43" s="2330">
        <f>AVERAGE(H9:H38)</f>
        <v/>
      </c>
      <c r="I43" s="2330">
        <f>AVERAGE(I9:I38)</f>
        <v/>
      </c>
      <c r="J43" s="2330">
        <f>AVERAGE(J9:J38)</f>
        <v/>
      </c>
      <c r="K43" s="2330">
        <f>AVERAGE(K9:K38)</f>
        <v/>
      </c>
      <c r="L43" s="2330">
        <f>AVERAGE(L9:L38)</f>
        <v/>
      </c>
      <c r="M43" s="2330">
        <f>AVERAGE(M9:M38)</f>
        <v/>
      </c>
      <c r="N43" s="2330" t="n"/>
      <c r="O43" s="2330" t="n"/>
      <c r="Z43" s="2408" t="inlineStr"/>
      <c r="AA43" s="2408" t="inlineStr"/>
      <c r="AB43" s="2408" t="inlineStr"/>
      <c r="AC43" s="2408" t="inlineStr"/>
      <c r="AD43" s="2408" t="inlineStr"/>
      <c r="AE43" s="2408" t="inlineStr"/>
      <c r="AF43" s="2408" t="inlineStr"/>
    </row>
    <row r="44" ht="13" customHeight="1">
      <c r="E44" s="2417" t="inlineStr">
        <is>
          <t>Median</t>
        </is>
      </c>
      <c r="F44" s="2415">
        <f>MEDIAN(F9:F38)</f>
        <v/>
      </c>
      <c r="G44" s="2415">
        <f>MEDIAN(G9:G38)</f>
        <v/>
      </c>
      <c r="H44" s="2415">
        <f>MEDIAN(H9:H38)</f>
        <v/>
      </c>
      <c r="I44" s="2415">
        <f>MEDIAN(I9:I38)</f>
        <v/>
      </c>
      <c r="J44" s="2415">
        <f>MEDIAN(J9:J38)</f>
        <v/>
      </c>
      <c r="K44" s="2415">
        <f>MEDIAN(K9:K38)</f>
        <v/>
      </c>
      <c r="L44" s="2415">
        <f>MEDIAN(L9:L38)</f>
        <v/>
      </c>
      <c r="M44" s="2415">
        <f>MEDIAN(M9:M38)</f>
        <v/>
      </c>
      <c r="N44" s="2330" t="n"/>
      <c r="O44" s="2330" t="n"/>
      <c r="Z44" s="2420" t="inlineStr"/>
      <c r="AA44" s="2420" t="inlineStr"/>
      <c r="AB44" s="2420" t="inlineStr"/>
      <c r="AC44" s="2420" t="inlineStr"/>
      <c r="AD44" s="2420" t="inlineStr"/>
      <c r="AE44" s="2420" t="inlineStr"/>
      <c r="AF44" s="2420" t="inlineStr"/>
    </row>
    <row r="45" ht="13" customHeight="1">
      <c r="E45" s="2408" t="inlineStr">
        <is>
          <t>25th Percentile</t>
        </is>
      </c>
      <c r="F45" s="2330">
        <f>PERCENTILE(F9:F38,0.25)</f>
        <v/>
      </c>
      <c r="G45" s="2330">
        <f>PERCENTILE(G9:G38,0.25)</f>
        <v/>
      </c>
      <c r="H45" s="2330">
        <f>PERCENTILE(H9:H38,0.25)</f>
        <v/>
      </c>
      <c r="I45" s="2330">
        <f>PERCENTILE(I9:I38,0.25)</f>
        <v/>
      </c>
      <c r="J45" s="2330">
        <f>PERCENTILE(J9:J38,0.25)</f>
        <v/>
      </c>
      <c r="K45" s="2330">
        <f>PERCENTILE(K9:K38,0.25)</f>
        <v/>
      </c>
      <c r="L45" s="2330">
        <f>PERCENTILE(L9:L38,0.25)</f>
        <v/>
      </c>
      <c r="M45" s="2330">
        <f>PERCENTILE(M9:M38,0.25)</f>
        <v/>
      </c>
      <c r="N45" s="2330" t="n"/>
      <c r="O45" s="2330" t="n"/>
      <c r="Z45" s="2420" t="n"/>
      <c r="AA45" s="2420" t="n"/>
      <c r="AB45" s="2420" t="n"/>
      <c r="AC45" s="2420" t="n"/>
      <c r="AD45" s="2420" t="n"/>
      <c r="AE45" s="2420" t="n"/>
      <c r="AF45" s="2420" t="n"/>
    </row>
    <row r="46">
      <c r="E46" s="2421" t="inlineStr">
        <is>
          <t>Low</t>
        </is>
      </c>
      <c r="F46" s="2423">
        <f>MIN(F9:F38)</f>
        <v/>
      </c>
      <c r="G46" s="2423">
        <f>MIN(G9:G38)</f>
        <v/>
      </c>
      <c r="H46" s="2423">
        <f>MIN(H9:H38)</f>
        <v/>
      </c>
      <c r="I46" s="2423">
        <f>MIN(I9:I38)</f>
        <v/>
      </c>
      <c r="J46" s="2423">
        <f>MIN(J9:J38)</f>
        <v/>
      </c>
      <c r="K46" s="2423">
        <f>MIN(K9:K38)</f>
        <v/>
      </c>
      <c r="L46" s="2423">
        <f>MIN(L9:L38)</f>
        <v/>
      </c>
      <c r="M46" s="2423">
        <f>MIN(M9:M38)</f>
        <v/>
      </c>
      <c r="N46" s="2330" t="n"/>
      <c r="O46" s="2330" t="n"/>
      <c r="Z46" s="2408" t="inlineStr"/>
      <c r="AA46" s="2408" t="inlineStr"/>
      <c r="AB46" s="2408" t="inlineStr"/>
      <c r="AC46" s="2408" t="inlineStr"/>
      <c r="AD46" s="2408" t="inlineStr"/>
      <c r="AE46" s="2408" t="inlineStr"/>
      <c r="AF46" s="2408" t="inlineStr"/>
    </row>
    <row r="47">
      <c r="E47" s="2440" t="n"/>
      <c r="F47" s="2330" t="n"/>
      <c r="G47" s="2330" t="n"/>
      <c r="H47" s="2330" t="n"/>
      <c r="I47" s="2330" t="n"/>
      <c r="J47" s="2330" t="n"/>
      <c r="K47" s="2408" t="n"/>
      <c r="L47" s="2408" t="n"/>
      <c r="Z47" s="2408" t="n"/>
      <c r="AA47" s="2408" t="n"/>
      <c r="AB47" s="2408" t="n"/>
      <c r="AC47" s="2408" t="n"/>
      <c r="AD47" s="2408" t="n"/>
      <c r="AE47" s="2408" t="n"/>
      <c r="AF47" s="2408" t="n"/>
    </row>
    <row r="48">
      <c r="E48" s="466" t="inlineStr">
        <is>
          <t>Excluding outliers</t>
        </is>
      </c>
      <c r="F48" s="2330" t="n"/>
      <c r="G48" s="2330" t="n"/>
      <c r="H48" s="2330" t="n"/>
      <c r="I48" s="2330" t="n"/>
      <c r="J48" s="2330" t="n"/>
      <c r="K48" s="2408" t="n"/>
      <c r="L48" s="2408" t="n"/>
      <c r="Z48" s="2408" t="n"/>
      <c r="AA48" s="2408" t="n"/>
      <c r="AB48" s="2408" t="n"/>
      <c r="AC48" s="2408" t="n"/>
      <c r="AD48" s="2408" t="n"/>
      <c r="AE48" s="2408" t="n"/>
      <c r="AF48" s="2408" t="n"/>
    </row>
    <row r="49">
      <c r="E49" s="2410" t="inlineStr">
        <is>
          <t>High</t>
        </is>
      </c>
      <c r="F49" s="2412">
        <f t="array" ref="F49">IFERROR(MAX(IF($P$59:$P$88="No",F9:F38)),"")</f>
        <v/>
      </c>
      <c r="G49" s="2412">
        <f t="array" ref="G49">IFERROR(MAX(IF($P$59:$P$88="No",G9:G38)),"")</f>
        <v/>
      </c>
      <c r="H49" s="2412">
        <f t="array" ref="H49">IFERROR(MAX(IF($P$59:$P$88="No",H9:H38)),"")</f>
        <v/>
      </c>
      <c r="I49" s="2412">
        <f t="array" ref="I49">IFERROR(MAX(IF($P$59:$P$88="No",I9:I38)),"")</f>
        <v/>
      </c>
      <c r="J49" s="2412">
        <f t="array" ref="J49">IFERROR(MAX(IF($P$59:$P$88="No",J9:J38)),"")</f>
        <v/>
      </c>
      <c r="K49" s="2412">
        <f t="array" ref="K49">IFERROR(MAX(IF($P$59:$P$88="No",K9:K38)),"")</f>
        <v/>
      </c>
      <c r="L49" s="2412">
        <f t="array" ref="L49">IFERROR(MAX(IF($P$59:$P$88="No",L9:L38)),"")</f>
        <v/>
      </c>
      <c r="M49" s="2412">
        <f t="array" ref="M49">IFERROR(MAX(IF($P$59:$P$88="No",M9:M38)),"")</f>
        <v/>
      </c>
      <c r="N49" s="2330" t="n"/>
      <c r="O49" s="2330" t="n"/>
      <c r="Z49" s="2408" t="n"/>
      <c r="AA49" s="2408" t="n"/>
      <c r="AB49" s="2408" t="n"/>
      <c r="AC49" s="2408" t="n"/>
      <c r="AD49" s="2408" t="n"/>
      <c r="AE49" s="2408" t="n"/>
      <c r="AF49" s="2408" t="n"/>
    </row>
    <row r="50">
      <c r="E50" s="2408" t="inlineStr">
        <is>
          <t>75th Percentile</t>
        </is>
      </c>
      <c r="F50" s="2330">
        <f t="array" ref="F50">PERCENTILE(IF($P$59:$P$88="No",F9:F38),0.75)</f>
        <v/>
      </c>
      <c r="G50" s="2330">
        <f t="array" ref="G50">PERCENTILE(IF($P$59:$P$88="No",G9:G38),0.75)</f>
        <v/>
      </c>
      <c r="H50" s="2330">
        <f t="array" ref="H50">PERCENTILE(IF($P$59:$P$88="No",H9:H38),0.75)</f>
        <v/>
      </c>
      <c r="I50" s="2330">
        <f t="array" ref="I50">PERCENTILE(IF($P$59:$P$88="No",I9:I38),0.75)</f>
        <v/>
      </c>
      <c r="J50" s="2330">
        <f t="array" ref="J50">PERCENTILE(IF($P$59:$P$88="No",J9:J38),0.75)</f>
        <v/>
      </c>
      <c r="K50" s="2330">
        <f t="array" ref="K50">PERCENTILE(IF($P$59:$P$88="No",K9:K38),0.75)</f>
        <v/>
      </c>
      <c r="L50" s="2330">
        <f t="array" ref="L50">PERCENTILE(IF($P$59:$P$88="No",L9:L38),0.75)</f>
        <v/>
      </c>
      <c r="M50" s="2330">
        <f t="array" ref="M50">PERCENTILE(IF($P$59:$P$88="No",M9:M38),0.75)</f>
        <v/>
      </c>
      <c r="N50" s="2330" t="n"/>
      <c r="O50" s="2330" t="n"/>
      <c r="Z50" s="2408" t="n"/>
      <c r="AA50" s="2408" t="n"/>
      <c r="AB50" s="2408" t="n"/>
      <c r="AC50" s="2408" t="n"/>
      <c r="AD50" s="2408" t="n"/>
      <c r="AE50" s="2408" t="n"/>
      <c r="AF50" s="2408" t="n"/>
    </row>
    <row r="51">
      <c r="E51" s="2408" t="inlineStr">
        <is>
          <t>Mean</t>
        </is>
      </c>
      <c r="F51" s="2330">
        <f>IFERROR(AVERAGEIF($P$59:$P$88,"No",F9:F38),"")</f>
        <v/>
      </c>
      <c r="G51" s="2330">
        <f>IFERROR(AVERAGEIF($P$59:$P$88,"No",G9:G38),"")</f>
        <v/>
      </c>
      <c r="H51" s="2330">
        <f>IFERROR(AVERAGEIF($P$59:$P$88,"No",H9:H38),"")</f>
        <v/>
      </c>
      <c r="I51" s="2330">
        <f>IFERROR(AVERAGEIF($P$59:$P$88,"No",I9:I38),"")</f>
        <v/>
      </c>
      <c r="J51" s="2330">
        <f>IFERROR(AVERAGEIF($P$59:$P$88,"No",J9:J38),"")</f>
        <v/>
      </c>
      <c r="K51" s="2330">
        <f>IFERROR(AVERAGEIF($P$59:$P$88,"No",K9:K38),"")</f>
        <v/>
      </c>
      <c r="L51" s="2330">
        <f>IFERROR(AVERAGEIF($P$59:$P$88,"No",L9:L38),"")</f>
        <v/>
      </c>
      <c r="M51" s="2330">
        <f>IFERROR(AVERAGEIF($P$59:$P$88,"No",M9:M38),"")</f>
        <v/>
      </c>
      <c r="N51" s="2330" t="n"/>
      <c r="O51" s="2330" t="n"/>
      <c r="Z51" s="2408" t="n"/>
      <c r="AA51" s="2408" t="n"/>
      <c r="AB51" s="2408" t="n"/>
      <c r="AC51" s="2408" t="n"/>
      <c r="AD51" s="2408" t="n"/>
      <c r="AE51" s="2408" t="n"/>
      <c r="AF51" s="2408" t="n"/>
    </row>
    <row r="52">
      <c r="E52" s="2417" t="inlineStr">
        <is>
          <t>Median</t>
        </is>
      </c>
      <c r="F52" s="2415">
        <f t="array" ref="F52">IFERROR(MEDIAN(IF($P$59:$P$88="No",F9:F38)),"")</f>
        <v/>
      </c>
      <c r="G52" s="2415">
        <f t="array" ref="G52">IFERROR(MEDIAN(IF($P$59:$P$88="No",G9:G38)),"")</f>
        <v/>
      </c>
      <c r="H52" s="2415">
        <f t="array" ref="H52">IFERROR(MEDIAN(IF($P$59:$P$88="No",H9:H38)),"")</f>
        <v/>
      </c>
      <c r="I52" s="2415">
        <f t="array" ref="I52">IFERROR(MEDIAN(IF($P$59:$P$88="No",I9:I38)),"")</f>
        <v/>
      </c>
      <c r="J52" s="2415">
        <f t="array" ref="J52">IFERROR(MEDIAN(IF($P$59:$P$88="No",J9:J38)),"")</f>
        <v/>
      </c>
      <c r="K52" s="2415">
        <f t="array" ref="K52">IFERROR(MEDIAN(IF($P$59:$P$88="No",K9:K38)),"")</f>
        <v/>
      </c>
      <c r="L52" s="2415">
        <f t="array" ref="L52">IFERROR(MEDIAN(IF($P$59:$P$88="No",L9:L38)),"")</f>
        <v/>
      </c>
      <c r="M52" s="2415">
        <f t="array" ref="M52">IFERROR(MEDIAN(IF($P$59:$P$88="No",M9:M38)),"")</f>
        <v/>
      </c>
      <c r="N52" s="2330" t="n"/>
      <c r="O52" s="2330" t="n"/>
      <c r="Z52" s="2408" t="n"/>
      <c r="AA52" s="2408" t="n"/>
      <c r="AB52" s="2408" t="n"/>
      <c r="AC52" s="2408" t="n"/>
      <c r="AD52" s="2408" t="n"/>
      <c r="AE52" s="2408" t="n"/>
      <c r="AF52" s="2408" t="n"/>
    </row>
    <row r="53">
      <c r="E53" s="2408" t="inlineStr">
        <is>
          <t>25th Percentile</t>
        </is>
      </c>
      <c r="F53" s="2330">
        <f t="array" ref="F53">PERCENTILE(IF($P$59:$P$88="No",F9:F38),0.25)</f>
        <v/>
      </c>
      <c r="G53" s="2330">
        <f t="array" ref="G53">PERCENTILE(IF($P$59:$P$88="No",G9:G38),0.25)</f>
        <v/>
      </c>
      <c r="H53" s="2330">
        <f t="array" ref="H53">PERCENTILE(IF($P$59:$P$88="No",H9:H38),0.25)</f>
        <v/>
      </c>
      <c r="I53" s="2330">
        <f t="array" ref="I53">PERCENTILE(IF($P$59:$P$88="No",I9:I38),0.25)</f>
        <v/>
      </c>
      <c r="J53" s="2330">
        <f t="array" ref="J53">PERCENTILE(IF($P$59:$P$88="No",J9:J38),0.25)</f>
        <v/>
      </c>
      <c r="K53" s="2330">
        <f t="array" ref="K53">PERCENTILE(IF($P$59:$P$88="No",K9:K38),0.25)</f>
        <v/>
      </c>
      <c r="L53" s="2330">
        <f t="array" ref="L53">PERCENTILE(IF($P$59:$P$88="No",L9:L38),0.25)</f>
        <v/>
      </c>
      <c r="M53" s="2330">
        <f t="array" ref="M53">PERCENTILE(IF($P$59:$P$88="No",M9:M38),0.25)</f>
        <v/>
      </c>
      <c r="N53" s="2330" t="n"/>
      <c r="O53" s="2330" t="n"/>
      <c r="Z53" s="2408" t="n"/>
      <c r="AA53" s="2408" t="n"/>
      <c r="AB53" s="2408" t="n"/>
      <c r="AC53" s="2408" t="n"/>
      <c r="AD53" s="2408" t="n"/>
      <c r="AE53" s="2408" t="n"/>
      <c r="AF53" s="2408" t="n"/>
    </row>
    <row r="54">
      <c r="E54" s="2421" t="inlineStr">
        <is>
          <t>Low</t>
        </is>
      </c>
      <c r="F54" s="2423">
        <f t="array" ref="F54">IFERROR(MIN(IF($P$59:$P$88="No",F9:F38)),"")</f>
        <v/>
      </c>
      <c r="G54" s="2423">
        <f t="array" ref="G54">IFERROR(MIN(IF($P$59:$P$88="No",G9:G38)),"")</f>
        <v/>
      </c>
      <c r="H54" s="2423">
        <f t="array" ref="H54">IFERROR(MIN(IF($P$59:$P$88="No",H9:H38)),"")</f>
        <v/>
      </c>
      <c r="I54" s="2423">
        <f t="array" ref="I54">IFERROR(MIN(IF($P$59:$P$88="No",I9:I38)),"")</f>
        <v/>
      </c>
      <c r="J54" s="2423">
        <f t="array" ref="J54">IFERROR(MIN(IF($P$59:$P$88="No",J9:J38)),"")</f>
        <v/>
      </c>
      <c r="K54" s="2423">
        <f t="array" ref="K54">IFERROR(MIN(IF($P$59:$P$88="No",K9:K38)),"")</f>
        <v/>
      </c>
      <c r="L54" s="2423">
        <f t="array" ref="L54">IFERROR(MIN(IF($P$59:$P$88="No",L9:L38)),"")</f>
        <v/>
      </c>
      <c r="M54" s="2423">
        <f t="array" ref="M54">IFERROR(MIN(IF($P$59:$P$88="No",M9:M38)),"")</f>
        <v/>
      </c>
      <c r="N54" s="2330" t="n"/>
      <c r="O54" s="2330" t="n"/>
      <c r="Z54" s="2408" t="n"/>
    </row>
    <row r="55">
      <c r="B55" s="259" t="n"/>
      <c r="C55" s="259" t="n"/>
      <c r="D55" s="259" t="n"/>
      <c r="E55" s="259" t="n"/>
      <c r="F55" s="259" t="n"/>
      <c r="G55" s="259" t="n"/>
      <c r="H55" s="259" t="n"/>
      <c r="I55" s="259" t="n"/>
      <c r="J55" s="259" t="n"/>
      <c r="K55" s="259" t="n"/>
      <c r="L55" s="259" t="n"/>
      <c r="M55" s="259" t="n"/>
      <c r="N55" s="259" t="n"/>
      <c r="O55" s="259" t="n"/>
      <c r="P55" s="259" t="n"/>
      <c r="Q55" s="259" t="n"/>
      <c r="R55" s="259" t="n"/>
      <c r="S55" s="259" t="n"/>
      <c r="T55" s="259" t="n"/>
      <c r="U55" s="259" t="n"/>
      <c r="V55" s="259" t="n"/>
      <c r="W55" s="259" t="n"/>
      <c r="X55" s="259" t="n"/>
      <c r="Y55" s="259" t="n"/>
      <c r="Z55" s="259" t="n"/>
    </row>
    <row r="56" customFormat="1" s="432">
      <c r="B56" s="432" t="n"/>
      <c r="C56" s="432" t="n"/>
      <c r="D56" s="830" t="inlineStr">
        <is>
          <t>EBITDA Margin</t>
        </is>
      </c>
      <c r="K56" s="432" t="n"/>
      <c r="L56" s="432" t="n"/>
      <c r="M56" s="432" t="n"/>
      <c r="N56" s="432" t="n"/>
      <c r="O56" s="432" t="n"/>
      <c r="P56" s="432" t="n"/>
      <c r="Q56" s="896" t="n"/>
      <c r="R56" s="896" t="n"/>
      <c r="S56" s="896" t="n"/>
      <c r="T56" s="896" t="n"/>
      <c r="U56" s="896" t="n"/>
      <c r="V56" s="896" t="n"/>
      <c r="W56" s="896" t="n"/>
      <c r="X56" s="896" t="n"/>
      <c r="Y56" s="896" t="n"/>
      <c r="Z56" s="432" t="n"/>
    </row>
    <row r="57" ht="12" customFormat="1" customHeight="1" s="432">
      <c r="B57" s="831" t="n"/>
      <c r="D57" s="832" t="n"/>
      <c r="E57" s="2380" t="n"/>
      <c r="F57" s="2380" t="n"/>
      <c r="K57" s="1847" t="inlineStr">
        <is>
          <t>Projected</t>
        </is>
      </c>
      <c r="N57" s="2430" t="n"/>
      <c r="O57" s="2430" t="n"/>
      <c r="P57" s="2383" t="n"/>
      <c r="Q57" s="2383" t="n"/>
      <c r="R57" s="2431" t="n"/>
      <c r="S57" s="2431" t="n"/>
      <c r="T57" s="2432" t="inlineStr">
        <is>
          <t>FYE</t>
        </is>
      </c>
      <c r="U57" s="2433" t="inlineStr">
        <is>
          <t>FYE+1</t>
        </is>
      </c>
      <c r="V57" s="2433" t="inlineStr">
        <is>
          <t>Median</t>
        </is>
      </c>
      <c r="W57" s="2433" t="n"/>
      <c r="X57" s="2431" t="n"/>
      <c r="Y57" s="2431" t="n"/>
      <c r="Z57" s="433" t="inlineStr"/>
      <c r="AA57" s="433" t="inlineStr"/>
      <c r="AB57" s="433" t="inlineStr"/>
      <c r="AC57" s="433" t="inlineStr"/>
      <c r="AD57" s="433" t="inlineStr"/>
      <c r="AE57" s="433" t="inlineStr"/>
      <c r="AF57" s="433" t="inlineStr"/>
    </row>
    <row r="58" ht="12" customFormat="1" customHeight="1" s="432" thickBot="1">
      <c r="D58" s="2384" t="inlineStr">
        <is>
          <t>Company Name</t>
        </is>
      </c>
      <c r="E58" s="2386" t="n"/>
      <c r="F58" s="2386" t="inlineStr">
        <is>
          <t>FYE-3</t>
        </is>
      </c>
      <c r="G58" s="2386" t="inlineStr">
        <is>
          <t>FYE-2</t>
        </is>
      </c>
      <c r="H58" s="2386" t="inlineStr">
        <is>
          <t>FYE-1</t>
        </is>
      </c>
      <c r="I58" s="2386" t="inlineStr">
        <is>
          <t>FYE</t>
        </is>
      </c>
      <c r="J58" s="1847" t="inlineStr">
        <is>
          <t>TTM</t>
        </is>
      </c>
      <c r="K58" s="2386" t="inlineStr">
        <is>
          <t>FYE + 1</t>
        </is>
      </c>
      <c r="L58" s="2386" t="inlineStr">
        <is>
          <t>FYE + 2</t>
        </is>
      </c>
      <c r="M58" s="1847" t="inlineStr">
        <is>
          <t>FYE + 3</t>
        </is>
      </c>
      <c r="N58" s="2430" t="n"/>
      <c r="O58" s="2430" t="n"/>
      <c r="P58" s="516" t="inlineStr">
        <is>
          <t>Exclude as outlier?</t>
        </is>
      </c>
      <c r="Q58" s="2383" t="n"/>
      <c r="R58" s="2431" t="n"/>
      <c r="S58" s="2431">
        <f>client.name.long</f>
        <v/>
      </c>
      <c r="T58" s="2434" t="n"/>
      <c r="U58" s="2435" t="n"/>
      <c r="V58" s="2435">
        <f>MEDIAN($I$102,$K$102)</f>
        <v/>
      </c>
      <c r="W58" s="2436" t="n"/>
      <c r="X58" s="2431" t="n"/>
      <c r="Y58" s="2431" t="n"/>
      <c r="Z58" s="1833" t="n"/>
      <c r="AA58" s="1833" t="n"/>
      <c r="AB58" s="1833" t="n"/>
      <c r="AC58" s="1833" t="n"/>
      <c r="AD58" s="1833" t="n"/>
      <c r="AE58" s="1833" t="n"/>
      <c r="AF58" s="1833" t="n"/>
    </row>
    <row r="59" ht="12" customFormat="1" customHeight="1" s="432" thickBot="1">
      <c r="C59" s="844" t="n">
        <v>1</v>
      </c>
      <c r="D59" s="2388">
        <f>'GPC Data'!E192</f>
        <v/>
      </c>
      <c r="E59" s="904" t="n"/>
      <c r="F59" s="2428">
        <f>IFERROR(Growth!F60/Growth!F10,"")</f>
        <v/>
      </c>
      <c r="G59" s="2428">
        <f>IFERROR(Growth!G60/Growth!G10,"")</f>
        <v/>
      </c>
      <c r="H59" s="2428">
        <f>'GPC Data'!O192</f>
        <v/>
      </c>
      <c r="I59" s="2428">
        <f>'GPC Data'!P192</f>
        <v/>
      </c>
      <c r="J59" s="2428">
        <f>IFERROR(Growth!J60/Growth!J10,"")</f>
        <v/>
      </c>
      <c r="K59" s="2441">
        <f>IFERROR(Growth!K60/Growth!K10,"")</f>
        <v/>
      </c>
      <c r="L59" s="2441">
        <f>IFERROR(Growth!L60/Growth!L10,"")</f>
        <v/>
      </c>
      <c r="M59" s="2441">
        <f>IFERROR(Growth!M60/Growth!M10,"")</f>
        <v/>
      </c>
      <c r="N59" s="2430" t="n"/>
      <c r="O59" s="2430" t="n"/>
      <c r="P59" s="443" t="inlineStr">
        <is>
          <t>No</t>
        </is>
      </c>
      <c r="Q59" s="2383" t="n"/>
      <c r="R59" s="2431" t="n"/>
      <c r="S59" s="2431">
        <f>D59</f>
        <v/>
      </c>
      <c r="T59" s="2437">
        <f>I59</f>
        <v/>
      </c>
      <c r="U59" s="2438">
        <f>K59</f>
        <v/>
      </c>
      <c r="V59" s="2438">
        <f>MEDIAN($I$102,$K$102)</f>
        <v/>
      </c>
      <c r="W59" s="2431" t="n"/>
      <c r="X59" s="907" t="n">
        <v>0</v>
      </c>
      <c r="Y59" s="907" t="n"/>
      <c r="Z59" s="1833" t="n"/>
      <c r="AA59" s="1833" t="n"/>
      <c r="AB59" s="1833" t="n"/>
      <c r="AC59" s="1833" t="n"/>
      <c r="AD59" s="1833" t="n"/>
      <c r="AE59" s="1833" t="n"/>
      <c r="AF59" s="1833" t="n"/>
    </row>
    <row r="60" ht="12" customFormat="1" customHeight="1" s="432" thickBot="1">
      <c r="C60" s="844" t="n">
        <v>2</v>
      </c>
      <c r="D60" s="2439">
        <f>'GPC Data'!E193</f>
        <v/>
      </c>
      <c r="E60" s="2429" t="n"/>
      <c r="F60" s="2430">
        <f>IFERROR(Growth!F61/Growth!F11,"")</f>
        <v/>
      </c>
      <c r="G60" s="2430">
        <f>IFERROR(Growth!G61/Growth!G11,"")</f>
        <v/>
      </c>
      <c r="H60" s="2430">
        <f>'GPC Data'!O193</f>
        <v/>
      </c>
      <c r="I60" s="2430">
        <f>'GPC Data'!P193</f>
        <v/>
      </c>
      <c r="J60" s="2430">
        <f>IFERROR(Growth!J61/Growth!J11,"")</f>
        <v/>
      </c>
      <c r="K60" s="2442">
        <f>IFERROR(Growth!K61/Growth!K11,"")</f>
        <v/>
      </c>
      <c r="L60" s="2442">
        <f>IFERROR(Growth!L61/Growth!L11,"")</f>
        <v/>
      </c>
      <c r="M60" s="2442">
        <f>IFERROR(Growth!M61/Growth!M11,"")</f>
        <v/>
      </c>
      <c r="N60" s="2430" t="n"/>
      <c r="O60" s="2430" t="n"/>
      <c r="P60" s="443" t="inlineStr">
        <is>
          <t>No</t>
        </is>
      </c>
      <c r="Q60" s="2383" t="n"/>
      <c r="R60" s="2431" t="n"/>
      <c r="S60" s="2431">
        <f>D60</f>
        <v/>
      </c>
      <c r="T60" s="2437">
        <f>I60</f>
        <v/>
      </c>
      <c r="U60" s="2438">
        <f>K60</f>
        <v/>
      </c>
      <c r="V60" s="2438">
        <f>MEDIAN($I$102,$K$102)</f>
        <v/>
      </c>
      <c r="W60" s="2431" t="n"/>
      <c r="X60" s="907" t="n">
        <v>1.5</v>
      </c>
      <c r="Y60" s="907" t="n"/>
      <c r="Z60" s="1833" t="n"/>
      <c r="AA60" s="1833" t="n"/>
      <c r="AB60" s="1833" t="n"/>
      <c r="AC60" s="1833" t="n"/>
      <c r="AD60" s="1833" t="n"/>
      <c r="AE60" s="1833" t="n"/>
      <c r="AF60" s="1833" t="n"/>
    </row>
    <row r="61" ht="12" customFormat="1" customHeight="1" s="432" thickBot="1">
      <c r="C61" s="844" t="n">
        <v>3</v>
      </c>
      <c r="D61" s="2439">
        <f>'GPC Data'!E194</f>
        <v/>
      </c>
      <c r="E61" s="2429" t="n"/>
      <c r="F61" s="2430">
        <f>IFERROR(Growth!F62/Growth!F12,"")</f>
        <v/>
      </c>
      <c r="G61" s="2430">
        <f>IFERROR(Growth!G62/Growth!G12,"")</f>
        <v/>
      </c>
      <c r="H61" s="2430">
        <f>'GPC Data'!O194</f>
        <v/>
      </c>
      <c r="I61" s="2430">
        <f>'GPC Data'!P194</f>
        <v/>
      </c>
      <c r="J61" s="2430">
        <f>IFERROR(Growth!J62/Growth!J12,"")</f>
        <v/>
      </c>
      <c r="K61" s="2442">
        <f>IFERROR(Growth!K62/Growth!K12,"")</f>
        <v/>
      </c>
      <c r="L61" s="2442">
        <f>IFERROR(Growth!L62/Growth!L12,"")</f>
        <v/>
      </c>
      <c r="M61" s="2442">
        <f>IFERROR(Growth!M62/Growth!M12,"")</f>
        <v/>
      </c>
      <c r="N61" s="2430" t="n"/>
      <c r="O61" s="2430" t="n"/>
      <c r="P61" s="443" t="inlineStr">
        <is>
          <t>No</t>
        </is>
      </c>
      <c r="Q61" s="2383" t="n"/>
      <c r="R61" s="2431" t="n"/>
      <c r="S61" s="2431">
        <f>D61</f>
        <v/>
      </c>
      <c r="T61" s="2437">
        <f>I61</f>
        <v/>
      </c>
      <c r="U61" s="2438">
        <f>K61</f>
        <v/>
      </c>
      <c r="V61" s="2431" t="n"/>
      <c r="W61" s="2431" t="n"/>
      <c r="X61" s="2431" t="n"/>
      <c r="Y61" s="2431" t="n"/>
      <c r="Z61" s="1833" t="inlineStr"/>
      <c r="AA61" s="1833" t="inlineStr"/>
      <c r="AB61" s="1833" t="inlineStr"/>
      <c r="AC61" s="1833" t="inlineStr"/>
      <c r="AD61" s="1833" t="inlineStr"/>
      <c r="AE61" s="1833" t="inlineStr"/>
      <c r="AF61" s="1833" t="inlineStr"/>
    </row>
    <row r="62" ht="12" customFormat="1" customHeight="1" s="432" thickBot="1">
      <c r="C62" s="844" t="n">
        <v>4</v>
      </c>
      <c r="D62" s="2439">
        <f>'GPC Data'!E195</f>
        <v/>
      </c>
      <c r="E62" s="2429" t="n"/>
      <c r="F62" s="2430">
        <f>IFERROR(Growth!F63/Growth!F13,"")</f>
        <v/>
      </c>
      <c r="G62" s="2430">
        <f>IFERROR(Growth!G63/Growth!G13,"")</f>
        <v/>
      </c>
      <c r="H62" s="2430">
        <f>'GPC Data'!O195</f>
        <v/>
      </c>
      <c r="I62" s="2430">
        <f>'GPC Data'!P195</f>
        <v/>
      </c>
      <c r="J62" s="2430">
        <f>IFERROR(Growth!J63/Growth!J13,"")</f>
        <v/>
      </c>
      <c r="K62" s="2442">
        <f>IFERROR(Growth!K63/Growth!K13,"")</f>
        <v/>
      </c>
      <c r="L62" s="2442">
        <f>IFERROR(Growth!L63/Growth!L13,"")</f>
        <v/>
      </c>
      <c r="M62" s="2442">
        <f>IFERROR(Growth!M63/Growth!M13,"")</f>
        <v/>
      </c>
      <c r="N62" s="2430" t="n"/>
      <c r="O62" s="2430" t="n"/>
      <c r="P62" s="443" t="inlineStr">
        <is>
          <t>No</t>
        </is>
      </c>
      <c r="Q62" s="2383" t="n"/>
      <c r="R62" s="2431" t="n"/>
      <c r="S62" s="2431">
        <f>D62</f>
        <v/>
      </c>
      <c r="T62" s="2437">
        <f>I62</f>
        <v/>
      </c>
      <c r="U62" s="2438">
        <f>K62</f>
        <v/>
      </c>
      <c r="V62" s="2431" t="n"/>
      <c r="W62" s="2431" t="n"/>
      <c r="X62" s="2431" t="n"/>
      <c r="Y62" s="2431" t="n"/>
      <c r="Z62" s="1833" t="inlineStr"/>
      <c r="AA62" s="1833" t="inlineStr"/>
      <c r="AB62" s="1833" t="inlineStr"/>
      <c r="AC62" s="1833" t="inlineStr"/>
      <c r="AD62" s="1833" t="inlineStr"/>
      <c r="AE62" s="1833" t="inlineStr"/>
      <c r="AF62" s="1833" t="inlineStr"/>
    </row>
    <row r="63" ht="12" customFormat="1" customHeight="1" s="432" thickBot="1">
      <c r="C63" s="844" t="n">
        <v>5</v>
      </c>
      <c r="D63" s="2439">
        <f>'GPC Data'!E196</f>
        <v/>
      </c>
      <c r="E63" s="2429" t="n"/>
      <c r="F63" s="2430">
        <f>IFERROR(Growth!F64/Growth!F14,"")</f>
        <v/>
      </c>
      <c r="G63" s="2430">
        <f>IFERROR(Growth!G64/Growth!G14,"")</f>
        <v/>
      </c>
      <c r="H63" s="2430">
        <f>'GPC Data'!O196</f>
        <v/>
      </c>
      <c r="I63" s="2430">
        <f>'GPC Data'!P196</f>
        <v/>
      </c>
      <c r="J63" s="2430">
        <f>IFERROR(Growth!J64/Growth!J14,"")</f>
        <v/>
      </c>
      <c r="K63" s="2442">
        <f>IFERROR(Growth!K64/Growth!K14,"")</f>
        <v/>
      </c>
      <c r="L63" s="2442">
        <f>IFERROR(Growth!L64/Growth!L14,"")</f>
        <v/>
      </c>
      <c r="M63" s="2442">
        <f>IFERROR(Growth!M64/Growth!M14,"")</f>
        <v/>
      </c>
      <c r="N63" s="2430" t="n"/>
      <c r="O63" s="2430" t="n"/>
      <c r="P63" s="443" t="inlineStr">
        <is>
          <t>No</t>
        </is>
      </c>
      <c r="Q63" s="2383" t="n"/>
      <c r="R63" s="2431" t="n"/>
      <c r="S63" s="2431">
        <f>D63</f>
        <v/>
      </c>
      <c r="T63" s="2437">
        <f>I63</f>
        <v/>
      </c>
      <c r="U63" s="2438">
        <f>K63</f>
        <v/>
      </c>
      <c r="V63" s="2431" t="n"/>
      <c r="W63" s="2431" t="n"/>
      <c r="X63" s="2431" t="n"/>
      <c r="Y63" s="2431" t="n"/>
      <c r="Z63" s="1833" t="n"/>
      <c r="AA63" s="1833" t="n"/>
      <c r="AB63" s="1833" t="n"/>
      <c r="AC63" s="1833" t="n"/>
      <c r="AD63" s="1833" t="n"/>
      <c r="AE63" s="1833" t="n"/>
      <c r="AF63" s="1833" t="n"/>
    </row>
    <row r="64" ht="12" customFormat="1" customHeight="1" s="432" thickBot="1">
      <c r="C64" s="844" t="n">
        <v>6</v>
      </c>
      <c r="D64" s="2439">
        <f>'GPC Data'!E197</f>
        <v/>
      </c>
      <c r="E64" s="2429" t="n"/>
      <c r="F64" s="2430">
        <f>IFERROR(Growth!F65/Growth!F15,"")</f>
        <v/>
      </c>
      <c r="G64" s="2430">
        <f>IFERROR(Growth!G65/Growth!G15,"")</f>
        <v/>
      </c>
      <c r="H64" s="2430">
        <f>'GPC Data'!O197</f>
        <v/>
      </c>
      <c r="I64" s="2430">
        <f>'GPC Data'!P197</f>
        <v/>
      </c>
      <c r="J64" s="2430">
        <f>IFERROR(Growth!J65/Growth!J15,"")</f>
        <v/>
      </c>
      <c r="K64" s="2442">
        <f>IFERROR(Growth!K65/Growth!K15,"")</f>
        <v/>
      </c>
      <c r="L64" s="2442">
        <f>IFERROR(Growth!L65/Growth!L15,"")</f>
        <v/>
      </c>
      <c r="M64" s="2442">
        <f>IFERROR(Growth!M65/Growth!M15,"")</f>
        <v/>
      </c>
      <c r="N64" s="2430" t="n"/>
      <c r="O64" s="2430" t="n"/>
      <c r="P64" s="443" t="inlineStr">
        <is>
          <t>No</t>
        </is>
      </c>
      <c r="Q64" s="2383" t="n"/>
      <c r="R64" s="2431" t="n"/>
      <c r="S64" s="2431">
        <f>D64</f>
        <v/>
      </c>
      <c r="T64" s="2437">
        <f>I64</f>
        <v/>
      </c>
      <c r="U64" s="2438">
        <f>K64</f>
        <v/>
      </c>
      <c r="V64" s="2431" t="n"/>
      <c r="W64" s="2431" t="n"/>
      <c r="X64" s="2431" t="n"/>
      <c r="Y64" s="2431" t="n"/>
      <c r="Z64" s="1833" t="inlineStr"/>
      <c r="AA64" s="1833" t="inlineStr"/>
      <c r="AB64" s="1833" t="inlineStr"/>
      <c r="AC64" s="1833" t="inlineStr"/>
      <c r="AD64" s="1833" t="inlineStr"/>
      <c r="AE64" s="1833" t="inlineStr"/>
      <c r="AF64" s="1833" t="inlineStr"/>
    </row>
    <row r="65" ht="12" customFormat="1" customHeight="1" s="432" thickBot="1">
      <c r="C65" s="844" t="n">
        <v>7</v>
      </c>
      <c r="D65" s="2439">
        <f>'GPC Data'!E198</f>
        <v/>
      </c>
      <c r="E65" s="2429" t="n"/>
      <c r="F65" s="2430">
        <f>IFERROR(Growth!F66/Growth!F16,"")</f>
        <v/>
      </c>
      <c r="G65" s="2430">
        <f>IFERROR(Growth!G66/Growth!G16,"")</f>
        <v/>
      </c>
      <c r="H65" s="2430">
        <f>'GPC Data'!O198</f>
        <v/>
      </c>
      <c r="I65" s="2430">
        <f>'GPC Data'!P198</f>
        <v/>
      </c>
      <c r="J65" s="2430">
        <f>IFERROR(Growth!J66/Growth!J16,"")</f>
        <v/>
      </c>
      <c r="K65" s="2442">
        <f>IFERROR(Growth!K66/Growth!K16,"")</f>
        <v/>
      </c>
      <c r="L65" s="2442">
        <f>IFERROR(Growth!L66/Growth!L16,"")</f>
        <v/>
      </c>
      <c r="M65" s="2442">
        <f>IFERROR(Growth!M66/Growth!M16,"")</f>
        <v/>
      </c>
      <c r="N65" s="2430" t="n"/>
      <c r="O65" s="2430" t="n"/>
      <c r="P65" s="443" t="inlineStr">
        <is>
          <t>No</t>
        </is>
      </c>
      <c r="Q65" s="2383" t="n"/>
      <c r="R65" s="2431" t="n"/>
      <c r="S65" s="2431">
        <f>D65</f>
        <v/>
      </c>
      <c r="T65" s="2437">
        <f>I65</f>
        <v/>
      </c>
      <c r="U65" s="2438">
        <f>K65</f>
        <v/>
      </c>
      <c r="V65" s="2431" t="n"/>
      <c r="W65" s="2431" t="n"/>
      <c r="X65" s="2431" t="n"/>
      <c r="Y65" s="2431" t="n"/>
      <c r="Z65" s="1833" t="inlineStr"/>
      <c r="AA65" s="1833" t="inlineStr"/>
      <c r="AB65" s="1833" t="inlineStr"/>
      <c r="AC65" s="1833" t="inlineStr"/>
      <c r="AD65" s="1833" t="inlineStr"/>
      <c r="AE65" s="1833" t="inlineStr"/>
      <c r="AF65" s="1833" t="inlineStr"/>
    </row>
    <row r="66" ht="12" customFormat="1" customHeight="1" s="432" thickBot="1">
      <c r="C66" s="844" t="n">
        <v>8</v>
      </c>
      <c r="D66" s="2439">
        <f>'GPC Data'!E199</f>
        <v/>
      </c>
      <c r="E66" s="2429" t="n"/>
      <c r="F66" s="2430">
        <f>IFERROR(Growth!F67/Growth!F17,"")</f>
        <v/>
      </c>
      <c r="G66" s="2430">
        <f>IFERROR(Growth!G67/Growth!G17,"")</f>
        <v/>
      </c>
      <c r="H66" s="2430">
        <f>'GPC Data'!O199</f>
        <v/>
      </c>
      <c r="I66" s="2430">
        <f>'GPC Data'!P199</f>
        <v/>
      </c>
      <c r="J66" s="2430">
        <f>IFERROR(Growth!J67/Growth!J17,"")</f>
        <v/>
      </c>
      <c r="K66" s="2442">
        <f>IFERROR(Growth!K67/Growth!K17,"")</f>
        <v/>
      </c>
      <c r="L66" s="2442">
        <f>IFERROR(Growth!L67/Growth!L17,"")</f>
        <v/>
      </c>
      <c r="M66" s="2442">
        <f>IFERROR(Growth!M67/Growth!M17,"")</f>
        <v/>
      </c>
      <c r="N66" s="2430" t="n"/>
      <c r="O66" s="2430" t="n"/>
      <c r="P66" s="443" t="inlineStr">
        <is>
          <t>No</t>
        </is>
      </c>
      <c r="Q66" s="2383" t="n"/>
      <c r="R66" s="2431" t="n"/>
      <c r="S66" s="2431">
        <f>D66</f>
        <v/>
      </c>
      <c r="T66" s="2437">
        <f>I66</f>
        <v/>
      </c>
      <c r="U66" s="2438">
        <f>K66</f>
        <v/>
      </c>
      <c r="V66" s="2431" t="n"/>
      <c r="W66" s="2431" t="n"/>
      <c r="X66" s="2431" t="n"/>
      <c r="Y66" s="2431" t="n"/>
      <c r="Z66" s="1833" t="n"/>
      <c r="AA66" s="1833" t="n"/>
      <c r="AB66" s="1833" t="n"/>
      <c r="AC66" s="1833" t="n"/>
      <c r="AD66" s="1833" t="n"/>
      <c r="AE66" s="1833" t="n"/>
      <c r="AF66" s="1833" t="n"/>
    </row>
    <row r="67" ht="12" customFormat="1" customHeight="1" s="432" thickBot="1">
      <c r="C67" s="844" t="n">
        <v>9</v>
      </c>
      <c r="D67" s="2439">
        <f>'GPC Data'!E200</f>
        <v/>
      </c>
      <c r="E67" s="2429" t="n"/>
      <c r="F67" s="2430">
        <f>IFERROR(Growth!F68/Growth!F18,"")</f>
        <v/>
      </c>
      <c r="G67" s="2430">
        <f>IFERROR(Growth!G68/Growth!G18,"")</f>
        <v/>
      </c>
      <c r="H67" s="2430">
        <f>'GPC Data'!O200</f>
        <v/>
      </c>
      <c r="I67" s="2430">
        <f>'GPC Data'!P200</f>
        <v/>
      </c>
      <c r="J67" s="2430">
        <f>IFERROR(Growth!J68/Growth!J18,"")</f>
        <v/>
      </c>
      <c r="K67" s="2442">
        <f>IFERROR(Growth!K68/Growth!K18,"")</f>
        <v/>
      </c>
      <c r="L67" s="2442">
        <f>IFERROR(Growth!L68/Growth!L18,"")</f>
        <v/>
      </c>
      <c r="M67" s="2442">
        <f>IFERROR(Growth!M68/Growth!M18,"")</f>
        <v/>
      </c>
      <c r="N67" s="2430" t="n"/>
      <c r="O67" s="2430" t="n"/>
      <c r="P67" s="443" t="inlineStr">
        <is>
          <t>No</t>
        </is>
      </c>
      <c r="Q67" s="2383" t="n"/>
      <c r="R67" s="2431" t="n"/>
      <c r="S67" s="2431">
        <f>D67</f>
        <v/>
      </c>
      <c r="T67" s="2437">
        <f>I67</f>
        <v/>
      </c>
      <c r="U67" s="2438">
        <f>K67</f>
        <v/>
      </c>
      <c r="V67" s="2431" t="n"/>
      <c r="W67" s="2431" t="n"/>
      <c r="X67" s="2431" t="n"/>
      <c r="Y67" s="2431" t="n"/>
      <c r="Z67" s="1833" t="inlineStr"/>
      <c r="AA67" s="1833" t="inlineStr"/>
      <c r="AB67" s="1833" t="inlineStr"/>
      <c r="AC67" s="1833" t="inlineStr"/>
      <c r="AD67" s="1833" t="inlineStr"/>
      <c r="AE67" s="1833" t="inlineStr"/>
      <c r="AF67" s="1833" t="inlineStr"/>
    </row>
    <row r="68" ht="12" customFormat="1" customHeight="1" s="432" thickBot="1">
      <c r="C68" s="844" t="n"/>
      <c r="D68" s="2439">
        <f>'GPC Data'!E201</f>
        <v/>
      </c>
      <c r="E68" s="2429" t="n"/>
      <c r="F68" s="2430">
        <f>IFERROR(Growth!F69/Growth!F19,"")</f>
        <v/>
      </c>
      <c r="G68" s="2430">
        <f>IFERROR(Growth!G69/Growth!G19,"")</f>
        <v/>
      </c>
      <c r="H68" s="2430">
        <f>'GPC Data'!O201</f>
        <v/>
      </c>
      <c r="I68" s="2430">
        <f>'GPC Data'!P201</f>
        <v/>
      </c>
      <c r="J68" s="2430">
        <f>IFERROR(Growth!J69/Growth!J19,"")</f>
        <v/>
      </c>
      <c r="K68" s="2442">
        <f>IFERROR(Growth!K69/Growth!K19,"")</f>
        <v/>
      </c>
      <c r="L68" s="2442">
        <f>IFERROR(Growth!L69/Growth!L19,"")</f>
        <v/>
      </c>
      <c r="M68" s="2442">
        <f>IFERROR(Growth!M69/Growth!M19,"")</f>
        <v/>
      </c>
      <c r="N68" s="2430" t="n"/>
      <c r="O68" s="2430" t="n"/>
      <c r="P68" s="443" t="inlineStr">
        <is>
          <t>No</t>
        </is>
      </c>
      <c r="Q68" s="2383" t="n"/>
      <c r="R68" s="2431" t="n"/>
      <c r="S68" s="2431" t="n"/>
      <c r="T68" s="2437" t="n"/>
      <c r="U68" s="2438" t="n"/>
      <c r="V68" s="2431" t="n"/>
      <c r="W68" s="2431" t="n"/>
      <c r="X68" s="2431" t="n"/>
      <c r="Y68" s="2431" t="n"/>
      <c r="Z68" s="1833" t="n"/>
      <c r="AA68" s="1833" t="n"/>
      <c r="AB68" s="1833" t="n"/>
      <c r="AC68" s="1833" t="n"/>
      <c r="AD68" s="1833" t="n"/>
      <c r="AE68" s="1833" t="n"/>
      <c r="AF68" s="1833" t="n"/>
    </row>
    <row r="69" outlineLevel="1" ht="10.75" customFormat="1" customHeight="1" s="432" thickBot="1">
      <c r="C69" s="844" t="n"/>
      <c r="D69" s="2439">
        <f>'GPC Data'!E202</f>
        <v/>
      </c>
      <c r="E69" s="2429" t="n"/>
      <c r="F69" s="2430">
        <f>IFERROR(Growth!F82/Growth!F20,"")</f>
        <v/>
      </c>
      <c r="G69" s="2430">
        <f>IFERROR(Growth!G82/Growth!G20,"")</f>
        <v/>
      </c>
      <c r="H69" s="2430">
        <f>'GPC Data'!O202</f>
        <v/>
      </c>
      <c r="I69" s="2430">
        <f>'GPC Data'!P202</f>
        <v/>
      </c>
      <c r="J69" s="2430">
        <f>IFERROR(Growth!J82/Growth!J20,"")</f>
        <v/>
      </c>
      <c r="K69" s="2442">
        <f>IFERROR(Growth!K82/Growth!K20,"")</f>
        <v/>
      </c>
      <c r="L69" s="2442">
        <f>IFERROR(Growth!L82/Growth!L20,"")</f>
        <v/>
      </c>
      <c r="M69" s="2442">
        <f>IFERROR(Growth!M82/Growth!M20,"")</f>
        <v/>
      </c>
      <c r="N69" s="2430" t="n"/>
      <c r="O69" s="2430" t="n"/>
      <c r="P69" s="443" t="inlineStr">
        <is>
          <t>Yes</t>
        </is>
      </c>
      <c r="Q69" s="2383" t="n"/>
      <c r="R69" s="2431" t="n"/>
      <c r="S69" s="2431" t="n"/>
      <c r="T69" s="2437" t="n"/>
      <c r="U69" s="2438" t="n"/>
      <c r="V69" s="2431" t="n"/>
      <c r="W69" s="2431" t="n"/>
      <c r="X69" s="2431" t="n"/>
      <c r="Y69" s="2431" t="n"/>
      <c r="Z69" s="1833" t="n"/>
      <c r="AA69" s="1833" t="n"/>
      <c r="AB69" s="1833" t="n"/>
      <c r="AC69" s="1833" t="n"/>
      <c r="AD69" s="1833" t="n"/>
      <c r="AE69" s="1833" t="n"/>
      <c r="AF69" s="1833" t="n"/>
    </row>
    <row r="70" outlineLevel="1" ht="10.75" customFormat="1" customHeight="1" s="432" thickBot="1">
      <c r="C70" s="844" t="n"/>
      <c r="D70" s="2439">
        <f>'GPC Data'!E203</f>
        <v/>
      </c>
      <c r="E70" s="2429" t="n"/>
      <c r="F70" s="2430">
        <f>IFERROR(Growth!F83/Growth!F21,"")</f>
        <v/>
      </c>
      <c r="G70" s="2430">
        <f>IFERROR(Growth!G83/Growth!G21,"")</f>
        <v/>
      </c>
      <c r="H70" s="2430">
        <f>'GPC Data'!O203</f>
        <v/>
      </c>
      <c r="I70" s="2430">
        <f>'GPC Data'!P203</f>
        <v/>
      </c>
      <c r="J70" s="2430">
        <f>IFERROR(Growth!J83/Growth!J21,"")</f>
        <v/>
      </c>
      <c r="K70" s="2442">
        <f>IFERROR(Growth!K83/Growth!K21,"")</f>
        <v/>
      </c>
      <c r="L70" s="2442">
        <f>IFERROR(Growth!L83/Growth!L21,"")</f>
        <v/>
      </c>
      <c r="M70" s="2442">
        <f>IFERROR(Growth!M83/Growth!M21,"")</f>
        <v/>
      </c>
      <c r="N70" s="2430" t="n"/>
      <c r="O70" s="2430" t="n"/>
      <c r="P70" s="443" t="inlineStr">
        <is>
          <t>Yes</t>
        </is>
      </c>
      <c r="Q70" s="2383" t="n"/>
      <c r="R70" s="2431" t="n"/>
      <c r="S70" s="2431" t="n"/>
      <c r="T70" s="2437" t="n"/>
      <c r="U70" s="2438" t="n"/>
      <c r="V70" s="2431" t="n"/>
      <c r="W70" s="2431" t="n"/>
      <c r="X70" s="2431" t="n"/>
      <c r="Y70" s="2431" t="n"/>
      <c r="Z70" s="1833" t="n"/>
      <c r="AA70" s="1833" t="n"/>
      <c r="AB70" s="1833" t="n"/>
      <c r="AC70" s="1833" t="n"/>
      <c r="AD70" s="1833" t="n"/>
      <c r="AE70" s="1833" t="n"/>
      <c r="AF70" s="1833" t="n"/>
    </row>
    <row r="71" outlineLevel="1" ht="10.75" customFormat="1" customHeight="1" s="432" thickBot="1">
      <c r="C71" s="844" t="n"/>
      <c r="D71" s="2439">
        <f>'GPC Data'!E204</f>
        <v/>
      </c>
      <c r="E71" s="2429" t="n"/>
      <c r="F71" s="2430">
        <f>IFERROR(Growth!F84/Growth!F22,"")</f>
        <v/>
      </c>
      <c r="G71" s="2430">
        <f>IFERROR(Growth!G84/Growth!G22,"")</f>
        <v/>
      </c>
      <c r="H71" s="2430">
        <f>'GPC Data'!O204</f>
        <v/>
      </c>
      <c r="I71" s="2430">
        <f>'GPC Data'!P204</f>
        <v/>
      </c>
      <c r="J71" s="2430">
        <f>IFERROR(Growth!J84/Growth!J22,"")</f>
        <v/>
      </c>
      <c r="K71" s="2442">
        <f>IFERROR(Growth!K84/Growth!K22,"")</f>
        <v/>
      </c>
      <c r="L71" s="2442">
        <f>IFERROR(Growth!L84/Growth!L22,"")</f>
        <v/>
      </c>
      <c r="M71" s="2442">
        <f>IFERROR(Growth!M84/Growth!M22,"")</f>
        <v/>
      </c>
      <c r="N71" s="2430" t="n"/>
      <c r="O71" s="2430" t="n"/>
      <c r="P71" s="443" t="inlineStr">
        <is>
          <t>Yes</t>
        </is>
      </c>
      <c r="Q71" s="2383" t="n"/>
      <c r="R71" s="2431" t="n"/>
      <c r="S71" s="2431" t="n"/>
      <c r="T71" s="2437" t="n"/>
      <c r="U71" s="2438" t="n"/>
      <c r="V71" s="2431" t="n"/>
      <c r="W71" s="2431" t="n"/>
      <c r="X71" s="2431" t="n"/>
      <c r="Y71" s="2431" t="n"/>
      <c r="Z71" s="1833" t="n"/>
      <c r="AA71" s="1833" t="n"/>
      <c r="AB71" s="1833" t="n"/>
      <c r="AC71" s="1833" t="n"/>
      <c r="AD71" s="1833" t="n"/>
      <c r="AE71" s="1833" t="n"/>
      <c r="AF71" s="1833" t="n"/>
    </row>
    <row r="72" outlineLevel="1" ht="10.75" customFormat="1" customHeight="1" s="432" thickBot="1">
      <c r="C72" s="844" t="n"/>
      <c r="D72" s="2439">
        <f>'GPC Data'!E205</f>
        <v/>
      </c>
      <c r="E72" s="2429" t="n"/>
      <c r="F72" s="2430">
        <f>IFERROR(Growth!F85/Growth!F23,"")</f>
        <v/>
      </c>
      <c r="G72" s="2430">
        <f>IFERROR(Growth!G85/Growth!G23,"")</f>
        <v/>
      </c>
      <c r="H72" s="2430">
        <f>'GPC Data'!O205</f>
        <v/>
      </c>
      <c r="I72" s="2430">
        <f>'GPC Data'!P205</f>
        <v/>
      </c>
      <c r="J72" s="2430">
        <f>IFERROR(Growth!J85/Growth!J23,"")</f>
        <v/>
      </c>
      <c r="K72" s="2442">
        <f>IFERROR(Growth!K85/Growth!K23,"")</f>
        <v/>
      </c>
      <c r="L72" s="2442">
        <f>IFERROR(Growth!L85/Growth!L23,"")</f>
        <v/>
      </c>
      <c r="M72" s="2442">
        <f>IFERROR(Growth!M85/Growth!M23,"")</f>
        <v/>
      </c>
      <c r="N72" s="2430" t="n"/>
      <c r="O72" s="2430" t="n"/>
      <c r="P72" s="443" t="inlineStr">
        <is>
          <t>Yes</t>
        </is>
      </c>
      <c r="Q72" s="2383" t="n"/>
      <c r="R72" s="2431" t="n"/>
      <c r="S72" s="2431" t="n"/>
      <c r="T72" s="2437" t="n"/>
      <c r="U72" s="2438" t="n"/>
      <c r="V72" s="2431" t="n"/>
      <c r="W72" s="2431" t="n"/>
      <c r="X72" s="2431" t="n"/>
      <c r="Y72" s="2431" t="n"/>
      <c r="Z72" s="1833" t="n"/>
      <c r="AA72" s="1833" t="n"/>
      <c r="AB72" s="1833" t="n"/>
      <c r="AC72" s="1833" t="n"/>
      <c r="AD72" s="1833" t="n"/>
      <c r="AE72" s="1833" t="n"/>
      <c r="AF72" s="1833" t="n"/>
    </row>
    <row r="73" outlineLevel="1" ht="10.75" customFormat="1" customHeight="1" s="432" thickBot="1">
      <c r="C73" s="844" t="n"/>
      <c r="D73" s="2439">
        <f>'GPC Data'!E206</f>
        <v/>
      </c>
      <c r="E73" s="2429" t="n"/>
      <c r="F73" s="2430">
        <f>IFERROR(Growth!F86/Growth!F24,"")</f>
        <v/>
      </c>
      <c r="G73" s="2430">
        <f>IFERROR(Growth!G86/Growth!G24,"")</f>
        <v/>
      </c>
      <c r="H73" s="2430">
        <f>'GPC Data'!O206</f>
        <v/>
      </c>
      <c r="I73" s="2430">
        <f>'GPC Data'!P206</f>
        <v/>
      </c>
      <c r="J73" s="2430">
        <f>IFERROR(Growth!J86/Growth!J24,"")</f>
        <v/>
      </c>
      <c r="K73" s="2442">
        <f>IFERROR(Growth!K86/Growth!K24,"")</f>
        <v/>
      </c>
      <c r="L73" s="2442">
        <f>IFERROR(Growth!L86/Growth!L24,"")</f>
        <v/>
      </c>
      <c r="M73" s="2442">
        <f>IFERROR(Growth!M86/Growth!M24,"")</f>
        <v/>
      </c>
      <c r="N73" s="2430" t="n"/>
      <c r="O73" s="2430" t="n"/>
      <c r="P73" s="443" t="inlineStr">
        <is>
          <t>Yes</t>
        </is>
      </c>
      <c r="Q73" s="2383" t="n"/>
      <c r="R73" s="2431" t="n"/>
      <c r="S73" s="2431" t="n"/>
      <c r="T73" s="2437" t="n"/>
      <c r="U73" s="2438" t="n"/>
      <c r="V73" s="2431" t="n"/>
      <c r="W73" s="2431" t="n"/>
      <c r="X73" s="2431" t="n"/>
      <c r="Y73" s="2431" t="n"/>
      <c r="Z73" s="1833" t="n"/>
      <c r="AA73" s="1833" t="n"/>
      <c r="AB73" s="1833" t="n"/>
      <c r="AC73" s="1833" t="n"/>
      <c r="AD73" s="1833" t="n"/>
      <c r="AE73" s="1833" t="n"/>
      <c r="AF73" s="1833" t="n"/>
    </row>
    <row r="74" outlineLevel="1" ht="10.75" customFormat="1" customHeight="1" s="432" thickBot="1">
      <c r="C74" s="844" t="n"/>
      <c r="D74" s="2439">
        <f>'GPC Data'!E207</f>
        <v/>
      </c>
      <c r="E74" s="2429" t="n"/>
      <c r="F74" s="2430">
        <f>IFERROR(Growth!F87/Growth!F25,"")</f>
        <v/>
      </c>
      <c r="G74" s="2430">
        <f>IFERROR(Growth!G87/Growth!G25,"")</f>
        <v/>
      </c>
      <c r="H74" s="2430">
        <f>'GPC Data'!O207</f>
        <v/>
      </c>
      <c r="I74" s="2430">
        <f>'GPC Data'!P207</f>
        <v/>
      </c>
      <c r="J74" s="2430">
        <f>IFERROR(Growth!J87/Growth!J25,"")</f>
        <v/>
      </c>
      <c r="K74" s="2442">
        <f>IFERROR(Growth!K87/Growth!K25,"")</f>
        <v/>
      </c>
      <c r="L74" s="2442">
        <f>IFERROR(Growth!L87/Growth!L25,"")</f>
        <v/>
      </c>
      <c r="M74" s="2442">
        <f>IFERROR(Growth!M87/Growth!M25,"")</f>
        <v/>
      </c>
      <c r="N74" s="2430" t="n"/>
      <c r="O74" s="2430" t="n"/>
      <c r="P74" s="443" t="inlineStr">
        <is>
          <t>Yes</t>
        </is>
      </c>
      <c r="Q74" s="2383" t="n"/>
      <c r="R74" s="2431" t="n"/>
      <c r="S74" s="2431" t="n"/>
      <c r="T74" s="2437" t="n"/>
      <c r="U74" s="2438" t="n"/>
      <c r="V74" s="2431" t="n"/>
      <c r="W74" s="2431" t="n"/>
      <c r="X74" s="2431" t="n"/>
      <c r="Y74" s="2431" t="n"/>
      <c r="Z74" s="1833" t="n"/>
      <c r="AA74" s="1833" t="n"/>
      <c r="AB74" s="1833" t="n"/>
      <c r="AC74" s="1833" t="n"/>
      <c r="AD74" s="1833" t="n"/>
      <c r="AE74" s="1833" t="n"/>
      <c r="AF74" s="1833" t="n"/>
    </row>
    <row r="75" outlineLevel="1" ht="10.75" customFormat="1" customHeight="1" s="432" thickBot="1">
      <c r="C75" s="844" t="n"/>
      <c r="D75" s="2439">
        <f>'GPC Data'!E208</f>
        <v/>
      </c>
      <c r="E75" s="2429" t="n"/>
      <c r="F75" s="2430">
        <f>IFERROR(Growth!F88/Growth!F26,"")</f>
        <v/>
      </c>
      <c r="G75" s="2430">
        <f>IFERROR(Growth!G88/Growth!G26,"")</f>
        <v/>
      </c>
      <c r="H75" s="2430">
        <f>'GPC Data'!O208</f>
        <v/>
      </c>
      <c r="I75" s="2430">
        <f>'GPC Data'!P208</f>
        <v/>
      </c>
      <c r="J75" s="2430">
        <f>IFERROR(Growth!J88/Growth!J26,"")</f>
        <v/>
      </c>
      <c r="K75" s="2442">
        <f>IFERROR(Growth!K88/Growth!K26,"")</f>
        <v/>
      </c>
      <c r="L75" s="2442">
        <f>IFERROR(Growth!L88/Growth!L26,"")</f>
        <v/>
      </c>
      <c r="M75" s="2442">
        <f>IFERROR(Growth!M88/Growth!M26,"")</f>
        <v/>
      </c>
      <c r="N75" s="2430" t="n"/>
      <c r="O75" s="2430" t="n"/>
      <c r="P75" s="443" t="inlineStr">
        <is>
          <t>Yes</t>
        </is>
      </c>
      <c r="Q75" s="2383" t="n"/>
      <c r="R75" s="2431" t="n"/>
      <c r="S75" s="2431" t="n"/>
      <c r="T75" s="2437" t="n"/>
      <c r="U75" s="2438" t="n"/>
      <c r="V75" s="2431" t="n"/>
      <c r="W75" s="2431" t="n"/>
      <c r="X75" s="2431" t="n"/>
      <c r="Y75" s="2431" t="n"/>
      <c r="Z75" s="1833" t="n"/>
      <c r="AA75" s="1833" t="n"/>
      <c r="AB75" s="1833" t="n"/>
      <c r="AC75" s="1833" t="n"/>
      <c r="AD75" s="1833" t="n"/>
      <c r="AE75" s="1833" t="n"/>
      <c r="AF75" s="1833" t="n"/>
    </row>
    <row r="76" outlineLevel="1" ht="10.75" customFormat="1" customHeight="1" s="432" thickBot="1">
      <c r="C76" s="844" t="n"/>
      <c r="D76" s="2439">
        <f>'GPC Data'!E209</f>
        <v/>
      </c>
      <c r="E76" s="2429" t="n"/>
      <c r="F76" s="2430">
        <f>IFERROR(Growth!F89/Growth!F27,"")</f>
        <v/>
      </c>
      <c r="G76" s="2430">
        <f>IFERROR(Growth!G89/Growth!G27,"")</f>
        <v/>
      </c>
      <c r="H76" s="2430">
        <f>'GPC Data'!O209</f>
        <v/>
      </c>
      <c r="I76" s="2430">
        <f>'GPC Data'!P209</f>
        <v/>
      </c>
      <c r="J76" s="2430">
        <f>IFERROR(Growth!J89/Growth!J27,"")</f>
        <v/>
      </c>
      <c r="K76" s="2442">
        <f>IFERROR(Growth!K89/Growth!K27,"")</f>
        <v/>
      </c>
      <c r="L76" s="2442">
        <f>IFERROR(Growth!L89/Growth!L27,"")</f>
        <v/>
      </c>
      <c r="M76" s="2442">
        <f>IFERROR(Growth!M89/Growth!M27,"")</f>
        <v/>
      </c>
      <c r="N76" s="2430" t="n"/>
      <c r="O76" s="2430" t="n"/>
      <c r="P76" s="443" t="inlineStr">
        <is>
          <t>Yes</t>
        </is>
      </c>
      <c r="Q76" s="2383" t="n"/>
      <c r="R76" s="2431" t="n"/>
      <c r="S76" s="2431" t="n"/>
      <c r="T76" s="2437" t="n"/>
      <c r="U76" s="2438" t="n"/>
      <c r="V76" s="2431" t="n"/>
      <c r="W76" s="2431" t="n"/>
      <c r="X76" s="2431" t="n"/>
      <c r="Y76" s="2431" t="n"/>
      <c r="Z76" s="1833" t="n"/>
      <c r="AA76" s="1833" t="n"/>
      <c r="AB76" s="1833" t="n"/>
      <c r="AC76" s="1833" t="n"/>
      <c r="AD76" s="1833" t="n"/>
      <c r="AE76" s="1833" t="n"/>
      <c r="AF76" s="1833" t="n"/>
    </row>
    <row r="77" outlineLevel="1" ht="10.75" customFormat="1" customHeight="1" s="432" thickBot="1">
      <c r="C77" s="844" t="n"/>
      <c r="D77" s="2439">
        <f>'GPC Data'!E210</f>
        <v/>
      </c>
      <c r="E77" s="2429" t="n"/>
      <c r="F77" s="2430">
        <f>IFERROR(Growth!F90/Growth!F28,"")</f>
        <v/>
      </c>
      <c r="G77" s="2430">
        <f>IFERROR(Growth!G90/Growth!G28,"")</f>
        <v/>
      </c>
      <c r="H77" s="2430">
        <f>'GPC Data'!O210</f>
        <v/>
      </c>
      <c r="I77" s="2430">
        <f>'GPC Data'!P210</f>
        <v/>
      </c>
      <c r="J77" s="2430">
        <f>IFERROR(Growth!J90/Growth!J28,"")</f>
        <v/>
      </c>
      <c r="K77" s="2442">
        <f>IFERROR(Growth!K90/Growth!K28,"")</f>
        <v/>
      </c>
      <c r="L77" s="2442">
        <f>IFERROR(Growth!L90/Growth!L28,"")</f>
        <v/>
      </c>
      <c r="M77" s="2442">
        <f>IFERROR(Growth!M90/Growth!M28,"")</f>
        <v/>
      </c>
      <c r="N77" s="2430" t="n"/>
      <c r="O77" s="2430" t="n"/>
      <c r="P77" s="443" t="inlineStr">
        <is>
          <t>Yes</t>
        </is>
      </c>
      <c r="Q77" s="2383" t="n"/>
      <c r="R77" s="2431" t="n"/>
      <c r="S77" s="2431" t="n"/>
      <c r="T77" s="2437" t="n"/>
      <c r="U77" s="2438" t="n"/>
      <c r="V77" s="2431" t="n"/>
      <c r="W77" s="2431" t="n"/>
      <c r="X77" s="2431" t="n"/>
      <c r="Y77" s="2431" t="n"/>
      <c r="Z77" s="1833" t="n"/>
      <c r="AA77" s="1833" t="n"/>
      <c r="AB77" s="1833" t="n"/>
      <c r="AC77" s="1833" t="n"/>
      <c r="AD77" s="1833" t="n"/>
      <c r="AE77" s="1833" t="n"/>
      <c r="AF77" s="1833" t="n"/>
    </row>
    <row r="78" outlineLevel="1" ht="12" customFormat="1" customHeight="1" s="432" thickBot="1">
      <c r="C78" s="844" t="n"/>
      <c r="D78" s="2439">
        <f>'GPC Data'!E211</f>
        <v/>
      </c>
      <c r="E78" s="2429" t="n"/>
      <c r="F78" s="2430">
        <f>IFERROR(Growth!F91/Growth!F29,"")</f>
        <v/>
      </c>
      <c r="G78" s="2430">
        <f>IFERROR(Growth!G91/Growth!G29,"")</f>
        <v/>
      </c>
      <c r="H78" s="2430">
        <f>'GPC Data'!O211</f>
        <v/>
      </c>
      <c r="I78" s="2430">
        <f>'GPC Data'!P211</f>
        <v/>
      </c>
      <c r="J78" s="2430">
        <f>IFERROR(Growth!J91/Growth!J29,"")</f>
        <v/>
      </c>
      <c r="K78" s="2442">
        <f>IFERROR(Growth!K91/Growth!K29,"")</f>
        <v/>
      </c>
      <c r="L78" s="2442">
        <f>IFERROR(Growth!L91/Growth!L29,"")</f>
        <v/>
      </c>
      <c r="M78" s="2442">
        <f>IFERROR(Growth!M91/Growth!M29,"")</f>
        <v/>
      </c>
      <c r="N78" s="2430" t="n"/>
      <c r="O78" s="2430" t="n"/>
      <c r="P78" s="443" t="inlineStr">
        <is>
          <t>Yes</t>
        </is>
      </c>
      <c r="Q78" s="2383" t="n"/>
      <c r="R78" s="2431" t="n"/>
      <c r="S78" s="2431" t="n"/>
      <c r="T78" s="2437" t="n"/>
      <c r="U78" s="2438" t="n"/>
      <c r="V78" s="2431" t="n"/>
      <c r="W78" s="2431" t="n"/>
      <c r="X78" s="2431" t="n"/>
      <c r="Y78" s="2431" t="n"/>
      <c r="Z78" s="1833" t="n"/>
      <c r="AA78" s="1833" t="n"/>
      <c r="AB78" s="1833" t="n"/>
      <c r="AC78" s="1833" t="n"/>
      <c r="AD78" s="1833" t="n"/>
      <c r="AE78" s="1833" t="n"/>
      <c r="AF78" s="1833" t="n"/>
    </row>
    <row r="79" outlineLevel="1" ht="12" customFormat="1" customHeight="1" s="432" thickBot="1">
      <c r="C79" s="844" t="n"/>
      <c r="D79" s="2439">
        <f>'GPC Data'!E212</f>
        <v/>
      </c>
      <c r="E79" s="2429" t="n"/>
      <c r="F79" s="2430">
        <f>IFERROR(Growth!F92/Growth!F30,"")</f>
        <v/>
      </c>
      <c r="G79" s="2430">
        <f>IFERROR(Growth!G92/Growth!G30,"")</f>
        <v/>
      </c>
      <c r="H79" s="2430">
        <f>'GPC Data'!O212</f>
        <v/>
      </c>
      <c r="I79" s="2430">
        <f>'GPC Data'!P212</f>
        <v/>
      </c>
      <c r="J79" s="2430">
        <f>IFERROR(Growth!J92/Growth!J30,"")</f>
        <v/>
      </c>
      <c r="K79" s="2442">
        <f>IFERROR(Growth!K92/Growth!K30,"")</f>
        <v/>
      </c>
      <c r="L79" s="2442">
        <f>IFERROR(Growth!L92/Growth!L30,"")</f>
        <v/>
      </c>
      <c r="M79" s="2442">
        <f>IFERROR(Growth!M92/Growth!M30,"")</f>
        <v/>
      </c>
      <c r="N79" s="2430" t="n"/>
      <c r="O79" s="2430" t="n"/>
      <c r="P79" s="443" t="inlineStr">
        <is>
          <t>Yes</t>
        </is>
      </c>
      <c r="Q79" s="2383" t="n"/>
      <c r="R79" s="2431" t="n"/>
      <c r="S79" s="2431" t="n"/>
      <c r="T79" s="2437" t="n"/>
      <c r="U79" s="2438" t="n"/>
      <c r="V79" s="2431" t="n"/>
      <c r="W79" s="2431" t="n"/>
      <c r="X79" s="2431" t="n"/>
      <c r="Y79" s="2431" t="n"/>
      <c r="Z79" s="1833" t="n"/>
      <c r="AA79" s="1833" t="n"/>
      <c r="AB79" s="1833" t="n"/>
      <c r="AC79" s="1833" t="n"/>
      <c r="AD79" s="1833" t="n"/>
      <c r="AE79" s="1833" t="n"/>
      <c r="AF79" s="1833" t="n"/>
    </row>
    <row r="80" outlineLevel="1" ht="12" customFormat="1" customHeight="1" s="432" thickBot="1">
      <c r="C80" s="844" t="n"/>
      <c r="D80" s="2439">
        <f>'GPC Data'!E213</f>
        <v/>
      </c>
      <c r="E80" s="2429" t="n"/>
      <c r="F80" s="2430">
        <f>IFERROR(Growth!F93/Growth!F31,"")</f>
        <v/>
      </c>
      <c r="G80" s="2430">
        <f>IFERROR(Growth!G93/Growth!G31,"")</f>
        <v/>
      </c>
      <c r="H80" s="2430">
        <f>'GPC Data'!O213</f>
        <v/>
      </c>
      <c r="I80" s="2430">
        <f>'GPC Data'!P213</f>
        <v/>
      </c>
      <c r="J80" s="2430">
        <f>IFERROR(Growth!J93/Growth!J31,"")</f>
        <v/>
      </c>
      <c r="K80" s="2442">
        <f>IFERROR(Growth!K93/Growth!K31,"")</f>
        <v/>
      </c>
      <c r="L80" s="2442">
        <f>IFERROR(Growth!L93/Growth!L31,"")</f>
        <v/>
      </c>
      <c r="M80" s="2442">
        <f>IFERROR(Growth!M93/Growth!M31,"")</f>
        <v/>
      </c>
      <c r="N80" s="2430" t="n"/>
      <c r="O80" s="2430" t="n"/>
      <c r="P80" s="443" t="inlineStr">
        <is>
          <t>Yes</t>
        </is>
      </c>
      <c r="Q80" s="2383" t="n"/>
      <c r="R80" s="2431" t="n"/>
      <c r="S80" s="2431" t="n"/>
      <c r="T80" s="2437" t="n"/>
      <c r="U80" s="2438" t="n"/>
      <c r="V80" s="2431" t="n"/>
      <c r="W80" s="2431" t="n"/>
      <c r="X80" s="2431" t="n"/>
      <c r="Y80" s="2431" t="n"/>
      <c r="Z80" s="1833" t="n"/>
      <c r="AA80" s="1833" t="n"/>
      <c r="AB80" s="1833" t="n"/>
      <c r="AC80" s="1833" t="n"/>
      <c r="AD80" s="1833" t="n"/>
      <c r="AE80" s="1833" t="n"/>
      <c r="AF80" s="1833" t="n"/>
    </row>
    <row r="81" outlineLevel="1" ht="12" customFormat="1" customHeight="1" s="432" thickBot="1">
      <c r="C81" s="844" t="n"/>
      <c r="D81" s="2439">
        <f>'GPC Data'!E214</f>
        <v/>
      </c>
      <c r="E81" s="2429" t="n"/>
      <c r="F81" s="2430">
        <f>IFERROR(Growth!F94/Growth!F32,"")</f>
        <v/>
      </c>
      <c r="G81" s="2430">
        <f>IFERROR(Growth!G94/Growth!G32,"")</f>
        <v/>
      </c>
      <c r="H81" s="2430">
        <f>'GPC Data'!O214</f>
        <v/>
      </c>
      <c r="I81" s="2430">
        <f>'GPC Data'!P214</f>
        <v/>
      </c>
      <c r="J81" s="2430">
        <f>IFERROR(Growth!J94/Growth!J32,"")</f>
        <v/>
      </c>
      <c r="K81" s="2442">
        <f>IFERROR(Growth!K94/Growth!K32,"")</f>
        <v/>
      </c>
      <c r="L81" s="2442">
        <f>IFERROR(Growth!L94/Growth!L32,"")</f>
        <v/>
      </c>
      <c r="M81" s="2442">
        <f>IFERROR(Growth!M94/Growth!M32,"")</f>
        <v/>
      </c>
      <c r="N81" s="2430" t="n"/>
      <c r="O81" s="2430" t="n"/>
      <c r="P81" s="443" t="inlineStr">
        <is>
          <t>Yes</t>
        </is>
      </c>
      <c r="Q81" s="2383" t="n"/>
      <c r="R81" s="2431" t="n"/>
      <c r="S81" s="2431" t="n"/>
      <c r="T81" s="2437" t="n"/>
      <c r="U81" s="2438" t="n"/>
      <c r="V81" s="2431" t="n"/>
      <c r="W81" s="2431" t="n"/>
      <c r="X81" s="2431" t="n"/>
      <c r="Y81" s="2431" t="n"/>
      <c r="Z81" s="1833" t="n"/>
      <c r="AA81" s="1833" t="n"/>
      <c r="AB81" s="1833" t="n"/>
      <c r="AC81" s="1833" t="n"/>
      <c r="AD81" s="1833" t="n"/>
      <c r="AE81" s="1833" t="n"/>
      <c r="AF81" s="1833" t="n"/>
    </row>
    <row r="82" outlineLevel="1" ht="12" customFormat="1" customHeight="1" s="432" thickBot="1">
      <c r="C82" s="844" t="n"/>
      <c r="D82" s="2439">
        <f>'GPC Data'!E215</f>
        <v/>
      </c>
      <c r="E82" s="2429" t="n"/>
      <c r="F82" s="2430">
        <f>IFERROR(Growth!F95/Growth!F33,"")</f>
        <v/>
      </c>
      <c r="G82" s="2430">
        <f>IFERROR(Growth!G95/Growth!G33,"")</f>
        <v/>
      </c>
      <c r="H82" s="2430">
        <f>'GPC Data'!O215</f>
        <v/>
      </c>
      <c r="I82" s="2430">
        <f>'GPC Data'!P215</f>
        <v/>
      </c>
      <c r="J82" s="2430">
        <f>IFERROR(Growth!J95/Growth!J33,"")</f>
        <v/>
      </c>
      <c r="K82" s="2442">
        <f>IFERROR(Growth!K95/Growth!K33,"")</f>
        <v/>
      </c>
      <c r="L82" s="2442">
        <f>IFERROR(Growth!L95/Growth!L33,"")</f>
        <v/>
      </c>
      <c r="M82" s="2442">
        <f>IFERROR(Growth!M95/Growth!M33,"")</f>
        <v/>
      </c>
      <c r="N82" s="2430" t="n"/>
      <c r="O82" s="2430" t="n"/>
      <c r="P82" s="443" t="inlineStr">
        <is>
          <t>Yes</t>
        </is>
      </c>
      <c r="Q82" s="2383" t="n"/>
      <c r="R82" s="2431" t="n"/>
      <c r="S82" s="2431" t="n"/>
      <c r="T82" s="2437" t="n"/>
      <c r="U82" s="2438" t="n"/>
      <c r="V82" s="2431" t="n"/>
      <c r="W82" s="2431" t="n"/>
      <c r="X82" s="2431" t="n"/>
      <c r="Y82" s="2431" t="n"/>
      <c r="Z82" s="1833" t="n"/>
      <c r="AA82" s="1833" t="n"/>
      <c r="AB82" s="1833" t="n"/>
      <c r="AC82" s="1833" t="n"/>
      <c r="AD82" s="1833" t="n"/>
      <c r="AE82" s="1833" t="n"/>
      <c r="AF82" s="1833" t="n"/>
    </row>
    <row r="83" outlineLevel="1" ht="12" customFormat="1" customHeight="1" s="432" thickBot="1">
      <c r="C83" s="844" t="n"/>
      <c r="D83" s="2439">
        <f>'GPC Data'!E216</f>
        <v/>
      </c>
      <c r="E83" s="2429" t="n"/>
      <c r="F83" s="2430">
        <f>IFERROR(Growth!F96/Growth!F34,"")</f>
        <v/>
      </c>
      <c r="G83" s="2430">
        <f>IFERROR(Growth!G96/Growth!G34,"")</f>
        <v/>
      </c>
      <c r="H83" s="2430">
        <f>'GPC Data'!O216</f>
        <v/>
      </c>
      <c r="I83" s="2430">
        <f>'GPC Data'!P216</f>
        <v/>
      </c>
      <c r="J83" s="2430">
        <f>IFERROR(Growth!J96/Growth!J34,"")</f>
        <v/>
      </c>
      <c r="K83" s="2442">
        <f>IFERROR(Growth!K96/Growth!K34,"")</f>
        <v/>
      </c>
      <c r="L83" s="2442">
        <f>IFERROR(Growth!L96/Growth!L34,"")</f>
        <v/>
      </c>
      <c r="M83" s="2442">
        <f>IFERROR(Growth!M96/Growth!M34,"")</f>
        <v/>
      </c>
      <c r="N83" s="2430" t="n"/>
      <c r="O83" s="2430" t="n"/>
      <c r="P83" s="443" t="inlineStr">
        <is>
          <t>Yes</t>
        </is>
      </c>
      <c r="Q83" s="2383" t="n"/>
      <c r="R83" s="2431" t="n"/>
      <c r="S83" s="2431" t="n"/>
      <c r="T83" s="2437" t="n"/>
      <c r="U83" s="2438" t="n"/>
      <c r="V83" s="2431" t="n"/>
      <c r="W83" s="2431" t="n"/>
      <c r="X83" s="2431" t="n"/>
      <c r="Y83" s="2431" t="n"/>
      <c r="Z83" s="1833" t="n"/>
      <c r="AA83" s="1833" t="n"/>
      <c r="AB83" s="1833" t="n"/>
      <c r="AC83" s="1833" t="n"/>
      <c r="AD83" s="1833" t="n"/>
      <c r="AE83" s="1833" t="n"/>
      <c r="AF83" s="1833" t="n"/>
    </row>
    <row r="84" outlineLevel="1" ht="12" customFormat="1" customHeight="1" s="432" thickBot="1">
      <c r="C84" s="844" t="n"/>
      <c r="D84" s="2439">
        <f>'GPC Data'!E217</f>
        <v/>
      </c>
      <c r="E84" s="2429" t="n"/>
      <c r="F84" s="2430">
        <f>IFERROR(Growth!F97/Growth!F35,"")</f>
        <v/>
      </c>
      <c r="G84" s="2430">
        <f>IFERROR(Growth!G97/Growth!G35,"")</f>
        <v/>
      </c>
      <c r="H84" s="2430">
        <f>'GPC Data'!O217</f>
        <v/>
      </c>
      <c r="I84" s="2430">
        <f>'GPC Data'!P217</f>
        <v/>
      </c>
      <c r="J84" s="2430">
        <f>IFERROR(Growth!J97/Growth!J35,"")</f>
        <v/>
      </c>
      <c r="K84" s="2442">
        <f>IFERROR(Growth!K97/Growth!K35,"")</f>
        <v/>
      </c>
      <c r="L84" s="2442">
        <f>IFERROR(Growth!L97/Growth!L35,"")</f>
        <v/>
      </c>
      <c r="M84" s="2442">
        <f>IFERROR(Growth!M97/Growth!M35,"")</f>
        <v/>
      </c>
      <c r="N84" s="2430" t="n"/>
      <c r="O84" s="2430" t="n"/>
      <c r="P84" s="443" t="inlineStr">
        <is>
          <t>Yes</t>
        </is>
      </c>
      <c r="Q84" s="2383" t="n"/>
      <c r="R84" s="2431" t="n"/>
      <c r="S84" s="2431" t="n"/>
      <c r="T84" s="2437" t="n"/>
      <c r="U84" s="2438" t="n"/>
      <c r="V84" s="2431" t="n"/>
      <c r="W84" s="2431" t="n"/>
      <c r="X84" s="2431" t="n"/>
      <c r="Y84" s="2431" t="n"/>
      <c r="Z84" s="1833" t="n"/>
      <c r="AA84" s="1833" t="n"/>
      <c r="AB84" s="1833" t="n"/>
      <c r="AC84" s="1833" t="n"/>
      <c r="AD84" s="1833" t="n"/>
      <c r="AE84" s="1833" t="n"/>
      <c r="AF84" s="1833" t="n"/>
    </row>
    <row r="85" outlineLevel="1" ht="12" customFormat="1" customHeight="1" s="432" thickBot="1">
      <c r="C85" s="844" t="n"/>
      <c r="D85" s="2439">
        <f>'GPC Data'!E218</f>
        <v/>
      </c>
      <c r="E85" s="2429" t="n"/>
      <c r="F85" s="2430">
        <f>IFERROR(Growth!F98/Growth!F36,"")</f>
        <v/>
      </c>
      <c r="G85" s="2430">
        <f>IFERROR(Growth!G98/Growth!G36,"")</f>
        <v/>
      </c>
      <c r="H85" s="2430">
        <f>'GPC Data'!O218</f>
        <v/>
      </c>
      <c r="I85" s="2430">
        <f>'GPC Data'!P218</f>
        <v/>
      </c>
      <c r="J85" s="2430">
        <f>IFERROR(Growth!J98/Growth!J36,"")</f>
        <v/>
      </c>
      <c r="K85" s="2442">
        <f>IFERROR(Growth!K98/Growth!K36,"")</f>
        <v/>
      </c>
      <c r="L85" s="2442">
        <f>IFERROR(Growth!L98/Growth!L36,"")</f>
        <v/>
      </c>
      <c r="M85" s="2442">
        <f>IFERROR(Growth!M98/Growth!M36,"")</f>
        <v/>
      </c>
      <c r="N85" s="2430" t="n"/>
      <c r="O85" s="2430" t="n"/>
      <c r="P85" s="443" t="inlineStr">
        <is>
          <t>Yes</t>
        </is>
      </c>
      <c r="Q85" s="2383" t="n"/>
      <c r="R85" s="2431" t="n"/>
      <c r="S85" s="2431" t="n"/>
      <c r="T85" s="2437" t="n"/>
      <c r="U85" s="2438" t="n"/>
      <c r="V85" s="2431" t="n"/>
      <c r="W85" s="2431" t="n"/>
      <c r="X85" s="2431" t="n"/>
      <c r="Y85" s="2431" t="n"/>
      <c r="Z85" s="1833" t="n"/>
      <c r="AA85" s="1833" t="n"/>
      <c r="AB85" s="1833" t="n"/>
      <c r="AC85" s="1833" t="n"/>
      <c r="AD85" s="1833" t="n"/>
      <c r="AE85" s="1833" t="n"/>
      <c r="AF85" s="1833" t="n"/>
    </row>
    <row r="86" outlineLevel="1" ht="12" customFormat="1" customHeight="1" s="432" thickBot="1">
      <c r="C86" s="844" t="n"/>
      <c r="D86" s="2439">
        <f>'GPC Data'!E219</f>
        <v/>
      </c>
      <c r="E86" s="2429" t="n"/>
      <c r="F86" s="2430">
        <f>IFERROR(Growth!F99/Growth!F37,"")</f>
        <v/>
      </c>
      <c r="G86" s="2430">
        <f>IFERROR(Growth!G99/Growth!G37,"")</f>
        <v/>
      </c>
      <c r="H86" s="2430">
        <f>'GPC Data'!O219</f>
        <v/>
      </c>
      <c r="I86" s="2430">
        <f>'GPC Data'!P219</f>
        <v/>
      </c>
      <c r="J86" s="2430">
        <f>IFERROR(Growth!J99/Growth!J37,"")</f>
        <v/>
      </c>
      <c r="K86" s="2442">
        <f>IFERROR(Growth!K99/Growth!K37,"")</f>
        <v/>
      </c>
      <c r="L86" s="2442">
        <f>IFERROR(Growth!L99/Growth!L37,"")</f>
        <v/>
      </c>
      <c r="M86" s="2442">
        <f>IFERROR(Growth!M99/Growth!M37,"")</f>
        <v/>
      </c>
      <c r="N86" s="2430" t="n"/>
      <c r="O86" s="2430" t="n"/>
      <c r="P86" s="443" t="inlineStr">
        <is>
          <t>Yes</t>
        </is>
      </c>
      <c r="Q86" s="2383" t="n"/>
      <c r="R86" s="2431" t="n"/>
      <c r="S86" s="2431" t="n"/>
      <c r="T86" s="2437" t="n"/>
      <c r="U86" s="2438" t="n"/>
      <c r="V86" s="2431" t="n"/>
      <c r="W86" s="2431" t="n"/>
      <c r="X86" s="2431" t="n"/>
      <c r="Y86" s="2431" t="n"/>
      <c r="Z86" s="1833" t="n"/>
      <c r="AA86" s="1833" t="n"/>
      <c r="AB86" s="1833" t="n"/>
      <c r="AC86" s="1833" t="n"/>
      <c r="AD86" s="1833" t="n"/>
      <c r="AE86" s="1833" t="n"/>
      <c r="AF86" s="1833" t="n"/>
    </row>
    <row r="87" outlineLevel="1" ht="12" customFormat="1" customHeight="1" s="432" thickBot="1">
      <c r="C87" s="844" t="n"/>
      <c r="D87" s="2439">
        <f>'GPC Data'!E220</f>
        <v/>
      </c>
      <c r="E87" s="2429" t="n"/>
      <c r="F87" s="2430">
        <f>IFERROR(Growth!F100/Growth!F38,"")</f>
        <v/>
      </c>
      <c r="G87" s="2430">
        <f>IFERROR(Growth!G100/Growth!G38,"")</f>
        <v/>
      </c>
      <c r="H87" s="2430">
        <f>'GPC Data'!O220</f>
        <v/>
      </c>
      <c r="I87" s="2430">
        <f>'GPC Data'!P220</f>
        <v/>
      </c>
      <c r="J87" s="2430">
        <f>IFERROR(Growth!J100/Growth!J38,"")</f>
        <v/>
      </c>
      <c r="K87" s="2442">
        <f>IFERROR(Growth!K100/Growth!K38,"")</f>
        <v/>
      </c>
      <c r="L87" s="2442">
        <f>IFERROR(Growth!L100/Growth!L38,"")</f>
        <v/>
      </c>
      <c r="M87" s="2442">
        <f>IFERROR(Growth!M100/Growth!M38,"")</f>
        <v/>
      </c>
      <c r="N87" s="2430" t="n"/>
      <c r="O87" s="2430" t="n"/>
      <c r="P87" s="443" t="inlineStr">
        <is>
          <t>Yes</t>
        </is>
      </c>
      <c r="Q87" s="2383" t="n"/>
      <c r="R87" s="2431" t="n"/>
      <c r="S87" s="2431" t="n"/>
      <c r="T87" s="2437" t="n"/>
      <c r="U87" s="2438" t="n"/>
      <c r="V87" s="2431" t="n"/>
      <c r="W87" s="2431" t="n"/>
      <c r="X87" s="2431" t="n"/>
      <c r="Y87" s="2431" t="n"/>
      <c r="Z87" s="1833" t="n"/>
      <c r="AA87" s="1833" t="n"/>
      <c r="AB87" s="1833" t="n"/>
      <c r="AC87" s="1833" t="n"/>
      <c r="AD87" s="1833" t="n"/>
      <c r="AE87" s="1833" t="n"/>
      <c r="AF87" s="1833" t="n"/>
    </row>
    <row r="88" outlineLevel="1" ht="12" customFormat="1" customHeight="1" s="432" thickBot="1">
      <c r="C88" s="844" t="n">
        <v>10</v>
      </c>
      <c r="D88" s="2439">
        <f>'GPC Data'!E221</f>
        <v/>
      </c>
      <c r="E88" s="2429" t="n"/>
      <c r="F88" s="2430">
        <f>IFERROR(Growth!F69/Growth!F39,"")</f>
        <v/>
      </c>
      <c r="G88" s="2430">
        <f>IFERROR(Growth!G69/Growth!G39,"")</f>
        <v/>
      </c>
      <c r="H88" s="2430">
        <f>'GPC Data'!O221</f>
        <v/>
      </c>
      <c r="I88" s="2430">
        <f>'GPC Data'!P221</f>
        <v/>
      </c>
      <c r="J88" s="2430">
        <f>IFERROR(Growth!J69/Growth!J39,"")</f>
        <v/>
      </c>
      <c r="K88" s="2442">
        <f>IFERROR(Growth!K69/Growth!K39,"")</f>
        <v/>
      </c>
      <c r="L88" s="2442">
        <f>IFERROR(Growth!L69/Growth!L39,"")</f>
        <v/>
      </c>
      <c r="M88" s="2442">
        <f>IFERROR(Growth!M69/Growth!M39,"")</f>
        <v/>
      </c>
      <c r="N88" s="2430" t="n"/>
      <c r="O88" s="2430" t="n"/>
      <c r="P88" s="443" t="inlineStr">
        <is>
          <t>Yes</t>
        </is>
      </c>
      <c r="Q88" s="2383" t="n"/>
      <c r="R88" s="2431" t="n"/>
      <c r="S88" s="2431">
        <f>D88</f>
        <v/>
      </c>
      <c r="T88" s="2437">
        <f>I88</f>
        <v/>
      </c>
      <c r="U88" s="2438">
        <f>K88</f>
        <v/>
      </c>
      <c r="V88" s="2431" t="n"/>
      <c r="W88" s="2431" t="n"/>
      <c r="X88" s="2431" t="n"/>
      <c r="Y88" s="2431" t="n"/>
      <c r="Z88" s="1833" t="inlineStr"/>
      <c r="AA88" s="1833" t="inlineStr"/>
      <c r="AB88" s="1833" t="inlineStr"/>
      <c r="AC88" s="1833" t="inlineStr"/>
      <c r="AD88" s="1833" t="inlineStr"/>
      <c r="AE88" s="1833" t="inlineStr"/>
      <c r="AF88" s="1833" t="inlineStr"/>
    </row>
    <row r="89">
      <c r="B89" s="432" t="n"/>
      <c r="D89" s="910">
        <f>"As of "&amp;TEXT(valuation.date,"d mmmm yyy")&amp;"."&amp;" Historical and forecast consensus financial statements for the selected guideline public companies provided by Capital IQ."</f>
        <v/>
      </c>
      <c r="E89" s="2407" t="n"/>
      <c r="F89" s="2407" t="n"/>
      <c r="G89" s="2407" t="n"/>
      <c r="H89" s="2407" t="n"/>
      <c r="I89" s="2407" t="n"/>
      <c r="J89" s="2407" t="n"/>
      <c r="K89" s="2407" t="n"/>
      <c r="L89" s="2407" t="n"/>
      <c r="M89" s="2407" t="n"/>
      <c r="N89" s="2407" t="n"/>
      <c r="O89" s="2407" t="n"/>
      <c r="R89" s="911" t="n"/>
      <c r="S89" s="911" t="n"/>
      <c r="T89" s="911" t="n"/>
      <c r="U89" s="911" t="n"/>
      <c r="V89" s="911" t="n"/>
      <c r="W89" s="911" t="n"/>
      <c r="X89" s="911" t="n"/>
      <c r="Y89" s="911" t="n"/>
      <c r="Z89" s="2407" t="n"/>
      <c r="AA89" s="2407" t="n"/>
      <c r="AB89" s="2407" t="n"/>
      <c r="AC89" s="2407" t="n"/>
      <c r="AD89" s="2407" t="n"/>
      <c r="AE89" s="2407" t="n"/>
      <c r="AF89" s="2407" t="n"/>
    </row>
    <row r="90">
      <c r="B90" s="432" t="n"/>
      <c r="D90" s="910" t="n"/>
      <c r="E90" s="2407" t="n"/>
      <c r="F90" s="2407" t="n"/>
      <c r="G90" s="2407" t="n"/>
      <c r="H90" s="2407" t="n"/>
      <c r="I90" s="2407" t="n"/>
      <c r="J90" s="2407" t="n"/>
      <c r="K90" s="2407" t="n"/>
      <c r="L90" s="2407" t="n"/>
      <c r="M90" s="2407" t="n"/>
      <c r="N90" s="2407" t="n"/>
      <c r="O90" s="2407" t="n"/>
      <c r="R90" s="911" t="n"/>
      <c r="S90" s="911" t="n"/>
      <c r="T90" s="911" t="n"/>
      <c r="U90" s="911" t="n"/>
      <c r="V90" s="911" t="n"/>
      <c r="W90" s="911" t="n"/>
      <c r="X90" s="911" t="n"/>
      <c r="Y90" s="911" t="n"/>
      <c r="Z90" s="2407" t="n"/>
      <c r="AA90" s="2407" t="n"/>
      <c r="AB90" s="2407" t="n"/>
      <c r="AC90" s="2407" t="n"/>
      <c r="AD90" s="2407" t="n"/>
      <c r="AE90" s="2407" t="n"/>
      <c r="AF90" s="2407" t="n"/>
    </row>
    <row r="91">
      <c r="E91" s="2410" t="inlineStr">
        <is>
          <t>High</t>
        </is>
      </c>
      <c r="F91" s="2412">
        <f>MAX(F59:F88)</f>
        <v/>
      </c>
      <c r="G91" s="2412">
        <f>MAX(G59:G88)</f>
        <v/>
      </c>
      <c r="H91" s="2412">
        <f>MAX(H59:H88)</f>
        <v/>
      </c>
      <c r="I91" s="2412">
        <f>MAX(I59:I88)</f>
        <v/>
      </c>
      <c r="J91" s="2412">
        <f>MAX(J59:J88)</f>
        <v/>
      </c>
      <c r="K91" s="2412">
        <f>MAX(K59:K88)</f>
        <v/>
      </c>
      <c r="L91" s="2412">
        <f>MAX(L59:L88)</f>
        <v/>
      </c>
      <c r="M91" s="2412">
        <f>MAX(M59:M88)</f>
        <v/>
      </c>
      <c r="N91" s="2330" t="n"/>
      <c r="O91" s="2330" t="n"/>
      <c r="Z91" s="2407" t="n"/>
      <c r="AA91" s="2407" t="inlineStr"/>
      <c r="AB91" s="2407" t="inlineStr"/>
      <c r="AC91" s="2407" t="inlineStr"/>
      <c r="AD91" s="2407" t="inlineStr"/>
      <c r="AE91" s="2407" t="inlineStr"/>
      <c r="AF91" s="2407" t="inlineStr"/>
    </row>
    <row r="92">
      <c r="E92" s="2408" t="inlineStr">
        <is>
          <t>75th Percentile</t>
        </is>
      </c>
      <c r="F92" s="2330">
        <f>PERCENTILE(F59:F88,0.75)</f>
        <v/>
      </c>
      <c r="G92" s="2330">
        <f>PERCENTILE(G59:G88,0.75)</f>
        <v/>
      </c>
      <c r="H92" s="2330">
        <f>PERCENTILE(H59:H88,0.75)</f>
        <v/>
      </c>
      <c r="I92" s="2330">
        <f>PERCENTILE(I59:I88,0.75)</f>
        <v/>
      </c>
      <c r="J92" s="2330">
        <f>PERCENTILE(J59:J88,0.75)</f>
        <v/>
      </c>
      <c r="K92" s="2330">
        <f>PERCENTILE(K59:K88,0.75)</f>
        <v/>
      </c>
      <c r="L92" s="2330">
        <f>PERCENTILE(L59:L88,0.75)</f>
        <v/>
      </c>
      <c r="M92" s="2330">
        <f>PERCENTILE(M59:M88,0.75)</f>
        <v/>
      </c>
      <c r="N92" s="2330" t="n"/>
      <c r="O92" s="2330" t="n"/>
      <c r="Z92" s="2407" t="n"/>
      <c r="AA92" s="2407" t="n"/>
      <c r="AB92" s="2407" t="n"/>
      <c r="AC92" s="2407" t="n"/>
      <c r="AD92" s="2407" t="n"/>
      <c r="AE92" s="2407" t="n"/>
      <c r="AF92" s="2407" t="n"/>
    </row>
    <row r="93">
      <c r="E93" s="2408" t="inlineStr">
        <is>
          <t>Mean</t>
        </is>
      </c>
      <c r="F93" s="2330">
        <f>AVERAGE(F59:F88)</f>
        <v/>
      </c>
      <c r="G93" s="2330">
        <f>AVERAGE(G59:G88)</f>
        <v/>
      </c>
      <c r="H93" s="2330">
        <f>AVERAGE(H59:H88)</f>
        <v/>
      </c>
      <c r="I93" s="2330">
        <f>AVERAGE(I59:I88)</f>
        <v/>
      </c>
      <c r="J93" s="2330">
        <f>AVERAGE(J59:J88)</f>
        <v/>
      </c>
      <c r="K93" s="2330">
        <f>AVERAGE(K59:K88)</f>
        <v/>
      </c>
      <c r="L93" s="2330">
        <f>AVERAGE(L59:L88)</f>
        <v/>
      </c>
      <c r="M93" s="2330">
        <f>AVERAGE(M59:M88)</f>
        <v/>
      </c>
      <c r="N93" s="2330" t="n"/>
      <c r="O93" s="2330" t="n"/>
      <c r="Z93" s="2408" t="inlineStr"/>
      <c r="AA93" s="2408" t="inlineStr"/>
      <c r="AB93" s="2408" t="inlineStr"/>
      <c r="AC93" s="2408" t="inlineStr"/>
      <c r="AD93" s="2408" t="inlineStr"/>
      <c r="AE93" s="2408" t="inlineStr"/>
      <c r="AF93" s="2408" t="inlineStr"/>
    </row>
    <row r="94" ht="13" customHeight="1">
      <c r="E94" s="2417" t="inlineStr">
        <is>
          <t>Median</t>
        </is>
      </c>
      <c r="F94" s="2415">
        <f>MEDIAN(F59:F88)</f>
        <v/>
      </c>
      <c r="G94" s="2415">
        <f>MEDIAN(G59:G88)</f>
        <v/>
      </c>
      <c r="H94" s="2415">
        <f>MEDIAN(H59:H88)</f>
        <v/>
      </c>
      <c r="I94" s="2415">
        <f>MEDIAN(I59:I88)</f>
        <v/>
      </c>
      <c r="J94" s="2415">
        <f>MEDIAN(J59:J88)</f>
        <v/>
      </c>
      <c r="K94" s="2415">
        <f>MEDIAN(K59:K88)</f>
        <v/>
      </c>
      <c r="L94" s="2415">
        <f>MEDIAN(L59:L88)</f>
        <v/>
      </c>
      <c r="M94" s="2415">
        <f>MEDIAN(M59:M88)</f>
        <v/>
      </c>
      <c r="N94" s="2330" t="n"/>
      <c r="O94" s="2330" t="n"/>
      <c r="Z94" s="2420" t="inlineStr"/>
      <c r="AA94" s="2420" t="inlineStr"/>
      <c r="AB94" s="2420" t="inlineStr"/>
      <c r="AC94" s="2420" t="inlineStr"/>
      <c r="AD94" s="2420" t="inlineStr"/>
      <c r="AE94" s="2420" t="inlineStr"/>
      <c r="AF94" s="2420" t="inlineStr"/>
    </row>
    <row r="95" ht="13" customHeight="1">
      <c r="E95" s="2408" t="inlineStr">
        <is>
          <t>25th Percentile</t>
        </is>
      </c>
      <c r="F95" s="2330">
        <f>PERCENTILE(F59:F88,0.25)</f>
        <v/>
      </c>
      <c r="G95" s="2330">
        <f>PERCENTILE(G59:G88,0.25)</f>
        <v/>
      </c>
      <c r="H95" s="2330">
        <f>PERCENTILE(H59:H88,0.25)</f>
        <v/>
      </c>
      <c r="I95" s="2330">
        <f>PERCENTILE(I59:I88,0.25)</f>
        <v/>
      </c>
      <c r="J95" s="2330">
        <f>PERCENTILE(J59:J88,0.25)</f>
        <v/>
      </c>
      <c r="K95" s="2330">
        <f>PERCENTILE(K59:K88,0.25)</f>
        <v/>
      </c>
      <c r="L95" s="2330">
        <f>PERCENTILE(L59:L88,0.25)</f>
        <v/>
      </c>
      <c r="M95" s="2330">
        <f>PERCENTILE(M59:M88,0.25)</f>
        <v/>
      </c>
      <c r="N95" s="2330" t="n"/>
      <c r="O95" s="2330" t="n"/>
      <c r="Z95" s="2420" t="n"/>
      <c r="AA95" s="2420" t="n"/>
      <c r="AB95" s="2420" t="n"/>
      <c r="AC95" s="2420" t="n"/>
      <c r="AD95" s="2420" t="n"/>
      <c r="AE95" s="2420" t="n"/>
      <c r="AF95" s="2420" t="n"/>
    </row>
    <row r="96">
      <c r="E96" s="2421" t="inlineStr">
        <is>
          <t>Low</t>
        </is>
      </c>
      <c r="F96" s="2423">
        <f>MIN(F59:F88)</f>
        <v/>
      </c>
      <c r="G96" s="2423">
        <f>MIN(G59:G88)</f>
        <v/>
      </c>
      <c r="H96" s="2423">
        <f>MIN(H59:H88)</f>
        <v/>
      </c>
      <c r="I96" s="2423">
        <f>MIN(I59:I88)</f>
        <v/>
      </c>
      <c r="J96" s="2423">
        <f>MIN(J59:J88)</f>
        <v/>
      </c>
      <c r="K96" s="2423">
        <f>MIN(K59:K88)</f>
        <v/>
      </c>
      <c r="L96" s="2423">
        <f>MIN(L59:L88)</f>
        <v/>
      </c>
      <c r="M96" s="2423">
        <f>MIN(M59:M88)</f>
        <v/>
      </c>
      <c r="N96" s="2330" t="n"/>
      <c r="O96" s="2330" t="n"/>
      <c r="Z96" s="2408" t="inlineStr"/>
      <c r="AA96" s="2408" t="inlineStr"/>
      <c r="AB96" s="2408" t="inlineStr"/>
      <c r="AC96" s="2408" t="inlineStr"/>
      <c r="AD96" s="2408" t="inlineStr"/>
      <c r="AE96" s="2408" t="inlineStr"/>
      <c r="AF96" s="2408" t="inlineStr"/>
    </row>
    <row r="97">
      <c r="E97" s="2440" t="n"/>
      <c r="F97" s="2330" t="n"/>
      <c r="G97" s="2330" t="n"/>
      <c r="H97" s="2330" t="n"/>
      <c r="I97" s="2330" t="n"/>
      <c r="J97" s="2330" t="n"/>
      <c r="K97" s="2408" t="n"/>
      <c r="L97" s="2408" t="n"/>
      <c r="Z97" s="2408" t="n"/>
      <c r="AA97" s="2408" t="n"/>
      <c r="AB97" s="2408" t="n"/>
      <c r="AC97" s="2408" t="n"/>
      <c r="AD97" s="2408" t="n"/>
      <c r="AE97" s="2408" t="n"/>
      <c r="AF97" s="2408" t="n"/>
    </row>
    <row r="98">
      <c r="E98" s="466" t="inlineStr">
        <is>
          <t>Excluding outliers</t>
        </is>
      </c>
      <c r="F98" s="2330" t="n"/>
      <c r="G98" s="2330" t="n"/>
      <c r="H98" s="2330" t="n"/>
      <c r="I98" s="2330" t="n"/>
      <c r="J98" s="2330" t="n"/>
      <c r="K98" s="2408" t="n"/>
      <c r="L98" s="2408" t="n"/>
      <c r="Z98" s="2408" t="n"/>
      <c r="AA98" s="2408" t="n"/>
      <c r="AB98" s="2408" t="n"/>
      <c r="AC98" s="2408" t="n"/>
      <c r="AD98" s="2408" t="n"/>
      <c r="AE98" s="2408" t="n"/>
      <c r="AF98" s="2408" t="n"/>
    </row>
    <row r="99">
      <c r="E99" s="2410" t="inlineStr">
        <is>
          <t>High</t>
        </is>
      </c>
      <c r="F99" s="2412">
        <f t="array" ref="F99">IFERROR(MAX(IF($P$59:$P$88="No",F59:F88)),"")</f>
        <v/>
      </c>
      <c r="G99" s="2412">
        <f t="array" ref="G99">IFERROR(MAX(IF($P$59:$P$88="No",G59:G88)),"")</f>
        <v/>
      </c>
      <c r="H99" s="2412">
        <f t="array" ref="H99">IFERROR(MAX(IF($P$59:$P$88="No",H59:H88)),"")</f>
        <v/>
      </c>
      <c r="I99" s="2412">
        <f t="array" ref="I99">IFERROR(MAX(IF($P$59:$P$88="No",I59:I88)),"")</f>
        <v/>
      </c>
      <c r="J99" s="2412">
        <f t="array" ref="J99">IFERROR(MAX(IF($P$59:$P$88="No",J59:J88)),"")</f>
        <v/>
      </c>
      <c r="K99" s="2412">
        <f t="array" ref="K99">IFERROR(MAX(IF($P$59:$P$88="No",K59:K88)),"")</f>
        <v/>
      </c>
      <c r="L99" s="2412">
        <f t="array" ref="L99">IFERROR(MAX(IF($P$59:$P$88="No",L59:L88)),"")</f>
        <v/>
      </c>
      <c r="M99" s="2412">
        <f t="array" ref="M99">IFERROR(MAX(IF($P$59:$P$88="No",M59:M88)),"")</f>
        <v/>
      </c>
      <c r="N99" s="2330" t="n"/>
      <c r="O99" s="2330" t="n"/>
      <c r="Z99" s="2408" t="n"/>
      <c r="AA99" s="2408" t="n"/>
      <c r="AB99" s="2408" t="n"/>
      <c r="AC99" s="2408" t="n"/>
      <c r="AD99" s="2408" t="n"/>
      <c r="AE99" s="2408" t="n"/>
      <c r="AF99" s="2408" t="n"/>
    </row>
    <row r="100">
      <c r="E100" s="2408" t="inlineStr">
        <is>
          <t>75th Percentile</t>
        </is>
      </c>
      <c r="F100" s="2330">
        <f t="array" ref="F100">PERCENTILE(IF($P$59:$P$88="No",F59:F88),0.75)</f>
        <v/>
      </c>
      <c r="G100" s="2330">
        <f t="array" ref="G100">PERCENTILE(IF($P$59:$P$88="No",G59:G88),0.75)</f>
        <v/>
      </c>
      <c r="H100" s="2330">
        <f t="array" ref="H100">PERCENTILE(IF($P$59:$P$88="No",H59:H88),0.75)</f>
        <v/>
      </c>
      <c r="I100" s="2330">
        <f t="array" ref="I100">PERCENTILE(IF($P$59:$P$88="No",I59:I88),0.75)</f>
        <v/>
      </c>
      <c r="J100" s="2330">
        <f t="array" ref="J100">PERCENTILE(IF($P$59:$P$88="No",J59:J88),0.75)</f>
        <v/>
      </c>
      <c r="K100" s="2330">
        <f t="array" ref="K100">PERCENTILE(IF($P$59:$P$88="No",K59:K88),0.75)</f>
        <v/>
      </c>
      <c r="L100" s="2330">
        <f t="array" ref="L100">PERCENTILE(IF($P$59:$P$88="No",L59:L88),0.75)</f>
        <v/>
      </c>
      <c r="M100" s="2330">
        <f t="array" ref="M100">PERCENTILE(IF($P$59:$P$88="No",M59:M88),0.75)</f>
        <v/>
      </c>
      <c r="N100" s="2330" t="n"/>
      <c r="O100" s="2330" t="n"/>
      <c r="Z100" s="2408" t="n"/>
      <c r="AA100" s="2408" t="n"/>
      <c r="AB100" s="2408" t="n"/>
      <c r="AC100" s="2408" t="n"/>
      <c r="AD100" s="2408" t="n"/>
      <c r="AE100" s="2408" t="n"/>
      <c r="AF100" s="2408" t="n"/>
    </row>
    <row r="101">
      <c r="E101" s="2408" t="inlineStr">
        <is>
          <t>Mean</t>
        </is>
      </c>
      <c r="F101" s="2330">
        <f>IFERROR(AVERAGEIF($P$59:$P$88,"No",F59:F88),"")</f>
        <v/>
      </c>
      <c r="G101" s="2330">
        <f>IFERROR(AVERAGEIF($P$59:$P$88,"No",G59:G88),"")</f>
        <v/>
      </c>
      <c r="H101" s="2330">
        <f>IFERROR(AVERAGEIF($P$59:$P$88,"No",H59:H88),"")</f>
        <v/>
      </c>
      <c r="I101" s="2330">
        <f>IFERROR(AVERAGEIF($P$59:$P$88,"No",I59:I88),"")</f>
        <v/>
      </c>
      <c r="J101" s="2330">
        <f>IFERROR(AVERAGEIF($P$59:$P$88,"No",J59:J88),"")</f>
        <v/>
      </c>
      <c r="K101" s="2330">
        <f>IFERROR(AVERAGEIF($P$59:$P$88,"No",K59:K88),"")</f>
        <v/>
      </c>
      <c r="L101" s="2330">
        <f>IFERROR(AVERAGEIF($P$59:$P$88,"No",L59:L88),"")</f>
        <v/>
      </c>
      <c r="M101" s="2330">
        <f>IFERROR(AVERAGEIF($P$59:$P$88,"No",M59:M88),"")</f>
        <v/>
      </c>
      <c r="N101" s="2330" t="n"/>
      <c r="O101" s="2330" t="n"/>
      <c r="Z101" s="2408" t="n"/>
      <c r="AA101" s="2408" t="n"/>
      <c r="AB101" s="2408" t="n"/>
      <c r="AC101" s="2408" t="n"/>
      <c r="AD101" s="2408" t="n"/>
      <c r="AE101" s="2408" t="n"/>
      <c r="AF101" s="2408" t="n"/>
    </row>
    <row r="102">
      <c r="E102" s="2417" t="inlineStr">
        <is>
          <t>Median</t>
        </is>
      </c>
      <c r="F102" s="2415">
        <f t="array" ref="F102">IFERROR(MEDIAN(IF($P$59:$P$88="No",F59:F88)),"")</f>
        <v/>
      </c>
      <c r="G102" s="2415">
        <f t="array" ref="G102">IFERROR(MEDIAN(IF($P$59:$P$88="No",G59:G88)),"")</f>
        <v/>
      </c>
      <c r="H102" s="2415">
        <f t="array" ref="H102">IFERROR(MEDIAN(IF($P$59:$P$88="No",H59:H88)),"")</f>
        <v/>
      </c>
      <c r="I102" s="2415">
        <f t="array" ref="I102">IFERROR(MEDIAN(IF($P$59:$P$88="No",I59:I88)),"")</f>
        <v/>
      </c>
      <c r="J102" s="2415">
        <f t="array" ref="J102">IFERROR(MEDIAN(IF($P$59:$P$88="No",J59:J88)),"")</f>
        <v/>
      </c>
      <c r="K102" s="2415">
        <f t="array" ref="K102">IFERROR(MEDIAN(IF($P$59:$P$88="No",K59:K88)),"")</f>
        <v/>
      </c>
      <c r="L102" s="2415">
        <f t="array" ref="L102">IFERROR(MEDIAN(IF($P$59:$P$88="No",L59:L88)),"")</f>
        <v/>
      </c>
      <c r="M102" s="2415">
        <f t="array" ref="M102">IFERROR(MEDIAN(IF($P$59:$P$88="No",M59:M88)),"")</f>
        <v/>
      </c>
      <c r="N102" s="2330" t="n"/>
      <c r="O102" s="2330" t="n"/>
      <c r="Z102" s="2408" t="n"/>
      <c r="AA102" s="2408" t="n"/>
      <c r="AB102" s="2408" t="n"/>
      <c r="AC102" s="2408" t="n"/>
      <c r="AD102" s="2408" t="n"/>
      <c r="AE102" s="2408" t="n"/>
      <c r="AF102" s="2408" t="n"/>
    </row>
    <row r="103">
      <c r="E103" s="2408" t="inlineStr">
        <is>
          <t>25th Percentile</t>
        </is>
      </c>
      <c r="F103" s="2330">
        <f t="array" ref="F103">PERCENTILE(IF($P$59:$P$88="No",F59:F88),0.25)</f>
        <v/>
      </c>
      <c r="G103" s="2330">
        <f t="array" ref="G103">PERCENTILE(IF($P$59:$P$88="No",G59:G88),0.25)</f>
        <v/>
      </c>
      <c r="H103" s="2330">
        <f t="array" ref="H103">PERCENTILE(IF($P$59:$P$88="No",H59:H88),0.25)</f>
        <v/>
      </c>
      <c r="I103" s="2330">
        <f t="array" ref="I103">PERCENTILE(IF($P$59:$P$88="No",I59:I88),0.25)</f>
        <v/>
      </c>
      <c r="J103" s="2330">
        <f t="array" ref="J103">PERCENTILE(IF($P$59:$P$88="No",J59:J88),0.25)</f>
        <v/>
      </c>
      <c r="K103" s="2330">
        <f t="array" ref="K103">PERCENTILE(IF($P$59:$P$88="No",K59:K88),0.25)</f>
        <v/>
      </c>
      <c r="L103" s="2330">
        <f t="array" ref="L103">PERCENTILE(IF($P$59:$P$88="No",L59:L88),0.25)</f>
        <v/>
      </c>
      <c r="M103" s="2330">
        <f t="array" ref="M103">PERCENTILE(IF($P$59:$P$88="No",M59:M88),0.25)</f>
        <v/>
      </c>
      <c r="N103" s="2330" t="n"/>
      <c r="O103" s="2330" t="n"/>
      <c r="Z103" s="2408" t="n"/>
      <c r="AA103" s="2408" t="n"/>
      <c r="AB103" s="2408" t="n"/>
      <c r="AC103" s="2408" t="n"/>
      <c r="AD103" s="2408" t="n"/>
      <c r="AE103" s="2408" t="n"/>
      <c r="AF103" s="2408" t="n"/>
    </row>
    <row r="104">
      <c r="E104" s="2421" t="inlineStr">
        <is>
          <t>Low</t>
        </is>
      </c>
      <c r="F104" s="2423">
        <f t="array" ref="F104">IFERROR(MIN(IF($P$59:$P$88="No",F59:F88)),"")</f>
        <v/>
      </c>
      <c r="G104" s="2423">
        <f t="array" ref="G104">IFERROR(MIN(IF($P$59:$P$88="No",G59:G88)),"")</f>
        <v/>
      </c>
      <c r="H104" s="2423">
        <f t="array" ref="H104">IFERROR(MIN(IF($P$59:$P$88="No",H59:H88)),"")</f>
        <v/>
      </c>
      <c r="I104" s="2423">
        <f t="array" ref="I104">IFERROR(MIN(IF($P$59:$P$88="No",I59:I88)),"")</f>
        <v/>
      </c>
      <c r="J104" s="2423">
        <f t="array" ref="J104">IFERROR(MIN(IF($P$59:$P$88="No",J59:J88)),"")</f>
        <v/>
      </c>
      <c r="K104" s="2423">
        <f t="array" ref="K104">IFERROR(MIN(IF($P$59:$P$88="No",K59:K88)),"")</f>
        <v/>
      </c>
      <c r="L104" s="2423">
        <f t="array" ref="L104">IFERROR(MIN(IF($P$59:$P$88="No",L59:L88)),"")</f>
        <v/>
      </c>
      <c r="M104" s="2423">
        <f t="array" ref="M104">IFERROR(MIN(IF($P$59:$P$88="No",M59:M88)),"")</f>
        <v/>
      </c>
      <c r="N104" s="2330" t="n"/>
      <c r="O104" s="2330" t="n"/>
      <c r="Z104" s="2408" t="n"/>
    </row>
    <row r="105">
      <c r="B105" s="259" t="n"/>
      <c r="C105" s="259" t="n"/>
      <c r="D105" s="259" t="n"/>
      <c r="E105" s="259" t="n"/>
      <c r="F105" s="259" t="n"/>
      <c r="G105" s="259" t="n"/>
      <c r="H105" s="259" t="n"/>
      <c r="I105" s="259" t="n"/>
      <c r="J105" s="259" t="n"/>
      <c r="K105" s="259" t="n"/>
      <c r="L105" s="259" t="n"/>
      <c r="M105" s="259" t="n"/>
      <c r="N105" s="259" t="n"/>
      <c r="O105" s="259" t="n"/>
      <c r="P105" s="259" t="n"/>
      <c r="Q105" s="259" t="n"/>
      <c r="R105" s="259" t="n"/>
      <c r="S105" s="259" t="n"/>
      <c r="T105" s="259" t="n"/>
      <c r="U105" s="259" t="n"/>
      <c r="V105" s="259" t="n"/>
      <c r="W105" s="259" t="n"/>
      <c r="X105" s="259" t="n"/>
      <c r="Y105" s="259" t="n"/>
      <c r="Z105" s="259" t="n"/>
    </row>
  </sheetData>
  <mergeCells count="4">
    <mergeCell ref="F57:J57"/>
    <mergeCell ref="F7:J7"/>
    <mergeCell ref="K57:M57"/>
    <mergeCell ref="K7:M7"/>
  </mergeCells>
  <dataValidations disablePrompts="1" count="1">
    <dataValidation sqref="P9:P38 P59:P88"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2.xml><?xml version="1.0" encoding="utf-8"?>
<worksheet xmlns="http://schemas.openxmlformats.org/spreadsheetml/2006/main">
  <sheetPr codeName="Sheet31">
    <tabColor theme="9" tint="-0.09997863704336681"/>
    <outlinePr summaryBelow="1" summaryRight="1"/>
    <pageSetUpPr/>
  </sheetPr>
  <dimension ref="B2:AK155"/>
  <sheetViews>
    <sheetView showGridLines="0" view="pageBreakPreview" zoomScale="64" zoomScaleNormal="72" zoomScaleSheetLayoutView="64" workbookViewId="0">
      <selection activeCell="D7" sqref="D7"/>
    </sheetView>
  </sheetViews>
  <sheetFormatPr baseColWidth="8" defaultColWidth="8.84375" defaultRowHeight="11.5" outlineLevelRow="1"/>
  <cols>
    <col width="3.4609375" customWidth="1" style="259" min="1" max="1"/>
    <col width="3" customWidth="1" style="259" min="2" max="2"/>
    <col width="2" customWidth="1" style="259" min="3" max="3"/>
    <col width="36.84375" customWidth="1" style="259" min="4" max="4"/>
    <col width="11.07421875" customWidth="1" style="259" min="5" max="5"/>
    <col width="10.53515625" customWidth="1" style="259" min="6" max="13"/>
    <col width="2.84375" customWidth="1" style="259" min="14" max="14"/>
    <col width="3.53515625" customWidth="1" style="259" min="15" max="15"/>
    <col width="8.84375" customWidth="1" style="259" min="16" max="16384"/>
  </cols>
  <sheetData>
    <row r="1" customFormat="1" s="753"/>
    <row r="2" customFormat="1" s="747">
      <c r="B2" s="505">
        <f>Inputs!B2</f>
        <v/>
      </c>
      <c r="C2" s="922" t="n"/>
      <c r="D2" s="894" t="n"/>
      <c r="E2" s="894" t="n"/>
      <c r="F2" s="894" t="n"/>
      <c r="G2" s="894" t="n"/>
      <c r="H2" s="894" t="n"/>
      <c r="I2" s="894" t="n"/>
      <c r="J2" s="894" t="n"/>
      <c r="K2" s="894" t="n"/>
      <c r="L2" s="894" t="n"/>
      <c r="M2" s="894" t="n"/>
      <c r="N2" s="741" t="n"/>
      <c r="P2" s="747" t="n"/>
      <c r="Q2" s="747" t="n"/>
      <c r="R2" s="747" t="n"/>
      <c r="V2" s="2443" t="n"/>
    </row>
    <row r="3" customFormat="1" s="510">
      <c r="B3" s="742">
        <f>Inputs!$B$3</f>
        <v/>
      </c>
      <c r="C3" s="928" t="n"/>
      <c r="D3" s="506" t="n"/>
      <c r="E3" s="506" t="n"/>
      <c r="F3" s="506" t="n"/>
      <c r="G3" s="506" t="n"/>
      <c r="H3" s="506" t="n"/>
      <c r="I3" s="506" t="n"/>
      <c r="J3" s="506" t="n"/>
      <c r="K3" s="506" t="n"/>
      <c r="L3" s="506" t="n"/>
      <c r="M3" s="506" t="n"/>
      <c r="N3" s="745" t="n"/>
      <c r="P3" s="510" t="n"/>
      <c r="Q3" s="1850" t="n"/>
    </row>
    <row r="4" customFormat="1" s="510">
      <c r="B4" s="925" t="inlineStr">
        <is>
          <t>Guideline Companies: Capital Exenditures</t>
        </is>
      </c>
      <c r="C4" s="926" t="n"/>
      <c r="D4" s="508" t="n"/>
      <c r="E4" s="508" t="n"/>
      <c r="F4" s="508" t="n"/>
      <c r="G4" s="508" t="n"/>
      <c r="H4" s="508" t="n"/>
      <c r="I4" s="508" t="n"/>
      <c r="J4" s="508" t="n"/>
      <c r="K4" s="508" t="n"/>
      <c r="L4" s="508" t="n"/>
      <c r="M4" s="508" t="n"/>
      <c r="N4" s="561">
        <f>valuation.date.header</f>
        <v/>
      </c>
      <c r="P4" s="510" t="n"/>
    </row>
    <row r="5" customFormat="1" s="510">
      <c r="B5" s="927">
        <f>currency.heading1</f>
        <v/>
      </c>
      <c r="C5" s="928" t="n"/>
      <c r="D5" s="929" t="n"/>
      <c r="E5" s="929" t="n"/>
      <c r="F5" s="929" t="n"/>
      <c r="G5" s="929" t="n"/>
      <c r="H5" s="929" t="n"/>
      <c r="I5" s="929" t="n"/>
      <c r="J5" s="929" t="n"/>
      <c r="K5" s="929" t="n"/>
      <c r="L5" s="929" t="n"/>
      <c r="M5" s="929" t="n"/>
      <c r="N5" s="929" t="n"/>
    </row>
    <row r="6" customFormat="1" s="432">
      <c r="B6" s="930" t="n"/>
      <c r="C6" s="930" t="n"/>
    </row>
    <row r="7" customFormat="1" s="432">
      <c r="D7" s="931" t="inlineStr">
        <is>
          <t>Capital Expenditure</t>
        </is>
      </c>
      <c r="K7" s="432" t="n"/>
      <c r="L7" s="432" t="n"/>
      <c r="M7" s="432" t="n"/>
      <c r="R7" s="432" t="n"/>
      <c r="S7" s="432" t="n"/>
      <c r="T7" s="432" t="n"/>
      <c r="U7" s="432" t="n"/>
      <c r="V7" s="432" t="n"/>
      <c r="W7" s="432" t="n"/>
      <c r="X7" s="432" t="n"/>
    </row>
    <row r="8" ht="25.5" customFormat="1" customHeight="1" s="432">
      <c r="B8" s="831" t="n"/>
      <c r="D8" s="932" t="n"/>
      <c r="E8" s="2444" t="n"/>
      <c r="F8" s="2444" t="n"/>
      <c r="K8" s="1851" t="inlineStr">
        <is>
          <t>Projected</t>
        </is>
      </c>
      <c r="N8" s="433" t="inlineStr"/>
      <c r="O8" s="433" t="n"/>
      <c r="P8" s="433" t="n"/>
      <c r="Q8" s="433" t="n"/>
      <c r="R8" s="433" t="n"/>
      <c r="S8" s="2431" t="n"/>
      <c r="T8" s="2432" t="n"/>
      <c r="U8" s="2432" t="n"/>
      <c r="V8" s="2433" t="n"/>
      <c r="W8" s="2433" t="n"/>
      <c r="X8" s="433" t="n"/>
      <c r="Y8" s="433" t="n"/>
    </row>
    <row r="9" ht="12" customFormat="1" customHeight="1" s="432" thickBot="1">
      <c r="D9" s="2445" t="inlineStr">
        <is>
          <t>Company Name</t>
        </is>
      </c>
      <c r="E9" s="2446" t="inlineStr">
        <is>
          <t>Last FYE</t>
        </is>
      </c>
      <c r="F9" s="2446" t="inlineStr">
        <is>
          <t>FYE-3</t>
        </is>
      </c>
      <c r="G9" s="2446" t="inlineStr">
        <is>
          <t>FYE-2</t>
        </is>
      </c>
      <c r="H9" s="2446" t="inlineStr">
        <is>
          <t>FYE-1</t>
        </is>
      </c>
      <c r="I9" s="2446" t="inlineStr">
        <is>
          <t>FYE</t>
        </is>
      </c>
      <c r="J9" s="1836" t="inlineStr">
        <is>
          <t>TTM</t>
        </is>
      </c>
      <c r="K9" s="2446" t="inlineStr">
        <is>
          <t>FYE + 1</t>
        </is>
      </c>
      <c r="L9" s="2446" t="inlineStr">
        <is>
          <t>FYE + 2</t>
        </is>
      </c>
      <c r="M9" s="1836" t="inlineStr">
        <is>
          <t>FYE + 3</t>
        </is>
      </c>
      <c r="N9" s="1833" t="n"/>
      <c r="O9" s="1833" t="n"/>
      <c r="P9" s="516" t="inlineStr">
        <is>
          <t>Exclude as outlier?</t>
        </is>
      </c>
      <c r="Q9" s="1833" t="n"/>
      <c r="R9" s="1833" t="n"/>
      <c r="S9" s="2431" t="n"/>
      <c r="T9" s="2447" t="n"/>
      <c r="U9" s="2447" t="n"/>
      <c r="V9" s="2447" t="n"/>
      <c r="W9" s="2447" t="n"/>
      <c r="X9" s="1833" t="n"/>
      <c r="Y9" s="1833" t="n"/>
    </row>
    <row r="10" ht="12" customFormat="1" customHeight="1" s="432" thickBot="1">
      <c r="D10" s="2448">
        <f>WACC!C29</f>
        <v/>
      </c>
      <c r="E10" s="2427">
        <f>'GPC Data'!P22</f>
        <v/>
      </c>
      <c r="F10" s="2449">
        <f>'GPC Data'!R158</f>
        <v/>
      </c>
      <c r="G10" s="2449">
        <f>'GPC Data'!S158</f>
        <v/>
      </c>
      <c r="H10" s="2449">
        <f>'GPC Data'!T158</f>
        <v/>
      </c>
      <c r="I10" s="2449">
        <f>'GPC Data'!U158</f>
        <v/>
      </c>
      <c r="J10" s="2449">
        <f>'GPC Data'!V158</f>
        <v/>
      </c>
      <c r="K10" s="2450">
        <f>'GPC Data'!W158</f>
        <v/>
      </c>
      <c r="L10" s="2450">
        <f>'GPC Data'!X158</f>
        <v/>
      </c>
      <c r="M10" s="2450">
        <f>'GPC Data'!Y158</f>
        <v/>
      </c>
      <c r="N10" s="1833" t="n"/>
      <c r="O10" s="1833" t="n"/>
      <c r="P10" s="443" t="inlineStr">
        <is>
          <t>No</t>
        </is>
      </c>
      <c r="Q10" s="1833" t="n"/>
      <c r="R10" s="1833" t="n"/>
      <c r="S10" s="2431" t="n"/>
      <c r="T10" s="2451" t="n"/>
      <c r="U10" s="2451" t="n"/>
      <c r="V10" s="2431" t="n"/>
      <c r="W10" s="2431" t="n"/>
      <c r="X10" s="1833" t="n"/>
      <c r="Y10" s="1833" t="n"/>
    </row>
    <row r="11" ht="12" customFormat="1" customHeight="1" s="432" thickBot="1">
      <c r="D11" s="2452">
        <f>WACC!C30</f>
        <v/>
      </c>
      <c r="E11" s="2429">
        <f>'GPC Data'!P23</f>
        <v/>
      </c>
      <c r="F11" s="1899">
        <f>'GPC Data'!R159</f>
        <v/>
      </c>
      <c r="G11" s="1899">
        <f>'GPC Data'!S159</f>
        <v/>
      </c>
      <c r="H11" s="1899">
        <f>'GPC Data'!T159</f>
        <v/>
      </c>
      <c r="I11" s="1899">
        <f>'GPC Data'!U159</f>
        <v/>
      </c>
      <c r="J11" s="1899">
        <f>'GPC Data'!V159</f>
        <v/>
      </c>
      <c r="K11" s="2453">
        <f>'GPC Data'!W159</f>
        <v/>
      </c>
      <c r="L11" s="2453">
        <f>'GPC Data'!X159</f>
        <v/>
      </c>
      <c r="M11" s="2453">
        <f>'GPC Data'!Y159</f>
        <v/>
      </c>
      <c r="N11" s="1833" t="n"/>
      <c r="O11" s="1833" t="n"/>
      <c r="P11" s="443" t="inlineStr">
        <is>
          <t>No</t>
        </is>
      </c>
      <c r="Q11" s="1833" t="n"/>
      <c r="R11" s="1833" t="n"/>
      <c r="S11" s="2431" t="n"/>
      <c r="T11" s="2451" t="n"/>
      <c r="U11" s="2451" t="n"/>
      <c r="V11" s="2431" t="n"/>
      <c r="W11" s="2431" t="n"/>
      <c r="X11" s="1833" t="n"/>
      <c r="Y11" s="1833" t="n"/>
    </row>
    <row r="12" ht="12" customFormat="1" customHeight="1" s="432" thickBot="1">
      <c r="D12" s="2452">
        <f>WACC!C31</f>
        <v/>
      </c>
      <c r="E12" s="2429">
        <f>'GPC Data'!P24</f>
        <v/>
      </c>
      <c r="F12" s="1899">
        <f>'GPC Data'!R160</f>
        <v/>
      </c>
      <c r="G12" s="1899">
        <f>'GPC Data'!S160</f>
        <v/>
      </c>
      <c r="H12" s="1899">
        <f>'GPC Data'!T160</f>
        <v/>
      </c>
      <c r="I12" s="1899">
        <f>'GPC Data'!U160</f>
        <v/>
      </c>
      <c r="J12" s="1899">
        <f>'GPC Data'!V160</f>
        <v/>
      </c>
      <c r="K12" s="2453">
        <f>'GPC Data'!W160</f>
        <v/>
      </c>
      <c r="L12" s="2453">
        <f>'GPC Data'!X160</f>
        <v/>
      </c>
      <c r="M12" s="2453">
        <f>'GPC Data'!Y160</f>
        <v/>
      </c>
      <c r="N12" s="1833" t="inlineStr"/>
      <c r="O12" s="1833" t="n"/>
      <c r="P12" s="443" t="inlineStr">
        <is>
          <t>No</t>
        </is>
      </c>
      <c r="Q12" s="1833" t="n"/>
      <c r="R12" s="1833" t="n"/>
      <c r="S12" s="2431" t="n"/>
      <c r="T12" s="2451" t="n"/>
      <c r="U12" s="2451" t="n"/>
      <c r="V12" s="2431" t="n"/>
      <c r="W12" s="2431" t="n"/>
      <c r="X12" s="1833" t="n"/>
      <c r="Y12" s="1833" t="n"/>
    </row>
    <row r="13" ht="12" customFormat="1" customHeight="1" s="432" thickBot="1">
      <c r="D13" s="2452">
        <f>WACC!C32</f>
        <v/>
      </c>
      <c r="E13" s="2429">
        <f>'GPC Data'!P25</f>
        <v/>
      </c>
      <c r="F13" s="1899">
        <f>'GPC Data'!R161</f>
        <v/>
      </c>
      <c r="G13" s="1899">
        <f>'GPC Data'!S161</f>
        <v/>
      </c>
      <c r="H13" s="1899">
        <f>'GPC Data'!T161</f>
        <v/>
      </c>
      <c r="I13" s="1899">
        <f>'GPC Data'!U161</f>
        <v/>
      </c>
      <c r="J13" s="1899">
        <f>'GPC Data'!V161</f>
        <v/>
      </c>
      <c r="K13" s="2453">
        <f>'GPC Data'!W161</f>
        <v/>
      </c>
      <c r="L13" s="2453">
        <f>'GPC Data'!X161</f>
        <v/>
      </c>
      <c r="M13" s="2453">
        <f>'GPC Data'!Y161</f>
        <v/>
      </c>
      <c r="N13" s="1833" t="inlineStr"/>
      <c r="O13" s="1833" t="n"/>
      <c r="P13" s="443" t="inlineStr">
        <is>
          <t>No</t>
        </is>
      </c>
      <c r="Q13" s="1833" t="n"/>
      <c r="R13" s="1833" t="n"/>
      <c r="S13" s="2431" t="n"/>
      <c r="T13" s="2451" t="n"/>
      <c r="U13" s="2451" t="n"/>
      <c r="V13" s="2431" t="n"/>
      <c r="W13" s="2431" t="n"/>
      <c r="X13" s="1833" t="n"/>
      <c r="Y13" s="1833" t="n"/>
    </row>
    <row r="14" ht="12" customFormat="1" customHeight="1" s="432" thickBot="1">
      <c r="D14" s="2452">
        <f>WACC!C33</f>
        <v/>
      </c>
      <c r="E14" s="2429">
        <f>'GPC Data'!P26</f>
        <v/>
      </c>
      <c r="F14" s="1899">
        <f>'GPC Data'!R162</f>
        <v/>
      </c>
      <c r="G14" s="1899">
        <f>'GPC Data'!S162</f>
        <v/>
      </c>
      <c r="H14" s="1899">
        <f>'GPC Data'!T162</f>
        <v/>
      </c>
      <c r="I14" s="1899">
        <f>'GPC Data'!U162</f>
        <v/>
      </c>
      <c r="J14" s="1899">
        <f>'GPC Data'!V162</f>
        <v/>
      </c>
      <c r="K14" s="2453">
        <f>'GPC Data'!W162</f>
        <v/>
      </c>
      <c r="L14" s="2453">
        <f>'GPC Data'!X162</f>
        <v/>
      </c>
      <c r="M14" s="2453">
        <f>'GPC Data'!Y162</f>
        <v/>
      </c>
      <c r="N14" s="1833" t="n"/>
      <c r="O14" s="1833" t="n"/>
      <c r="P14" s="443" t="inlineStr">
        <is>
          <t>No</t>
        </is>
      </c>
      <c r="Q14" s="1833" t="n"/>
      <c r="R14" s="1833" t="n"/>
      <c r="S14" s="2431" t="n"/>
      <c r="T14" s="2451" t="n"/>
      <c r="U14" s="2451" t="n"/>
      <c r="V14" s="2431" t="n"/>
      <c r="W14" s="2431" t="n"/>
      <c r="X14" s="1833" t="n"/>
      <c r="Y14" s="1833" t="n"/>
    </row>
    <row r="15" ht="12" customFormat="1" customHeight="1" s="432" thickBot="1">
      <c r="D15" s="2452">
        <f>WACC!C34</f>
        <v/>
      </c>
      <c r="E15" s="2429">
        <f>'GPC Data'!P27</f>
        <v/>
      </c>
      <c r="F15" s="1899">
        <f>'GPC Data'!R163</f>
        <v/>
      </c>
      <c r="G15" s="1899">
        <f>'GPC Data'!S163</f>
        <v/>
      </c>
      <c r="H15" s="1899">
        <f>'GPC Data'!T163</f>
        <v/>
      </c>
      <c r="I15" s="1899">
        <f>'GPC Data'!U163</f>
        <v/>
      </c>
      <c r="J15" s="1899">
        <f>'GPC Data'!V163</f>
        <v/>
      </c>
      <c r="K15" s="2453">
        <f>'GPC Data'!W163</f>
        <v/>
      </c>
      <c r="L15" s="2453">
        <f>'GPC Data'!X163</f>
        <v/>
      </c>
      <c r="M15" s="2453">
        <f>'GPC Data'!Y163</f>
        <v/>
      </c>
      <c r="N15" s="1833" t="inlineStr"/>
      <c r="O15" s="1833" t="n"/>
      <c r="P15" s="443" t="inlineStr">
        <is>
          <t>No</t>
        </is>
      </c>
      <c r="Q15" s="1833" t="n"/>
      <c r="R15" s="1833" t="n"/>
      <c r="S15" s="2431" t="n"/>
      <c r="T15" s="2451" t="n"/>
      <c r="U15" s="2451" t="n"/>
      <c r="V15" s="2431" t="n"/>
      <c r="W15" s="2431" t="n"/>
      <c r="X15" s="1833" t="n"/>
      <c r="Y15" s="1833" t="n"/>
    </row>
    <row r="16" ht="12" customFormat="1" customHeight="1" s="432" thickBot="1">
      <c r="D16" s="2452">
        <f>WACC!C35</f>
        <v/>
      </c>
      <c r="E16" s="2429">
        <f>'GPC Data'!P28</f>
        <v/>
      </c>
      <c r="F16" s="1899">
        <f>'GPC Data'!R164</f>
        <v/>
      </c>
      <c r="G16" s="1899">
        <f>'GPC Data'!S164</f>
        <v/>
      </c>
      <c r="H16" s="1899">
        <f>'GPC Data'!T164</f>
        <v/>
      </c>
      <c r="I16" s="1899">
        <f>'GPC Data'!U164</f>
        <v/>
      </c>
      <c r="J16" s="1899">
        <f>'GPC Data'!V164</f>
        <v/>
      </c>
      <c r="K16" s="2453">
        <f>'GPC Data'!W164</f>
        <v/>
      </c>
      <c r="L16" s="2453">
        <f>'GPC Data'!X164</f>
        <v/>
      </c>
      <c r="M16" s="2453">
        <f>'GPC Data'!Y164</f>
        <v/>
      </c>
      <c r="N16" s="1833" t="inlineStr"/>
      <c r="O16" s="1833" t="n"/>
      <c r="P16" s="443" t="inlineStr">
        <is>
          <t>No</t>
        </is>
      </c>
      <c r="Q16" s="1833" t="n"/>
      <c r="R16" s="1833" t="n"/>
      <c r="S16" s="2431" t="n"/>
      <c r="T16" s="2451" t="n"/>
      <c r="U16" s="2451" t="n"/>
      <c r="V16" s="2431" t="n"/>
      <c r="W16" s="2431" t="n"/>
      <c r="X16" s="1833" t="n"/>
      <c r="Y16" s="1833" t="n"/>
    </row>
    <row r="17" ht="12" customFormat="1" customHeight="1" s="432" thickBot="1">
      <c r="D17" s="2452">
        <f>WACC!C36</f>
        <v/>
      </c>
      <c r="E17" s="2429">
        <f>'GPC Data'!P29</f>
        <v/>
      </c>
      <c r="F17" s="1899">
        <f>'GPC Data'!R165</f>
        <v/>
      </c>
      <c r="G17" s="1899">
        <f>'GPC Data'!S165</f>
        <v/>
      </c>
      <c r="H17" s="1899">
        <f>'GPC Data'!T165</f>
        <v/>
      </c>
      <c r="I17" s="1899">
        <f>'GPC Data'!U165</f>
        <v/>
      </c>
      <c r="J17" s="1899">
        <f>'GPC Data'!V165</f>
        <v/>
      </c>
      <c r="K17" s="2453">
        <f>'GPC Data'!W165</f>
        <v/>
      </c>
      <c r="L17" s="2453">
        <f>'GPC Data'!X165</f>
        <v/>
      </c>
      <c r="M17" s="2453">
        <f>'GPC Data'!Y165</f>
        <v/>
      </c>
      <c r="N17" s="1833" t="n"/>
      <c r="O17" s="1833" t="n"/>
      <c r="P17" s="443" t="inlineStr">
        <is>
          <t>No</t>
        </is>
      </c>
      <c r="Q17" s="1833" t="n"/>
      <c r="R17" s="1833" t="n"/>
      <c r="S17" s="2431" t="n"/>
      <c r="T17" s="2451" t="n"/>
      <c r="U17" s="2451" t="n"/>
      <c r="V17" s="2431" t="n"/>
      <c r="W17" s="2431" t="n"/>
      <c r="X17" s="1833" t="n"/>
      <c r="Y17" s="1833" t="n"/>
    </row>
    <row r="18" ht="12" customFormat="1" customHeight="1" s="432" thickBot="1">
      <c r="D18" s="2452">
        <f>WACC!C37</f>
        <v/>
      </c>
      <c r="E18" s="2429">
        <f>'GPC Data'!P30</f>
        <v/>
      </c>
      <c r="F18" s="1899">
        <f>'GPC Data'!R166</f>
        <v/>
      </c>
      <c r="G18" s="1899">
        <f>'GPC Data'!S166</f>
        <v/>
      </c>
      <c r="H18" s="1899">
        <f>'GPC Data'!T166</f>
        <v/>
      </c>
      <c r="I18" s="1899">
        <f>'GPC Data'!U166</f>
        <v/>
      </c>
      <c r="J18" s="1899">
        <f>'GPC Data'!V166</f>
        <v/>
      </c>
      <c r="K18" s="2453">
        <f>'GPC Data'!W166</f>
        <v/>
      </c>
      <c r="L18" s="2453">
        <f>'GPC Data'!X166</f>
        <v/>
      </c>
      <c r="M18" s="2453">
        <f>'GPC Data'!Y166</f>
        <v/>
      </c>
      <c r="N18" s="1833" t="inlineStr"/>
      <c r="O18" s="1833" t="n"/>
      <c r="P18" s="443" t="inlineStr">
        <is>
          <t>No</t>
        </is>
      </c>
      <c r="Q18" s="1833" t="n"/>
      <c r="R18" s="1833" t="n"/>
      <c r="S18" s="2431" t="n"/>
      <c r="T18" s="2451" t="n"/>
      <c r="U18" s="2451" t="n"/>
      <c r="V18" s="2431" t="n"/>
      <c r="W18" s="2431" t="n"/>
      <c r="X18" s="1833" t="n"/>
      <c r="Y18" s="1833" t="n"/>
    </row>
    <row r="19" ht="12" customFormat="1" customHeight="1" s="432" thickBot="1">
      <c r="D19" s="2452">
        <f>WACC!C38</f>
        <v/>
      </c>
      <c r="E19" s="2429">
        <f>'GPC Data'!P31</f>
        <v/>
      </c>
      <c r="F19" s="1899">
        <f>'GPC Data'!R167</f>
        <v/>
      </c>
      <c r="G19" s="1899">
        <f>'GPC Data'!S167</f>
        <v/>
      </c>
      <c r="H19" s="1899">
        <f>'GPC Data'!T167</f>
        <v/>
      </c>
      <c r="I19" s="1899">
        <f>'GPC Data'!U167</f>
        <v/>
      </c>
      <c r="J19" s="1899">
        <f>'GPC Data'!V167</f>
        <v/>
      </c>
      <c r="K19" s="2453">
        <f>'GPC Data'!W167</f>
        <v/>
      </c>
      <c r="L19" s="2453">
        <f>'GPC Data'!X167</f>
        <v/>
      </c>
      <c r="M19" s="2453">
        <f>'GPC Data'!Y167</f>
        <v/>
      </c>
      <c r="N19" s="1833" t="inlineStr"/>
      <c r="O19" s="1833" t="n"/>
      <c r="P19" s="443" t="inlineStr">
        <is>
          <t>No</t>
        </is>
      </c>
      <c r="Q19" s="1833" t="n"/>
      <c r="R19" s="1833" t="n"/>
      <c r="S19" s="2431" t="n"/>
      <c r="T19" s="2451" t="n"/>
      <c r="U19" s="2451" t="n"/>
      <c r="V19" s="2431" t="n"/>
      <c r="W19" s="2431" t="n"/>
      <c r="X19" s="1833" t="n"/>
      <c r="Y19" s="1833" t="n"/>
    </row>
    <row r="20" hidden="1" outlineLevel="1" ht="12" customFormat="1" customHeight="1" s="432" thickBot="1">
      <c r="D20" s="2452">
        <f>WACC!C39</f>
        <v/>
      </c>
      <c r="E20" s="2429">
        <f>'GPC Data'!P32</f>
        <v/>
      </c>
      <c r="F20" s="1899">
        <f>'GPC Data'!R168</f>
        <v/>
      </c>
      <c r="G20" s="1899">
        <f>'GPC Data'!S168</f>
        <v/>
      </c>
      <c r="H20" s="1899">
        <f>'GPC Data'!T168</f>
        <v/>
      </c>
      <c r="I20" s="1899">
        <f>'GPC Data'!U168</f>
        <v/>
      </c>
      <c r="J20" s="1899">
        <f>'GPC Data'!V168</f>
        <v/>
      </c>
      <c r="K20" s="2453">
        <f>'GPC Data'!W168</f>
        <v/>
      </c>
      <c r="L20" s="2453">
        <f>'GPC Data'!X168</f>
        <v/>
      </c>
      <c r="M20" s="2453">
        <f>'GPC Data'!Y168</f>
        <v/>
      </c>
      <c r="N20" s="1833" t="inlineStr"/>
      <c r="O20" s="1833" t="n"/>
      <c r="P20" s="443" t="inlineStr">
        <is>
          <t>Yes</t>
        </is>
      </c>
      <c r="Q20" s="1833" t="n"/>
      <c r="R20" s="1833" t="n"/>
      <c r="S20" s="2431" t="n"/>
      <c r="T20" s="2451" t="n"/>
      <c r="U20" s="2451" t="n"/>
      <c r="V20" s="2431" t="n"/>
      <c r="W20" s="2431" t="n"/>
      <c r="X20" s="1833" t="n"/>
      <c r="Y20" s="1833" t="n"/>
    </row>
    <row r="21" hidden="1" outlineLevel="1" ht="12" customFormat="1" customHeight="1" s="432" thickBot="1">
      <c r="D21" s="2452">
        <f>WACC!C40</f>
        <v/>
      </c>
      <c r="E21" s="2429">
        <f>'GPC Data'!P33</f>
        <v/>
      </c>
      <c r="F21" s="1899">
        <f>'GPC Data'!R169</f>
        <v/>
      </c>
      <c r="G21" s="1899">
        <f>'GPC Data'!S169</f>
        <v/>
      </c>
      <c r="H21" s="1899">
        <f>'GPC Data'!T169</f>
        <v/>
      </c>
      <c r="I21" s="1899">
        <f>'GPC Data'!U169</f>
        <v/>
      </c>
      <c r="J21" s="1899">
        <f>'GPC Data'!V169</f>
        <v/>
      </c>
      <c r="K21" s="2453">
        <f>'GPC Data'!W169</f>
        <v/>
      </c>
      <c r="L21" s="2453">
        <f>'GPC Data'!X169</f>
        <v/>
      </c>
      <c r="M21" s="2453">
        <f>'GPC Data'!Y169</f>
        <v/>
      </c>
      <c r="N21" s="1833" t="inlineStr"/>
      <c r="O21" s="1833" t="n"/>
      <c r="P21" s="443" t="inlineStr">
        <is>
          <t>Yes</t>
        </is>
      </c>
      <c r="Q21" s="1833" t="n"/>
      <c r="R21" s="1833" t="n"/>
      <c r="S21" s="2431" t="n"/>
      <c r="T21" s="2451" t="n"/>
      <c r="U21" s="2451" t="n"/>
      <c r="V21" s="2431" t="n"/>
      <c r="W21" s="2431" t="n"/>
      <c r="X21" s="1833" t="n"/>
      <c r="Y21" s="1833" t="n"/>
    </row>
    <row r="22" hidden="1" outlineLevel="1" ht="12" customFormat="1" customHeight="1" s="432" thickBot="1">
      <c r="D22" s="2452">
        <f>WACC!C41</f>
        <v/>
      </c>
      <c r="E22" s="2429">
        <f>'GPC Data'!P34</f>
        <v/>
      </c>
      <c r="F22" s="1899">
        <f>'GPC Data'!R170</f>
        <v/>
      </c>
      <c r="G22" s="1899">
        <f>'GPC Data'!S170</f>
        <v/>
      </c>
      <c r="H22" s="1899">
        <f>'GPC Data'!T170</f>
        <v/>
      </c>
      <c r="I22" s="1899">
        <f>'GPC Data'!U170</f>
        <v/>
      </c>
      <c r="J22" s="1899">
        <f>'GPC Data'!V170</f>
        <v/>
      </c>
      <c r="K22" s="2453">
        <f>'GPC Data'!W170</f>
        <v/>
      </c>
      <c r="L22" s="2453">
        <f>'GPC Data'!X170</f>
        <v/>
      </c>
      <c r="M22" s="2453">
        <f>'GPC Data'!Y170</f>
        <v/>
      </c>
      <c r="N22" s="1833" t="inlineStr"/>
      <c r="O22" s="1833" t="n"/>
      <c r="P22" s="443" t="inlineStr">
        <is>
          <t>Yes</t>
        </is>
      </c>
      <c r="Q22" s="1833" t="n"/>
      <c r="R22" s="1833" t="n"/>
      <c r="S22" s="2431" t="n"/>
      <c r="T22" s="2451" t="n"/>
      <c r="U22" s="2451" t="n"/>
      <c r="V22" s="2431" t="n"/>
      <c r="W22" s="2431" t="n"/>
      <c r="X22" s="1833" t="n"/>
      <c r="Y22" s="1833" t="n"/>
    </row>
    <row r="23" hidden="1" outlineLevel="1" ht="12" customFormat="1" customHeight="1" s="432" thickBot="1">
      <c r="D23" s="2452">
        <f>WACC!C42</f>
        <v/>
      </c>
      <c r="E23" s="2429">
        <f>'GPC Data'!P35</f>
        <v/>
      </c>
      <c r="F23" s="1899">
        <f>'GPC Data'!R171</f>
        <v/>
      </c>
      <c r="G23" s="1899">
        <f>'GPC Data'!S171</f>
        <v/>
      </c>
      <c r="H23" s="1899">
        <f>'GPC Data'!T171</f>
        <v/>
      </c>
      <c r="I23" s="1899">
        <f>'GPC Data'!U171</f>
        <v/>
      </c>
      <c r="J23" s="1899">
        <f>'GPC Data'!V171</f>
        <v/>
      </c>
      <c r="K23" s="2453">
        <f>'GPC Data'!W171</f>
        <v/>
      </c>
      <c r="L23" s="2453">
        <f>'GPC Data'!X171</f>
        <v/>
      </c>
      <c r="M23" s="2453">
        <f>'GPC Data'!Y171</f>
        <v/>
      </c>
      <c r="N23" s="1833" t="inlineStr"/>
      <c r="O23" s="1833" t="n"/>
      <c r="P23" s="443" t="inlineStr">
        <is>
          <t>Yes</t>
        </is>
      </c>
      <c r="Q23" s="1833" t="n"/>
      <c r="R23" s="1833" t="n"/>
      <c r="S23" s="2431" t="n"/>
      <c r="T23" s="2451" t="n"/>
      <c r="U23" s="2451" t="n"/>
      <c r="V23" s="2431" t="n"/>
      <c r="W23" s="2431" t="n"/>
      <c r="X23" s="1833" t="n"/>
      <c r="Y23" s="1833" t="n"/>
    </row>
    <row r="24" hidden="1" outlineLevel="1" ht="12" customFormat="1" customHeight="1" s="432" thickBot="1">
      <c r="D24" s="2452">
        <f>WACC!C43</f>
        <v/>
      </c>
      <c r="E24" s="2429">
        <f>'GPC Data'!P36</f>
        <v/>
      </c>
      <c r="F24" s="1899">
        <f>'GPC Data'!R172</f>
        <v/>
      </c>
      <c r="G24" s="1899">
        <f>'GPC Data'!S172</f>
        <v/>
      </c>
      <c r="H24" s="1899">
        <f>'GPC Data'!T172</f>
        <v/>
      </c>
      <c r="I24" s="1899">
        <f>'GPC Data'!U172</f>
        <v/>
      </c>
      <c r="J24" s="1899">
        <f>'GPC Data'!V172</f>
        <v/>
      </c>
      <c r="K24" s="2453">
        <f>'GPC Data'!W172</f>
        <v/>
      </c>
      <c r="L24" s="2453">
        <f>'GPC Data'!X172</f>
        <v/>
      </c>
      <c r="M24" s="2453">
        <f>'GPC Data'!Y172</f>
        <v/>
      </c>
      <c r="N24" s="1833" t="inlineStr"/>
      <c r="O24" s="1833" t="n"/>
      <c r="P24" s="443" t="inlineStr">
        <is>
          <t>Yes</t>
        </is>
      </c>
      <c r="Q24" s="1833" t="n"/>
      <c r="R24" s="1833" t="n"/>
      <c r="S24" s="2431" t="n"/>
      <c r="T24" s="2451" t="n"/>
      <c r="U24" s="2451" t="n"/>
      <c r="V24" s="2431" t="n"/>
      <c r="W24" s="2431" t="n"/>
      <c r="X24" s="1833" t="n"/>
      <c r="Y24" s="1833" t="n"/>
    </row>
    <row r="25" hidden="1" outlineLevel="1" ht="12" customFormat="1" customHeight="1" s="432" thickBot="1">
      <c r="D25" s="2452">
        <f>WACC!C44</f>
        <v/>
      </c>
      <c r="E25" s="2429">
        <f>'GPC Data'!P37</f>
        <v/>
      </c>
      <c r="F25" s="1899">
        <f>'GPC Data'!R173</f>
        <v/>
      </c>
      <c r="G25" s="1899">
        <f>'GPC Data'!S173</f>
        <v/>
      </c>
      <c r="H25" s="1899">
        <f>'GPC Data'!T173</f>
        <v/>
      </c>
      <c r="I25" s="1899">
        <f>'GPC Data'!U173</f>
        <v/>
      </c>
      <c r="J25" s="1899">
        <f>'GPC Data'!V173</f>
        <v/>
      </c>
      <c r="K25" s="2453">
        <f>'GPC Data'!W173</f>
        <v/>
      </c>
      <c r="L25" s="2453">
        <f>'GPC Data'!X173</f>
        <v/>
      </c>
      <c r="M25" s="2453">
        <f>'GPC Data'!Y173</f>
        <v/>
      </c>
      <c r="N25" s="1833" t="inlineStr"/>
      <c r="O25" s="1833" t="n"/>
      <c r="P25" s="443" t="inlineStr">
        <is>
          <t>Yes</t>
        </is>
      </c>
      <c r="Q25" s="1833" t="n"/>
      <c r="R25" s="1833" t="n"/>
      <c r="S25" s="2431" t="n"/>
      <c r="T25" s="2451" t="n"/>
      <c r="U25" s="2451" t="n"/>
      <c r="V25" s="2431" t="n"/>
      <c r="W25" s="2431" t="n"/>
      <c r="X25" s="1833" t="n"/>
      <c r="Y25" s="1833" t="n"/>
    </row>
    <row r="26" hidden="1" outlineLevel="1" ht="12" customFormat="1" customHeight="1" s="432" thickBot="1">
      <c r="D26" s="2452">
        <f>WACC!C45</f>
        <v/>
      </c>
      <c r="E26" s="2429">
        <f>'GPC Data'!P38</f>
        <v/>
      </c>
      <c r="F26" s="1899">
        <f>'GPC Data'!R174</f>
        <v/>
      </c>
      <c r="G26" s="1899">
        <f>'GPC Data'!S174</f>
        <v/>
      </c>
      <c r="H26" s="1899">
        <f>'GPC Data'!T174</f>
        <v/>
      </c>
      <c r="I26" s="1899">
        <f>'GPC Data'!U174</f>
        <v/>
      </c>
      <c r="J26" s="1899">
        <f>'GPC Data'!V174</f>
        <v/>
      </c>
      <c r="K26" s="2453">
        <f>'GPC Data'!W174</f>
        <v/>
      </c>
      <c r="L26" s="2453">
        <f>'GPC Data'!X174</f>
        <v/>
      </c>
      <c r="M26" s="2453">
        <f>'GPC Data'!Y174</f>
        <v/>
      </c>
      <c r="N26" s="1833" t="inlineStr"/>
      <c r="O26" s="1833" t="n"/>
      <c r="P26" s="443" t="inlineStr">
        <is>
          <t>Yes</t>
        </is>
      </c>
      <c r="Q26" s="1833" t="n"/>
      <c r="R26" s="1833" t="n"/>
      <c r="S26" s="2431" t="n"/>
      <c r="T26" s="2451" t="n"/>
      <c r="U26" s="2451" t="n"/>
      <c r="V26" s="2431" t="n"/>
      <c r="W26" s="2431" t="n"/>
      <c r="X26" s="1833" t="n"/>
      <c r="Y26" s="1833" t="n"/>
    </row>
    <row r="27" hidden="1" outlineLevel="1" ht="12" customFormat="1" customHeight="1" s="432" thickBot="1">
      <c r="D27" s="2452">
        <f>WACC!C46</f>
        <v/>
      </c>
      <c r="E27" s="2429">
        <f>'GPC Data'!P39</f>
        <v/>
      </c>
      <c r="F27" s="1899">
        <f>'GPC Data'!R175</f>
        <v/>
      </c>
      <c r="G27" s="1899">
        <f>'GPC Data'!S175</f>
        <v/>
      </c>
      <c r="H27" s="1899">
        <f>'GPC Data'!T175</f>
        <v/>
      </c>
      <c r="I27" s="1899">
        <f>'GPC Data'!U175</f>
        <v/>
      </c>
      <c r="J27" s="1899">
        <f>'GPC Data'!V175</f>
        <v/>
      </c>
      <c r="K27" s="2453">
        <f>'GPC Data'!W175</f>
        <v/>
      </c>
      <c r="L27" s="2453">
        <f>'GPC Data'!X175</f>
        <v/>
      </c>
      <c r="M27" s="2453">
        <f>'GPC Data'!Y175</f>
        <v/>
      </c>
      <c r="N27" s="1833" t="inlineStr"/>
      <c r="O27" s="1833" t="n"/>
      <c r="P27" s="443" t="inlineStr">
        <is>
          <t>Yes</t>
        </is>
      </c>
      <c r="Q27" s="1833" t="n"/>
      <c r="R27" s="1833" t="n"/>
      <c r="S27" s="2431" t="n"/>
      <c r="T27" s="2451" t="n"/>
      <c r="U27" s="2451" t="n"/>
      <c r="V27" s="2431" t="n"/>
      <c r="W27" s="2431" t="n"/>
      <c r="X27" s="1833" t="n"/>
      <c r="Y27" s="1833" t="n"/>
    </row>
    <row r="28" hidden="1" outlineLevel="1" ht="12" customFormat="1" customHeight="1" s="432" thickBot="1">
      <c r="D28" s="2452">
        <f>WACC!C47</f>
        <v/>
      </c>
      <c r="E28" s="2429">
        <f>'GPC Data'!P40</f>
        <v/>
      </c>
      <c r="F28" s="1899">
        <f>'GPC Data'!R176</f>
        <v/>
      </c>
      <c r="G28" s="1899">
        <f>'GPC Data'!S176</f>
        <v/>
      </c>
      <c r="H28" s="1899">
        <f>'GPC Data'!T176</f>
        <v/>
      </c>
      <c r="I28" s="1899">
        <f>'GPC Data'!U176</f>
        <v/>
      </c>
      <c r="J28" s="1899">
        <f>'GPC Data'!V176</f>
        <v/>
      </c>
      <c r="K28" s="2453">
        <f>'GPC Data'!W176</f>
        <v/>
      </c>
      <c r="L28" s="2453">
        <f>'GPC Data'!X176</f>
        <v/>
      </c>
      <c r="M28" s="2453">
        <f>'GPC Data'!Y176</f>
        <v/>
      </c>
      <c r="N28" s="1833" t="inlineStr"/>
      <c r="O28" s="1833" t="n"/>
      <c r="P28" s="443" t="inlineStr">
        <is>
          <t>Yes</t>
        </is>
      </c>
      <c r="Q28" s="1833" t="n"/>
      <c r="R28" s="1833" t="n"/>
      <c r="S28" s="2431" t="n"/>
      <c r="T28" s="2451" t="n"/>
      <c r="U28" s="2451" t="n"/>
      <c r="V28" s="2431" t="n"/>
      <c r="W28" s="2431" t="n"/>
      <c r="X28" s="1833" t="n"/>
      <c r="Y28" s="1833" t="n"/>
    </row>
    <row r="29" hidden="1" outlineLevel="1" ht="12" customFormat="1" customHeight="1" s="432" thickBot="1">
      <c r="D29" s="2452">
        <f>WACC!C48</f>
        <v/>
      </c>
      <c r="E29" s="2429">
        <f>'GPC Data'!P41</f>
        <v/>
      </c>
      <c r="F29" s="1899">
        <f>'GPC Data'!R177</f>
        <v/>
      </c>
      <c r="G29" s="1899">
        <f>'GPC Data'!S177</f>
        <v/>
      </c>
      <c r="H29" s="1899">
        <f>'GPC Data'!T177</f>
        <v/>
      </c>
      <c r="I29" s="1899">
        <f>'GPC Data'!U177</f>
        <v/>
      </c>
      <c r="J29" s="1899">
        <f>'GPC Data'!V177</f>
        <v/>
      </c>
      <c r="K29" s="2453">
        <f>'GPC Data'!W177</f>
        <v/>
      </c>
      <c r="L29" s="2453">
        <f>'GPC Data'!X177</f>
        <v/>
      </c>
      <c r="M29" s="2453">
        <f>'GPC Data'!Y177</f>
        <v/>
      </c>
      <c r="N29" s="1833" t="inlineStr"/>
      <c r="O29" s="1833" t="n"/>
      <c r="P29" s="443" t="inlineStr">
        <is>
          <t>Yes</t>
        </is>
      </c>
      <c r="Q29" s="1833" t="n"/>
      <c r="R29" s="1833" t="n"/>
      <c r="S29" s="2431" t="n"/>
      <c r="T29" s="2451" t="n"/>
      <c r="U29" s="2451" t="n"/>
      <c r="V29" s="2431" t="n"/>
      <c r="W29" s="2431" t="n"/>
      <c r="X29" s="1833" t="n"/>
      <c r="Y29" s="1833" t="n"/>
    </row>
    <row r="30" hidden="1" outlineLevel="1" ht="12" customFormat="1" customHeight="1" s="432" thickBot="1">
      <c r="D30" s="2452">
        <f>WACC!C49</f>
        <v/>
      </c>
      <c r="E30" s="2429">
        <f>'GPC Data'!P42</f>
        <v/>
      </c>
      <c r="F30" s="1899">
        <f>'GPC Data'!R178</f>
        <v/>
      </c>
      <c r="G30" s="1899">
        <f>'GPC Data'!S178</f>
        <v/>
      </c>
      <c r="H30" s="1899">
        <f>'GPC Data'!T178</f>
        <v/>
      </c>
      <c r="I30" s="1899">
        <f>'GPC Data'!U178</f>
        <v/>
      </c>
      <c r="J30" s="1899">
        <f>'GPC Data'!V178</f>
        <v/>
      </c>
      <c r="K30" s="2453">
        <f>'GPC Data'!W178</f>
        <v/>
      </c>
      <c r="L30" s="2453">
        <f>'GPC Data'!X178</f>
        <v/>
      </c>
      <c r="M30" s="2453">
        <f>'GPC Data'!Y178</f>
        <v/>
      </c>
      <c r="N30" s="1833" t="inlineStr"/>
      <c r="O30" s="1833" t="n"/>
      <c r="P30" s="443" t="inlineStr">
        <is>
          <t>Yes</t>
        </is>
      </c>
      <c r="Q30" s="1833" t="n"/>
      <c r="R30" s="1833" t="n"/>
      <c r="S30" s="2431" t="n"/>
      <c r="T30" s="2451" t="n"/>
      <c r="U30" s="2451" t="n"/>
      <c r="V30" s="2431" t="n"/>
      <c r="W30" s="2431" t="n"/>
      <c r="X30" s="1833" t="n"/>
      <c r="Y30" s="1833" t="n"/>
    </row>
    <row r="31" hidden="1" outlineLevel="1" ht="12" customFormat="1" customHeight="1" s="432" thickBot="1">
      <c r="D31" s="2452">
        <f>WACC!C50</f>
        <v/>
      </c>
      <c r="E31" s="2429">
        <f>'GPC Data'!P43</f>
        <v/>
      </c>
      <c r="F31" s="1899">
        <f>'GPC Data'!R179</f>
        <v/>
      </c>
      <c r="G31" s="1899">
        <f>'GPC Data'!S179</f>
        <v/>
      </c>
      <c r="H31" s="1899">
        <f>'GPC Data'!T179</f>
        <v/>
      </c>
      <c r="I31" s="1899">
        <f>'GPC Data'!U179</f>
        <v/>
      </c>
      <c r="J31" s="1899">
        <f>'GPC Data'!V179</f>
        <v/>
      </c>
      <c r="K31" s="2453">
        <f>'GPC Data'!W179</f>
        <v/>
      </c>
      <c r="L31" s="2453">
        <f>'GPC Data'!X179</f>
        <v/>
      </c>
      <c r="M31" s="2453">
        <f>'GPC Data'!Y179</f>
        <v/>
      </c>
      <c r="N31" s="1833" t="inlineStr"/>
      <c r="O31" s="1833" t="n"/>
      <c r="P31" s="443" t="inlineStr">
        <is>
          <t>Yes</t>
        </is>
      </c>
      <c r="Q31" s="1833" t="n"/>
      <c r="R31" s="1833" t="n"/>
      <c r="S31" s="2431" t="n"/>
      <c r="T31" s="2451" t="n"/>
      <c r="U31" s="2451" t="n"/>
      <c r="V31" s="2431" t="n"/>
      <c r="W31" s="2431" t="n"/>
      <c r="X31" s="1833" t="n"/>
      <c r="Y31" s="1833" t="n"/>
    </row>
    <row r="32" hidden="1" outlineLevel="1" ht="12" customFormat="1" customHeight="1" s="432" thickBot="1">
      <c r="D32" s="2452">
        <f>WACC!C51</f>
        <v/>
      </c>
      <c r="E32" s="2429">
        <f>'GPC Data'!P44</f>
        <v/>
      </c>
      <c r="F32" s="1899">
        <f>'GPC Data'!R180</f>
        <v/>
      </c>
      <c r="G32" s="1899">
        <f>'GPC Data'!S180</f>
        <v/>
      </c>
      <c r="H32" s="1899">
        <f>'GPC Data'!T180</f>
        <v/>
      </c>
      <c r="I32" s="1899">
        <f>'GPC Data'!U180</f>
        <v/>
      </c>
      <c r="J32" s="1899">
        <f>'GPC Data'!V180</f>
        <v/>
      </c>
      <c r="K32" s="2453">
        <f>'GPC Data'!W180</f>
        <v/>
      </c>
      <c r="L32" s="2453">
        <f>'GPC Data'!X180</f>
        <v/>
      </c>
      <c r="M32" s="2453">
        <f>'GPC Data'!Y180</f>
        <v/>
      </c>
      <c r="N32" s="1833" t="inlineStr"/>
      <c r="O32" s="1833" t="n"/>
      <c r="P32" s="443" t="inlineStr">
        <is>
          <t>Yes</t>
        </is>
      </c>
      <c r="Q32" s="1833" t="n"/>
      <c r="R32" s="1833" t="n"/>
      <c r="S32" s="2431" t="n"/>
      <c r="T32" s="2451" t="n"/>
      <c r="U32" s="2451" t="n"/>
      <c r="V32" s="2431" t="n"/>
      <c r="W32" s="2431" t="n"/>
      <c r="X32" s="1833" t="n"/>
      <c r="Y32" s="1833" t="n"/>
    </row>
    <row r="33" hidden="1" outlineLevel="1" ht="12" customFormat="1" customHeight="1" s="432" thickBot="1">
      <c r="D33" s="2452">
        <f>WACC!C52</f>
        <v/>
      </c>
      <c r="E33" s="2429">
        <f>'GPC Data'!P45</f>
        <v/>
      </c>
      <c r="F33" s="1899">
        <f>'GPC Data'!R181</f>
        <v/>
      </c>
      <c r="G33" s="1899">
        <f>'GPC Data'!S181</f>
        <v/>
      </c>
      <c r="H33" s="1899">
        <f>'GPC Data'!T181</f>
        <v/>
      </c>
      <c r="I33" s="1899">
        <f>'GPC Data'!U181</f>
        <v/>
      </c>
      <c r="J33" s="1899">
        <f>'GPC Data'!V181</f>
        <v/>
      </c>
      <c r="K33" s="2453">
        <f>'GPC Data'!W181</f>
        <v/>
      </c>
      <c r="L33" s="2453">
        <f>'GPC Data'!X181</f>
        <v/>
      </c>
      <c r="M33" s="2453">
        <f>'GPC Data'!Y181</f>
        <v/>
      </c>
      <c r="N33" s="1833" t="inlineStr"/>
      <c r="O33" s="1833" t="n"/>
      <c r="P33" s="443" t="inlineStr">
        <is>
          <t>Yes</t>
        </is>
      </c>
      <c r="Q33" s="1833" t="n"/>
      <c r="R33" s="1833" t="n"/>
      <c r="S33" s="2431" t="n"/>
      <c r="T33" s="2451" t="n"/>
      <c r="U33" s="2451" t="n"/>
      <c r="V33" s="2431" t="n"/>
      <c r="W33" s="2431" t="n"/>
      <c r="X33" s="1833" t="n"/>
      <c r="Y33" s="1833" t="n"/>
    </row>
    <row r="34" hidden="1" outlineLevel="1" ht="12" customFormat="1" customHeight="1" s="432" thickBot="1">
      <c r="D34" s="2452">
        <f>WACC!C53</f>
        <v/>
      </c>
      <c r="E34" s="2429">
        <f>'GPC Data'!P46</f>
        <v/>
      </c>
      <c r="F34" s="1899">
        <f>'GPC Data'!R182</f>
        <v/>
      </c>
      <c r="G34" s="1899">
        <f>'GPC Data'!S182</f>
        <v/>
      </c>
      <c r="H34" s="1899">
        <f>'GPC Data'!T182</f>
        <v/>
      </c>
      <c r="I34" s="1899">
        <f>'GPC Data'!U182</f>
        <v/>
      </c>
      <c r="J34" s="1899">
        <f>'GPC Data'!V182</f>
        <v/>
      </c>
      <c r="K34" s="2453">
        <f>'GPC Data'!W182</f>
        <v/>
      </c>
      <c r="L34" s="2453">
        <f>'GPC Data'!X182</f>
        <v/>
      </c>
      <c r="M34" s="2453">
        <f>'GPC Data'!Y182</f>
        <v/>
      </c>
      <c r="N34" s="1833" t="inlineStr"/>
      <c r="O34" s="1833" t="n"/>
      <c r="P34" s="443" t="inlineStr">
        <is>
          <t>Yes</t>
        </is>
      </c>
      <c r="Q34" s="1833" t="n"/>
      <c r="R34" s="1833" t="n"/>
      <c r="S34" s="2431" t="n"/>
      <c r="T34" s="2451" t="n"/>
      <c r="U34" s="2451" t="n"/>
      <c r="V34" s="2431" t="n"/>
      <c r="W34" s="2431" t="n"/>
      <c r="X34" s="1833" t="n"/>
      <c r="Y34" s="1833" t="n"/>
    </row>
    <row r="35" hidden="1" outlineLevel="1" ht="12" customFormat="1" customHeight="1" s="432" thickBot="1">
      <c r="D35" s="2452">
        <f>WACC!C54</f>
        <v/>
      </c>
      <c r="E35" s="2429">
        <f>'GPC Data'!P47</f>
        <v/>
      </c>
      <c r="F35" s="1899">
        <f>'GPC Data'!R183</f>
        <v/>
      </c>
      <c r="G35" s="1899">
        <f>'GPC Data'!S183</f>
        <v/>
      </c>
      <c r="H35" s="1899">
        <f>'GPC Data'!T183</f>
        <v/>
      </c>
      <c r="I35" s="1899">
        <f>'GPC Data'!U183</f>
        <v/>
      </c>
      <c r="J35" s="1899">
        <f>'GPC Data'!V183</f>
        <v/>
      </c>
      <c r="K35" s="2453">
        <f>'GPC Data'!W183</f>
        <v/>
      </c>
      <c r="L35" s="2453">
        <f>'GPC Data'!X183</f>
        <v/>
      </c>
      <c r="M35" s="2453">
        <f>'GPC Data'!Y183</f>
        <v/>
      </c>
      <c r="N35" s="1833" t="inlineStr"/>
      <c r="O35" s="1833" t="n"/>
      <c r="P35" s="443" t="inlineStr">
        <is>
          <t>Yes</t>
        </is>
      </c>
      <c r="Q35" s="1833" t="n"/>
      <c r="R35" s="1833" t="n"/>
      <c r="S35" s="2431" t="n"/>
      <c r="T35" s="2451" t="n"/>
      <c r="U35" s="2451" t="n"/>
      <c r="V35" s="2431" t="n"/>
      <c r="W35" s="2431" t="n"/>
      <c r="X35" s="1833" t="n"/>
      <c r="Y35" s="1833" t="n"/>
    </row>
    <row r="36" hidden="1" outlineLevel="1" ht="12" customFormat="1" customHeight="1" s="432" thickBot="1">
      <c r="D36" s="2452">
        <f>WACC!C55</f>
        <v/>
      </c>
      <c r="E36" s="2429">
        <f>'GPC Data'!P48</f>
        <v/>
      </c>
      <c r="F36" s="1899">
        <f>'GPC Data'!R184</f>
        <v/>
      </c>
      <c r="G36" s="1899">
        <f>'GPC Data'!S184</f>
        <v/>
      </c>
      <c r="H36" s="1899">
        <f>'GPC Data'!T184</f>
        <v/>
      </c>
      <c r="I36" s="1899">
        <f>'GPC Data'!U184</f>
        <v/>
      </c>
      <c r="J36" s="1899">
        <f>'GPC Data'!V184</f>
        <v/>
      </c>
      <c r="K36" s="2453">
        <f>'GPC Data'!W184</f>
        <v/>
      </c>
      <c r="L36" s="2453">
        <f>'GPC Data'!X184</f>
        <v/>
      </c>
      <c r="M36" s="2453">
        <f>'GPC Data'!Y184</f>
        <v/>
      </c>
      <c r="N36" s="1833" t="inlineStr"/>
      <c r="O36" s="1833" t="n"/>
      <c r="P36" s="443" t="inlineStr">
        <is>
          <t>Yes</t>
        </is>
      </c>
      <c r="Q36" s="1833" t="n"/>
      <c r="R36" s="1833" t="n"/>
      <c r="S36" s="2431" t="n"/>
      <c r="T36" s="2451" t="n"/>
      <c r="U36" s="2451" t="n"/>
      <c r="V36" s="2431" t="n"/>
      <c r="W36" s="2431" t="n"/>
      <c r="X36" s="1833" t="n"/>
      <c r="Y36" s="1833" t="n"/>
    </row>
    <row r="37" hidden="1" outlineLevel="1" ht="12" customFormat="1" customHeight="1" s="432" thickBot="1">
      <c r="D37" s="2452">
        <f>WACC!C56</f>
        <v/>
      </c>
      <c r="E37" s="2429">
        <f>'GPC Data'!P49</f>
        <v/>
      </c>
      <c r="F37" s="1899">
        <f>'GPC Data'!R185</f>
        <v/>
      </c>
      <c r="G37" s="1899">
        <f>'GPC Data'!S185</f>
        <v/>
      </c>
      <c r="H37" s="1899">
        <f>'GPC Data'!T185</f>
        <v/>
      </c>
      <c r="I37" s="1899">
        <f>'GPC Data'!U185</f>
        <v/>
      </c>
      <c r="J37" s="1899">
        <f>'GPC Data'!V185</f>
        <v/>
      </c>
      <c r="K37" s="2453">
        <f>'GPC Data'!W185</f>
        <v/>
      </c>
      <c r="L37" s="2453">
        <f>'GPC Data'!X185</f>
        <v/>
      </c>
      <c r="M37" s="2453">
        <f>'GPC Data'!Y185</f>
        <v/>
      </c>
      <c r="N37" s="1833" t="inlineStr"/>
      <c r="O37" s="1833" t="n"/>
      <c r="P37" s="443" t="inlineStr">
        <is>
          <t>Yes</t>
        </is>
      </c>
      <c r="Q37" s="1833" t="n"/>
      <c r="R37" s="1833" t="n"/>
      <c r="S37" s="2431" t="n"/>
      <c r="T37" s="2451" t="n"/>
      <c r="U37" s="2451" t="n"/>
      <c r="V37" s="2431" t="n"/>
      <c r="W37" s="2431" t="n"/>
      <c r="X37" s="1833" t="n"/>
      <c r="Y37" s="1833" t="n"/>
    </row>
    <row r="38" hidden="1" outlineLevel="1" ht="12" customFormat="1" customHeight="1" s="432" thickBot="1">
      <c r="D38" s="2452">
        <f>WACC!C57</f>
        <v/>
      </c>
      <c r="E38" s="2429">
        <f>'GPC Data'!P50</f>
        <v/>
      </c>
      <c r="F38" s="1899">
        <f>'GPC Data'!R186</f>
        <v/>
      </c>
      <c r="G38" s="1899">
        <f>'GPC Data'!S186</f>
        <v/>
      </c>
      <c r="H38" s="1899">
        <f>'GPC Data'!T186</f>
        <v/>
      </c>
      <c r="I38" s="1899">
        <f>'GPC Data'!U186</f>
        <v/>
      </c>
      <c r="J38" s="1899">
        <f>'GPC Data'!V186</f>
        <v/>
      </c>
      <c r="K38" s="2453">
        <f>'GPC Data'!W186</f>
        <v/>
      </c>
      <c r="L38" s="2453">
        <f>'GPC Data'!X186</f>
        <v/>
      </c>
      <c r="M38" s="2453">
        <f>'GPC Data'!Y186</f>
        <v/>
      </c>
      <c r="N38" s="1833" t="inlineStr"/>
      <c r="O38" s="1833" t="n"/>
      <c r="P38" s="443" t="inlineStr">
        <is>
          <t>Yes</t>
        </is>
      </c>
      <c r="Q38" s="1833" t="n"/>
      <c r="R38" s="1833" t="n"/>
      <c r="S38" s="2431" t="n"/>
      <c r="T38" s="2451" t="n"/>
      <c r="U38" s="2451" t="n"/>
      <c r="V38" s="2431" t="n"/>
      <c r="W38" s="2431" t="n"/>
      <c r="X38" s="1833" t="n"/>
      <c r="Y38" s="1833" t="n"/>
    </row>
    <row r="39" hidden="1" outlineLevel="1" ht="12" customFormat="1" customHeight="1" s="432" thickBot="1">
      <c r="D39" s="2452">
        <f>WACC!C58</f>
        <v/>
      </c>
      <c r="E39" s="2429">
        <f>'GPC Data'!P51</f>
        <v/>
      </c>
      <c r="F39" s="1899">
        <f>'GPC Data'!R187</f>
        <v/>
      </c>
      <c r="G39" s="1899">
        <f>'GPC Data'!S187</f>
        <v/>
      </c>
      <c r="H39" s="1899">
        <f>'GPC Data'!T187</f>
        <v/>
      </c>
      <c r="I39" s="1899">
        <f>'GPC Data'!U187</f>
        <v/>
      </c>
      <c r="J39" s="1899">
        <f>'GPC Data'!V187</f>
        <v/>
      </c>
      <c r="K39" s="2453">
        <f>'GPC Data'!W187</f>
        <v/>
      </c>
      <c r="L39" s="2453">
        <f>'GPC Data'!X187</f>
        <v/>
      </c>
      <c r="M39" s="2453">
        <f>'GPC Data'!Y187</f>
        <v/>
      </c>
      <c r="N39" s="1833" t="inlineStr"/>
      <c r="O39" s="1833" t="n"/>
      <c r="P39" s="443" t="inlineStr">
        <is>
          <t>Yes</t>
        </is>
      </c>
      <c r="Q39" s="1833" t="n"/>
      <c r="R39" s="1833" t="n"/>
      <c r="S39" s="2431" t="n"/>
      <c r="T39" s="2451" t="n"/>
      <c r="U39" s="2451" t="n"/>
      <c r="V39" s="2431" t="n"/>
      <c r="W39" s="2431" t="n"/>
      <c r="X39" s="1833" t="n"/>
      <c r="Y39" s="1833" t="n"/>
    </row>
    <row r="40" collapsed="1">
      <c r="B40" s="432" t="n"/>
      <c r="D40" s="2407" t="n"/>
      <c r="E40" s="2407" t="n"/>
      <c r="F40" s="2407" t="n"/>
      <c r="G40" s="2407" t="n"/>
      <c r="H40" s="2407" t="n"/>
      <c r="I40" s="2407" t="n"/>
      <c r="J40" s="2407" t="n"/>
      <c r="K40" s="2407" t="n"/>
      <c r="L40" s="2407" t="n"/>
      <c r="M40" s="2407" t="n"/>
      <c r="N40" s="2407" t="n"/>
      <c r="O40" s="2408" t="n"/>
      <c r="P40" s="2408" t="n"/>
      <c r="Q40" s="2407" t="n"/>
      <c r="R40" s="2407" t="n"/>
      <c r="S40" s="2407" t="n"/>
      <c r="T40" s="259" t="n"/>
      <c r="U40" s="2407" t="n"/>
      <c r="V40" s="2407" t="n"/>
      <c r="W40" s="2407" t="n"/>
      <c r="X40" s="2407" t="n"/>
      <c r="Y40" s="2407" t="n"/>
    </row>
    <row r="41">
      <c r="E41" s="2410" t="inlineStr">
        <is>
          <t>High</t>
        </is>
      </c>
      <c r="F41" s="2412">
        <f>MAX(F10:F39)</f>
        <v/>
      </c>
      <c r="G41" s="2412">
        <f>MAX(G10:G39)</f>
        <v/>
      </c>
      <c r="H41" s="2412">
        <f>MAX(H10:H39)</f>
        <v/>
      </c>
      <c r="I41" s="2412">
        <f>MAX(I10:I39)</f>
        <v/>
      </c>
      <c r="J41" s="2412">
        <f>MAX(J10:J39)</f>
        <v/>
      </c>
      <c r="K41" s="2412">
        <f>MAX(K10:K39)</f>
        <v/>
      </c>
      <c r="L41" s="2412">
        <f>MAX(L10:L39)</f>
        <v/>
      </c>
      <c r="M41" s="2412">
        <f>MAX(M10:M39)</f>
        <v/>
      </c>
      <c r="N41" s="2407" t="n"/>
      <c r="O41" s="2408" t="n"/>
      <c r="P41" s="2408" t="n"/>
      <c r="Q41" s="2407" t="n"/>
      <c r="R41" s="2407" t="n"/>
      <c r="S41" s="2407" t="n"/>
      <c r="T41" s="2407" t="n"/>
      <c r="U41" s="2407" t="n"/>
      <c r="V41" s="2407" t="n"/>
      <c r="W41" s="2407" t="n"/>
      <c r="X41" s="2407" t="n"/>
      <c r="Y41" s="2407" t="n"/>
    </row>
    <row r="42">
      <c r="E42" s="2408" t="inlineStr">
        <is>
          <t>75th Percentile</t>
        </is>
      </c>
      <c r="F42" s="2330">
        <f>PERCENTILE(F10:F39,0.75)</f>
        <v/>
      </c>
      <c r="G42" s="2330">
        <f>PERCENTILE(G10:G39,0.75)</f>
        <v/>
      </c>
      <c r="H42" s="2330">
        <f>PERCENTILE(H10:H39,0.75)</f>
        <v/>
      </c>
      <c r="I42" s="2330">
        <f>PERCENTILE(I10:I39,0.75)</f>
        <v/>
      </c>
      <c r="J42" s="2330">
        <f>PERCENTILE(J10:J39,0.75)</f>
        <v/>
      </c>
      <c r="K42" s="2330">
        <f>PERCENTILE(K10:K39,0.75)</f>
        <v/>
      </c>
      <c r="L42" s="2330">
        <f>PERCENTILE(L10:L39,0.75)</f>
        <v/>
      </c>
      <c r="M42" s="2330">
        <f>PERCENTILE(M10:M39,0.75)</f>
        <v/>
      </c>
      <c r="N42" s="2407" t="n"/>
      <c r="O42" s="2408" t="n"/>
      <c r="P42" s="2408" t="n"/>
      <c r="Q42" s="2407" t="n"/>
      <c r="R42" s="2407" t="n"/>
      <c r="S42" s="2407" t="n"/>
      <c r="T42" s="2407" t="n"/>
      <c r="U42" s="2407" t="n"/>
      <c r="V42" s="2407" t="n"/>
      <c r="W42" s="2407" t="n"/>
      <c r="X42" s="2407" t="n"/>
      <c r="Y42" s="2407" t="n"/>
    </row>
    <row r="43">
      <c r="E43" s="2408" t="inlineStr">
        <is>
          <t>Mean</t>
        </is>
      </c>
      <c r="F43" s="2330">
        <f>AVERAGE(F10:F39)</f>
        <v/>
      </c>
      <c r="G43" s="2330">
        <f>AVERAGE(G10:G39)</f>
        <v/>
      </c>
      <c r="H43" s="2330">
        <f>AVERAGE(H10:H39)</f>
        <v/>
      </c>
      <c r="I43" s="2330">
        <f>AVERAGE(I10:I39)</f>
        <v/>
      </c>
      <c r="J43" s="2330">
        <f>AVERAGE(J10:J39)</f>
        <v/>
      </c>
      <c r="K43" s="2330">
        <f>AVERAGE(K10:K39)</f>
        <v/>
      </c>
      <c r="L43" s="2330">
        <f>AVERAGE(L10:L39)</f>
        <v/>
      </c>
      <c r="M43" s="2330">
        <f>AVERAGE(M10:M39)</f>
        <v/>
      </c>
      <c r="N43" s="2408" t="inlineStr"/>
      <c r="O43" s="2408" t="n"/>
      <c r="P43" s="2408" t="n"/>
      <c r="Q43" s="2408" t="n"/>
      <c r="R43" s="2408" t="n"/>
      <c r="S43" s="2408" t="n"/>
      <c r="T43" s="2408" t="n"/>
      <c r="U43" s="2408" t="n"/>
      <c r="V43" s="2408" t="n"/>
      <c r="W43" s="2408" t="n"/>
      <c r="X43" s="2408" t="n"/>
      <c r="Y43" s="2408" t="n"/>
    </row>
    <row r="44" ht="13" customHeight="1">
      <c r="E44" s="2417" t="inlineStr">
        <is>
          <t>Median</t>
        </is>
      </c>
      <c r="F44" s="2415">
        <f>MEDIAN(F10:F39)</f>
        <v/>
      </c>
      <c r="G44" s="2415">
        <f>MEDIAN(G10:G39)</f>
        <v/>
      </c>
      <c r="H44" s="2415">
        <f>MEDIAN(H10:H39)</f>
        <v/>
      </c>
      <c r="I44" s="2415">
        <f>MEDIAN(I10:I39)</f>
        <v/>
      </c>
      <c r="J44" s="2415">
        <f>MEDIAN(J10:J39)</f>
        <v/>
      </c>
      <c r="K44" s="2415">
        <f>MEDIAN(K10:K39)</f>
        <v/>
      </c>
      <c r="L44" s="2415">
        <f>MEDIAN(L10:L39)</f>
        <v/>
      </c>
      <c r="M44" s="2415">
        <f>MEDIAN(M10:M39)</f>
        <v/>
      </c>
      <c r="N44" s="2420" t="inlineStr"/>
      <c r="O44" s="2408" t="n"/>
      <c r="P44" s="2408" t="n"/>
      <c r="Q44" s="2420" t="n"/>
      <c r="R44" s="2420" t="n"/>
      <c r="S44" s="2420" t="n"/>
      <c r="T44" s="2420" t="n"/>
      <c r="U44" s="2420" t="n"/>
      <c r="V44" s="2420" t="n"/>
      <c r="W44" s="2420" t="n"/>
      <c r="X44" s="2420" t="n"/>
      <c r="Y44" s="2420" t="n"/>
    </row>
    <row r="45" ht="13" customHeight="1">
      <c r="E45" s="2408" t="inlineStr">
        <is>
          <t>25th Percentile</t>
        </is>
      </c>
      <c r="F45" s="2330">
        <f>PERCENTILE(F10:F39,0.25)</f>
        <v/>
      </c>
      <c r="G45" s="2330">
        <f>PERCENTILE(G10:G39,0.25)</f>
        <v/>
      </c>
      <c r="H45" s="2330">
        <f>PERCENTILE(H10:H39,0.25)</f>
        <v/>
      </c>
      <c r="I45" s="2330">
        <f>PERCENTILE(I10:I39,0.25)</f>
        <v/>
      </c>
      <c r="J45" s="2330">
        <f>PERCENTILE(J10:J39,0.25)</f>
        <v/>
      </c>
      <c r="K45" s="2330">
        <f>PERCENTILE(K10:K39,0.25)</f>
        <v/>
      </c>
      <c r="L45" s="2330">
        <f>PERCENTILE(L10:L39,0.25)</f>
        <v/>
      </c>
      <c r="M45" s="2330">
        <f>PERCENTILE(M10:M39,0.25)</f>
        <v/>
      </c>
      <c r="N45" s="2420" t="n"/>
      <c r="O45" s="1033" t="n"/>
      <c r="P45" s="1033" t="n"/>
      <c r="Q45" s="1033" t="n"/>
      <c r="R45" s="1033" t="n"/>
      <c r="S45" s="1033" t="n"/>
      <c r="T45" s="1033" t="n"/>
      <c r="U45" s="1033" t="n"/>
      <c r="V45" s="1033" t="n"/>
      <c r="W45" s="1033" t="n"/>
      <c r="X45" s="1033" t="n"/>
      <c r="Y45" s="1033" t="n"/>
      <c r="Z45" s="1033" t="n"/>
      <c r="AA45" s="1033" t="n"/>
      <c r="AB45" s="1033" t="n"/>
      <c r="AC45" s="1033" t="n"/>
      <c r="AD45" s="1033" t="n"/>
      <c r="AE45" s="1033" t="n"/>
      <c r="AF45" s="1033" t="n"/>
      <c r="AG45" s="1033" t="n"/>
      <c r="AH45" s="1033" t="n"/>
      <c r="AI45" s="1033" t="n"/>
      <c r="AJ45" s="1033" t="n"/>
      <c r="AK45" s="1033" t="n"/>
    </row>
    <row r="46">
      <c r="E46" s="2421" t="inlineStr">
        <is>
          <t>Low</t>
        </is>
      </c>
      <c r="F46" s="2423">
        <f>MIN(F10:F39)</f>
        <v/>
      </c>
      <c r="G46" s="2423">
        <f>MIN(G10:G39)</f>
        <v/>
      </c>
      <c r="H46" s="2423">
        <f>MIN(H10:H39)</f>
        <v/>
      </c>
      <c r="I46" s="2423">
        <f>MIN(I10:I39)</f>
        <v/>
      </c>
      <c r="J46" s="2423">
        <f>MIN(J10:J39)</f>
        <v/>
      </c>
      <c r="K46" s="2423">
        <f>MIN(K10:K39)</f>
        <v/>
      </c>
      <c r="L46" s="2423">
        <f>MIN(L10:L39)</f>
        <v/>
      </c>
      <c r="M46" s="2423">
        <f>MIN(M10:M39)</f>
        <v/>
      </c>
      <c r="N46" s="2423" t="n"/>
      <c r="O46" s="1033" t="n"/>
      <c r="P46" s="1033" t="n"/>
      <c r="Q46" s="1033" t="n"/>
      <c r="R46" s="1033" t="n"/>
      <c r="S46" s="1033" t="n"/>
      <c r="T46" s="1033" t="n"/>
      <c r="U46" s="1033" t="n"/>
      <c r="V46" s="1033" t="n"/>
      <c r="W46" s="1033" t="n"/>
      <c r="X46" s="1033" t="n"/>
      <c r="Y46" s="1033" t="n"/>
      <c r="Z46" s="1033" t="n"/>
      <c r="AA46" s="1033" t="n"/>
      <c r="AB46" s="1033" t="n"/>
      <c r="AC46" s="1033" t="n"/>
      <c r="AD46" s="1033" t="n"/>
      <c r="AE46" s="1033" t="n"/>
      <c r="AF46" s="1033" t="n"/>
      <c r="AG46" s="1033" t="n"/>
      <c r="AH46" s="1033" t="n"/>
      <c r="AI46" s="1033" t="n"/>
      <c r="AJ46" s="1033" t="n"/>
      <c r="AK46" s="1033" t="n"/>
    </row>
    <row r="47">
      <c r="E47" s="2440" t="n"/>
      <c r="F47" s="2330" t="n"/>
      <c r="G47" s="2330" t="n"/>
      <c r="H47" s="2330" t="n"/>
      <c r="I47" s="2330" t="n"/>
      <c r="J47" s="2330" t="n"/>
      <c r="K47" s="2408" t="n"/>
      <c r="L47" s="2408" t="n"/>
      <c r="N47" s="2408" t="n"/>
      <c r="O47" s="1033" t="n"/>
      <c r="P47" s="1033" t="n"/>
      <c r="Q47" s="1033" t="n"/>
      <c r="R47" s="1033" t="n"/>
      <c r="S47" s="1033" t="n"/>
      <c r="T47" s="1033" t="n"/>
      <c r="U47" s="1033" t="n"/>
      <c r="V47" s="1033" t="n"/>
      <c r="W47" s="1033" t="n"/>
      <c r="X47" s="1033" t="n"/>
      <c r="Y47" s="1033" t="n"/>
      <c r="Z47" s="1033" t="n"/>
      <c r="AA47" s="1033" t="n"/>
      <c r="AB47" s="1033" t="n"/>
      <c r="AC47" s="1033" t="n"/>
      <c r="AD47" s="1033" t="n"/>
      <c r="AE47" s="1033" t="n"/>
      <c r="AF47" s="1033" t="n"/>
      <c r="AG47" s="1033" t="n"/>
      <c r="AH47" s="1033" t="n"/>
      <c r="AI47" s="1033" t="n"/>
      <c r="AJ47" s="1033" t="n"/>
      <c r="AK47" s="1033" t="n"/>
    </row>
    <row r="48">
      <c r="E48" s="466" t="inlineStr">
        <is>
          <t>Excluding outliers</t>
        </is>
      </c>
      <c r="F48" s="2330" t="n"/>
      <c r="G48" s="2330" t="n"/>
      <c r="H48" s="2330" t="n"/>
      <c r="I48" s="2330" t="n"/>
      <c r="J48" s="2330" t="n"/>
      <c r="K48" s="2408" t="n"/>
      <c r="L48" s="2408" t="n"/>
      <c r="N48" s="2408" t="n"/>
      <c r="O48" s="1033" t="n"/>
      <c r="P48" s="1033" t="n"/>
      <c r="Q48" s="1033" t="n"/>
      <c r="R48" s="1033" t="n"/>
      <c r="S48" s="1033" t="n"/>
      <c r="T48" s="1033" t="n"/>
      <c r="U48" s="1033" t="n"/>
      <c r="V48" s="1033" t="n"/>
      <c r="W48" s="1033" t="n"/>
      <c r="X48" s="1033" t="n"/>
      <c r="Y48" s="1033" t="n"/>
      <c r="Z48" s="1033" t="n"/>
      <c r="AA48" s="1033" t="n"/>
      <c r="AB48" s="1033" t="n"/>
      <c r="AC48" s="1033" t="n"/>
      <c r="AD48" s="1033" t="n"/>
      <c r="AE48" s="1033" t="n"/>
      <c r="AF48" s="1033" t="n"/>
      <c r="AG48" s="1033" t="n"/>
      <c r="AH48" s="1033" t="n"/>
      <c r="AI48" s="1033" t="n"/>
      <c r="AJ48" s="1033" t="n"/>
      <c r="AK48" s="1033" t="n"/>
    </row>
    <row r="49">
      <c r="E49" s="2410" t="inlineStr">
        <is>
          <t>High</t>
        </is>
      </c>
      <c r="F49" s="2412">
        <f t="array" ref="F49">IFERROR(MAX(IF($P$10:$P$39="No",F10:F39)),"")</f>
        <v/>
      </c>
      <c r="G49" s="2412">
        <f t="array" ref="G49">IFERROR(MAX(IF($P$10:$P$39="No",G10:G39)),"")</f>
        <v/>
      </c>
      <c r="H49" s="2412">
        <f t="array" ref="H49">IFERROR(MAX(IF($P$10:$P$39="No",H10:H39)),"")</f>
        <v/>
      </c>
      <c r="I49" s="2412">
        <f t="array" ref="I49">IFERROR(MAX(IF($P$10:$P$39="No",I10:I39)),"")</f>
        <v/>
      </c>
      <c r="J49" s="2412">
        <f t="array" ref="J49">IFERROR(MAX(IF($P$10:$P$39="No",J10:J39)),"")</f>
        <v/>
      </c>
      <c r="K49" s="2412">
        <f t="array" ref="K49">IFERROR(MAX(IF($P$10:$P$39="No",K10:K39)),"")</f>
        <v/>
      </c>
      <c r="L49" s="2412">
        <f t="array" ref="L49">IFERROR(MAX(IF($P$10:$P$39="No",L10:L39)),"")</f>
        <v/>
      </c>
      <c r="M49" s="2412">
        <f t="array" ref="M49">IFERROR(MAX(IF($P$10:$P$39="No",M10:M39)),"")</f>
        <v/>
      </c>
      <c r="N49" s="2408" t="n"/>
      <c r="O49" s="1033" t="n"/>
      <c r="P49" s="1033" t="n"/>
      <c r="Q49" s="1033" t="n"/>
      <c r="R49" s="1033" t="n"/>
      <c r="S49" s="1033" t="n"/>
      <c r="T49" s="1033" t="n"/>
      <c r="U49" s="1033" t="n"/>
      <c r="V49" s="1033" t="n"/>
      <c r="W49" s="1033" t="n"/>
      <c r="X49" s="1033" t="n"/>
      <c r="Y49" s="1033" t="n"/>
      <c r="Z49" s="1033" t="n"/>
      <c r="AA49" s="1033" t="n"/>
      <c r="AB49" s="1033" t="n"/>
      <c r="AC49" s="1033" t="n"/>
      <c r="AD49" s="1033" t="n"/>
      <c r="AE49" s="1033" t="n"/>
      <c r="AF49" s="1033" t="n"/>
      <c r="AG49" s="1033" t="n"/>
      <c r="AH49" s="1033" t="n"/>
      <c r="AI49" s="1033" t="n"/>
      <c r="AJ49" s="1033" t="n"/>
      <c r="AK49" s="1033" t="n"/>
    </row>
    <row r="50">
      <c r="E50" s="2408" t="inlineStr">
        <is>
          <t>75th Percentile</t>
        </is>
      </c>
      <c r="F50" s="2330">
        <f t="array" ref="F50">PERCENTILE(IF($P$10:$P$39="No",F10:F39),0.74)</f>
        <v/>
      </c>
      <c r="G50" s="2330">
        <f t="array" ref="G50">PERCENTILE(IF($P$10:$P$39="No",G10:G39),0.74)</f>
        <v/>
      </c>
      <c r="H50" s="2330">
        <f t="array" ref="H50">PERCENTILE(IF($P$10:$P$39="No",H10:H39),0.74)</f>
        <v/>
      </c>
      <c r="I50" s="2330">
        <f t="array" ref="I50">PERCENTILE(IF($P$10:$P$39="No",I10:I39),0.74)</f>
        <v/>
      </c>
      <c r="J50" s="2330">
        <f t="array" ref="J50">PERCENTILE(IF($P$10:$P$39="No",J10:J39),0.74)</f>
        <v/>
      </c>
      <c r="K50" s="2330">
        <f t="array" ref="K50">PERCENTILE(IF($P$10:$P$39="No",K10:K39),0.74)</f>
        <v/>
      </c>
      <c r="L50" s="2330">
        <f t="array" ref="L50">PERCENTILE(IF($P$10:$P$39="No",L10:L39),0.74)</f>
        <v/>
      </c>
      <c r="M50" s="2330">
        <f t="array" ref="M50">PERCENTILE(IF($P$10:$P$39="No",M10:M39),0.74)</f>
        <v/>
      </c>
      <c r="N50" s="2408"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row>
    <row r="51">
      <c r="E51" s="2408" t="inlineStr">
        <is>
          <t>Mean</t>
        </is>
      </c>
      <c r="F51" s="2330">
        <f>IFERROR(AVERAGEIF($P$10:$P$39,"No",F10:F39),"")</f>
        <v/>
      </c>
      <c r="G51" s="2330">
        <f>IFERROR(AVERAGEIF($P$10:$P$39,"No",G10:G39),"")</f>
        <v/>
      </c>
      <c r="H51" s="2330">
        <f>IFERROR(AVERAGEIF($P$10:$P$39,"No",H10:H39),"")</f>
        <v/>
      </c>
      <c r="I51" s="2330">
        <f>IFERROR(AVERAGEIF($P$10:$P$39,"No",I10:I39),"")</f>
        <v/>
      </c>
      <c r="J51" s="2330">
        <f>IFERROR(AVERAGEIF($P$10:$P$39,"No",J10:J39),"")</f>
        <v/>
      </c>
      <c r="K51" s="2330">
        <f>IFERROR(AVERAGEIF($P$10:$P$39,"No",K10:K39),"")</f>
        <v/>
      </c>
      <c r="L51" s="2330">
        <f>IFERROR(AVERAGEIF($P$10:$P$39,"No",L10:L39),"")</f>
        <v/>
      </c>
      <c r="M51" s="2330">
        <f>IFERROR(AVERAGEIF($P$10:$P$39,"No",M10:M39),"")</f>
        <v/>
      </c>
      <c r="N51" s="2408" t="n"/>
      <c r="O51" s="1033" t="n"/>
      <c r="P51" s="1033" t="n"/>
      <c r="Q51" s="1033" t="n"/>
      <c r="R51" s="1033" t="n"/>
      <c r="S51" s="1033" t="n"/>
      <c r="T51" s="1033" t="n"/>
      <c r="U51" s="1033" t="n"/>
      <c r="V51" s="1033" t="n"/>
      <c r="W51" s="1033" t="n"/>
      <c r="X51" s="1033" t="n"/>
      <c r="Y51" s="1033" t="n"/>
      <c r="Z51" s="1033" t="n"/>
      <c r="AA51" s="1033" t="n"/>
      <c r="AB51" s="1033" t="n"/>
      <c r="AC51" s="1033" t="n"/>
      <c r="AD51" s="1033" t="n"/>
      <c r="AE51" s="1033" t="n"/>
      <c r="AF51" s="1033" t="n"/>
      <c r="AG51" s="1033" t="n"/>
      <c r="AH51" s="1033" t="n"/>
      <c r="AI51" s="1033" t="n"/>
      <c r="AJ51" s="1033" t="n"/>
      <c r="AK51" s="1033" t="n"/>
    </row>
    <row r="52">
      <c r="E52" s="2417" t="inlineStr">
        <is>
          <t>Median</t>
        </is>
      </c>
      <c r="F52" s="2415">
        <f t="array" ref="F52">IFERROR(MEDIAN(IF($P$10:$P$39="No",F10:F39)),"")</f>
        <v/>
      </c>
      <c r="G52" s="2415">
        <f t="array" ref="G52">IFERROR(MEDIAN(IF($P$10:$P$39="No",G10:G39)),"")</f>
        <v/>
      </c>
      <c r="H52" s="2415">
        <f t="array" ref="H52">IFERROR(MEDIAN(IF($P$10:$P$39="No",H10:H39)),"")</f>
        <v/>
      </c>
      <c r="I52" s="2415">
        <f t="array" ref="I52">IFERROR(MEDIAN(IF($P$10:$P$39="No",I10:I39)),"")</f>
        <v/>
      </c>
      <c r="J52" s="2415">
        <f t="array" ref="J52">IFERROR(MEDIAN(IF($P$10:$P$39="No",J10:J39)),"")</f>
        <v/>
      </c>
      <c r="K52" s="2415">
        <f t="array" ref="K52">IFERROR(MEDIAN(IF($P$10:$P$39="No",K10:K39)),"")</f>
        <v/>
      </c>
      <c r="L52" s="2415">
        <f t="array" ref="L52">IFERROR(MEDIAN(IF($P$10:$P$39="No",L10:L39)),"")</f>
        <v/>
      </c>
      <c r="M52" s="2415">
        <f t="array" ref="M52">IFERROR(MEDIAN(IF($P$10:$P$39="No",M10:M39)),"")</f>
        <v/>
      </c>
      <c r="N52" s="2408" t="n"/>
      <c r="O52" s="1033" t="n"/>
      <c r="P52" s="1033" t="n"/>
      <c r="Q52" s="1033" t="n"/>
      <c r="R52" s="1033" t="n"/>
      <c r="S52" s="1033" t="n"/>
      <c r="T52" s="1033" t="n"/>
      <c r="U52" s="1033" t="n"/>
      <c r="V52" s="1033" t="n"/>
      <c r="W52" s="1033" t="n"/>
      <c r="X52" s="1033" t="n"/>
      <c r="Y52" s="1033" t="n"/>
      <c r="Z52" s="1033" t="n"/>
      <c r="AA52" s="1033" t="n"/>
      <c r="AB52" s="1033" t="n"/>
      <c r="AC52" s="1033" t="n"/>
      <c r="AD52" s="1033" t="n"/>
      <c r="AE52" s="1033" t="n"/>
      <c r="AF52" s="1033" t="n"/>
      <c r="AG52" s="1033" t="n"/>
      <c r="AH52" s="1033" t="n"/>
      <c r="AI52" s="1033" t="n"/>
      <c r="AJ52" s="1033" t="n"/>
      <c r="AK52" s="1033" t="n"/>
    </row>
    <row r="53">
      <c r="E53" s="2408" t="inlineStr">
        <is>
          <t>25th Percentile</t>
        </is>
      </c>
      <c r="F53" s="2330">
        <f t="array" ref="F53">PERCENTILE(IF($P$10:$P$39="No",F10:F39),0.25)</f>
        <v/>
      </c>
      <c r="G53" s="2330">
        <f t="array" ref="G53">PERCENTILE(IF($P$10:$P$39="No",G10:G39),0.25)</f>
        <v/>
      </c>
      <c r="H53" s="2330">
        <f t="array" ref="H53">PERCENTILE(IF($P$10:$P$39="No",H10:H39),0.25)</f>
        <v/>
      </c>
      <c r="I53" s="2330">
        <f t="array" ref="I53">PERCENTILE(IF($P$10:$P$39="No",I10:I39),0.25)</f>
        <v/>
      </c>
      <c r="J53" s="2330">
        <f t="array" ref="J53">PERCENTILE(IF($P$10:$P$39="No",J10:J39),0.25)</f>
        <v/>
      </c>
      <c r="K53" s="2330">
        <f t="array" ref="K53">PERCENTILE(IF($P$10:$P$39="No",K10:K39),0.25)</f>
        <v/>
      </c>
      <c r="L53" s="2330">
        <f t="array" ref="L53">PERCENTILE(IF($P$10:$P$39="No",L10:L39),0.25)</f>
        <v/>
      </c>
      <c r="M53" s="2330">
        <f t="array" ref="M53">PERCENTILE(IF($P$10:$P$39="No",M10:M39),0.25)</f>
        <v/>
      </c>
      <c r="N53" s="2408" t="n"/>
      <c r="O53" s="1033" t="n"/>
      <c r="P53" s="1033" t="n"/>
      <c r="Q53" s="1033" t="n"/>
      <c r="R53" s="1033" t="n"/>
      <c r="S53" s="1033" t="n"/>
      <c r="T53" s="1033" t="n"/>
      <c r="U53" s="1033" t="n"/>
      <c r="V53" s="1033" t="n"/>
      <c r="W53" s="1033" t="n"/>
      <c r="X53" s="1033" t="n"/>
      <c r="Y53" s="1033" t="n"/>
      <c r="Z53" s="1033" t="n"/>
      <c r="AA53" s="1033" t="n"/>
      <c r="AB53" s="1033" t="n"/>
      <c r="AC53" s="1033" t="n"/>
      <c r="AD53" s="1033" t="n"/>
      <c r="AE53" s="1033" t="n"/>
      <c r="AF53" s="1033" t="n"/>
      <c r="AG53" s="1033" t="n"/>
      <c r="AH53" s="1033" t="n"/>
      <c r="AI53" s="1033" t="n"/>
      <c r="AJ53" s="1033" t="n"/>
      <c r="AK53" s="1033" t="n"/>
    </row>
    <row r="54">
      <c r="E54" s="2421" t="inlineStr">
        <is>
          <t>Low</t>
        </is>
      </c>
      <c r="F54" s="2423">
        <f t="array" ref="F54">IFERROR(MIN(IF($P$10:$P$39="No",F10:F39)),"")</f>
        <v/>
      </c>
      <c r="G54" s="2423">
        <f t="array" ref="G54">IFERROR(MIN(IF($P$10:$P$39="No",G10:G39)),"")</f>
        <v/>
      </c>
      <c r="H54" s="2423">
        <f t="array" ref="H54">IFERROR(MIN(IF($P$10:$P$39="No",H10:H39)),"")</f>
        <v/>
      </c>
      <c r="I54" s="2423">
        <f t="array" ref="I54">IFERROR(MIN(IF($P$10:$P$39="No",I10:I39)),"")</f>
        <v/>
      </c>
      <c r="J54" s="2423">
        <f t="array" ref="J54">IFERROR(MIN(IF($P$10:$P$39="No",J10:J39)),"")</f>
        <v/>
      </c>
      <c r="K54" s="2423">
        <f t="array" ref="K54">IFERROR(MIN(IF($P$10:$P$39="No",K10:K39)),"")</f>
        <v/>
      </c>
      <c r="L54" s="2423">
        <f t="array" ref="L54">IFERROR(MIN(IF($P$10:$P$39="No",L10:L39)),"")</f>
        <v/>
      </c>
      <c r="M54" s="2423">
        <f t="array" ref="M54">IFERROR(MIN(IF($P$10:$P$39="No",M10:M39)),"")</f>
        <v/>
      </c>
      <c r="N54" s="2408" t="n"/>
      <c r="O54" s="1033" t="n"/>
      <c r="P54" s="1033" t="n"/>
      <c r="Q54" s="1033" t="n"/>
      <c r="R54" s="1033" t="n"/>
      <c r="S54" s="1033" t="n"/>
      <c r="T54" s="1033" t="n"/>
      <c r="U54" s="1033" t="n"/>
      <c r="V54" s="1033" t="n"/>
      <c r="W54" s="1033" t="n"/>
      <c r="X54" s="1033" t="n"/>
      <c r="Y54" s="1033" t="n"/>
      <c r="Z54" s="1033" t="n"/>
      <c r="AA54" s="1033" t="n"/>
      <c r="AB54" s="1033" t="n"/>
      <c r="AC54" s="1033" t="n"/>
      <c r="AD54" s="1033" t="n"/>
      <c r="AE54" s="1033" t="n"/>
      <c r="AF54" s="1033" t="n"/>
      <c r="AG54" s="1033" t="n"/>
      <c r="AH54" s="1033" t="n"/>
      <c r="AI54" s="1033" t="n"/>
      <c r="AJ54" s="1033" t="n"/>
      <c r="AK54" s="1033" t="n"/>
    </row>
    <row r="55">
      <c r="B55" s="259" t="n"/>
      <c r="C55" s="259" t="n"/>
      <c r="D55" s="259" t="n"/>
      <c r="F55" s="259" t="n"/>
      <c r="G55" s="259" t="n"/>
      <c r="H55" s="259" t="n"/>
      <c r="I55" s="259" t="n"/>
      <c r="J55" s="259" t="n"/>
      <c r="K55" s="259" t="n"/>
      <c r="L55" s="259" t="n"/>
      <c r="M55" s="259" t="n"/>
      <c r="N55" s="259" t="n"/>
      <c r="O55" s="1033" t="n"/>
      <c r="P55" s="1033" t="n"/>
      <c r="Q55" s="1033" t="n"/>
      <c r="R55" s="1033" t="n"/>
      <c r="S55" s="1033" t="n"/>
      <c r="T55" s="1033" t="n"/>
      <c r="U55" s="1033" t="n"/>
      <c r="V55" s="1033" t="n"/>
      <c r="W55" s="1033" t="n"/>
      <c r="X55" s="1033" t="n"/>
      <c r="Y55" s="1033" t="n"/>
      <c r="Z55" s="1033" t="n"/>
      <c r="AA55" s="1033" t="n"/>
      <c r="AB55" s="1033" t="n"/>
      <c r="AC55" s="1033" t="n"/>
      <c r="AD55" s="1033" t="n"/>
      <c r="AE55" s="1033" t="n"/>
      <c r="AF55" s="1033" t="n"/>
      <c r="AG55" s="1033" t="n"/>
      <c r="AH55" s="1033" t="n"/>
      <c r="AI55" s="1033" t="n"/>
      <c r="AJ55" s="1033" t="n"/>
      <c r="AK55" s="1033" t="n"/>
    </row>
    <row r="56">
      <c r="B56" s="2376" t="n"/>
      <c r="C56" s="1033" t="n"/>
      <c r="D56" s="259" t="n"/>
      <c r="E56" s="259" t="n"/>
      <c r="F56" s="259" t="n"/>
      <c r="G56" s="259" t="n"/>
      <c r="H56" s="259" t="n"/>
      <c r="I56" s="259" t="n"/>
      <c r="J56" s="259" t="n"/>
      <c r="K56" s="259" t="n"/>
      <c r="L56" s="259" t="n"/>
      <c r="M56" s="259" t="n"/>
      <c r="N56" s="259" t="n"/>
      <c r="O56" s="1033" t="n"/>
      <c r="P56" s="1033" t="n"/>
      <c r="Q56" s="1033" t="n"/>
      <c r="R56" s="1033" t="n"/>
      <c r="S56" s="1033" t="n"/>
      <c r="T56" s="1033" t="n"/>
      <c r="U56" s="1033" t="n"/>
      <c r="V56" s="1033" t="n"/>
      <c r="W56" s="1033" t="n"/>
      <c r="X56" s="1033" t="n"/>
      <c r="Y56" s="1033" t="n"/>
      <c r="Z56" s="1033" t="n"/>
      <c r="AA56" s="1033" t="n"/>
      <c r="AB56" s="1033" t="n"/>
      <c r="AC56" s="1033" t="n"/>
      <c r="AD56" s="1033" t="n"/>
      <c r="AE56" s="1033" t="n"/>
      <c r="AF56" s="1033" t="n"/>
      <c r="AG56" s="1033" t="n"/>
      <c r="AH56" s="1033" t="n"/>
      <c r="AI56" s="1033" t="n"/>
      <c r="AJ56" s="1033" t="n"/>
      <c r="AK56" s="1033" t="n"/>
    </row>
    <row r="57">
      <c r="O57" s="1033" t="n"/>
      <c r="P57" s="1033" t="n"/>
      <c r="Q57" s="1033" t="n"/>
      <c r="R57" s="1033" t="n"/>
      <c r="S57" s="1033" t="n"/>
      <c r="T57" s="1033" t="n"/>
      <c r="U57" s="1033" t="n"/>
      <c r="V57" s="1033" t="n"/>
      <c r="W57" s="1033" t="n"/>
      <c r="X57" s="1033" t="n"/>
      <c r="Y57" s="1033" t="n"/>
      <c r="Z57" s="1033" t="n"/>
      <c r="AA57" s="1033" t="n"/>
      <c r="AB57" s="1033" t="n"/>
      <c r="AC57" s="1033" t="n"/>
      <c r="AD57" s="1033" t="n"/>
      <c r="AE57" s="1033" t="n"/>
      <c r="AF57" s="1033" t="n"/>
      <c r="AG57" s="1033" t="n"/>
      <c r="AH57" s="1033" t="n"/>
      <c r="AI57" s="1033" t="n"/>
      <c r="AJ57" s="1033" t="n"/>
      <c r="AK57" s="1033" t="n"/>
    </row>
    <row r="58" ht="13" customHeight="1">
      <c r="D58" s="2454" t="inlineStr">
        <is>
          <t>Depreciation</t>
        </is>
      </c>
      <c r="E58" s="2407" t="n"/>
      <c r="F58" s="2407" t="n"/>
      <c r="G58" s="2407" t="n"/>
      <c r="H58" s="2407" t="n"/>
      <c r="I58" s="2407" t="n"/>
      <c r="J58" s="2407" t="n"/>
      <c r="K58" s="2407" t="n"/>
      <c r="L58" s="2407" t="n"/>
      <c r="M58" s="2407" t="n"/>
      <c r="N58" s="2408" t="n"/>
      <c r="O58" s="2420" t="n"/>
    </row>
    <row r="59">
      <c r="D59" s="932" t="n"/>
      <c r="E59" s="2444" t="n"/>
      <c r="F59" s="2455" t="n"/>
      <c r="G59" s="2455" t="n"/>
      <c r="H59" s="2455" t="n"/>
      <c r="I59" s="2455" t="n"/>
      <c r="J59" s="2455" t="n"/>
      <c r="K59" s="954" t="inlineStr">
        <is>
          <t>Projected</t>
        </is>
      </c>
      <c r="L59" s="954" t="n"/>
      <c r="M59" s="954" t="n"/>
      <c r="N59" s="433" t="n"/>
      <c r="O59" s="433" t="n"/>
    </row>
    <row r="60" ht="12" customHeight="1" thickBot="1">
      <c r="D60" s="2445" t="inlineStr">
        <is>
          <t>Company Name</t>
        </is>
      </c>
      <c r="E60" s="2456" t="inlineStr">
        <is>
          <t>Last FYE</t>
        </is>
      </c>
      <c r="F60" s="2446">
        <f>F9</f>
        <v/>
      </c>
      <c r="G60" s="2446">
        <f>G9</f>
        <v/>
      </c>
      <c r="H60" s="2446">
        <f>H9</f>
        <v/>
      </c>
      <c r="I60" s="2446">
        <f>I9</f>
        <v/>
      </c>
      <c r="J60" s="2446">
        <f>J9</f>
        <v/>
      </c>
      <c r="K60" s="2446" t="inlineStr">
        <is>
          <t>FYE + 1</t>
        </is>
      </c>
      <c r="L60" s="2446" t="inlineStr">
        <is>
          <t>FYE + 2</t>
        </is>
      </c>
      <c r="M60" s="1836" t="inlineStr">
        <is>
          <t>FYE + 3</t>
        </is>
      </c>
      <c r="O60" s="1833" t="n"/>
      <c r="P60" s="516" t="inlineStr">
        <is>
          <t>Exclude as outlier?</t>
        </is>
      </c>
    </row>
    <row r="61" ht="12" customHeight="1" thickBot="1">
      <c r="D61" s="2448">
        <f>D10</f>
        <v/>
      </c>
      <c r="E61" s="2389">
        <f>'GPC Data'!P22</f>
        <v/>
      </c>
      <c r="F61" s="2457">
        <f>'GPC Data'!Z158</f>
        <v/>
      </c>
      <c r="G61" s="2457">
        <f>'GPC Data'!AA158</f>
        <v/>
      </c>
      <c r="H61" s="2457">
        <f>'GPC Data'!AB158</f>
        <v/>
      </c>
      <c r="I61" s="2457">
        <f>'GPC Data'!AC158</f>
        <v/>
      </c>
      <c r="J61" s="2457">
        <f>'GPC Data'!AD158</f>
        <v/>
      </c>
      <c r="K61" s="2458">
        <f>'GPC Data'!AE158</f>
        <v/>
      </c>
      <c r="L61" s="2458">
        <f>'GPC Data'!AF158</f>
        <v/>
      </c>
      <c r="M61" s="2458">
        <f>'GPC Data'!AG158</f>
        <v/>
      </c>
      <c r="O61" s="1833" t="n"/>
      <c r="P61" s="443" t="inlineStr">
        <is>
          <t>No</t>
        </is>
      </c>
    </row>
    <row r="62" ht="12" customHeight="1" thickBot="1">
      <c r="D62" s="2452">
        <f>D11</f>
        <v/>
      </c>
      <c r="E62" s="2399">
        <f>'GPC Data'!P23</f>
        <v/>
      </c>
      <c r="F62" s="2459">
        <f>'GPC Data'!Z159</f>
        <v/>
      </c>
      <c r="G62" s="2459">
        <f>'GPC Data'!AA159</f>
        <v/>
      </c>
      <c r="H62" s="2459">
        <f>'GPC Data'!AB159</f>
        <v/>
      </c>
      <c r="I62" s="2459">
        <f>'GPC Data'!AC159</f>
        <v/>
      </c>
      <c r="J62" s="2459">
        <f>'GPC Data'!AD159</f>
        <v/>
      </c>
      <c r="K62" s="2460">
        <f>'GPC Data'!AE159</f>
        <v/>
      </c>
      <c r="L62" s="2460">
        <f>'GPC Data'!AF159</f>
        <v/>
      </c>
      <c r="M62" s="2460">
        <f>'GPC Data'!AG159</f>
        <v/>
      </c>
      <c r="O62" s="1833" t="n"/>
      <c r="P62" s="443" t="inlineStr">
        <is>
          <t>No</t>
        </is>
      </c>
    </row>
    <row r="63" ht="12" customHeight="1" thickBot="1">
      <c r="D63" s="2452">
        <f>D12</f>
        <v/>
      </c>
      <c r="E63" s="2399">
        <f>'GPC Data'!P24</f>
        <v/>
      </c>
      <c r="F63" s="2459">
        <f>'GPC Data'!Z160</f>
        <v/>
      </c>
      <c r="G63" s="2459">
        <f>'GPC Data'!AA160</f>
        <v/>
      </c>
      <c r="H63" s="2459">
        <f>'GPC Data'!AB160</f>
        <v/>
      </c>
      <c r="I63" s="2459">
        <f>'GPC Data'!AC160</f>
        <v/>
      </c>
      <c r="J63" s="2459">
        <f>'GPC Data'!AD160</f>
        <v/>
      </c>
      <c r="K63" s="2460">
        <f>'GPC Data'!AE160</f>
        <v/>
      </c>
      <c r="L63" s="2460">
        <f>'GPC Data'!AF160</f>
        <v/>
      </c>
      <c r="M63" s="2460">
        <f>'GPC Data'!AG160</f>
        <v/>
      </c>
      <c r="O63" s="1833" t="n"/>
      <c r="P63" s="443" t="inlineStr">
        <is>
          <t>No</t>
        </is>
      </c>
    </row>
    <row r="64" ht="12" customHeight="1" thickBot="1">
      <c r="D64" s="2452">
        <f>D13</f>
        <v/>
      </c>
      <c r="E64" s="2399">
        <f>'GPC Data'!P25</f>
        <v/>
      </c>
      <c r="F64" s="2459">
        <f>'GPC Data'!Z161</f>
        <v/>
      </c>
      <c r="G64" s="2459">
        <f>'GPC Data'!AA161</f>
        <v/>
      </c>
      <c r="H64" s="2459">
        <f>'GPC Data'!AB161</f>
        <v/>
      </c>
      <c r="I64" s="2459">
        <f>'GPC Data'!AC161</f>
        <v/>
      </c>
      <c r="J64" s="2459">
        <f>'GPC Data'!AD161</f>
        <v/>
      </c>
      <c r="K64" s="2460">
        <f>'GPC Data'!AE161</f>
        <v/>
      </c>
      <c r="L64" s="2460">
        <f>'GPC Data'!AF161</f>
        <v/>
      </c>
      <c r="M64" s="2460">
        <f>'GPC Data'!AG161</f>
        <v/>
      </c>
      <c r="O64" s="1833" t="n"/>
      <c r="P64" s="443" t="inlineStr">
        <is>
          <t>No</t>
        </is>
      </c>
    </row>
    <row r="65" ht="12" customHeight="1" thickBot="1">
      <c r="D65" s="2452">
        <f>D14</f>
        <v/>
      </c>
      <c r="E65" s="2399">
        <f>'GPC Data'!P26</f>
        <v/>
      </c>
      <c r="F65" s="2459">
        <f>'GPC Data'!Z162</f>
        <v/>
      </c>
      <c r="G65" s="2459">
        <f>'GPC Data'!AA162</f>
        <v/>
      </c>
      <c r="H65" s="2459">
        <f>'GPC Data'!AB162</f>
        <v/>
      </c>
      <c r="I65" s="2459">
        <f>'GPC Data'!AC162</f>
        <v/>
      </c>
      <c r="J65" s="2459">
        <f>'GPC Data'!AD162</f>
        <v/>
      </c>
      <c r="K65" s="2460">
        <f>'GPC Data'!AE162</f>
        <v/>
      </c>
      <c r="L65" s="2460">
        <f>'GPC Data'!AF162</f>
        <v/>
      </c>
      <c r="M65" s="2460">
        <f>'GPC Data'!AG162</f>
        <v/>
      </c>
      <c r="O65" s="1833" t="n"/>
      <c r="P65" s="443" t="inlineStr">
        <is>
          <t>No</t>
        </is>
      </c>
    </row>
    <row r="66" ht="12" customHeight="1" thickBot="1">
      <c r="D66" s="2452">
        <f>D15</f>
        <v/>
      </c>
      <c r="E66" s="2399">
        <f>'GPC Data'!P27</f>
        <v/>
      </c>
      <c r="F66" s="2459">
        <f>'GPC Data'!Z163</f>
        <v/>
      </c>
      <c r="G66" s="2459">
        <f>'GPC Data'!AA163</f>
        <v/>
      </c>
      <c r="H66" s="2459">
        <f>'GPC Data'!AB163</f>
        <v/>
      </c>
      <c r="I66" s="2459">
        <f>'GPC Data'!AC163</f>
        <v/>
      </c>
      <c r="J66" s="2459">
        <f>'GPC Data'!AD163</f>
        <v/>
      </c>
      <c r="K66" s="2460">
        <f>'GPC Data'!AE163</f>
        <v/>
      </c>
      <c r="L66" s="2460">
        <f>'GPC Data'!AF163</f>
        <v/>
      </c>
      <c r="M66" s="2460">
        <f>'GPC Data'!AG163</f>
        <v/>
      </c>
      <c r="O66" s="1833" t="n"/>
      <c r="P66" s="443" t="inlineStr">
        <is>
          <t>No</t>
        </is>
      </c>
    </row>
    <row r="67" ht="12" customHeight="1" thickBot="1">
      <c r="D67" s="2452">
        <f>D16</f>
        <v/>
      </c>
      <c r="E67" s="2399">
        <f>'GPC Data'!P28</f>
        <v/>
      </c>
      <c r="F67" s="2459">
        <f>'GPC Data'!Z164</f>
        <v/>
      </c>
      <c r="G67" s="2459">
        <f>'GPC Data'!AA164</f>
        <v/>
      </c>
      <c r="H67" s="2459">
        <f>'GPC Data'!AB164</f>
        <v/>
      </c>
      <c r="I67" s="2459">
        <f>'GPC Data'!AC164</f>
        <v/>
      </c>
      <c r="J67" s="2459">
        <f>'GPC Data'!AD164</f>
        <v/>
      </c>
      <c r="K67" s="2460">
        <f>'GPC Data'!AE164</f>
        <v/>
      </c>
      <c r="L67" s="2460">
        <f>'GPC Data'!AF164</f>
        <v/>
      </c>
      <c r="M67" s="2460">
        <f>'GPC Data'!AG164</f>
        <v/>
      </c>
      <c r="O67" s="1833" t="n"/>
      <c r="P67" s="443" t="inlineStr">
        <is>
          <t>No</t>
        </is>
      </c>
    </row>
    <row r="68" ht="12" customHeight="1" thickBot="1">
      <c r="D68" s="2452">
        <f>D17</f>
        <v/>
      </c>
      <c r="E68" s="2399">
        <f>'GPC Data'!P29</f>
        <v/>
      </c>
      <c r="F68" s="2459">
        <f>'GPC Data'!Z165</f>
        <v/>
      </c>
      <c r="G68" s="2459">
        <f>'GPC Data'!AA165</f>
        <v/>
      </c>
      <c r="H68" s="2459">
        <f>'GPC Data'!AB165</f>
        <v/>
      </c>
      <c r="I68" s="2459">
        <f>'GPC Data'!AC165</f>
        <v/>
      </c>
      <c r="J68" s="2459">
        <f>'GPC Data'!AD165</f>
        <v/>
      </c>
      <c r="K68" s="2460">
        <f>'GPC Data'!AE165</f>
        <v/>
      </c>
      <c r="L68" s="2460">
        <f>'GPC Data'!AF165</f>
        <v/>
      </c>
      <c r="M68" s="2460">
        <f>'GPC Data'!AG165</f>
        <v/>
      </c>
      <c r="O68" s="1833" t="n"/>
      <c r="P68" s="443" t="inlineStr">
        <is>
          <t>No</t>
        </is>
      </c>
    </row>
    <row r="69" ht="12" customHeight="1" thickBot="1">
      <c r="D69" s="2452">
        <f>D18</f>
        <v/>
      </c>
      <c r="E69" s="2399">
        <f>'GPC Data'!P30</f>
        <v/>
      </c>
      <c r="F69" s="2459">
        <f>'GPC Data'!Z166</f>
        <v/>
      </c>
      <c r="G69" s="2459">
        <f>'GPC Data'!AA166</f>
        <v/>
      </c>
      <c r="H69" s="2459">
        <f>'GPC Data'!AB166</f>
        <v/>
      </c>
      <c r="I69" s="2459">
        <f>'GPC Data'!AC166</f>
        <v/>
      </c>
      <c r="J69" s="2459">
        <f>'GPC Data'!AD166</f>
        <v/>
      </c>
      <c r="K69" s="2460">
        <f>'GPC Data'!AE166</f>
        <v/>
      </c>
      <c r="L69" s="2460">
        <f>'GPC Data'!AF166</f>
        <v/>
      </c>
      <c r="M69" s="2460">
        <f>'GPC Data'!AG166</f>
        <v/>
      </c>
      <c r="O69" s="1833" t="n"/>
      <c r="P69" s="443" t="inlineStr">
        <is>
          <t>No</t>
        </is>
      </c>
    </row>
    <row r="70" ht="12" customHeight="1" thickBot="1">
      <c r="D70" s="2452">
        <f>D19</f>
        <v/>
      </c>
      <c r="E70" s="2399">
        <f>'GPC Data'!P31</f>
        <v/>
      </c>
      <c r="F70" s="2459">
        <f>'GPC Data'!Z167</f>
        <v/>
      </c>
      <c r="G70" s="2459">
        <f>'GPC Data'!AA167</f>
        <v/>
      </c>
      <c r="H70" s="2459">
        <f>'GPC Data'!AB167</f>
        <v/>
      </c>
      <c r="I70" s="2459">
        <f>'GPC Data'!AC167</f>
        <v/>
      </c>
      <c r="J70" s="2459">
        <f>'GPC Data'!AD167</f>
        <v/>
      </c>
      <c r="K70" s="2460">
        <f>'GPC Data'!AE167</f>
        <v/>
      </c>
      <c r="L70" s="2460">
        <f>'GPC Data'!AF167</f>
        <v/>
      </c>
      <c r="M70" s="2460">
        <f>'GPC Data'!AG167</f>
        <v/>
      </c>
      <c r="O70" s="1833" t="n"/>
      <c r="P70" s="443" t="inlineStr">
        <is>
          <t>No</t>
        </is>
      </c>
    </row>
    <row r="71" ht="12" customHeight="1" thickBot="1">
      <c r="D71" s="2452">
        <f>D20</f>
        <v/>
      </c>
      <c r="E71" s="2399">
        <f>'GPC Data'!P32</f>
        <v/>
      </c>
      <c r="F71" s="2459">
        <f>'GPC Data'!Z168</f>
        <v/>
      </c>
      <c r="G71" s="2459">
        <f>'GPC Data'!AA168</f>
        <v/>
      </c>
      <c r="H71" s="2459">
        <f>'GPC Data'!AB168</f>
        <v/>
      </c>
      <c r="I71" s="2459">
        <f>'GPC Data'!AC168</f>
        <v/>
      </c>
      <c r="J71" s="2459">
        <f>'GPC Data'!AD168</f>
        <v/>
      </c>
      <c r="K71" s="2460">
        <f>'GPC Data'!AE168</f>
        <v/>
      </c>
      <c r="L71" s="2460">
        <f>'GPC Data'!AF168</f>
        <v/>
      </c>
      <c r="M71" s="2460">
        <f>'GPC Data'!AG168</f>
        <v/>
      </c>
      <c r="O71" s="1833" t="n"/>
      <c r="P71" s="443" t="inlineStr">
        <is>
          <t>Yes</t>
        </is>
      </c>
    </row>
    <row r="72" ht="12" customHeight="1" thickBot="1">
      <c r="D72" s="2452">
        <f>D21</f>
        <v/>
      </c>
      <c r="E72" s="2399">
        <f>'GPC Data'!P33</f>
        <v/>
      </c>
      <c r="F72" s="2459">
        <f>'GPC Data'!Z169</f>
        <v/>
      </c>
      <c r="G72" s="2459">
        <f>'GPC Data'!AA169</f>
        <v/>
      </c>
      <c r="H72" s="2459">
        <f>'GPC Data'!AB169</f>
        <v/>
      </c>
      <c r="I72" s="2459">
        <f>'GPC Data'!AC169</f>
        <v/>
      </c>
      <c r="J72" s="2459">
        <f>'GPC Data'!AD169</f>
        <v/>
      </c>
      <c r="K72" s="2460">
        <f>'GPC Data'!AE169</f>
        <v/>
      </c>
      <c r="L72" s="2460">
        <f>'GPC Data'!AF169</f>
        <v/>
      </c>
      <c r="M72" s="2460">
        <f>'GPC Data'!AG169</f>
        <v/>
      </c>
      <c r="O72" s="1833" t="n"/>
      <c r="P72" s="443" t="inlineStr">
        <is>
          <t>Yes</t>
        </is>
      </c>
    </row>
    <row r="73" ht="12" customHeight="1" thickBot="1">
      <c r="D73" s="2452">
        <f>D22</f>
        <v/>
      </c>
      <c r="E73" s="2399">
        <f>'GPC Data'!P34</f>
        <v/>
      </c>
      <c r="F73" s="2459">
        <f>'GPC Data'!Z170</f>
        <v/>
      </c>
      <c r="G73" s="2459">
        <f>'GPC Data'!AA170</f>
        <v/>
      </c>
      <c r="H73" s="2459">
        <f>'GPC Data'!AB170</f>
        <v/>
      </c>
      <c r="I73" s="2459">
        <f>'GPC Data'!AC170</f>
        <v/>
      </c>
      <c r="J73" s="2459">
        <f>'GPC Data'!AD170</f>
        <v/>
      </c>
      <c r="K73" s="2460">
        <f>'GPC Data'!AE170</f>
        <v/>
      </c>
      <c r="L73" s="2460">
        <f>'GPC Data'!AF170</f>
        <v/>
      </c>
      <c r="M73" s="2460">
        <f>'GPC Data'!AG170</f>
        <v/>
      </c>
      <c r="O73" s="1833" t="n"/>
      <c r="P73" s="443" t="inlineStr">
        <is>
          <t>Yes</t>
        </is>
      </c>
    </row>
    <row r="74" ht="12" customHeight="1" thickBot="1">
      <c r="D74" s="2452">
        <f>D23</f>
        <v/>
      </c>
      <c r="E74" s="2399">
        <f>'GPC Data'!P35</f>
        <v/>
      </c>
      <c r="F74" s="2459">
        <f>'GPC Data'!Z171</f>
        <v/>
      </c>
      <c r="G74" s="2459">
        <f>'GPC Data'!AA171</f>
        <v/>
      </c>
      <c r="H74" s="2459">
        <f>'GPC Data'!AB171</f>
        <v/>
      </c>
      <c r="I74" s="2459">
        <f>'GPC Data'!AC171</f>
        <v/>
      </c>
      <c r="J74" s="2459">
        <f>'GPC Data'!AD171</f>
        <v/>
      </c>
      <c r="K74" s="2460">
        <f>'GPC Data'!AE171</f>
        <v/>
      </c>
      <c r="L74" s="2460">
        <f>'GPC Data'!AF171</f>
        <v/>
      </c>
      <c r="M74" s="2460">
        <f>'GPC Data'!AG171</f>
        <v/>
      </c>
      <c r="O74" s="1833" t="n"/>
      <c r="P74" s="443" t="inlineStr">
        <is>
          <t>Yes</t>
        </is>
      </c>
    </row>
    <row r="75" ht="12" customHeight="1" thickBot="1">
      <c r="D75" s="2452">
        <f>D24</f>
        <v/>
      </c>
      <c r="E75" s="2399">
        <f>'GPC Data'!P36</f>
        <v/>
      </c>
      <c r="F75" s="2459">
        <f>'GPC Data'!Z172</f>
        <v/>
      </c>
      <c r="G75" s="2459">
        <f>'GPC Data'!AA172</f>
        <v/>
      </c>
      <c r="H75" s="2459">
        <f>'GPC Data'!AB172</f>
        <v/>
      </c>
      <c r="I75" s="2459">
        <f>'GPC Data'!AC172</f>
        <v/>
      </c>
      <c r="J75" s="2459">
        <f>'GPC Data'!AD172</f>
        <v/>
      </c>
      <c r="K75" s="2460">
        <f>'GPC Data'!AE172</f>
        <v/>
      </c>
      <c r="L75" s="2460">
        <f>'GPC Data'!AF172</f>
        <v/>
      </c>
      <c r="M75" s="2460">
        <f>'GPC Data'!AG172</f>
        <v/>
      </c>
      <c r="O75" s="1833" t="n"/>
      <c r="P75" s="443" t="inlineStr">
        <is>
          <t>Yes</t>
        </is>
      </c>
    </row>
    <row r="76" ht="12" customHeight="1" thickBot="1">
      <c r="D76" s="2452">
        <f>D25</f>
        <v/>
      </c>
      <c r="E76" s="2399">
        <f>'GPC Data'!P37</f>
        <v/>
      </c>
      <c r="F76" s="2459">
        <f>'GPC Data'!Z173</f>
        <v/>
      </c>
      <c r="G76" s="2459">
        <f>'GPC Data'!AA173</f>
        <v/>
      </c>
      <c r="H76" s="2459">
        <f>'GPC Data'!AB173</f>
        <v/>
      </c>
      <c r="I76" s="2459">
        <f>'GPC Data'!AC173</f>
        <v/>
      </c>
      <c r="J76" s="2459">
        <f>'GPC Data'!AD173</f>
        <v/>
      </c>
      <c r="K76" s="2460">
        <f>'GPC Data'!AE173</f>
        <v/>
      </c>
      <c r="L76" s="2460">
        <f>'GPC Data'!AF173</f>
        <v/>
      </c>
      <c r="M76" s="2460">
        <f>'GPC Data'!AG173</f>
        <v/>
      </c>
      <c r="O76" s="1833" t="n"/>
      <c r="P76" s="443" t="inlineStr">
        <is>
          <t>Yes</t>
        </is>
      </c>
    </row>
    <row r="77" ht="12" customHeight="1" thickBot="1">
      <c r="D77" s="2452">
        <f>D26</f>
        <v/>
      </c>
      <c r="E77" s="2399">
        <f>'GPC Data'!P38</f>
        <v/>
      </c>
      <c r="F77" s="2459">
        <f>'GPC Data'!Z174</f>
        <v/>
      </c>
      <c r="G77" s="2459">
        <f>'GPC Data'!AA174</f>
        <v/>
      </c>
      <c r="H77" s="2459">
        <f>'GPC Data'!AB174</f>
        <v/>
      </c>
      <c r="I77" s="2459">
        <f>'GPC Data'!AC174</f>
        <v/>
      </c>
      <c r="J77" s="2459">
        <f>'GPC Data'!AD174</f>
        <v/>
      </c>
      <c r="K77" s="2460">
        <f>'GPC Data'!AE174</f>
        <v/>
      </c>
      <c r="L77" s="2460">
        <f>'GPC Data'!AF174</f>
        <v/>
      </c>
      <c r="M77" s="2460">
        <f>'GPC Data'!AG174</f>
        <v/>
      </c>
      <c r="O77" s="1833" t="n"/>
      <c r="P77" s="443" t="inlineStr">
        <is>
          <t>Yes</t>
        </is>
      </c>
    </row>
    <row r="78" ht="12" customHeight="1" thickBot="1">
      <c r="D78" s="2452">
        <f>D27</f>
        <v/>
      </c>
      <c r="E78" s="2399">
        <f>'GPC Data'!P39</f>
        <v/>
      </c>
      <c r="F78" s="2459">
        <f>'GPC Data'!Z175</f>
        <v/>
      </c>
      <c r="G78" s="2459">
        <f>'GPC Data'!AA175</f>
        <v/>
      </c>
      <c r="H78" s="2459">
        <f>'GPC Data'!AB175</f>
        <v/>
      </c>
      <c r="I78" s="2459">
        <f>'GPC Data'!AC175</f>
        <v/>
      </c>
      <c r="J78" s="2459">
        <f>'GPC Data'!AD175</f>
        <v/>
      </c>
      <c r="K78" s="2460">
        <f>'GPC Data'!AE175</f>
        <v/>
      </c>
      <c r="L78" s="2460">
        <f>'GPC Data'!AF175</f>
        <v/>
      </c>
      <c r="M78" s="2460">
        <f>'GPC Data'!AG175</f>
        <v/>
      </c>
      <c r="O78" s="1833" t="n"/>
      <c r="P78" s="443" t="inlineStr">
        <is>
          <t>Yes</t>
        </is>
      </c>
    </row>
    <row r="79" ht="12" customHeight="1" thickBot="1">
      <c r="D79" s="2452">
        <f>D28</f>
        <v/>
      </c>
      <c r="E79" s="2399">
        <f>'GPC Data'!P40</f>
        <v/>
      </c>
      <c r="F79" s="2459">
        <f>'GPC Data'!Z176</f>
        <v/>
      </c>
      <c r="G79" s="2459">
        <f>'GPC Data'!AA176</f>
        <v/>
      </c>
      <c r="H79" s="2459">
        <f>'GPC Data'!AB176</f>
        <v/>
      </c>
      <c r="I79" s="2459">
        <f>'GPC Data'!AC176</f>
        <v/>
      </c>
      <c r="J79" s="2459">
        <f>'GPC Data'!AD176</f>
        <v/>
      </c>
      <c r="K79" s="2460">
        <f>'GPC Data'!AE176</f>
        <v/>
      </c>
      <c r="L79" s="2460">
        <f>'GPC Data'!AF176</f>
        <v/>
      </c>
      <c r="M79" s="2460">
        <f>'GPC Data'!AG176</f>
        <v/>
      </c>
      <c r="O79" s="1833" t="n"/>
      <c r="P79" s="443" t="inlineStr">
        <is>
          <t>Yes</t>
        </is>
      </c>
    </row>
    <row r="80" ht="12" customHeight="1" thickBot="1">
      <c r="D80" s="2452">
        <f>D29</f>
        <v/>
      </c>
      <c r="E80" s="2399">
        <f>'GPC Data'!P41</f>
        <v/>
      </c>
      <c r="F80" s="2459">
        <f>'GPC Data'!Z177</f>
        <v/>
      </c>
      <c r="G80" s="2459">
        <f>'GPC Data'!AA177</f>
        <v/>
      </c>
      <c r="H80" s="2459">
        <f>'GPC Data'!AB177</f>
        <v/>
      </c>
      <c r="I80" s="2459">
        <f>'GPC Data'!AC177</f>
        <v/>
      </c>
      <c r="J80" s="2459">
        <f>'GPC Data'!AD177</f>
        <v/>
      </c>
      <c r="K80" s="2460">
        <f>'GPC Data'!AE177</f>
        <v/>
      </c>
      <c r="L80" s="2460">
        <f>'GPC Data'!AF177</f>
        <v/>
      </c>
      <c r="M80" s="2460">
        <f>'GPC Data'!AG177</f>
        <v/>
      </c>
      <c r="O80" s="1833" t="n"/>
      <c r="P80" s="443" t="inlineStr">
        <is>
          <t>Yes</t>
        </is>
      </c>
    </row>
    <row r="81" ht="12" customHeight="1" thickBot="1">
      <c r="D81" s="2452">
        <f>D30</f>
        <v/>
      </c>
      <c r="E81" s="2399">
        <f>'GPC Data'!P42</f>
        <v/>
      </c>
      <c r="F81" s="2459">
        <f>'GPC Data'!Z178</f>
        <v/>
      </c>
      <c r="G81" s="2459">
        <f>'GPC Data'!AA178</f>
        <v/>
      </c>
      <c r="H81" s="2459">
        <f>'GPC Data'!AB178</f>
        <v/>
      </c>
      <c r="I81" s="2459">
        <f>'GPC Data'!AC178</f>
        <v/>
      </c>
      <c r="J81" s="2459">
        <f>'GPC Data'!AD178</f>
        <v/>
      </c>
      <c r="K81" s="2460">
        <f>'GPC Data'!AE178</f>
        <v/>
      </c>
      <c r="L81" s="2460">
        <f>'GPC Data'!AF178</f>
        <v/>
      </c>
      <c r="M81" s="2460">
        <f>'GPC Data'!AG178</f>
        <v/>
      </c>
      <c r="O81" s="1833" t="n"/>
      <c r="P81" s="443" t="inlineStr">
        <is>
          <t>Yes</t>
        </is>
      </c>
    </row>
    <row r="82" ht="12" customHeight="1" thickBot="1">
      <c r="D82" s="2452">
        <f>D31</f>
        <v/>
      </c>
      <c r="E82" s="2399">
        <f>'GPC Data'!P43</f>
        <v/>
      </c>
      <c r="F82" s="2459">
        <f>'GPC Data'!Z179</f>
        <v/>
      </c>
      <c r="G82" s="2459">
        <f>'GPC Data'!AA179</f>
        <v/>
      </c>
      <c r="H82" s="2459">
        <f>'GPC Data'!AB179</f>
        <v/>
      </c>
      <c r="I82" s="2459">
        <f>'GPC Data'!AC179</f>
        <v/>
      </c>
      <c r="J82" s="2459">
        <f>'GPC Data'!AD179</f>
        <v/>
      </c>
      <c r="K82" s="2460">
        <f>'GPC Data'!AE179</f>
        <v/>
      </c>
      <c r="L82" s="2460">
        <f>'GPC Data'!AF179</f>
        <v/>
      </c>
      <c r="M82" s="2460">
        <f>'GPC Data'!AG179</f>
        <v/>
      </c>
      <c r="O82" s="1833" t="n"/>
      <c r="P82" s="443" t="inlineStr">
        <is>
          <t>Yes</t>
        </is>
      </c>
    </row>
    <row r="83" ht="12" customHeight="1" thickBot="1">
      <c r="D83" s="2452">
        <f>D32</f>
        <v/>
      </c>
      <c r="E83" s="2399">
        <f>'GPC Data'!P44</f>
        <v/>
      </c>
      <c r="F83" s="2459">
        <f>'GPC Data'!Z180</f>
        <v/>
      </c>
      <c r="G83" s="2459">
        <f>'GPC Data'!AA180</f>
        <v/>
      </c>
      <c r="H83" s="2459">
        <f>'GPC Data'!AB180</f>
        <v/>
      </c>
      <c r="I83" s="2459">
        <f>'GPC Data'!AC180</f>
        <v/>
      </c>
      <c r="J83" s="2459">
        <f>'GPC Data'!AD180</f>
        <v/>
      </c>
      <c r="K83" s="2460">
        <f>'GPC Data'!AE180</f>
        <v/>
      </c>
      <c r="L83" s="2460">
        <f>'GPC Data'!AF180</f>
        <v/>
      </c>
      <c r="M83" s="2460">
        <f>'GPC Data'!AG180</f>
        <v/>
      </c>
      <c r="O83" s="1833" t="n"/>
      <c r="P83" s="443" t="inlineStr">
        <is>
          <t>Yes</t>
        </is>
      </c>
    </row>
    <row r="84" ht="12" customHeight="1" thickBot="1">
      <c r="D84" s="2452">
        <f>D33</f>
        <v/>
      </c>
      <c r="E84" s="2399">
        <f>'GPC Data'!P45</f>
        <v/>
      </c>
      <c r="F84" s="2459">
        <f>'GPC Data'!Z181</f>
        <v/>
      </c>
      <c r="G84" s="2459">
        <f>'GPC Data'!AA181</f>
        <v/>
      </c>
      <c r="H84" s="2459">
        <f>'GPC Data'!AB181</f>
        <v/>
      </c>
      <c r="I84" s="2459">
        <f>'GPC Data'!AC181</f>
        <v/>
      </c>
      <c r="J84" s="2459">
        <f>'GPC Data'!AD181</f>
        <v/>
      </c>
      <c r="K84" s="2460">
        <f>'GPC Data'!AE181</f>
        <v/>
      </c>
      <c r="L84" s="2460">
        <f>'GPC Data'!AF181</f>
        <v/>
      </c>
      <c r="M84" s="2460">
        <f>'GPC Data'!AG181</f>
        <v/>
      </c>
      <c r="O84" s="1833" t="n"/>
      <c r="P84" s="443" t="inlineStr">
        <is>
          <t>Yes</t>
        </is>
      </c>
    </row>
    <row r="85" ht="12" customHeight="1" thickBot="1">
      <c r="D85" s="2452">
        <f>D34</f>
        <v/>
      </c>
      <c r="E85" s="2399">
        <f>'GPC Data'!P46</f>
        <v/>
      </c>
      <c r="F85" s="2459">
        <f>'GPC Data'!Z182</f>
        <v/>
      </c>
      <c r="G85" s="2459">
        <f>'GPC Data'!AA182</f>
        <v/>
      </c>
      <c r="H85" s="2459">
        <f>'GPC Data'!AB182</f>
        <v/>
      </c>
      <c r="I85" s="2459">
        <f>'GPC Data'!AC182</f>
        <v/>
      </c>
      <c r="J85" s="2459">
        <f>'GPC Data'!AD182</f>
        <v/>
      </c>
      <c r="K85" s="2460">
        <f>'GPC Data'!AE182</f>
        <v/>
      </c>
      <c r="L85" s="2460">
        <f>'GPC Data'!AF182</f>
        <v/>
      </c>
      <c r="M85" s="2460">
        <f>'GPC Data'!AG182</f>
        <v/>
      </c>
      <c r="O85" s="1833" t="n"/>
      <c r="P85" s="443" t="inlineStr">
        <is>
          <t>Yes</t>
        </is>
      </c>
    </row>
    <row r="86" ht="12" customHeight="1" thickBot="1">
      <c r="D86" s="2452">
        <f>D35</f>
        <v/>
      </c>
      <c r="E86" s="2399">
        <f>'GPC Data'!P47</f>
        <v/>
      </c>
      <c r="F86" s="2459">
        <f>'GPC Data'!Z183</f>
        <v/>
      </c>
      <c r="G86" s="2459">
        <f>'GPC Data'!AA183</f>
        <v/>
      </c>
      <c r="H86" s="2459">
        <f>'GPC Data'!AB183</f>
        <v/>
      </c>
      <c r="I86" s="2459">
        <f>'GPC Data'!AC183</f>
        <v/>
      </c>
      <c r="J86" s="2459">
        <f>'GPC Data'!AD183</f>
        <v/>
      </c>
      <c r="K86" s="2460">
        <f>'GPC Data'!AE183</f>
        <v/>
      </c>
      <c r="L86" s="2460">
        <f>'GPC Data'!AF183</f>
        <v/>
      </c>
      <c r="M86" s="2460">
        <f>'GPC Data'!AG183</f>
        <v/>
      </c>
      <c r="O86" s="1833" t="n"/>
      <c r="P86" s="443" t="inlineStr">
        <is>
          <t>Yes</t>
        </is>
      </c>
    </row>
    <row r="87" ht="12" customHeight="1" thickBot="1">
      <c r="D87" s="2452">
        <f>D36</f>
        <v/>
      </c>
      <c r="E87" s="2399">
        <f>'GPC Data'!P48</f>
        <v/>
      </c>
      <c r="F87" s="2459">
        <f>'GPC Data'!Z184</f>
        <v/>
      </c>
      <c r="G87" s="2459">
        <f>'GPC Data'!AA184</f>
        <v/>
      </c>
      <c r="H87" s="2459">
        <f>'GPC Data'!AB184</f>
        <v/>
      </c>
      <c r="I87" s="2459">
        <f>'GPC Data'!AC184</f>
        <v/>
      </c>
      <c r="J87" s="2459">
        <f>'GPC Data'!AD184</f>
        <v/>
      </c>
      <c r="K87" s="2460">
        <f>'GPC Data'!AE184</f>
        <v/>
      </c>
      <c r="L87" s="2460">
        <f>'GPC Data'!AF184</f>
        <v/>
      </c>
      <c r="M87" s="2460">
        <f>'GPC Data'!AG184</f>
        <v/>
      </c>
      <c r="O87" s="1833" t="n"/>
      <c r="P87" s="443" t="inlineStr">
        <is>
          <t>Yes</t>
        </is>
      </c>
    </row>
    <row r="88" ht="12" customHeight="1" thickBot="1">
      <c r="D88" s="2452">
        <f>D37</f>
        <v/>
      </c>
      <c r="E88" s="2399">
        <f>'GPC Data'!P49</f>
        <v/>
      </c>
      <c r="F88" s="2459">
        <f>'GPC Data'!Z185</f>
        <v/>
      </c>
      <c r="G88" s="2459">
        <f>'GPC Data'!AA185</f>
        <v/>
      </c>
      <c r="H88" s="2459">
        <f>'GPC Data'!AB185</f>
        <v/>
      </c>
      <c r="I88" s="2459">
        <f>'GPC Data'!AC185</f>
        <v/>
      </c>
      <c r="J88" s="2459">
        <f>'GPC Data'!AD185</f>
        <v/>
      </c>
      <c r="K88" s="2460">
        <f>'GPC Data'!AE185</f>
        <v/>
      </c>
      <c r="L88" s="2460">
        <f>'GPC Data'!AF185</f>
        <v/>
      </c>
      <c r="M88" s="2460">
        <f>'GPC Data'!AG185</f>
        <v/>
      </c>
      <c r="O88" s="1833" t="n"/>
      <c r="P88" s="443" t="inlineStr">
        <is>
          <t>Yes</t>
        </is>
      </c>
    </row>
    <row r="89" ht="12" customHeight="1" thickBot="1">
      <c r="D89" s="2452">
        <f>D38</f>
        <v/>
      </c>
      <c r="E89" s="2399">
        <f>'GPC Data'!P50</f>
        <v/>
      </c>
      <c r="F89" s="2459">
        <f>'GPC Data'!Z186</f>
        <v/>
      </c>
      <c r="G89" s="2459">
        <f>'GPC Data'!AA186</f>
        <v/>
      </c>
      <c r="H89" s="2459">
        <f>'GPC Data'!AB186</f>
        <v/>
      </c>
      <c r="I89" s="2459">
        <f>'GPC Data'!AC186</f>
        <v/>
      </c>
      <c r="J89" s="2459">
        <f>'GPC Data'!AD186</f>
        <v/>
      </c>
      <c r="K89" s="2460">
        <f>'GPC Data'!AE186</f>
        <v/>
      </c>
      <c r="L89" s="2460">
        <f>'GPC Data'!AF186</f>
        <v/>
      </c>
      <c r="M89" s="2460">
        <f>'GPC Data'!AG186</f>
        <v/>
      </c>
      <c r="O89" s="1833" t="n"/>
      <c r="P89" s="443" t="inlineStr">
        <is>
          <t>Yes</t>
        </is>
      </c>
    </row>
    <row r="90" ht="12" customHeight="1" thickBot="1">
      <c r="D90" s="2452">
        <f>D39</f>
        <v/>
      </c>
      <c r="E90" s="2399">
        <f>'GPC Data'!P51</f>
        <v/>
      </c>
      <c r="F90" s="2459">
        <f>'GPC Data'!Z187</f>
        <v/>
      </c>
      <c r="G90" s="2459">
        <f>'GPC Data'!AA187</f>
        <v/>
      </c>
      <c r="H90" s="2459">
        <f>'GPC Data'!AB187</f>
        <v/>
      </c>
      <c r="I90" s="2459">
        <f>'GPC Data'!AC187</f>
        <v/>
      </c>
      <c r="J90" s="2459">
        <f>'GPC Data'!AD187</f>
        <v/>
      </c>
      <c r="K90" s="2460">
        <f>'GPC Data'!AE187</f>
        <v/>
      </c>
      <c r="L90" s="2460">
        <f>'GPC Data'!AF187</f>
        <v/>
      </c>
      <c r="M90" s="2460">
        <f>'GPC Data'!AG187</f>
        <v/>
      </c>
      <c r="O90" s="1833" t="n"/>
      <c r="P90" s="443" t="inlineStr">
        <is>
          <t>Yes</t>
        </is>
      </c>
    </row>
    <row r="91">
      <c r="B91" s="2407" t="n"/>
      <c r="C91" s="2407" t="n"/>
      <c r="D91" s="2407" t="n"/>
      <c r="E91" s="2407" t="n"/>
      <c r="F91" s="2407" t="n"/>
      <c r="G91" s="2407" t="n"/>
      <c r="H91" s="2407" t="n"/>
      <c r="I91" s="2407" t="n"/>
      <c r="J91" s="2407" t="n"/>
      <c r="K91" s="2407" t="n"/>
      <c r="L91" s="2407" t="n"/>
      <c r="M91" s="2408" t="n"/>
      <c r="N91" s="2408" t="n"/>
      <c r="O91" s="2407" t="n"/>
    </row>
    <row r="92">
      <c r="E92" s="2410" t="inlineStr">
        <is>
          <t>High</t>
        </is>
      </c>
      <c r="F92" s="2412">
        <f>MAX(F61:F90)</f>
        <v/>
      </c>
      <c r="G92" s="2412">
        <f>MAX(G61:G90)</f>
        <v/>
      </c>
      <c r="H92" s="2412">
        <f>MAX(H61:H90)</f>
        <v/>
      </c>
      <c r="I92" s="2412">
        <f>MAX(I61:I90)</f>
        <v/>
      </c>
      <c r="J92" s="2412">
        <f>MAX(J61:J90)</f>
        <v/>
      </c>
      <c r="K92" s="2412">
        <f>MAX(K61:K90)</f>
        <v/>
      </c>
      <c r="L92" s="2412">
        <f>MAX(L61:L90)</f>
        <v/>
      </c>
      <c r="M92" s="2412">
        <f>MAX(M61:M90)</f>
        <v/>
      </c>
      <c r="O92" s="2407" t="n"/>
    </row>
    <row r="93">
      <c r="E93" s="2408" t="inlineStr">
        <is>
          <t>75th Percentile</t>
        </is>
      </c>
      <c r="F93" s="2330">
        <f>PERCENTILE(F61:F90,0.75)</f>
        <v/>
      </c>
      <c r="G93" s="2330">
        <f>PERCENTILE(G61:G90,0.75)</f>
        <v/>
      </c>
      <c r="H93" s="2330">
        <f>PERCENTILE(H61:H90,0.75)</f>
        <v/>
      </c>
      <c r="I93" s="2330">
        <f>PERCENTILE(I61:I90,0.75)</f>
        <v/>
      </c>
      <c r="J93" s="2330">
        <f>PERCENTILE(J61:J90,0.75)</f>
        <v/>
      </c>
      <c r="K93" s="2330">
        <f>PERCENTILE(K61:K90,0.75)</f>
        <v/>
      </c>
      <c r="L93" s="2330">
        <f>PERCENTILE(L61:L90,0.75)</f>
        <v/>
      </c>
      <c r="M93" s="2330">
        <f>PERCENTILE(M61:M90,0.75)</f>
        <v/>
      </c>
      <c r="O93" s="2407" t="n"/>
    </row>
    <row r="94">
      <c r="E94" s="2408" t="inlineStr">
        <is>
          <t>Mean</t>
        </is>
      </c>
      <c r="F94" s="2330">
        <f>AVERAGE(F61:F90)</f>
        <v/>
      </c>
      <c r="G94" s="2330">
        <f>AVERAGE(G61:G90)</f>
        <v/>
      </c>
      <c r="H94" s="2330">
        <f>AVERAGE(H61:H90)</f>
        <v/>
      </c>
      <c r="I94" s="2330">
        <f>AVERAGE(I61:I90)</f>
        <v/>
      </c>
      <c r="J94" s="2330">
        <f>AVERAGE(J61:J90)</f>
        <v/>
      </c>
      <c r="K94" s="2330">
        <f>AVERAGE(K61:K90)</f>
        <v/>
      </c>
      <c r="L94" s="2330">
        <f>AVERAGE(L61:L90)</f>
        <v/>
      </c>
      <c r="M94" s="2330">
        <f>AVERAGE(M61:M90)</f>
        <v/>
      </c>
      <c r="O94" s="2408" t="n"/>
    </row>
    <row r="95" ht="13" customHeight="1">
      <c r="E95" s="2417" t="inlineStr">
        <is>
          <t>Median</t>
        </is>
      </c>
      <c r="F95" s="2415">
        <f>MEDIAN(F61:F90)</f>
        <v/>
      </c>
      <c r="G95" s="2415">
        <f>MEDIAN(G61:G90)</f>
        <v/>
      </c>
      <c r="H95" s="2415">
        <f>MEDIAN(H61:H90)</f>
        <v/>
      </c>
      <c r="I95" s="2415">
        <f>MEDIAN(I61:I90)</f>
        <v/>
      </c>
      <c r="J95" s="2415">
        <f>MEDIAN(J61:J90)</f>
        <v/>
      </c>
      <c r="K95" s="2415">
        <f>MEDIAN(K61:K90)</f>
        <v/>
      </c>
      <c r="L95" s="2415">
        <f>MEDIAN(L61:L90)</f>
        <v/>
      </c>
      <c r="M95" s="2415">
        <f>MEDIAN(M61:M90)</f>
        <v/>
      </c>
      <c r="O95" s="2420" t="n"/>
    </row>
    <row r="96">
      <c r="E96" s="2408" t="inlineStr">
        <is>
          <t>25th Percentile</t>
        </is>
      </c>
      <c r="F96" s="2330">
        <f>PERCENTILE(F61:F90,0.25)</f>
        <v/>
      </c>
      <c r="G96" s="2330">
        <f>PERCENTILE(G61:G90,0.25)</f>
        <v/>
      </c>
      <c r="H96" s="2330">
        <f>PERCENTILE(H61:H90,0.25)</f>
        <v/>
      </c>
      <c r="I96" s="2330">
        <f>PERCENTILE(I61:I90,0.25)</f>
        <v/>
      </c>
      <c r="J96" s="2330">
        <f>PERCENTILE(J61:J90,0.25)</f>
        <v/>
      </c>
      <c r="K96" s="2330">
        <f>PERCENTILE(K61:K90,0.25)</f>
        <v/>
      </c>
      <c r="L96" s="2330">
        <f>PERCENTILE(L61:L90,0.25)</f>
        <v/>
      </c>
      <c r="M96" s="2330">
        <f>PERCENTILE(M61:M90,0.25)</f>
        <v/>
      </c>
      <c r="O96" s="1033" t="n"/>
    </row>
    <row r="97">
      <c r="E97" s="2421" t="inlineStr">
        <is>
          <t>Low</t>
        </is>
      </c>
      <c r="F97" s="2423">
        <f>MIN(F61:F90)</f>
        <v/>
      </c>
      <c r="G97" s="2423">
        <f>MIN(G61:G90)</f>
        <v/>
      </c>
      <c r="H97" s="2423">
        <f>MIN(H61:H90)</f>
        <v/>
      </c>
      <c r="I97" s="2423">
        <f>MIN(I61:I90)</f>
        <v/>
      </c>
      <c r="J97" s="2423">
        <f>MIN(J61:J90)</f>
        <v/>
      </c>
      <c r="K97" s="2423">
        <f>MIN(K61:K90)</f>
        <v/>
      </c>
      <c r="L97" s="2423">
        <f>MIN(L61:L90)</f>
        <v/>
      </c>
      <c r="M97" s="2423">
        <f>MIN(M61:M90)</f>
        <v/>
      </c>
      <c r="O97" s="1033" t="n"/>
    </row>
    <row r="98">
      <c r="E98" s="2440" t="n"/>
      <c r="F98" s="2330" t="n"/>
      <c r="G98" s="2330" t="n"/>
      <c r="H98" s="2330" t="n"/>
      <c r="I98" s="2330" t="n"/>
      <c r="J98" s="2330" t="n"/>
      <c r="K98" s="2408" t="n"/>
      <c r="L98" s="2408" t="n"/>
      <c r="O98" s="1033" t="n"/>
    </row>
    <row r="99">
      <c r="E99" s="466" t="inlineStr">
        <is>
          <t>Excluding outliers</t>
        </is>
      </c>
      <c r="F99" s="2330" t="n"/>
      <c r="G99" s="2330" t="n"/>
      <c r="H99" s="2330" t="n"/>
      <c r="I99" s="2330" t="n"/>
      <c r="J99" s="2330" t="n"/>
      <c r="K99" s="2408" t="n"/>
      <c r="L99" s="2408" t="n"/>
      <c r="O99" s="1033" t="n"/>
    </row>
    <row r="100">
      <c r="E100" s="2410" t="inlineStr">
        <is>
          <t>High</t>
        </is>
      </c>
      <c r="F100" s="2412">
        <f t="array" ref="F100">IFERROR(MAX(IF($P$61:$P$90="No",F61:F90)),"")</f>
        <v/>
      </c>
      <c r="G100" s="2412">
        <f t="array" ref="G100">IFERROR(MAX(IF($P$61:$P$90="No",G61:G90)),"")</f>
        <v/>
      </c>
      <c r="H100" s="2412">
        <f t="array" ref="H100">IFERROR(MAX(IF($P$61:$P$90="No",H61:H90)),"")</f>
        <v/>
      </c>
      <c r="I100" s="2412">
        <f t="array" ref="I100">IFERROR(MAX(IF($P$61:$P$90="No",I61:I90)),"")</f>
        <v/>
      </c>
      <c r="J100" s="2412">
        <f t="array" ref="J100">IFERROR(MAX(IF($P$61:$P$90="No",J61:J90)),"")</f>
        <v/>
      </c>
      <c r="K100" s="2412">
        <f t="array" ref="K100">IFERROR(MAX(IF($P$61:$P$90="No",K61:K90)),"")</f>
        <v/>
      </c>
      <c r="L100" s="2412">
        <f t="array" ref="L100">IFERROR(MAX(IF($P$61:$P$90="No",L61:L90)),"")</f>
        <v/>
      </c>
      <c r="M100" s="2412">
        <f t="array" ref="M100">IFERROR(MAX(IF($P$61:$P$90="No",M61:M90)),"")</f>
        <v/>
      </c>
      <c r="O100" s="1033" t="n"/>
    </row>
    <row r="101">
      <c r="E101" s="2408" t="inlineStr">
        <is>
          <t>75th Percentile</t>
        </is>
      </c>
      <c r="F101" s="2330">
        <f t="array" ref="F101">PERCENTILE(IF($P$61:$P$90="No",F61:F90),0.74)</f>
        <v/>
      </c>
      <c r="G101" s="2330">
        <f t="array" ref="G101">PERCENTILE(IF($P$61:$P$90="No",G61:G90),0.74)</f>
        <v/>
      </c>
      <c r="H101" s="2330">
        <f t="array" ref="H101">PERCENTILE(IF($P$61:$P$90="No",H61:H90),0.74)</f>
        <v/>
      </c>
      <c r="I101" s="2330">
        <f t="array" ref="I101">PERCENTILE(IF($P$61:$P$90="No",I61:I90),0.74)</f>
        <v/>
      </c>
      <c r="J101" s="2330">
        <f t="array" ref="J101">PERCENTILE(IF($P$61:$P$90="No",J61:J90),0.74)</f>
        <v/>
      </c>
      <c r="K101" s="2330">
        <f t="array" ref="K101">PERCENTILE(IF($P$61:$P$90="No",K61:K90),0.74)</f>
        <v/>
      </c>
      <c r="L101" s="2330">
        <f t="array" ref="L101">PERCENTILE(IF($P$61:$P$90="No",L61:L90),0.74)</f>
        <v/>
      </c>
      <c r="M101" s="2330">
        <f t="array" ref="M101">PERCENTILE(IF($P$61:$P$90="No",M61:M90),0.74)</f>
        <v/>
      </c>
      <c r="O101" s="1033" t="n"/>
    </row>
    <row r="102">
      <c r="E102" s="2408" t="inlineStr">
        <is>
          <t>Mean</t>
        </is>
      </c>
      <c r="F102" s="2330">
        <f t="array" ref="F102">IFERROR(AVERAGEIF($P$61:$P$90,"No",F61:F90),"")</f>
        <v/>
      </c>
      <c r="G102" s="2330">
        <f t="array" ref="G102">IFERROR(AVERAGEIF($P$61:$P$90,"No",G61:G90),"")</f>
        <v/>
      </c>
      <c r="H102" s="2330">
        <f t="array" ref="H102">IFERROR(AVERAGEIF($P$61:$P$90,"No",H61:H90),"")</f>
        <v/>
      </c>
      <c r="I102" s="2330">
        <f t="array" ref="I102">IFERROR(AVERAGEIF($P$61:$P$90,"No",I61:I90),"")</f>
        <v/>
      </c>
      <c r="J102" s="2330">
        <f t="array" ref="J102">IFERROR(AVERAGEIF($P$61:$P$90,"No",J61:J90),"")</f>
        <v/>
      </c>
      <c r="K102" s="2330">
        <f t="array" ref="K102">IFERROR(AVERAGEIF($P$61:$P$90,"No",K61:K90),"")</f>
        <v/>
      </c>
      <c r="L102" s="2330">
        <f t="array" ref="L102">IFERROR(AVERAGEIF($P$61:$P$90,"No",L61:L90),"")</f>
        <v/>
      </c>
      <c r="M102" s="2330">
        <f t="array" ref="M102">IFERROR(AVERAGEIF($P$61:$P$90,"No",M61:M90),"")</f>
        <v/>
      </c>
      <c r="O102" s="1033" t="n"/>
    </row>
    <row r="103">
      <c r="E103" s="2417" t="inlineStr">
        <is>
          <t>Median</t>
        </is>
      </c>
      <c r="F103" s="2415">
        <f t="array" ref="F103">IFERROR(MEDIAN(IF($P$61:$P$90="No",F61:F90)),"")</f>
        <v/>
      </c>
      <c r="G103" s="2415">
        <f t="array" ref="G103">IFERROR(MEDIAN(IF($P$61:$P$90="No",G61:G90)),"")</f>
        <v/>
      </c>
      <c r="H103" s="2415">
        <f t="array" ref="H103">IFERROR(MEDIAN(IF($P$61:$P$90="No",H61:H90)),"")</f>
        <v/>
      </c>
      <c r="I103" s="2415">
        <f t="array" ref="I103">IFERROR(MEDIAN(IF($P$61:$P$90="No",I61:I90)),"")</f>
        <v/>
      </c>
      <c r="J103" s="2415">
        <f t="array" ref="J103">IFERROR(MEDIAN(IF($P$61:$P$90="No",J61:J90)),"")</f>
        <v/>
      </c>
      <c r="K103" s="2415">
        <f t="array" ref="K103">IFERROR(MEDIAN(IF($P$61:$P$90="No",K61:K90)),"")</f>
        <v/>
      </c>
      <c r="L103" s="2415">
        <f t="array" ref="L103">IFERROR(MEDIAN(IF($P$61:$P$90="No",L61:L90)),"")</f>
        <v/>
      </c>
      <c r="M103" s="2415">
        <f t="array" ref="M103">IFERROR(MEDIAN(IF($P$61:$P$90="No",M61:M90)),"")</f>
        <v/>
      </c>
      <c r="O103" s="1033" t="n"/>
    </row>
    <row r="104">
      <c r="E104" s="2408" t="inlineStr">
        <is>
          <t>25th Percentile</t>
        </is>
      </c>
      <c r="F104" s="2330">
        <f t="array" ref="F104">PERCENTILE(IF($P$61:$P$90="No",F61:F90),0.25)</f>
        <v/>
      </c>
      <c r="G104" s="2330">
        <f t="array" ref="G104">PERCENTILE(IF($P$61:$P$90="No",G61:G90),0.25)</f>
        <v/>
      </c>
      <c r="H104" s="2330">
        <f t="array" ref="H104">PERCENTILE(IF($P$61:$P$90="No",H61:H90),0.25)</f>
        <v/>
      </c>
      <c r="I104" s="2330">
        <f t="array" ref="I104">PERCENTILE(IF($P$61:$P$90="No",I61:I90),0.25)</f>
        <v/>
      </c>
      <c r="J104" s="2330">
        <f t="array" ref="J104">PERCENTILE(IF($P$61:$P$90="No",J61:J90),0.25)</f>
        <v/>
      </c>
      <c r="K104" s="2330">
        <f t="array" ref="K104">PERCENTILE(IF($P$61:$P$90="No",K61:K90),0.25)</f>
        <v/>
      </c>
      <c r="L104" s="2330">
        <f t="array" ref="L104">PERCENTILE(IF($P$61:$P$90="No",L61:L90),0.25)</f>
        <v/>
      </c>
      <c r="M104" s="2330">
        <f t="array" ref="M104">PERCENTILE(IF($P$61:$P$90="No",M61:M90),0.25)</f>
        <v/>
      </c>
      <c r="O104" s="1033" t="n"/>
    </row>
    <row r="105">
      <c r="E105" s="2421" t="inlineStr">
        <is>
          <t>Low</t>
        </is>
      </c>
      <c r="F105" s="2423">
        <f t="array" ref="F105">IFERROR(MIN(IF($P$61:$P$90="No",F61:F90)),"")</f>
        <v/>
      </c>
      <c r="G105" s="2423">
        <f t="array" ref="G105">IFERROR(MIN(IF($P$61:$P$90="No",G61:G90)),"")</f>
        <v/>
      </c>
      <c r="H105" s="2423">
        <f t="array" ref="H105">IFERROR(MIN(IF($P$61:$P$90="No",H61:H90)),"")</f>
        <v/>
      </c>
      <c r="I105" s="2423">
        <f t="array" ref="I105">IFERROR(MIN(IF($P$61:$P$90="No",I61:I90)),"")</f>
        <v/>
      </c>
      <c r="J105" s="2423">
        <f t="array" ref="J105">IFERROR(MIN(IF($P$61:$P$90="No",J61:J90)),"")</f>
        <v/>
      </c>
      <c r="K105" s="2423">
        <f t="array" ref="K105">IFERROR(MIN(IF($P$61:$P$90="No",K61:K90)),"")</f>
        <v/>
      </c>
      <c r="L105" s="2423">
        <f t="array" ref="L105">IFERROR(MIN(IF($P$61:$P$90="No",L61:L90)),"")</f>
        <v/>
      </c>
      <c r="M105" s="2423">
        <f t="array" ref="M105">IFERROR(MIN(IF($P$61:$P$90="No",M61:M90)),"")</f>
        <v/>
      </c>
      <c r="O105" s="1033" t="n"/>
    </row>
    <row r="108">
      <c r="C108" s="960" t="n"/>
      <c r="D108" s="366" t="inlineStr">
        <is>
          <t>Working Capital</t>
        </is>
      </c>
    </row>
    <row r="109">
      <c r="D109" s="932" t="n"/>
      <c r="E109" s="2444" t="n"/>
      <c r="F109" s="2444" t="n"/>
      <c r="K109" s="1833" t="n"/>
      <c r="M109" s="433" t="inlineStr"/>
      <c r="N109" s="433" t="n"/>
      <c r="O109" s="433" t="n"/>
      <c r="P109" s="433" t="n"/>
      <c r="Q109" s="433" t="inlineStr"/>
      <c r="R109" s="433" t="inlineStr"/>
      <c r="S109" s="433" t="inlineStr"/>
      <c r="T109" s="432" t="n"/>
      <c r="U109" s="432" t="n"/>
      <c r="V109" s="432" t="n"/>
      <c r="W109" s="432" t="n"/>
    </row>
    <row r="110" ht="12" customHeight="1" thickBot="1">
      <c r="D110" s="2445" t="inlineStr">
        <is>
          <t>Company name</t>
        </is>
      </c>
      <c r="E110" s="2446" t="inlineStr">
        <is>
          <t>Last FYE</t>
        </is>
      </c>
      <c r="F110" s="2446" t="inlineStr">
        <is>
          <t>FYE-3</t>
        </is>
      </c>
      <c r="G110" s="2446" t="inlineStr">
        <is>
          <t>FYE-2</t>
        </is>
      </c>
      <c r="H110" s="2446" t="inlineStr">
        <is>
          <t>FYE-1</t>
        </is>
      </c>
      <c r="I110" s="2446" t="inlineStr">
        <is>
          <t>FYE</t>
        </is>
      </c>
      <c r="J110" s="1836" t="inlineStr">
        <is>
          <t>TTM</t>
        </is>
      </c>
      <c r="K110" s="1833" t="n"/>
      <c r="L110" s="1833" t="n"/>
      <c r="P110" s="516" t="inlineStr">
        <is>
          <t>Exclude as outlier?</t>
        </is>
      </c>
      <c r="Q110" s="1833" t="n"/>
      <c r="R110" s="1833" t="n"/>
      <c r="S110" s="1833" t="n"/>
      <c r="T110" s="1833" t="n"/>
      <c r="U110" s="1833" t="n"/>
      <c r="V110" s="1833" t="n"/>
      <c r="W110" s="432" t="n"/>
      <c r="X110" s="432" t="n"/>
      <c r="Y110" s="432" t="n"/>
      <c r="Z110" s="432" t="n"/>
    </row>
    <row r="111" ht="12" customHeight="1" thickBot="1">
      <c r="D111" s="2448">
        <f>WACC!C29</f>
        <v/>
      </c>
      <c r="E111" s="2427">
        <f>'GPC Data'!P22</f>
        <v/>
      </c>
      <c r="F111" s="2461">
        <f>'GPC Data'!AH158</f>
        <v/>
      </c>
      <c r="G111" s="2461">
        <f>'GPC Data'!AI158</f>
        <v/>
      </c>
      <c r="H111" s="2370">
        <f>'GPC Data'!AJ158</f>
        <v/>
      </c>
      <c r="I111" s="2370">
        <f>'GPC Data'!AK158</f>
        <v/>
      </c>
      <c r="J111" s="2370">
        <f>'GPC Data'!AL158</f>
        <v/>
      </c>
      <c r="K111" s="2462" t="n"/>
      <c r="L111" s="2462" t="n"/>
      <c r="P111" s="443" t="inlineStr">
        <is>
          <t>No</t>
        </is>
      </c>
      <c r="Q111" s="1833" t="n"/>
      <c r="R111" s="964" t="inlineStr">
        <is>
          <t>Calculation is:</t>
        </is>
      </c>
      <c r="S111" s="965" t="n"/>
      <c r="T111" s="432" t="n"/>
      <c r="U111" s="1833" t="n"/>
      <c r="V111" s="1833" t="n"/>
      <c r="W111" s="432" t="n"/>
      <c r="X111" s="432" t="n"/>
      <c r="Y111" s="432" t="n"/>
      <c r="Z111" s="432" t="n"/>
    </row>
    <row r="112" ht="12" customHeight="1" thickBot="1">
      <c r="D112" s="2452">
        <f>WACC!C30</f>
        <v/>
      </c>
      <c r="E112" s="2429">
        <f>'GPC Data'!P23</f>
        <v/>
      </c>
      <c r="F112" s="1989">
        <f>'GPC Data'!AH159</f>
        <v/>
      </c>
      <c r="G112" s="1989">
        <f>'GPC Data'!AI159</f>
        <v/>
      </c>
      <c r="H112" s="2087">
        <f>'GPC Data'!AJ159</f>
        <v/>
      </c>
      <c r="I112" s="2087">
        <f>'GPC Data'!AK159</f>
        <v/>
      </c>
      <c r="J112" s="2087">
        <f>'GPC Data'!AL159</f>
        <v/>
      </c>
      <c r="K112" s="2462" t="n"/>
      <c r="L112" s="2462" t="n"/>
      <c r="P112" s="443" t="inlineStr">
        <is>
          <t>No</t>
        </is>
      </c>
      <c r="Q112" s="1833" t="n"/>
      <c r="R112" s="968" t="n"/>
      <c r="S112" s="969" t="inlineStr">
        <is>
          <t>Total Current assets</t>
        </is>
      </c>
      <c r="T112" s="432" t="n"/>
      <c r="U112" s="1833" t="n"/>
      <c r="V112" s="432" t="n"/>
      <c r="W112" s="969" t="inlineStr">
        <is>
          <t>Row 210 CIQL</t>
        </is>
      </c>
      <c r="X112" s="432" t="n"/>
      <c r="Y112" s="432" t="n"/>
      <c r="Z112" s="432" t="n"/>
    </row>
    <row r="113" ht="12" customHeight="1" thickBot="1">
      <c r="D113" s="2452">
        <f>WACC!C31</f>
        <v/>
      </c>
      <c r="E113" s="2429">
        <f>'GPC Data'!P24</f>
        <v/>
      </c>
      <c r="F113" s="1989">
        <f>'GPC Data'!AH160</f>
        <v/>
      </c>
      <c r="G113" s="1989">
        <f>'GPC Data'!AI160</f>
        <v/>
      </c>
      <c r="H113" s="2087">
        <f>'GPC Data'!AJ160</f>
        <v/>
      </c>
      <c r="I113" s="2087">
        <f>'GPC Data'!AK160</f>
        <v/>
      </c>
      <c r="J113" s="2087">
        <f>'GPC Data'!AL160</f>
        <v/>
      </c>
      <c r="K113" s="2462" t="n"/>
      <c r="L113" s="2462" t="n"/>
      <c r="P113" s="443" t="inlineStr">
        <is>
          <t>No</t>
        </is>
      </c>
      <c r="Q113" s="1833" t="n"/>
      <c r="R113" s="968" t="inlineStr">
        <is>
          <t>-</t>
        </is>
      </c>
      <c r="S113" s="969" t="inlineStr">
        <is>
          <t>Cash and equivalents</t>
        </is>
      </c>
      <c r="T113" s="432" t="n"/>
      <c r="U113" s="1833" t="n"/>
      <c r="V113" s="432" t="n"/>
      <c r="W113" s="969" t="inlineStr">
        <is>
          <t>Row 202 CIQL</t>
        </is>
      </c>
      <c r="X113" s="432" t="n"/>
      <c r="Y113" s="432" t="n"/>
      <c r="Z113" s="432" t="n"/>
    </row>
    <row r="114" ht="12" customHeight="1" thickBot="1">
      <c r="D114" s="2452">
        <f>WACC!C32</f>
        <v/>
      </c>
      <c r="E114" s="2429">
        <f>'GPC Data'!P25</f>
        <v/>
      </c>
      <c r="F114" s="2087">
        <f>'GPC Data'!AH161</f>
        <v/>
      </c>
      <c r="G114" s="2087">
        <f>'GPC Data'!AI161</f>
        <v/>
      </c>
      <c r="H114" s="2087">
        <f>'GPC Data'!AJ161</f>
        <v/>
      </c>
      <c r="I114" s="2087">
        <f>'GPC Data'!AK161</f>
        <v/>
      </c>
      <c r="J114" s="2087">
        <f>'GPC Data'!AL161</f>
        <v/>
      </c>
      <c r="K114" s="2462" t="n"/>
      <c r="L114" s="2462" t="n"/>
      <c r="P114" s="443" t="inlineStr">
        <is>
          <t>No</t>
        </is>
      </c>
      <c r="Q114" s="1833" t="n"/>
      <c r="R114" s="968" t="inlineStr">
        <is>
          <t>-</t>
        </is>
      </c>
      <c r="S114" s="969" t="inlineStr">
        <is>
          <t>( Total Current Liabilities - Current Debt)</t>
        </is>
      </c>
      <c r="T114" s="432" t="n"/>
      <c r="U114" s="1833" t="n"/>
      <c r="V114" s="432" t="n"/>
      <c r="W114" s="969" t="inlineStr">
        <is>
          <t>Row 244-236 CIQL</t>
        </is>
      </c>
      <c r="X114" s="432" t="n"/>
      <c r="Y114" s="432" t="n"/>
      <c r="Z114" s="432" t="n"/>
    </row>
    <row r="115" ht="12" customHeight="1" thickBot="1">
      <c r="D115" s="2452">
        <f>WACC!C33</f>
        <v/>
      </c>
      <c r="E115" s="2429">
        <f>'GPC Data'!P26</f>
        <v/>
      </c>
      <c r="F115" s="2087">
        <f>'GPC Data'!AH162</f>
        <v/>
      </c>
      <c r="G115" s="2087">
        <f>'GPC Data'!AI162</f>
        <v/>
      </c>
      <c r="H115" s="2087">
        <f>'GPC Data'!AJ162</f>
        <v/>
      </c>
      <c r="I115" s="2087">
        <f>'GPC Data'!AK162</f>
        <v/>
      </c>
      <c r="J115" s="2087">
        <f>'GPC Data'!AL162</f>
        <v/>
      </c>
      <c r="K115" s="2462" t="n"/>
      <c r="L115" s="2462" t="n"/>
      <c r="P115" s="443" t="inlineStr">
        <is>
          <t>No</t>
        </is>
      </c>
      <c r="Q115" s="1833" t="n"/>
      <c r="R115" s="968" t="inlineStr">
        <is>
          <t>/</t>
        </is>
      </c>
      <c r="S115" s="969" t="inlineStr">
        <is>
          <t>Revenue</t>
        </is>
      </c>
      <c r="T115" s="432" t="n"/>
      <c r="U115" s="1833" t="n"/>
      <c r="V115" s="1833" t="n"/>
      <c r="W115" s="432" t="n"/>
      <c r="X115" s="432" t="n"/>
      <c r="Y115" s="432" t="n"/>
      <c r="Z115" s="432" t="n"/>
    </row>
    <row r="116" ht="12" customHeight="1" thickBot="1">
      <c r="D116" s="2452">
        <f>WACC!C34</f>
        <v/>
      </c>
      <c r="E116" s="2429">
        <f>'GPC Data'!P27</f>
        <v/>
      </c>
      <c r="F116" s="2087">
        <f>'GPC Data'!AH163</f>
        <v/>
      </c>
      <c r="G116" s="2087">
        <f>'GPC Data'!AI163</f>
        <v/>
      </c>
      <c r="H116" s="2087">
        <f>'GPC Data'!AJ163</f>
        <v/>
      </c>
      <c r="I116" s="2087">
        <f>'GPC Data'!AK163</f>
        <v/>
      </c>
      <c r="J116" s="2087">
        <f>'GPC Data'!AL163</f>
        <v/>
      </c>
      <c r="K116" s="2462" t="n"/>
      <c r="L116" s="2462" t="n"/>
      <c r="P116" s="443" t="inlineStr">
        <is>
          <t>No</t>
        </is>
      </c>
      <c r="Q116" s="1833" t="n"/>
      <c r="R116" s="432" t="n"/>
      <c r="S116" s="432" t="n"/>
      <c r="T116" s="432" t="n"/>
      <c r="U116" s="1833" t="n"/>
      <c r="V116" s="1833" t="inlineStr"/>
      <c r="W116" s="432" t="n"/>
      <c r="X116" s="432" t="n"/>
      <c r="Y116" s="432" t="n"/>
      <c r="Z116" s="432" t="n"/>
    </row>
    <row r="117" ht="12" customHeight="1" thickBot="1">
      <c r="D117" s="2452">
        <f>WACC!C35</f>
        <v/>
      </c>
      <c r="E117" s="2429">
        <f>'GPC Data'!P28</f>
        <v/>
      </c>
      <c r="F117" s="2087">
        <f>'GPC Data'!AH164</f>
        <v/>
      </c>
      <c r="G117" s="2087">
        <f>'GPC Data'!AI164</f>
        <v/>
      </c>
      <c r="H117" s="2087">
        <f>'GPC Data'!AJ164</f>
        <v/>
      </c>
      <c r="I117" s="2087">
        <f>'GPC Data'!AK164</f>
        <v/>
      </c>
      <c r="J117" s="2087">
        <f>'GPC Data'!AL164</f>
        <v/>
      </c>
      <c r="K117" s="2462" t="n"/>
      <c r="L117" s="2462" t="n"/>
      <c r="P117" s="443" t="inlineStr">
        <is>
          <t>No</t>
        </is>
      </c>
      <c r="Q117" s="1833" t="n"/>
      <c r="R117" s="1833" t="n"/>
      <c r="S117" s="1833" t="n"/>
      <c r="T117" s="970" t="inlineStr"/>
      <c r="U117" s="1833" t="n"/>
      <c r="V117" s="1833" t="inlineStr"/>
      <c r="W117" s="432" t="n"/>
      <c r="X117" s="432" t="n"/>
      <c r="Y117" s="432" t="n"/>
      <c r="Z117" s="432" t="n"/>
    </row>
    <row r="118" ht="12" customHeight="1" thickBot="1">
      <c r="D118" s="2452">
        <f>WACC!C36</f>
        <v/>
      </c>
      <c r="E118" s="2429">
        <f>'GPC Data'!P29</f>
        <v/>
      </c>
      <c r="F118" s="2087">
        <f>'GPC Data'!AH165</f>
        <v/>
      </c>
      <c r="G118" s="2087">
        <f>'GPC Data'!AI165</f>
        <v/>
      </c>
      <c r="H118" s="2087">
        <f>'GPC Data'!AJ165</f>
        <v/>
      </c>
      <c r="I118" s="2087">
        <f>'GPC Data'!AK165</f>
        <v/>
      </c>
      <c r="J118" s="2087">
        <f>'GPC Data'!AL165</f>
        <v/>
      </c>
      <c r="K118" s="2462" t="n"/>
      <c r="L118" s="2462" t="n"/>
      <c r="P118" s="443" t="inlineStr">
        <is>
          <t>No</t>
        </is>
      </c>
      <c r="Q118" s="1833" t="n"/>
      <c r="R118" s="1833" t="n"/>
      <c r="S118" s="1833" t="n"/>
      <c r="T118" s="1833" t="n"/>
      <c r="U118" s="1833" t="n"/>
      <c r="V118" s="1833" t="n"/>
      <c r="W118" s="432" t="n"/>
      <c r="X118" s="432" t="n"/>
      <c r="Y118" s="432" t="n"/>
      <c r="Z118" s="432" t="n"/>
    </row>
    <row r="119" ht="12" customHeight="1" thickBot="1">
      <c r="D119" s="2452">
        <f>WACC!C37</f>
        <v/>
      </c>
      <c r="E119" s="2429">
        <f>'GPC Data'!P30</f>
        <v/>
      </c>
      <c r="F119" s="2087">
        <f>'GPC Data'!AH166</f>
        <v/>
      </c>
      <c r="G119" s="2087">
        <f>'GPC Data'!AI166</f>
        <v/>
      </c>
      <c r="H119" s="2087">
        <f>'GPC Data'!AJ166</f>
        <v/>
      </c>
      <c r="I119" s="2087">
        <f>'GPC Data'!AK166</f>
        <v/>
      </c>
      <c r="J119" s="2087">
        <f>'GPC Data'!AL166</f>
        <v/>
      </c>
      <c r="K119" s="2462" t="n"/>
      <c r="L119" s="2462" t="n"/>
      <c r="P119" s="443" t="inlineStr">
        <is>
          <t>No</t>
        </is>
      </c>
      <c r="Q119" s="1833" t="n"/>
      <c r="R119" s="1833" t="n"/>
      <c r="S119" s="1833" t="n"/>
      <c r="T119" s="1833" t="inlineStr"/>
      <c r="U119" s="1833" t="inlineStr"/>
      <c r="V119" s="1833" t="inlineStr"/>
      <c r="W119" s="432" t="n"/>
      <c r="X119" s="432" t="n"/>
      <c r="Y119" s="432" t="n"/>
      <c r="Z119" s="432" t="n"/>
    </row>
    <row r="120" ht="12" customHeight="1" thickBot="1">
      <c r="D120" s="2452">
        <f>WACC!C38</f>
        <v/>
      </c>
      <c r="E120" s="2429">
        <f>'GPC Data'!P31</f>
        <v/>
      </c>
      <c r="F120" s="2087">
        <f>'GPC Data'!AH167</f>
        <v/>
      </c>
      <c r="G120" s="2087">
        <f>'GPC Data'!AI167</f>
        <v/>
      </c>
      <c r="H120" s="2087">
        <f>'GPC Data'!AJ167</f>
        <v/>
      </c>
      <c r="I120" s="2087">
        <f>'GPC Data'!AK167</f>
        <v/>
      </c>
      <c r="J120" s="2087">
        <f>'GPC Data'!AL167</f>
        <v/>
      </c>
      <c r="K120" s="2462" t="n"/>
      <c r="L120" s="2462" t="n"/>
      <c r="P120" s="443" t="inlineStr">
        <is>
          <t>No</t>
        </is>
      </c>
      <c r="Q120" s="1833" t="n"/>
      <c r="R120" s="1833" t="n"/>
      <c r="S120" s="1833" t="n"/>
      <c r="T120" s="1833" t="inlineStr"/>
      <c r="U120" s="1833" t="inlineStr"/>
      <c r="V120" s="1833" t="inlineStr"/>
      <c r="W120" s="432" t="n"/>
      <c r="X120" s="432" t="n"/>
      <c r="Y120" s="432" t="n"/>
      <c r="Z120" s="432" t="n"/>
    </row>
    <row r="121" ht="12" customHeight="1" thickBot="1">
      <c r="D121" s="2452">
        <f>WACC!C39</f>
        <v/>
      </c>
      <c r="E121" s="2463">
        <f>'GPC Data'!P32</f>
        <v/>
      </c>
      <c r="F121" s="2464">
        <f>'GPC Data'!AH168</f>
        <v/>
      </c>
      <c r="G121" s="2464">
        <f>'GPC Data'!AI168</f>
        <v/>
      </c>
      <c r="H121" s="2464">
        <f>'GPC Data'!AJ168</f>
        <v/>
      </c>
      <c r="I121" s="2464">
        <f>'GPC Data'!AK168</f>
        <v/>
      </c>
      <c r="J121" s="2464">
        <f>'GPC Data'!AL168</f>
        <v/>
      </c>
      <c r="K121" s="2465" t="n"/>
      <c r="L121" s="2462" t="n"/>
      <c r="P121" s="443" t="inlineStr">
        <is>
          <t>Yes</t>
        </is>
      </c>
      <c r="Q121" s="1833" t="n"/>
      <c r="R121" s="1833" t="n"/>
      <c r="S121" s="1833" t="n"/>
      <c r="T121" s="1833" t="inlineStr"/>
      <c r="U121" s="1833" t="inlineStr"/>
      <c r="V121" s="1833" t="inlineStr"/>
      <c r="W121" s="432" t="n"/>
      <c r="X121" s="432" t="n"/>
      <c r="Y121" s="432" t="n"/>
      <c r="Z121" s="432" t="n"/>
    </row>
    <row r="122" ht="12" customHeight="1" thickBot="1">
      <c r="D122" s="2452">
        <f>WACC!C40</f>
        <v/>
      </c>
      <c r="E122" s="2463">
        <f>'GPC Data'!P33</f>
        <v/>
      </c>
      <c r="F122" s="2464">
        <f>'GPC Data'!AH169</f>
        <v/>
      </c>
      <c r="G122" s="2464">
        <f>'GPC Data'!AI169</f>
        <v/>
      </c>
      <c r="H122" s="2464">
        <f>'GPC Data'!AJ169</f>
        <v/>
      </c>
      <c r="I122" s="2464">
        <f>'GPC Data'!AK169</f>
        <v/>
      </c>
      <c r="J122" s="2464">
        <f>'GPC Data'!AL169</f>
        <v/>
      </c>
      <c r="K122" s="2465" t="n"/>
      <c r="L122" s="2462" t="n"/>
      <c r="P122" s="443" t="inlineStr">
        <is>
          <t>Yes</t>
        </is>
      </c>
      <c r="Q122" s="1833" t="n"/>
      <c r="R122" s="1833" t="n"/>
      <c r="S122" s="1833" t="n"/>
      <c r="T122" s="1833" t="inlineStr"/>
      <c r="U122" s="1833" t="inlineStr"/>
      <c r="V122" s="1833" t="inlineStr"/>
      <c r="W122" s="432" t="n"/>
      <c r="X122" s="432" t="n"/>
      <c r="Y122" s="432" t="n"/>
      <c r="Z122" s="432" t="n"/>
    </row>
    <row r="123" ht="12" customHeight="1" thickBot="1">
      <c r="D123" s="2452">
        <f>WACC!C41</f>
        <v/>
      </c>
      <c r="E123" s="2463">
        <f>'GPC Data'!P34</f>
        <v/>
      </c>
      <c r="F123" s="2464">
        <f>'GPC Data'!AH170</f>
        <v/>
      </c>
      <c r="G123" s="2464">
        <f>'GPC Data'!AI170</f>
        <v/>
      </c>
      <c r="H123" s="2464">
        <f>'GPC Data'!AJ170</f>
        <v/>
      </c>
      <c r="I123" s="2464">
        <f>'GPC Data'!AK170</f>
        <v/>
      </c>
      <c r="J123" s="2464">
        <f>'GPC Data'!AL170</f>
        <v/>
      </c>
      <c r="K123" s="2465" t="n"/>
      <c r="L123" s="2462" t="n"/>
      <c r="P123" s="443" t="inlineStr">
        <is>
          <t>Yes</t>
        </is>
      </c>
      <c r="Q123" s="1833" t="n"/>
      <c r="R123" s="1833" t="n"/>
      <c r="S123" s="1833" t="n"/>
      <c r="T123" s="1833" t="inlineStr"/>
      <c r="U123" s="1833" t="inlineStr"/>
      <c r="V123" s="1833" t="inlineStr"/>
      <c r="W123" s="432" t="n"/>
      <c r="X123" s="432" t="n"/>
      <c r="Y123" s="432" t="n"/>
      <c r="Z123" s="432" t="n"/>
    </row>
    <row r="124" ht="12" customHeight="1" thickBot="1">
      <c r="D124" s="2452">
        <f>WACC!C42</f>
        <v/>
      </c>
      <c r="E124" s="2463">
        <f>'GPC Data'!P35</f>
        <v/>
      </c>
      <c r="F124" s="2464">
        <f>'GPC Data'!AH171</f>
        <v/>
      </c>
      <c r="G124" s="2464">
        <f>'GPC Data'!AI171</f>
        <v/>
      </c>
      <c r="H124" s="2464">
        <f>'GPC Data'!AJ171</f>
        <v/>
      </c>
      <c r="I124" s="2464">
        <f>'GPC Data'!AK171</f>
        <v/>
      </c>
      <c r="J124" s="2464">
        <f>'GPC Data'!AL171</f>
        <v/>
      </c>
      <c r="K124" s="2465" t="n"/>
      <c r="L124" s="2462" t="n"/>
      <c r="P124" s="443" t="inlineStr">
        <is>
          <t>Yes</t>
        </is>
      </c>
      <c r="Q124" s="1833" t="n"/>
      <c r="R124" s="1833" t="n"/>
      <c r="S124" s="1833" t="n"/>
      <c r="T124" s="1833" t="inlineStr"/>
      <c r="U124" s="1833" t="inlineStr"/>
      <c r="V124" s="1833" t="inlineStr"/>
      <c r="W124" s="432" t="n"/>
      <c r="X124" s="432" t="n"/>
      <c r="Y124" s="432" t="n"/>
      <c r="Z124" s="432" t="n"/>
    </row>
    <row r="125" ht="12" customHeight="1" thickBot="1">
      <c r="D125" s="2452">
        <f>WACC!C43</f>
        <v/>
      </c>
      <c r="E125" s="2463">
        <f>'GPC Data'!P36</f>
        <v/>
      </c>
      <c r="F125" s="2464">
        <f>'GPC Data'!AH172</f>
        <v/>
      </c>
      <c r="G125" s="2464">
        <f>'GPC Data'!AI172</f>
        <v/>
      </c>
      <c r="H125" s="2464">
        <f>'GPC Data'!AJ172</f>
        <v/>
      </c>
      <c r="I125" s="2464">
        <f>'GPC Data'!AK172</f>
        <v/>
      </c>
      <c r="J125" s="2464">
        <f>'GPC Data'!AL172</f>
        <v/>
      </c>
      <c r="K125" s="2465" t="n"/>
      <c r="L125" s="2462" t="n"/>
      <c r="P125" s="443" t="inlineStr">
        <is>
          <t>Yes</t>
        </is>
      </c>
      <c r="Q125" s="1833" t="n"/>
      <c r="R125" s="1833" t="n"/>
      <c r="S125" s="1833" t="n"/>
      <c r="T125" s="1833" t="inlineStr"/>
      <c r="U125" s="1833" t="inlineStr"/>
      <c r="V125" s="1833" t="inlineStr"/>
      <c r="W125" s="432" t="n"/>
      <c r="X125" s="432" t="n"/>
      <c r="Y125" s="432" t="n"/>
      <c r="Z125" s="432" t="n"/>
    </row>
    <row r="126" ht="12" customHeight="1" thickBot="1">
      <c r="D126" s="2452">
        <f>WACC!C44</f>
        <v/>
      </c>
      <c r="E126" s="2463">
        <f>'GPC Data'!P37</f>
        <v/>
      </c>
      <c r="F126" s="2464">
        <f>'GPC Data'!AH173</f>
        <v/>
      </c>
      <c r="G126" s="2464">
        <f>'GPC Data'!AI173</f>
        <v/>
      </c>
      <c r="H126" s="2464">
        <f>'GPC Data'!AJ173</f>
        <v/>
      </c>
      <c r="I126" s="2464">
        <f>'GPC Data'!AK173</f>
        <v/>
      </c>
      <c r="J126" s="2464">
        <f>'GPC Data'!AL173</f>
        <v/>
      </c>
      <c r="K126" s="2465" t="n"/>
      <c r="L126" s="2462" t="n"/>
      <c r="P126" s="443" t="inlineStr">
        <is>
          <t>Yes</t>
        </is>
      </c>
      <c r="Q126" s="1833" t="n"/>
      <c r="R126" s="1833" t="n"/>
      <c r="S126" s="1833" t="n"/>
      <c r="T126" s="1833" t="inlineStr"/>
      <c r="U126" s="1833" t="inlineStr"/>
      <c r="V126" s="1833" t="inlineStr"/>
      <c r="W126" s="432" t="n"/>
      <c r="X126" s="432" t="n"/>
      <c r="Y126" s="432" t="n"/>
      <c r="Z126" s="432" t="n"/>
    </row>
    <row r="127" ht="12" customHeight="1" thickBot="1">
      <c r="D127" s="2452">
        <f>WACC!C45</f>
        <v/>
      </c>
      <c r="E127" s="2463">
        <f>'GPC Data'!P38</f>
        <v/>
      </c>
      <c r="F127" s="2464">
        <f>'GPC Data'!AH174</f>
        <v/>
      </c>
      <c r="G127" s="2464">
        <f>'GPC Data'!AI174</f>
        <v/>
      </c>
      <c r="H127" s="2464">
        <f>'GPC Data'!AJ174</f>
        <v/>
      </c>
      <c r="I127" s="2464">
        <f>'GPC Data'!AK174</f>
        <v/>
      </c>
      <c r="J127" s="2464">
        <f>'GPC Data'!AL174</f>
        <v/>
      </c>
      <c r="K127" s="2465" t="n"/>
      <c r="L127" s="2462" t="n"/>
      <c r="P127" s="443" t="inlineStr">
        <is>
          <t>Yes</t>
        </is>
      </c>
      <c r="Q127" s="1833" t="n"/>
      <c r="R127" s="1833" t="n"/>
      <c r="S127" s="1833" t="n"/>
      <c r="T127" s="1833" t="inlineStr"/>
      <c r="U127" s="1833" t="inlineStr"/>
      <c r="V127" s="1833" t="inlineStr"/>
      <c r="W127" s="432" t="n"/>
      <c r="X127" s="432" t="n"/>
      <c r="Y127" s="432" t="n"/>
      <c r="Z127" s="432" t="n"/>
    </row>
    <row r="128" ht="12" customHeight="1" thickBot="1">
      <c r="D128" s="2452">
        <f>WACC!C46</f>
        <v/>
      </c>
      <c r="E128" s="2463">
        <f>'GPC Data'!P39</f>
        <v/>
      </c>
      <c r="F128" s="2464">
        <f>'GPC Data'!AH175</f>
        <v/>
      </c>
      <c r="G128" s="2464">
        <f>'GPC Data'!AI175</f>
        <v/>
      </c>
      <c r="H128" s="2464">
        <f>'GPC Data'!AJ175</f>
        <v/>
      </c>
      <c r="I128" s="2464">
        <f>'GPC Data'!AK175</f>
        <v/>
      </c>
      <c r="J128" s="2464">
        <f>'GPC Data'!AL175</f>
        <v/>
      </c>
      <c r="K128" s="2465" t="n"/>
      <c r="L128" s="2462" t="n"/>
      <c r="P128" s="443" t="inlineStr">
        <is>
          <t>Yes</t>
        </is>
      </c>
      <c r="Q128" s="1833" t="n"/>
      <c r="R128" s="1833" t="n"/>
      <c r="S128" s="1833" t="n"/>
      <c r="T128" s="1833" t="inlineStr"/>
      <c r="U128" s="1833" t="inlineStr"/>
      <c r="V128" s="1833" t="inlineStr"/>
      <c r="W128" s="432" t="n"/>
      <c r="X128" s="432" t="n"/>
      <c r="Y128" s="432" t="n"/>
      <c r="Z128" s="432" t="n"/>
    </row>
    <row r="129" ht="12" customHeight="1" thickBot="1">
      <c r="D129" s="2452">
        <f>WACC!C47</f>
        <v/>
      </c>
      <c r="E129" s="2463">
        <f>'GPC Data'!P40</f>
        <v/>
      </c>
      <c r="F129" s="2464">
        <f>'GPC Data'!AH176</f>
        <v/>
      </c>
      <c r="G129" s="2464">
        <f>'GPC Data'!AI176</f>
        <v/>
      </c>
      <c r="H129" s="2464">
        <f>'GPC Data'!AJ176</f>
        <v/>
      </c>
      <c r="I129" s="2464">
        <f>'GPC Data'!AK176</f>
        <v/>
      </c>
      <c r="J129" s="2464">
        <f>'GPC Data'!AL176</f>
        <v/>
      </c>
      <c r="K129" s="2465" t="n"/>
      <c r="L129" s="2462" t="n"/>
      <c r="P129" s="443" t="inlineStr">
        <is>
          <t>Yes</t>
        </is>
      </c>
      <c r="Q129" s="1833" t="n"/>
      <c r="R129" s="1833" t="n"/>
      <c r="S129" s="1833" t="n"/>
      <c r="T129" s="1833" t="inlineStr"/>
      <c r="U129" s="1833" t="inlineStr"/>
      <c r="V129" s="1833" t="inlineStr"/>
      <c r="W129" s="432" t="n"/>
      <c r="X129" s="432" t="n"/>
      <c r="Y129" s="432" t="n"/>
      <c r="Z129" s="432" t="n"/>
    </row>
    <row r="130" ht="12" customHeight="1" thickBot="1">
      <c r="D130" s="2452">
        <f>WACC!C48</f>
        <v/>
      </c>
      <c r="E130" s="2463">
        <f>'GPC Data'!P41</f>
        <v/>
      </c>
      <c r="F130" s="2464">
        <f>'GPC Data'!AH177</f>
        <v/>
      </c>
      <c r="G130" s="2464">
        <f>'GPC Data'!AI177</f>
        <v/>
      </c>
      <c r="H130" s="2464">
        <f>'GPC Data'!AJ177</f>
        <v/>
      </c>
      <c r="I130" s="2464">
        <f>'GPC Data'!AK177</f>
        <v/>
      </c>
      <c r="J130" s="2464">
        <f>'GPC Data'!AL177</f>
        <v/>
      </c>
      <c r="K130" s="2465" t="n"/>
      <c r="L130" s="2462" t="n"/>
      <c r="P130" s="443" t="inlineStr">
        <is>
          <t>Yes</t>
        </is>
      </c>
      <c r="Q130" s="1833" t="n"/>
      <c r="R130" s="1833" t="n"/>
      <c r="S130" s="1833" t="n"/>
      <c r="T130" s="1833" t="inlineStr"/>
      <c r="U130" s="1833" t="inlineStr"/>
      <c r="V130" s="1833" t="inlineStr"/>
      <c r="W130" s="432" t="n"/>
      <c r="X130" s="432" t="n"/>
      <c r="Y130" s="432" t="n"/>
      <c r="Z130" s="432" t="n"/>
    </row>
    <row r="131" ht="12" customHeight="1" thickBot="1">
      <c r="D131" s="2452">
        <f>WACC!C49</f>
        <v/>
      </c>
      <c r="E131" s="2463">
        <f>'GPC Data'!P42</f>
        <v/>
      </c>
      <c r="F131" s="2464">
        <f>'GPC Data'!AH178</f>
        <v/>
      </c>
      <c r="G131" s="2464">
        <f>'GPC Data'!AI178</f>
        <v/>
      </c>
      <c r="H131" s="2464">
        <f>'GPC Data'!AJ178</f>
        <v/>
      </c>
      <c r="I131" s="2464">
        <f>'GPC Data'!AK178</f>
        <v/>
      </c>
      <c r="J131" s="2464">
        <f>'GPC Data'!AL178</f>
        <v/>
      </c>
      <c r="K131" s="2465" t="n"/>
      <c r="L131" s="2462" t="n"/>
      <c r="P131" s="443" t="inlineStr">
        <is>
          <t>Yes</t>
        </is>
      </c>
      <c r="Q131" s="1833" t="n"/>
      <c r="R131" s="1833" t="n"/>
      <c r="S131" s="1833" t="n"/>
      <c r="T131" s="1833" t="inlineStr"/>
      <c r="U131" s="1833" t="inlineStr"/>
      <c r="V131" s="1833" t="inlineStr"/>
      <c r="W131" s="432" t="n"/>
      <c r="X131" s="432" t="n"/>
      <c r="Y131" s="432" t="n"/>
      <c r="Z131" s="432" t="n"/>
    </row>
    <row r="132" ht="12" customHeight="1" thickBot="1">
      <c r="D132" s="2452">
        <f>WACC!C50</f>
        <v/>
      </c>
      <c r="E132" s="2463">
        <f>'GPC Data'!P43</f>
        <v/>
      </c>
      <c r="F132" s="2464">
        <f>'GPC Data'!AH179</f>
        <v/>
      </c>
      <c r="G132" s="2464">
        <f>'GPC Data'!AI179</f>
        <v/>
      </c>
      <c r="H132" s="2464">
        <f>'GPC Data'!AJ179</f>
        <v/>
      </c>
      <c r="I132" s="2464">
        <f>'GPC Data'!AK179</f>
        <v/>
      </c>
      <c r="J132" s="2464">
        <f>'GPC Data'!AL179</f>
        <v/>
      </c>
      <c r="K132" s="2465" t="n"/>
      <c r="L132" s="2462" t="n"/>
      <c r="P132" s="443" t="inlineStr">
        <is>
          <t>Yes</t>
        </is>
      </c>
      <c r="Q132" s="1833" t="n"/>
      <c r="R132" s="1833" t="n"/>
      <c r="S132" s="1833" t="n"/>
      <c r="T132" s="1833" t="inlineStr"/>
      <c r="U132" s="1833" t="inlineStr"/>
      <c r="V132" s="1833" t="inlineStr"/>
      <c r="W132" s="432" t="n"/>
      <c r="X132" s="432" t="n"/>
      <c r="Y132" s="432" t="n"/>
      <c r="Z132" s="432" t="n"/>
    </row>
    <row r="133" ht="12" customHeight="1" thickBot="1">
      <c r="D133" s="2452">
        <f>WACC!C51</f>
        <v/>
      </c>
      <c r="E133" s="2463">
        <f>'GPC Data'!P44</f>
        <v/>
      </c>
      <c r="F133" s="2464">
        <f>'GPC Data'!AH180</f>
        <v/>
      </c>
      <c r="G133" s="2464">
        <f>'GPC Data'!AI180</f>
        <v/>
      </c>
      <c r="H133" s="2464">
        <f>'GPC Data'!AJ180</f>
        <v/>
      </c>
      <c r="I133" s="2464">
        <f>'GPC Data'!AK180</f>
        <v/>
      </c>
      <c r="J133" s="2464">
        <f>'GPC Data'!AL180</f>
        <v/>
      </c>
      <c r="K133" s="2465" t="n"/>
      <c r="L133" s="2462" t="n"/>
      <c r="P133" s="443" t="inlineStr">
        <is>
          <t>Yes</t>
        </is>
      </c>
      <c r="Q133" s="1833" t="n"/>
      <c r="R133" s="1833" t="n"/>
      <c r="S133" s="1833" t="n"/>
      <c r="T133" s="1833" t="inlineStr"/>
      <c r="U133" s="1833" t="inlineStr"/>
      <c r="V133" s="1833" t="inlineStr"/>
      <c r="W133" s="432" t="n"/>
      <c r="X133" s="432" t="n"/>
      <c r="Y133" s="432" t="n"/>
      <c r="Z133" s="432" t="n"/>
    </row>
    <row r="134" ht="12" customHeight="1" thickBot="1">
      <c r="D134" s="2452">
        <f>WACC!C52</f>
        <v/>
      </c>
      <c r="E134" s="2463">
        <f>'GPC Data'!P45</f>
        <v/>
      </c>
      <c r="F134" s="2464">
        <f>'GPC Data'!AH181</f>
        <v/>
      </c>
      <c r="G134" s="2464">
        <f>'GPC Data'!AI181</f>
        <v/>
      </c>
      <c r="H134" s="2464">
        <f>'GPC Data'!AJ181</f>
        <v/>
      </c>
      <c r="I134" s="2464">
        <f>'GPC Data'!AK181</f>
        <v/>
      </c>
      <c r="J134" s="2464">
        <f>'GPC Data'!AL181</f>
        <v/>
      </c>
      <c r="K134" s="2465" t="n"/>
      <c r="L134" s="2462" t="n"/>
      <c r="P134" s="443" t="inlineStr">
        <is>
          <t>Yes</t>
        </is>
      </c>
      <c r="Q134" s="1833" t="n"/>
      <c r="R134" s="1833" t="n"/>
      <c r="S134" s="1833" t="n"/>
      <c r="T134" s="1833" t="inlineStr"/>
      <c r="U134" s="1833" t="inlineStr"/>
      <c r="V134" s="1833" t="inlineStr"/>
      <c r="W134" s="432" t="n"/>
      <c r="X134" s="432" t="n"/>
      <c r="Y134" s="432" t="n"/>
      <c r="Z134" s="432" t="n"/>
    </row>
    <row r="135" ht="12" customHeight="1" thickBot="1">
      <c r="D135" s="2452">
        <f>WACC!C53</f>
        <v/>
      </c>
      <c r="E135" s="2463">
        <f>'GPC Data'!P46</f>
        <v/>
      </c>
      <c r="F135" s="2464">
        <f>'GPC Data'!AH182</f>
        <v/>
      </c>
      <c r="G135" s="2464">
        <f>'GPC Data'!AI182</f>
        <v/>
      </c>
      <c r="H135" s="2464">
        <f>'GPC Data'!AJ182</f>
        <v/>
      </c>
      <c r="I135" s="2464">
        <f>'GPC Data'!AK182</f>
        <v/>
      </c>
      <c r="J135" s="2464">
        <f>'GPC Data'!AL182</f>
        <v/>
      </c>
      <c r="K135" s="2465" t="n"/>
      <c r="L135" s="2462" t="n"/>
      <c r="P135" s="443" t="inlineStr">
        <is>
          <t>Yes</t>
        </is>
      </c>
      <c r="Q135" s="1833" t="n"/>
      <c r="R135" s="1833" t="n"/>
      <c r="S135" s="1833" t="n"/>
      <c r="T135" s="1833" t="inlineStr"/>
      <c r="U135" s="1833" t="inlineStr"/>
      <c r="V135" s="1833" t="inlineStr"/>
      <c r="W135" s="432" t="n"/>
      <c r="X135" s="432" t="n"/>
      <c r="Y135" s="432" t="n"/>
      <c r="Z135" s="432" t="n"/>
    </row>
    <row r="136" ht="12" customHeight="1" thickBot="1">
      <c r="D136" s="2452">
        <f>WACC!C54</f>
        <v/>
      </c>
      <c r="E136" s="2463">
        <f>'GPC Data'!P47</f>
        <v/>
      </c>
      <c r="F136" s="2464">
        <f>'GPC Data'!AH183</f>
        <v/>
      </c>
      <c r="G136" s="2464">
        <f>'GPC Data'!AI183</f>
        <v/>
      </c>
      <c r="H136" s="2464">
        <f>'GPC Data'!AJ183</f>
        <v/>
      </c>
      <c r="I136" s="2464">
        <f>'GPC Data'!AK183</f>
        <v/>
      </c>
      <c r="J136" s="2464">
        <f>'GPC Data'!AL183</f>
        <v/>
      </c>
      <c r="K136" s="2465" t="n"/>
      <c r="L136" s="2462" t="n"/>
      <c r="P136" s="443" t="inlineStr">
        <is>
          <t>Yes</t>
        </is>
      </c>
      <c r="Q136" s="1833" t="n"/>
      <c r="R136" s="1833" t="n"/>
      <c r="S136" s="1833" t="n"/>
      <c r="T136" s="1833" t="inlineStr"/>
      <c r="U136" s="1833" t="inlineStr"/>
      <c r="V136" s="1833" t="inlineStr"/>
      <c r="W136" s="432" t="n"/>
      <c r="X136" s="432" t="n"/>
      <c r="Y136" s="432" t="n"/>
      <c r="Z136" s="432" t="n"/>
    </row>
    <row r="137" ht="12" customHeight="1" thickBot="1">
      <c r="D137" s="2452">
        <f>WACC!C55</f>
        <v/>
      </c>
      <c r="E137" s="2463">
        <f>'GPC Data'!P48</f>
        <v/>
      </c>
      <c r="F137" s="2464">
        <f>'GPC Data'!AH184</f>
        <v/>
      </c>
      <c r="G137" s="2464">
        <f>'GPC Data'!AI184</f>
        <v/>
      </c>
      <c r="H137" s="2464">
        <f>'GPC Data'!AJ184</f>
        <v/>
      </c>
      <c r="I137" s="2464">
        <f>'GPC Data'!AK184</f>
        <v/>
      </c>
      <c r="J137" s="2464">
        <f>'GPC Data'!AL184</f>
        <v/>
      </c>
      <c r="K137" s="2465" t="n"/>
      <c r="L137" s="2462" t="n"/>
      <c r="P137" s="443" t="inlineStr">
        <is>
          <t>Yes</t>
        </is>
      </c>
      <c r="Q137" s="1833" t="n"/>
      <c r="R137" s="1833" t="n"/>
      <c r="S137" s="1833" t="n"/>
      <c r="T137" s="1833" t="inlineStr"/>
      <c r="U137" s="1833" t="inlineStr"/>
      <c r="V137" s="1833" t="inlineStr"/>
      <c r="W137" s="432" t="n"/>
      <c r="X137" s="432" t="n"/>
      <c r="Y137" s="432" t="n"/>
      <c r="Z137" s="432" t="n"/>
    </row>
    <row r="138" ht="12" customHeight="1" thickBot="1">
      <c r="D138" s="2452">
        <f>WACC!C56</f>
        <v/>
      </c>
      <c r="E138" s="2463">
        <f>'GPC Data'!P49</f>
        <v/>
      </c>
      <c r="F138" s="2464">
        <f>'GPC Data'!AH185</f>
        <v/>
      </c>
      <c r="G138" s="2464">
        <f>'GPC Data'!AI185</f>
        <v/>
      </c>
      <c r="H138" s="2464">
        <f>'GPC Data'!AJ185</f>
        <v/>
      </c>
      <c r="I138" s="2464">
        <f>'GPC Data'!AK185</f>
        <v/>
      </c>
      <c r="J138" s="2464">
        <f>'GPC Data'!AL185</f>
        <v/>
      </c>
      <c r="K138" s="2465" t="n"/>
      <c r="L138" s="2462" t="n"/>
      <c r="P138" s="443" t="inlineStr">
        <is>
          <t>Yes</t>
        </is>
      </c>
      <c r="Q138" s="1833" t="n"/>
      <c r="R138" s="1833" t="n"/>
      <c r="S138" s="1833" t="n"/>
      <c r="T138" s="1833" t="inlineStr"/>
      <c r="U138" s="1833" t="inlineStr"/>
      <c r="V138" s="1833" t="inlineStr"/>
      <c r="W138" s="432" t="n"/>
      <c r="X138" s="432" t="n"/>
      <c r="Y138" s="432" t="n"/>
      <c r="Z138" s="432" t="n"/>
    </row>
    <row r="139" ht="12" customHeight="1" thickBot="1">
      <c r="D139" s="2452">
        <f>WACC!C57</f>
        <v/>
      </c>
      <c r="E139" s="2463">
        <f>'GPC Data'!P50</f>
        <v/>
      </c>
      <c r="F139" s="2464">
        <f>'GPC Data'!AH186</f>
        <v/>
      </c>
      <c r="G139" s="2464">
        <f>'GPC Data'!AI186</f>
        <v/>
      </c>
      <c r="H139" s="2464">
        <f>'GPC Data'!AJ186</f>
        <v/>
      </c>
      <c r="I139" s="2464">
        <f>'GPC Data'!AK186</f>
        <v/>
      </c>
      <c r="J139" s="2464">
        <f>'GPC Data'!AL186</f>
        <v/>
      </c>
      <c r="K139" s="2465" t="n"/>
      <c r="L139" s="2462" t="n"/>
      <c r="P139" s="443" t="inlineStr">
        <is>
          <t>Yes</t>
        </is>
      </c>
      <c r="Q139" s="1833" t="n"/>
      <c r="R139" s="1833" t="n"/>
      <c r="S139" s="1833" t="n"/>
      <c r="T139" s="1833" t="inlineStr"/>
      <c r="U139" s="1833" t="inlineStr"/>
      <c r="V139" s="1833" t="inlineStr"/>
      <c r="W139" s="432" t="n"/>
      <c r="X139" s="432" t="n"/>
      <c r="Y139" s="432" t="n"/>
      <c r="Z139" s="432" t="n"/>
    </row>
    <row r="140" ht="12" customHeight="1" thickBot="1">
      <c r="D140" s="2452">
        <f>WACC!C58</f>
        <v/>
      </c>
      <c r="E140" s="2463">
        <f>'GPC Data'!P51</f>
        <v/>
      </c>
      <c r="F140" s="2464">
        <f>'GPC Data'!AH187</f>
        <v/>
      </c>
      <c r="G140" s="2464">
        <f>'GPC Data'!AI187</f>
        <v/>
      </c>
      <c r="H140" s="2464">
        <f>'GPC Data'!AJ187</f>
        <v/>
      </c>
      <c r="I140" s="2464">
        <f>'GPC Data'!AK187</f>
        <v/>
      </c>
      <c r="J140" s="2464">
        <f>'GPC Data'!AL187</f>
        <v/>
      </c>
      <c r="K140" s="2465" t="n"/>
      <c r="L140" s="2462" t="n"/>
      <c r="P140" s="443" t="inlineStr">
        <is>
          <t>Yes</t>
        </is>
      </c>
      <c r="Q140" s="1833" t="n"/>
      <c r="R140" s="1833" t="n"/>
      <c r="S140" s="1833" t="n"/>
      <c r="T140" s="1833" t="inlineStr"/>
      <c r="U140" s="1833" t="inlineStr"/>
      <c r="V140" s="1833" t="inlineStr"/>
      <c r="W140" s="432" t="n"/>
      <c r="X140" s="432" t="n"/>
      <c r="Y140" s="432" t="n"/>
      <c r="Z140" s="432" t="n"/>
    </row>
    <row r="141">
      <c r="D141" s="2466" t="n"/>
      <c r="E141" s="2466" t="n"/>
      <c r="F141" s="2467" t="n"/>
      <c r="G141" s="2467" t="n"/>
      <c r="H141" s="2467" t="n"/>
      <c r="I141" s="2467" t="n"/>
      <c r="J141" s="2467" t="n"/>
      <c r="K141" s="2466" t="n"/>
      <c r="L141" s="2407" t="n"/>
      <c r="M141" s="2407" t="n"/>
      <c r="N141" s="2408" t="n"/>
      <c r="O141" s="2408" t="n"/>
      <c r="P141" s="2407" t="n"/>
      <c r="Q141" s="2407" t="n"/>
      <c r="R141" s="2407" t="n"/>
      <c r="S141" s="2407" t="n"/>
    </row>
    <row r="142">
      <c r="E142" s="2410" t="inlineStr">
        <is>
          <t>High</t>
        </is>
      </c>
      <c r="F142" s="2412">
        <f>MAX(F111:F140)</f>
        <v/>
      </c>
      <c r="G142" s="2412">
        <f>MAX(G111:G140)</f>
        <v/>
      </c>
      <c r="H142" s="2412">
        <f>MAX(H111:H140)</f>
        <v/>
      </c>
      <c r="I142" s="2412">
        <f>MAX(I111:I140)</f>
        <v/>
      </c>
      <c r="J142" s="2412">
        <f>MAX(J111:J140)</f>
        <v/>
      </c>
      <c r="K142" s="2408" t="n"/>
      <c r="L142" s="2440" t="n"/>
      <c r="M142" s="2408" t="n"/>
      <c r="N142" s="2408" t="n"/>
      <c r="O142" s="2408" t="n"/>
      <c r="P142" s="2408" t="n"/>
      <c r="Q142" s="2408" t="n"/>
      <c r="R142" s="2408" t="n"/>
      <c r="S142" s="2408" t="n"/>
    </row>
    <row r="143">
      <c r="E143" s="2408" t="inlineStr">
        <is>
          <t>75th Percentile</t>
        </is>
      </c>
      <c r="F143" s="2330">
        <f>PERCENTILE(F111:F140,0.75)</f>
        <v/>
      </c>
      <c r="G143" s="2330">
        <f>PERCENTILE(G111:G140,0.75)</f>
        <v/>
      </c>
      <c r="H143" s="2330">
        <f>PERCENTILE(H111:H140,0.75)</f>
        <v/>
      </c>
      <c r="I143" s="2330">
        <f>PERCENTILE(I111:I140,0.75)</f>
        <v/>
      </c>
      <c r="J143" s="2330">
        <f>PERCENTILE(J111:J140,0.75)</f>
        <v/>
      </c>
      <c r="K143" s="2408" t="n"/>
      <c r="L143" s="2440" t="n"/>
      <c r="M143" s="2408" t="n"/>
      <c r="N143" s="2408" t="n"/>
      <c r="O143" s="2408" t="n"/>
      <c r="P143" s="2408" t="n"/>
      <c r="Q143" s="2408" t="n"/>
      <c r="R143" s="2408" t="n"/>
      <c r="S143" s="2408" t="n"/>
    </row>
    <row r="144">
      <c r="E144" s="2408" t="inlineStr">
        <is>
          <t>Mean</t>
        </is>
      </c>
      <c r="F144" s="2330">
        <f>AVERAGE(F111:F140)</f>
        <v/>
      </c>
      <c r="G144" s="2330">
        <f>AVERAGE(G111:G140)</f>
        <v/>
      </c>
      <c r="H144" s="2330">
        <f>AVERAGE(H111:H140)</f>
        <v/>
      </c>
      <c r="I144" s="2330">
        <f>AVERAGE(I111:I140)</f>
        <v/>
      </c>
      <c r="J144" s="2330">
        <f>AVERAGE(J111:J140)</f>
        <v/>
      </c>
      <c r="K144" s="2408" t="n"/>
      <c r="L144" s="2440" t="n"/>
      <c r="M144" s="2408" t="n"/>
      <c r="N144" s="2408" t="n"/>
      <c r="O144" s="2408" t="n"/>
      <c r="P144" s="2408" t="n"/>
      <c r="Q144" s="2408" t="n"/>
      <c r="R144" s="2408" t="n"/>
      <c r="S144" s="2408" t="n"/>
    </row>
    <row r="145">
      <c r="E145" s="2417" t="inlineStr">
        <is>
          <t>Median</t>
        </is>
      </c>
      <c r="F145" s="2415">
        <f>MEDIAN(F111:F140)</f>
        <v/>
      </c>
      <c r="G145" s="2415">
        <f>MEDIAN(G111:G140)</f>
        <v/>
      </c>
      <c r="H145" s="2415">
        <f>MEDIAN(H111:H140)</f>
        <v/>
      </c>
      <c r="I145" s="2415">
        <f>MEDIAN(I111:I140)</f>
        <v/>
      </c>
      <c r="J145" s="2415">
        <f>MEDIAN(J111:J140)</f>
        <v/>
      </c>
      <c r="K145" s="2408" t="n"/>
      <c r="L145" s="2440" t="n"/>
      <c r="M145" s="2408" t="n"/>
      <c r="N145" s="2408" t="n"/>
      <c r="O145" s="2408" t="n"/>
      <c r="P145" s="2408" t="n"/>
      <c r="Q145" s="2408" t="n"/>
      <c r="R145" s="2408" t="n"/>
      <c r="S145" s="2408" t="n"/>
    </row>
    <row r="146">
      <c r="E146" s="2408" t="inlineStr">
        <is>
          <t>25th Percentile</t>
        </is>
      </c>
      <c r="F146" s="2330">
        <f>PERCENTILE(F111:F140,0.25)</f>
        <v/>
      </c>
      <c r="G146" s="2330">
        <f>PERCENTILE(G111:G140,0.25)</f>
        <v/>
      </c>
      <c r="H146" s="2330">
        <f>PERCENTILE(H111:H140,0.25)</f>
        <v/>
      </c>
      <c r="I146" s="2330">
        <f>PERCENTILE(I111:I140,0.25)</f>
        <v/>
      </c>
      <c r="J146" s="2330">
        <f>PERCENTILE(J111:J140,0.25)</f>
        <v/>
      </c>
      <c r="K146" s="2408" t="n"/>
      <c r="L146" s="2440" t="n"/>
      <c r="M146" s="2408" t="n"/>
      <c r="N146" s="2408" t="n"/>
      <c r="O146" s="2408" t="n"/>
      <c r="P146" s="2408" t="n"/>
      <c r="Q146" s="2408" t="n"/>
      <c r="R146" s="2408" t="n"/>
      <c r="S146" s="2408" t="n"/>
    </row>
    <row r="147">
      <c r="E147" s="2421" t="inlineStr">
        <is>
          <t>Low</t>
        </is>
      </c>
      <c r="F147" s="2423">
        <f>MIN(F111:F140)</f>
        <v/>
      </c>
      <c r="G147" s="2423">
        <f>MIN(G111:G140)</f>
        <v/>
      </c>
      <c r="H147" s="2423">
        <f>MIN(H111:H140)</f>
        <v/>
      </c>
      <c r="I147" s="2423">
        <f>MIN(I111:I140)</f>
        <v/>
      </c>
      <c r="J147" s="2423">
        <f>MIN(J111:J140)</f>
        <v/>
      </c>
      <c r="K147" s="2408" t="n"/>
      <c r="L147" s="2440" t="n"/>
      <c r="M147" s="2408" t="n"/>
      <c r="N147" s="2408" t="n"/>
      <c r="O147" s="2408" t="n"/>
      <c r="P147" s="2408" t="n"/>
      <c r="Q147" s="2408" t="n"/>
      <c r="R147" s="2408" t="n"/>
      <c r="S147" s="2408" t="n"/>
    </row>
    <row r="148">
      <c r="E148" s="2440" t="n"/>
      <c r="F148" s="2330" t="n"/>
      <c r="G148" s="2330" t="n"/>
      <c r="H148" s="2330" t="n"/>
      <c r="I148" s="2330" t="n"/>
      <c r="J148" s="2330" t="n"/>
      <c r="K148" s="2408" t="n"/>
      <c r="L148" s="2440" t="n"/>
      <c r="M148" s="2408" t="n"/>
      <c r="N148" s="2408" t="n"/>
      <c r="O148" s="2408" t="n"/>
      <c r="P148" s="2408" t="n"/>
      <c r="Q148" s="2408" t="n"/>
      <c r="R148" s="2408" t="n"/>
      <c r="S148" s="2408" t="n"/>
    </row>
    <row r="149">
      <c r="E149" s="466" t="inlineStr">
        <is>
          <t>Excluding outliers</t>
        </is>
      </c>
      <c r="F149" s="2330" t="n"/>
      <c r="G149" s="2330" t="n"/>
      <c r="H149" s="2330" t="n"/>
      <c r="I149" s="2330" t="n"/>
      <c r="J149" s="2330" t="n"/>
      <c r="K149" s="2408" t="n"/>
      <c r="L149" s="2440" t="n"/>
      <c r="M149" s="2408" t="n"/>
      <c r="N149" s="2408" t="n"/>
      <c r="O149" s="2408" t="n"/>
      <c r="P149" s="2408" t="n"/>
      <c r="Q149" s="2408" t="n"/>
      <c r="R149" s="2408" t="n"/>
      <c r="S149" s="2408" t="n"/>
    </row>
    <row r="150">
      <c r="E150" s="2410" t="inlineStr">
        <is>
          <t>High</t>
        </is>
      </c>
      <c r="F150" s="2412">
        <f t="array" ref="F150">IFERROR(MAX(IF($P$111:$P$140="No",F111:F140)),"")</f>
        <v/>
      </c>
      <c r="G150" s="2412">
        <f t="array" ref="G150">IFERROR(MAX(IF($P$111:$P$140="No",G111:G140)),"")</f>
        <v/>
      </c>
      <c r="H150" s="2412">
        <f t="array" ref="H150">IFERROR(MAX(IF($P$111:$P$140="No",H111:H140)),"")</f>
        <v/>
      </c>
      <c r="I150" s="2412">
        <f t="array" ref="I150">IFERROR(MAX(IF($P$111:$P$140="No",I111:I140)),"")</f>
        <v/>
      </c>
      <c r="J150" s="2412">
        <f t="array" ref="J150">IFERROR(MAX(IF($P$111:$P$140="No",J111:J140)),"")</f>
        <v/>
      </c>
      <c r="K150" s="2408" t="n"/>
      <c r="L150" s="2440" t="n"/>
      <c r="M150" s="2408" t="n"/>
      <c r="N150" s="2408" t="n"/>
      <c r="O150" s="2408" t="n"/>
      <c r="P150" s="2408" t="n"/>
      <c r="Q150" s="2408" t="n"/>
      <c r="R150" s="2408" t="n"/>
      <c r="S150" s="2408" t="n"/>
    </row>
    <row r="151">
      <c r="E151" s="2408" t="inlineStr">
        <is>
          <t>75th Percentile</t>
        </is>
      </c>
      <c r="F151" s="2330">
        <f t="array" ref="F151">PERCENTILE(IF($P$111:$P$140="No",F111:F140),0.75)</f>
        <v/>
      </c>
      <c r="G151" s="2330">
        <f t="array" ref="G151">PERCENTILE(IF($P$111:$P$140="No",G111:G140),0.75)</f>
        <v/>
      </c>
      <c r="H151" s="2330">
        <f t="array" ref="H151">PERCENTILE(IF($P$111:$P$140="No",H111:H140),0.75)</f>
        <v/>
      </c>
      <c r="I151" s="2330">
        <f t="array" ref="I151">PERCENTILE(IF($P$111:$P$140="No",I111:I140),0.75)</f>
        <v/>
      </c>
      <c r="J151" s="2330">
        <f t="array" ref="J151">PERCENTILE(IF($P$111:$P$140="No",J111:J140),0.75)</f>
        <v/>
      </c>
      <c r="K151" s="2408" t="n"/>
      <c r="L151" s="2440" t="n"/>
      <c r="M151" s="2408" t="n"/>
      <c r="N151" s="2408" t="n"/>
      <c r="O151" s="2408" t="n"/>
      <c r="P151" s="2408" t="n"/>
      <c r="Q151" s="2408" t="n"/>
      <c r="R151" s="2408" t="n"/>
      <c r="S151" s="2408" t="n"/>
    </row>
    <row r="152">
      <c r="E152" s="2408" t="inlineStr">
        <is>
          <t>Mean</t>
        </is>
      </c>
      <c r="F152" s="2330">
        <f t="array" ref="F152">IFERROR(AVERAGEIF($P$111:$P$140,"No",F111:F140),"")</f>
        <v/>
      </c>
      <c r="G152" s="2330">
        <f t="array" ref="G152">IFERROR(AVERAGEIF($P$111:$P$140,"No",G111:G140),"")</f>
        <v/>
      </c>
      <c r="H152" s="2330">
        <f>IFERROR(AVERAGEIF($P$111:$P$140,"No",H111:H140),"")</f>
        <v/>
      </c>
      <c r="I152" s="2330">
        <f t="array" ref="I152">IFERROR(AVERAGEIF($P$111:$P$140,"No",I111:I140),"")</f>
        <v/>
      </c>
      <c r="J152" s="2330">
        <f t="array" ref="J152">IFERROR(AVERAGEIF($P$111:$P$140,"No",J111:J140),"")</f>
        <v/>
      </c>
      <c r="K152" s="2408" t="n"/>
      <c r="L152" s="2440" t="n"/>
      <c r="M152" s="2408" t="n"/>
      <c r="N152" s="2408" t="n"/>
      <c r="O152" s="2408" t="n"/>
      <c r="P152" s="2408" t="n"/>
      <c r="Q152" s="2408" t="n"/>
      <c r="R152" s="2408" t="n"/>
      <c r="S152" s="2408" t="n"/>
    </row>
    <row r="153">
      <c r="E153" s="2417" t="inlineStr">
        <is>
          <t>Median</t>
        </is>
      </c>
      <c r="F153" s="2415">
        <f t="array" ref="F153">IFERROR(MEDIAN(IF($P$111:$P$140="No",F111:F140)),"")</f>
        <v/>
      </c>
      <c r="G153" s="2415">
        <f t="array" ref="G153">IFERROR(MEDIAN(IF($P$111:$P$140="No",G111:G140)),"")</f>
        <v/>
      </c>
      <c r="H153" s="2415">
        <f t="array" ref="H153">IFERROR(MEDIAN(IF($P$111:$P$140="No",H111:H140)),"")</f>
        <v/>
      </c>
      <c r="I153" s="2415">
        <f t="array" ref="I153">IFERROR(MEDIAN(IF($P$111:$P$140="No",I111:I140)),"")</f>
        <v/>
      </c>
      <c r="J153" s="2415">
        <f t="array" ref="J153">IFERROR(MEDIAN(IF($P$111:$P$140="No",J111:J140)),"")</f>
        <v/>
      </c>
      <c r="K153" s="2408" t="n"/>
      <c r="L153" s="2440" t="n"/>
      <c r="M153" s="2408" t="n"/>
      <c r="N153" s="2408" t="n"/>
      <c r="O153" s="2408" t="n"/>
      <c r="P153" s="2408" t="n"/>
      <c r="Q153" s="2408" t="n"/>
      <c r="R153" s="2408" t="n"/>
      <c r="S153" s="2408" t="n"/>
    </row>
    <row r="154">
      <c r="E154" s="2408" t="inlineStr">
        <is>
          <t>25th Percentile</t>
        </is>
      </c>
      <c r="F154" s="2330">
        <f t="array" ref="F154">PERCENTILE(IF($P$111:$P$140="No",F111:F140),0.25)</f>
        <v/>
      </c>
      <c r="G154" s="2330">
        <f t="array" ref="G154">PERCENTILE(IF($P$111:$P$140="No",G111:G140),0.25)</f>
        <v/>
      </c>
      <c r="H154" s="2330">
        <f t="array" ref="H154">PERCENTILE(IF($P$111:$P$140="No",H111:H140),0.25)</f>
        <v/>
      </c>
      <c r="I154" s="2330">
        <f t="array" ref="I154">PERCENTILE(IF($P$111:$P$140="No",I111:I140),0.25)</f>
        <v/>
      </c>
      <c r="J154" s="2330">
        <f t="array" ref="J154">PERCENTILE(IF($P$111:$P$140="No",J111:J140),0.25)</f>
        <v/>
      </c>
      <c r="K154" s="2408" t="n"/>
      <c r="L154" s="2440" t="n"/>
      <c r="M154" s="2408" t="n"/>
      <c r="N154" s="2408" t="n"/>
      <c r="O154" s="2408" t="n"/>
      <c r="P154" s="2408" t="n"/>
      <c r="Q154" s="2408" t="n"/>
      <c r="R154" s="2408" t="n"/>
      <c r="S154" s="2408" t="n"/>
    </row>
    <row r="155">
      <c r="E155" s="2421" t="inlineStr">
        <is>
          <t>Low</t>
        </is>
      </c>
      <c r="F155" s="2423">
        <f t="array" ref="F155">IFERROR(MIN(IF($P$111:$P$140="No",F111:F140)),"")</f>
        <v/>
      </c>
      <c r="G155" s="2423">
        <f t="array" ref="G155">IFERROR(MIN(IF($P$111:$P$140="No",G111:G140)),"")</f>
        <v/>
      </c>
      <c r="H155" s="2423">
        <f t="array" ref="H155">IFERROR(MIN(IF($P$111:$P$140="No",H111:H140)),"")</f>
        <v/>
      </c>
      <c r="I155" s="2423">
        <f t="array" ref="I155">IFERROR(MIN(IF($P$111:$P$140="No",I111:I140)),"")</f>
        <v/>
      </c>
      <c r="J155" s="2423">
        <f t="array" ref="J155">IFERROR(MIN(IF($P$111:$P$140="No",J111:J140)),"")</f>
        <v/>
      </c>
      <c r="K155" s="2408" t="n"/>
      <c r="L155" s="2440" t="n"/>
      <c r="M155" s="2408" t="n"/>
      <c r="N155" s="2408" t="n"/>
      <c r="O155" s="2408" t="n"/>
      <c r="P155" s="2408" t="n"/>
      <c r="Q155" s="2408" t="n"/>
      <c r="R155" s="2408" t="n"/>
      <c r="S155" s="2408" t="n"/>
    </row>
  </sheetData>
  <mergeCells count="5">
    <mergeCell ref="K8:M8"/>
    <mergeCell ref="F109:J109"/>
    <mergeCell ref="K109:L109"/>
    <mergeCell ref="Q3:R4"/>
    <mergeCell ref="F8:J8"/>
  </mergeCells>
  <conditionalFormatting sqref="D111:J140">
    <cfRule type="expression" priority="124" dxfId="0">
      <formula>$P111="Yes"</formula>
    </cfRule>
  </conditionalFormatting>
  <dataValidations count="2">
    <dataValidation sqref="Q3:R4" showDropDown="0" showInputMessage="1" showErrorMessage="1" allowBlank="1" promptTitle="Warning:" prompt="Ensure cell value is consistent with that in GPCRevGrowth tab, Cell AE2_x000a_"/>
    <dataValidation sqref="P10:P39 P61:P90 P111:P140"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3.xml><?xml version="1.0" encoding="utf-8"?>
<worksheet xmlns="http://schemas.openxmlformats.org/spreadsheetml/2006/main">
  <sheetPr codeName="Sheet5">
    <tabColor theme="7"/>
    <outlinePr summaryBelow="1" summaryRight="1"/>
    <pageSetUpPr/>
  </sheetPr>
  <dimension ref="A2:T34"/>
  <sheetViews>
    <sheetView showGridLines="0" zoomScale="83" zoomScaleNormal="83" workbookViewId="0">
      <selection activeCell="A37" sqref="A37:XFD72"/>
    </sheetView>
  </sheetViews>
  <sheetFormatPr baseColWidth="8" defaultColWidth="8.84375" defaultRowHeight="11.5"/>
  <cols>
    <col width="4.4609375" customWidth="1" style="63" min="1" max="1"/>
    <col width="13.4609375" customWidth="1" style="63" min="2" max="2"/>
    <col width="43.84375" customWidth="1" style="63" min="3" max="3"/>
    <col width="8.84375" customWidth="1" style="63" min="4" max="7"/>
    <col width="10.84375" bestFit="1" customWidth="1" style="63" min="8" max="8"/>
    <col width="10.15234375" customWidth="1" style="63" min="9" max="9"/>
    <col width="9.15234375" bestFit="1" customWidth="1" style="63" min="10" max="11"/>
    <col width="15.15234375" customWidth="1" style="63" min="12" max="12"/>
    <col width="36.4609375" customWidth="1" style="63" min="13" max="13"/>
    <col width="8.84375" customWidth="1" style="63" min="14" max="16384"/>
  </cols>
  <sheetData>
    <row r="2" ht="21" customHeight="1">
      <c r="B2" s="995" t="inlineStr">
        <is>
          <t>Capital structure summary - Debt/Equity</t>
        </is>
      </c>
      <c r="L2" s="995" t="inlineStr">
        <is>
          <t>Capital structure summary - Debt/Capital</t>
        </is>
      </c>
    </row>
    <row r="3">
      <c r="B3" s="246" t="n"/>
      <c r="C3" s="979" t="n"/>
      <c r="D3" s="985" t="n"/>
      <c r="E3" s="985" t="n"/>
      <c r="F3" s="985" t="n"/>
      <c r="G3" s="985" t="n"/>
      <c r="H3" s="985" t="n"/>
      <c r="I3" s="985" t="n"/>
      <c r="J3" s="985" t="n"/>
      <c r="L3" s="246" t="n"/>
      <c r="M3" s="979" t="n"/>
      <c r="N3" s="985" t="n"/>
      <c r="O3" s="985" t="n"/>
      <c r="P3" s="985" t="n"/>
      <c r="Q3" s="985" t="n"/>
      <c r="R3" s="985" t="n"/>
      <c r="S3" s="985" t="n"/>
      <c r="T3" s="985" t="n"/>
    </row>
    <row r="4">
      <c r="B4" s="986" t="inlineStr">
        <is>
          <t>Ticker</t>
        </is>
      </c>
      <c r="C4" s="986" t="inlineStr">
        <is>
          <t>Guideline Companies</t>
        </is>
      </c>
      <c r="D4" s="987" t="inlineStr">
        <is>
          <t>FYE-4</t>
        </is>
      </c>
      <c r="E4" s="987" t="inlineStr">
        <is>
          <t>FYE -3</t>
        </is>
      </c>
      <c r="F4" s="987" t="inlineStr">
        <is>
          <t>FYE -2</t>
        </is>
      </c>
      <c r="G4" s="987" t="inlineStr">
        <is>
          <t>FYE -1</t>
        </is>
      </c>
      <c r="H4" s="987" t="inlineStr">
        <is>
          <t>FYE</t>
        </is>
      </c>
      <c r="I4" s="987" t="inlineStr">
        <is>
          <t>5Yr Average</t>
        </is>
      </c>
      <c r="J4" s="987" t="inlineStr">
        <is>
          <t>2Yr Average</t>
        </is>
      </c>
      <c r="L4" s="986" t="inlineStr">
        <is>
          <t>Ticker</t>
        </is>
      </c>
      <c r="M4" s="986" t="inlineStr">
        <is>
          <t>Guideline Companies</t>
        </is>
      </c>
      <c r="N4" s="987" t="inlineStr">
        <is>
          <t>FYE-4</t>
        </is>
      </c>
      <c r="O4" s="987" t="inlineStr">
        <is>
          <t>FYE -3</t>
        </is>
      </c>
      <c r="P4" s="987" t="inlineStr">
        <is>
          <t>FYE -2</t>
        </is>
      </c>
      <c r="Q4" s="987" t="inlineStr">
        <is>
          <t>FYE -1</t>
        </is>
      </c>
      <c r="R4" s="987" t="inlineStr">
        <is>
          <t>FYE</t>
        </is>
      </c>
      <c r="S4" s="987" t="inlineStr">
        <is>
          <t>5Yr Average</t>
        </is>
      </c>
      <c r="T4" s="987" t="inlineStr">
        <is>
          <t>2Yr Average</t>
        </is>
      </c>
    </row>
    <row r="5">
      <c r="A5" s="988" t="n">
        <v>1</v>
      </c>
      <c r="B5" s="989">
        <f>'GPC Data'!D22</f>
        <v/>
      </c>
      <c r="C5" s="989">
        <f>'GPC Data'!E22</f>
        <v/>
      </c>
      <c r="D5" s="2461">
        <f>'GPC Data'!I56</f>
        <v/>
      </c>
      <c r="E5" s="2461">
        <f>'GPC Data'!J56</f>
        <v/>
      </c>
      <c r="F5" s="2461">
        <f>'GPC Data'!K56</f>
        <v/>
      </c>
      <c r="G5" s="2461">
        <f>'GPC Data'!L56</f>
        <v/>
      </c>
      <c r="H5" s="2461">
        <f>'GPC Data'!M56</f>
        <v/>
      </c>
      <c r="I5" s="2468">
        <f>'GPC Data'!N56</f>
        <v/>
      </c>
      <c r="J5" s="2468">
        <f>'GPC Data'!O56</f>
        <v/>
      </c>
      <c r="L5" s="989">
        <f>B5</f>
        <v/>
      </c>
      <c r="M5" s="989">
        <f>C5</f>
        <v/>
      </c>
      <c r="N5" s="2461">
        <f>'GPC Data'!P56</f>
        <v/>
      </c>
      <c r="O5" s="2461">
        <f>'GPC Data'!Q56</f>
        <v/>
      </c>
      <c r="P5" s="2461">
        <f>'GPC Data'!R56</f>
        <v/>
      </c>
      <c r="Q5" s="2461">
        <f>'GPC Data'!S56</f>
        <v/>
      </c>
      <c r="R5" s="2461">
        <f>'GPC Data'!T56</f>
        <v/>
      </c>
      <c r="S5" s="2468">
        <f>'GPC Data'!U56</f>
        <v/>
      </c>
      <c r="T5" s="2468">
        <f>'GPC Data'!V56</f>
        <v/>
      </c>
    </row>
    <row r="6">
      <c r="A6" s="988" t="n">
        <v>2</v>
      </c>
      <c r="B6" s="63">
        <f>'GPC Data'!D23</f>
        <v/>
      </c>
      <c r="C6" s="63">
        <f>'GPC Data'!E23</f>
        <v/>
      </c>
      <c r="D6" s="1989">
        <f>'GPC Data'!I57</f>
        <v/>
      </c>
      <c r="E6" s="1989">
        <f>'GPC Data'!J57</f>
        <v/>
      </c>
      <c r="F6" s="1989">
        <f>'GPC Data'!K57</f>
        <v/>
      </c>
      <c r="G6" s="1989">
        <f>'GPC Data'!L57</f>
        <v/>
      </c>
      <c r="H6" s="1989">
        <f>'GPC Data'!M57</f>
        <v/>
      </c>
      <c r="I6" s="2469">
        <f>'GPC Data'!N57</f>
        <v/>
      </c>
      <c r="J6" s="2469">
        <f>'GPC Data'!O57</f>
        <v/>
      </c>
      <c r="L6" s="63">
        <f>B6</f>
        <v/>
      </c>
      <c r="M6" s="63">
        <f>C6</f>
        <v/>
      </c>
      <c r="N6" s="1989">
        <f>'GPC Data'!P57</f>
        <v/>
      </c>
      <c r="O6" s="1989">
        <f>'GPC Data'!Q57</f>
        <v/>
      </c>
      <c r="P6" s="1989">
        <f>'GPC Data'!R57</f>
        <v/>
      </c>
      <c r="Q6" s="1989">
        <f>'GPC Data'!S57</f>
        <v/>
      </c>
      <c r="R6" s="1989">
        <f>'GPC Data'!T57</f>
        <v/>
      </c>
      <c r="S6" s="2469">
        <f>'GPC Data'!U57</f>
        <v/>
      </c>
      <c r="T6" s="2469">
        <f>'GPC Data'!V57</f>
        <v/>
      </c>
    </row>
    <row r="7">
      <c r="A7" s="988" t="n">
        <v>3</v>
      </c>
      <c r="B7" s="63">
        <f>'GPC Data'!D24</f>
        <v/>
      </c>
      <c r="C7" s="63">
        <f>'GPC Data'!E24</f>
        <v/>
      </c>
      <c r="D7" s="1989">
        <f>'GPC Data'!I58</f>
        <v/>
      </c>
      <c r="E7" s="1989">
        <f>'GPC Data'!J58</f>
        <v/>
      </c>
      <c r="F7" s="1989">
        <f>'GPC Data'!K58</f>
        <v/>
      </c>
      <c r="G7" s="1989">
        <f>'GPC Data'!L58</f>
        <v/>
      </c>
      <c r="H7" s="1989">
        <f>'GPC Data'!M58</f>
        <v/>
      </c>
      <c r="I7" s="2469">
        <f>'GPC Data'!N58</f>
        <v/>
      </c>
      <c r="J7" s="2469">
        <f>'GPC Data'!O58</f>
        <v/>
      </c>
      <c r="L7" s="63">
        <f>B7</f>
        <v/>
      </c>
      <c r="M7" s="63">
        <f>C7</f>
        <v/>
      </c>
      <c r="N7" s="1989">
        <f>'GPC Data'!P58</f>
        <v/>
      </c>
      <c r="O7" s="1989">
        <f>'GPC Data'!Q58</f>
        <v/>
      </c>
      <c r="P7" s="1989">
        <f>'GPC Data'!R58</f>
        <v/>
      </c>
      <c r="Q7" s="1989">
        <f>'GPC Data'!S58</f>
        <v/>
      </c>
      <c r="R7" s="1989">
        <f>'GPC Data'!T58</f>
        <v/>
      </c>
      <c r="S7" s="2469">
        <f>'GPC Data'!U58</f>
        <v/>
      </c>
      <c r="T7" s="2469">
        <f>'GPC Data'!V58</f>
        <v/>
      </c>
    </row>
    <row r="8">
      <c r="A8" s="988" t="n">
        <v>4</v>
      </c>
      <c r="B8" s="63">
        <f>'GPC Data'!D25</f>
        <v/>
      </c>
      <c r="C8" s="63">
        <f>'GPC Data'!E25</f>
        <v/>
      </c>
      <c r="D8" s="1989">
        <f>'GPC Data'!I59</f>
        <v/>
      </c>
      <c r="E8" s="1989">
        <f>'GPC Data'!J59</f>
        <v/>
      </c>
      <c r="F8" s="1989">
        <f>'GPC Data'!K59</f>
        <v/>
      </c>
      <c r="G8" s="1989">
        <f>'GPC Data'!L59</f>
        <v/>
      </c>
      <c r="H8" s="1989">
        <f>'GPC Data'!M59</f>
        <v/>
      </c>
      <c r="I8" s="2469">
        <f>'GPC Data'!N59</f>
        <v/>
      </c>
      <c r="J8" s="2469">
        <f>'GPC Data'!O59</f>
        <v/>
      </c>
      <c r="L8" s="63">
        <f>B8</f>
        <v/>
      </c>
      <c r="M8" s="63">
        <f>C8</f>
        <v/>
      </c>
      <c r="N8" s="1989">
        <f>'GPC Data'!P59</f>
        <v/>
      </c>
      <c r="O8" s="1989">
        <f>'GPC Data'!Q59</f>
        <v/>
      </c>
      <c r="P8" s="1989">
        <f>'GPC Data'!R59</f>
        <v/>
      </c>
      <c r="Q8" s="1989">
        <f>'GPC Data'!S59</f>
        <v/>
      </c>
      <c r="R8" s="1989">
        <f>'GPC Data'!T59</f>
        <v/>
      </c>
      <c r="S8" s="2469">
        <f>'GPC Data'!U59</f>
        <v/>
      </c>
      <c r="T8" s="2469">
        <f>'GPC Data'!V59</f>
        <v/>
      </c>
    </row>
    <row r="9">
      <c r="A9" s="988" t="n">
        <v>5</v>
      </c>
      <c r="B9" s="63">
        <f>'GPC Data'!D26</f>
        <v/>
      </c>
      <c r="C9" s="63">
        <f>'GPC Data'!E26</f>
        <v/>
      </c>
      <c r="D9" s="1989">
        <f>'GPC Data'!I60</f>
        <v/>
      </c>
      <c r="E9" s="1989">
        <f>'GPC Data'!J60</f>
        <v/>
      </c>
      <c r="F9" s="1989">
        <f>'GPC Data'!K60</f>
        <v/>
      </c>
      <c r="G9" s="1989">
        <f>'GPC Data'!L60</f>
        <v/>
      </c>
      <c r="H9" s="1989">
        <f>'GPC Data'!M60</f>
        <v/>
      </c>
      <c r="I9" s="2469">
        <f>'GPC Data'!N60</f>
        <v/>
      </c>
      <c r="J9" s="2469">
        <f>'GPC Data'!O60</f>
        <v/>
      </c>
      <c r="L9" s="63">
        <f>B9</f>
        <v/>
      </c>
      <c r="M9" s="63">
        <f>C9</f>
        <v/>
      </c>
      <c r="N9" s="1989">
        <f>'GPC Data'!P60</f>
        <v/>
      </c>
      <c r="O9" s="1989">
        <f>'GPC Data'!Q60</f>
        <v/>
      </c>
      <c r="P9" s="1989">
        <f>'GPC Data'!R60</f>
        <v/>
      </c>
      <c r="Q9" s="1989">
        <f>'GPC Data'!S60</f>
        <v/>
      </c>
      <c r="R9" s="1989">
        <f>'GPC Data'!T60</f>
        <v/>
      </c>
      <c r="S9" s="2469">
        <f>'GPC Data'!U60</f>
        <v/>
      </c>
      <c r="T9" s="2469">
        <f>'GPC Data'!V60</f>
        <v/>
      </c>
    </row>
    <row r="10">
      <c r="A10" s="988" t="n">
        <v>6</v>
      </c>
      <c r="B10" s="63">
        <f>'GPC Data'!D27</f>
        <v/>
      </c>
      <c r="C10" s="63">
        <f>'GPC Data'!E27</f>
        <v/>
      </c>
      <c r="D10" s="1989">
        <f>'GPC Data'!I61</f>
        <v/>
      </c>
      <c r="E10" s="1989">
        <f>'GPC Data'!J61</f>
        <v/>
      </c>
      <c r="F10" s="1989">
        <f>'GPC Data'!K61</f>
        <v/>
      </c>
      <c r="G10" s="1989">
        <f>'GPC Data'!L61</f>
        <v/>
      </c>
      <c r="H10" s="1989">
        <f>'GPC Data'!M61</f>
        <v/>
      </c>
      <c r="I10" s="2469">
        <f>'GPC Data'!N61</f>
        <v/>
      </c>
      <c r="J10" s="2469">
        <f>'GPC Data'!O61</f>
        <v/>
      </c>
      <c r="L10" s="63">
        <f>B10</f>
        <v/>
      </c>
      <c r="M10" s="63">
        <f>C10</f>
        <v/>
      </c>
      <c r="N10" s="1989">
        <f>'GPC Data'!P61</f>
        <v/>
      </c>
      <c r="O10" s="1989">
        <f>'GPC Data'!Q61</f>
        <v/>
      </c>
      <c r="P10" s="1989">
        <f>'GPC Data'!R61</f>
        <v/>
      </c>
      <c r="Q10" s="1989">
        <f>'GPC Data'!S61</f>
        <v/>
      </c>
      <c r="R10" s="1989">
        <f>'GPC Data'!T61</f>
        <v/>
      </c>
      <c r="S10" s="2469">
        <f>'GPC Data'!U61</f>
        <v/>
      </c>
      <c r="T10" s="2469">
        <f>'GPC Data'!V61</f>
        <v/>
      </c>
    </row>
    <row r="11">
      <c r="A11" s="988" t="n">
        <v>7</v>
      </c>
      <c r="B11" s="63">
        <f>'GPC Data'!D28</f>
        <v/>
      </c>
      <c r="C11" s="63">
        <f>'GPC Data'!E28</f>
        <v/>
      </c>
      <c r="D11" s="1989">
        <f>'GPC Data'!I62</f>
        <v/>
      </c>
      <c r="E11" s="1989">
        <f>'GPC Data'!J62</f>
        <v/>
      </c>
      <c r="F11" s="1989">
        <f>'GPC Data'!K62</f>
        <v/>
      </c>
      <c r="G11" s="1989">
        <f>'GPC Data'!L62</f>
        <v/>
      </c>
      <c r="H11" s="1989">
        <f>'GPC Data'!M62</f>
        <v/>
      </c>
      <c r="I11" s="2469">
        <f>'GPC Data'!N62</f>
        <v/>
      </c>
      <c r="J11" s="2469">
        <f>'GPC Data'!O62</f>
        <v/>
      </c>
      <c r="L11" s="63">
        <f>B11</f>
        <v/>
      </c>
      <c r="M11" s="63">
        <f>C11</f>
        <v/>
      </c>
      <c r="N11" s="1989">
        <f>'GPC Data'!P62</f>
        <v/>
      </c>
      <c r="O11" s="1989">
        <f>'GPC Data'!Q62</f>
        <v/>
      </c>
      <c r="P11" s="1989">
        <f>'GPC Data'!R62</f>
        <v/>
      </c>
      <c r="Q11" s="1989">
        <f>'GPC Data'!S62</f>
        <v/>
      </c>
      <c r="R11" s="1989">
        <f>'GPC Data'!T62</f>
        <v/>
      </c>
      <c r="S11" s="2469">
        <f>'GPC Data'!U62</f>
        <v/>
      </c>
      <c r="T11" s="2469">
        <f>'GPC Data'!V62</f>
        <v/>
      </c>
    </row>
    <row r="12">
      <c r="A12" s="988" t="n">
        <v>8</v>
      </c>
      <c r="B12" s="63">
        <f>'GPC Data'!D29</f>
        <v/>
      </c>
      <c r="C12" s="63">
        <f>'GPC Data'!E29</f>
        <v/>
      </c>
      <c r="D12" s="1989">
        <f>'GPC Data'!I63</f>
        <v/>
      </c>
      <c r="E12" s="1989">
        <f>'GPC Data'!J63</f>
        <v/>
      </c>
      <c r="F12" s="1989">
        <f>'GPC Data'!K63</f>
        <v/>
      </c>
      <c r="G12" s="1989">
        <f>'GPC Data'!L63</f>
        <v/>
      </c>
      <c r="H12" s="1989">
        <f>'GPC Data'!M63</f>
        <v/>
      </c>
      <c r="I12" s="2469">
        <f>'GPC Data'!N63</f>
        <v/>
      </c>
      <c r="J12" s="2469">
        <f>'GPC Data'!O63</f>
        <v/>
      </c>
      <c r="L12" s="63">
        <f>B12</f>
        <v/>
      </c>
      <c r="M12" s="63">
        <f>C12</f>
        <v/>
      </c>
      <c r="N12" s="1989">
        <f>'GPC Data'!P63</f>
        <v/>
      </c>
      <c r="O12" s="1989">
        <f>'GPC Data'!Q63</f>
        <v/>
      </c>
      <c r="P12" s="1989">
        <f>'GPC Data'!R63</f>
        <v/>
      </c>
      <c r="Q12" s="1989">
        <f>'GPC Data'!S63</f>
        <v/>
      </c>
      <c r="R12" s="1989">
        <f>'GPC Data'!T63</f>
        <v/>
      </c>
      <c r="S12" s="2469">
        <f>'GPC Data'!U63</f>
        <v/>
      </c>
      <c r="T12" s="2469">
        <f>'GPC Data'!V63</f>
        <v/>
      </c>
    </row>
    <row r="13">
      <c r="A13" s="988" t="n">
        <v>9</v>
      </c>
      <c r="B13" s="63">
        <f>'GPC Data'!D30</f>
        <v/>
      </c>
      <c r="C13" s="63">
        <f>'GPC Data'!E30</f>
        <v/>
      </c>
      <c r="D13" s="1989">
        <f>'GPC Data'!I64</f>
        <v/>
      </c>
      <c r="E13" s="1989">
        <f>'GPC Data'!J64</f>
        <v/>
      </c>
      <c r="F13" s="1989">
        <f>'GPC Data'!K64</f>
        <v/>
      </c>
      <c r="G13" s="1989">
        <f>'GPC Data'!L64</f>
        <v/>
      </c>
      <c r="H13" s="1989">
        <f>'GPC Data'!M64</f>
        <v/>
      </c>
      <c r="I13" s="2469">
        <f>'GPC Data'!N64</f>
        <v/>
      </c>
      <c r="J13" s="2469">
        <f>'GPC Data'!O64</f>
        <v/>
      </c>
      <c r="L13" s="63">
        <f>B13</f>
        <v/>
      </c>
      <c r="M13" s="63">
        <f>C13</f>
        <v/>
      </c>
      <c r="N13" s="1989">
        <f>'GPC Data'!P64</f>
        <v/>
      </c>
      <c r="O13" s="1989">
        <f>'GPC Data'!Q64</f>
        <v/>
      </c>
      <c r="P13" s="1989">
        <f>'GPC Data'!R64</f>
        <v/>
      </c>
      <c r="Q13" s="1989">
        <f>'GPC Data'!S64</f>
        <v/>
      </c>
      <c r="R13" s="1989">
        <f>'GPC Data'!T64</f>
        <v/>
      </c>
      <c r="S13" s="2469">
        <f>'GPC Data'!U64</f>
        <v/>
      </c>
      <c r="T13" s="2469">
        <f>'GPC Data'!V64</f>
        <v/>
      </c>
    </row>
    <row r="14">
      <c r="A14" s="988" t="n">
        <v>10</v>
      </c>
      <c r="B14" s="63">
        <f>'GPC Data'!D31</f>
        <v/>
      </c>
      <c r="C14" s="63">
        <f>'GPC Data'!E31</f>
        <v/>
      </c>
      <c r="D14" s="1989">
        <f>'GPC Data'!I65</f>
        <v/>
      </c>
      <c r="E14" s="1989">
        <f>'GPC Data'!J65</f>
        <v/>
      </c>
      <c r="F14" s="1989">
        <f>'GPC Data'!K65</f>
        <v/>
      </c>
      <c r="G14" s="1989">
        <f>'GPC Data'!L65</f>
        <v/>
      </c>
      <c r="H14" s="1989">
        <f>'GPC Data'!M65</f>
        <v/>
      </c>
      <c r="I14" s="2469">
        <f>'GPC Data'!N65</f>
        <v/>
      </c>
      <c r="J14" s="2469">
        <f>'GPC Data'!O65</f>
        <v/>
      </c>
      <c r="L14" s="63">
        <f>B14</f>
        <v/>
      </c>
      <c r="M14" s="63">
        <f>C14</f>
        <v/>
      </c>
      <c r="N14" s="1989">
        <f>'GPC Data'!P65</f>
        <v/>
      </c>
      <c r="O14" s="1989">
        <f>'GPC Data'!Q65</f>
        <v/>
      </c>
      <c r="P14" s="1989">
        <f>'GPC Data'!R65</f>
        <v/>
      </c>
      <c r="Q14" s="1989">
        <f>'GPC Data'!S65</f>
        <v/>
      </c>
      <c r="R14" s="1989">
        <f>'GPC Data'!T65</f>
        <v/>
      </c>
      <c r="S14" s="2469">
        <f>'GPC Data'!U65</f>
        <v/>
      </c>
      <c r="T14" s="2469">
        <f>'GPC Data'!V65</f>
        <v/>
      </c>
    </row>
    <row r="15">
      <c r="A15" s="988" t="n">
        <v>11</v>
      </c>
      <c r="B15" s="63">
        <f>'GPC Data'!D32</f>
        <v/>
      </c>
      <c r="C15" s="63">
        <f>'GPC Data'!E32</f>
        <v/>
      </c>
      <c r="D15" s="1989">
        <f>'GPC Data'!I66</f>
        <v/>
      </c>
      <c r="E15" s="1989">
        <f>'GPC Data'!J66</f>
        <v/>
      </c>
      <c r="F15" s="1989">
        <f>'GPC Data'!K66</f>
        <v/>
      </c>
      <c r="G15" s="1989">
        <f>'GPC Data'!L66</f>
        <v/>
      </c>
      <c r="H15" s="1989">
        <f>'GPC Data'!M66</f>
        <v/>
      </c>
      <c r="I15" s="2469">
        <f>'GPC Data'!N66</f>
        <v/>
      </c>
      <c r="J15" s="2469">
        <f>'GPC Data'!O66</f>
        <v/>
      </c>
      <c r="L15" s="63">
        <f>B15</f>
        <v/>
      </c>
      <c r="M15" s="63">
        <f>C15</f>
        <v/>
      </c>
      <c r="N15" s="1989">
        <f>'GPC Data'!P66</f>
        <v/>
      </c>
      <c r="O15" s="1989">
        <f>'GPC Data'!Q66</f>
        <v/>
      </c>
      <c r="P15" s="1989">
        <f>'GPC Data'!R66</f>
        <v/>
      </c>
      <c r="Q15" s="1989">
        <f>'GPC Data'!S66</f>
        <v/>
      </c>
      <c r="R15" s="1989">
        <f>'GPC Data'!T66</f>
        <v/>
      </c>
      <c r="S15" s="2469">
        <f>'GPC Data'!U66</f>
        <v/>
      </c>
      <c r="T15" s="2469">
        <f>'GPC Data'!V66</f>
        <v/>
      </c>
    </row>
    <row r="16">
      <c r="A16" s="988" t="n">
        <v>12</v>
      </c>
      <c r="B16" s="63">
        <f>'GPC Data'!D33</f>
        <v/>
      </c>
      <c r="C16" s="63">
        <f>'GPC Data'!E33</f>
        <v/>
      </c>
      <c r="D16" s="1989">
        <f>'GPC Data'!I67</f>
        <v/>
      </c>
      <c r="E16" s="1989">
        <f>'GPC Data'!J67</f>
        <v/>
      </c>
      <c r="F16" s="1989">
        <f>'GPC Data'!K67</f>
        <v/>
      </c>
      <c r="G16" s="1989">
        <f>'GPC Data'!L67</f>
        <v/>
      </c>
      <c r="H16" s="1989">
        <f>'GPC Data'!M67</f>
        <v/>
      </c>
      <c r="I16" s="2469">
        <f>'GPC Data'!N67</f>
        <v/>
      </c>
      <c r="J16" s="2469">
        <f>'GPC Data'!O67</f>
        <v/>
      </c>
      <c r="L16" s="63">
        <f>B16</f>
        <v/>
      </c>
      <c r="M16" s="63">
        <f>C16</f>
        <v/>
      </c>
      <c r="N16" s="1989">
        <f>'GPC Data'!P67</f>
        <v/>
      </c>
      <c r="O16" s="1989">
        <f>'GPC Data'!Q67</f>
        <v/>
      </c>
      <c r="P16" s="1989">
        <f>'GPC Data'!R67</f>
        <v/>
      </c>
      <c r="Q16" s="1989">
        <f>'GPC Data'!S67</f>
        <v/>
      </c>
      <c r="R16" s="1989">
        <f>'GPC Data'!T67</f>
        <v/>
      </c>
      <c r="S16" s="2469">
        <f>'GPC Data'!U67</f>
        <v/>
      </c>
      <c r="T16" s="2469">
        <f>'GPC Data'!V67</f>
        <v/>
      </c>
    </row>
    <row r="17">
      <c r="A17" s="988" t="n">
        <v>13</v>
      </c>
      <c r="B17" s="63">
        <f>'GPC Data'!D34</f>
        <v/>
      </c>
      <c r="C17" s="63">
        <f>'GPC Data'!E34</f>
        <v/>
      </c>
      <c r="D17" s="1989">
        <f>'GPC Data'!I68</f>
        <v/>
      </c>
      <c r="E17" s="1989">
        <f>'GPC Data'!J68</f>
        <v/>
      </c>
      <c r="F17" s="1989">
        <f>'GPC Data'!K68</f>
        <v/>
      </c>
      <c r="G17" s="1989">
        <f>'GPC Data'!L68</f>
        <v/>
      </c>
      <c r="H17" s="1989">
        <f>'GPC Data'!M68</f>
        <v/>
      </c>
      <c r="I17" s="2469">
        <f>'GPC Data'!N68</f>
        <v/>
      </c>
      <c r="J17" s="2469">
        <f>'GPC Data'!O68</f>
        <v/>
      </c>
      <c r="L17" s="63">
        <f>B17</f>
        <v/>
      </c>
      <c r="M17" s="63">
        <f>C17</f>
        <v/>
      </c>
      <c r="N17" s="1989">
        <f>'GPC Data'!P68</f>
        <v/>
      </c>
      <c r="O17" s="1989">
        <f>'GPC Data'!Q68</f>
        <v/>
      </c>
      <c r="P17" s="1989">
        <f>'GPC Data'!R68</f>
        <v/>
      </c>
      <c r="Q17" s="1989">
        <f>'GPC Data'!S68</f>
        <v/>
      </c>
      <c r="R17" s="1989">
        <f>'GPC Data'!T68</f>
        <v/>
      </c>
      <c r="S17" s="2469">
        <f>'GPC Data'!U68</f>
        <v/>
      </c>
      <c r="T17" s="2469">
        <f>'GPC Data'!V68</f>
        <v/>
      </c>
    </row>
    <row r="18">
      <c r="A18" s="988" t="n">
        <v>14</v>
      </c>
      <c r="B18" s="63">
        <f>'GPC Data'!D35</f>
        <v/>
      </c>
      <c r="C18" s="63">
        <f>'GPC Data'!E35</f>
        <v/>
      </c>
      <c r="D18" s="1989">
        <f>'GPC Data'!I69</f>
        <v/>
      </c>
      <c r="E18" s="1989">
        <f>'GPC Data'!J69</f>
        <v/>
      </c>
      <c r="F18" s="1989">
        <f>'GPC Data'!K69</f>
        <v/>
      </c>
      <c r="G18" s="1989">
        <f>'GPC Data'!L69</f>
        <v/>
      </c>
      <c r="H18" s="1989">
        <f>'GPC Data'!M69</f>
        <v/>
      </c>
      <c r="I18" s="2469">
        <f>'GPC Data'!N69</f>
        <v/>
      </c>
      <c r="J18" s="2469">
        <f>'GPC Data'!O69</f>
        <v/>
      </c>
      <c r="L18" s="63">
        <f>B18</f>
        <v/>
      </c>
      <c r="M18" s="63">
        <f>C18</f>
        <v/>
      </c>
      <c r="N18" s="1989">
        <f>'GPC Data'!P69</f>
        <v/>
      </c>
      <c r="O18" s="1989">
        <f>'GPC Data'!Q69</f>
        <v/>
      </c>
      <c r="P18" s="1989">
        <f>'GPC Data'!R69</f>
        <v/>
      </c>
      <c r="Q18" s="1989">
        <f>'GPC Data'!S69</f>
        <v/>
      </c>
      <c r="R18" s="1989">
        <f>'GPC Data'!T69</f>
        <v/>
      </c>
      <c r="S18" s="2469">
        <f>'GPC Data'!U69</f>
        <v/>
      </c>
      <c r="T18" s="2469">
        <f>'GPC Data'!V69</f>
        <v/>
      </c>
    </row>
    <row r="19">
      <c r="A19" s="988" t="n">
        <v>15</v>
      </c>
      <c r="B19" s="63">
        <f>'GPC Data'!D36</f>
        <v/>
      </c>
      <c r="C19" s="63">
        <f>'GPC Data'!E36</f>
        <v/>
      </c>
      <c r="D19" s="1989">
        <f>'GPC Data'!I70</f>
        <v/>
      </c>
      <c r="E19" s="1989">
        <f>'GPC Data'!J70</f>
        <v/>
      </c>
      <c r="F19" s="1989">
        <f>'GPC Data'!K70</f>
        <v/>
      </c>
      <c r="G19" s="1989">
        <f>'GPC Data'!L70</f>
        <v/>
      </c>
      <c r="H19" s="1989">
        <f>'GPC Data'!M70</f>
        <v/>
      </c>
      <c r="I19" s="2469">
        <f>'GPC Data'!N70</f>
        <v/>
      </c>
      <c r="J19" s="2469">
        <f>'GPC Data'!O70</f>
        <v/>
      </c>
      <c r="L19" s="63">
        <f>B19</f>
        <v/>
      </c>
      <c r="M19" s="63">
        <f>C19</f>
        <v/>
      </c>
      <c r="N19" s="1989">
        <f>'GPC Data'!P70</f>
        <v/>
      </c>
      <c r="O19" s="1989">
        <f>'GPC Data'!Q70</f>
        <v/>
      </c>
      <c r="P19" s="1989">
        <f>'GPC Data'!R70</f>
        <v/>
      </c>
      <c r="Q19" s="1989">
        <f>'GPC Data'!S70</f>
        <v/>
      </c>
      <c r="R19" s="1989">
        <f>'GPC Data'!T70</f>
        <v/>
      </c>
      <c r="S19" s="2469">
        <f>'GPC Data'!U70</f>
        <v/>
      </c>
      <c r="T19" s="2469">
        <f>'GPC Data'!V70</f>
        <v/>
      </c>
    </row>
    <row r="20">
      <c r="A20" s="988" t="n">
        <v>16</v>
      </c>
      <c r="B20" s="63">
        <f>'GPC Data'!D37</f>
        <v/>
      </c>
      <c r="C20" s="63">
        <f>'GPC Data'!E37</f>
        <v/>
      </c>
      <c r="D20" s="1989">
        <f>'GPC Data'!I71</f>
        <v/>
      </c>
      <c r="E20" s="1989">
        <f>'GPC Data'!J71</f>
        <v/>
      </c>
      <c r="F20" s="1989">
        <f>'GPC Data'!K71</f>
        <v/>
      </c>
      <c r="G20" s="1989">
        <f>'GPC Data'!L71</f>
        <v/>
      </c>
      <c r="H20" s="1989">
        <f>'GPC Data'!M71</f>
        <v/>
      </c>
      <c r="I20" s="2469">
        <f>'GPC Data'!N71</f>
        <v/>
      </c>
      <c r="J20" s="2469">
        <f>'GPC Data'!O71</f>
        <v/>
      </c>
      <c r="L20" s="63">
        <f>B20</f>
        <v/>
      </c>
      <c r="M20" s="63">
        <f>C20</f>
        <v/>
      </c>
      <c r="N20" s="1989">
        <f>'GPC Data'!P71</f>
        <v/>
      </c>
      <c r="O20" s="1989">
        <f>'GPC Data'!Q71</f>
        <v/>
      </c>
      <c r="P20" s="1989">
        <f>'GPC Data'!R71</f>
        <v/>
      </c>
      <c r="Q20" s="1989">
        <f>'GPC Data'!S71</f>
        <v/>
      </c>
      <c r="R20" s="1989">
        <f>'GPC Data'!T71</f>
        <v/>
      </c>
      <c r="S20" s="2469">
        <f>'GPC Data'!U71</f>
        <v/>
      </c>
      <c r="T20" s="2469">
        <f>'GPC Data'!V71</f>
        <v/>
      </c>
    </row>
    <row r="21">
      <c r="A21" s="988" t="n">
        <v>17</v>
      </c>
      <c r="B21" s="63">
        <f>'GPC Data'!D38</f>
        <v/>
      </c>
      <c r="C21" s="63">
        <f>'GPC Data'!E38</f>
        <v/>
      </c>
      <c r="D21" s="1989">
        <f>'GPC Data'!I72</f>
        <v/>
      </c>
      <c r="E21" s="1989">
        <f>'GPC Data'!J72</f>
        <v/>
      </c>
      <c r="F21" s="1989">
        <f>'GPC Data'!K72</f>
        <v/>
      </c>
      <c r="G21" s="1989">
        <f>'GPC Data'!L72</f>
        <v/>
      </c>
      <c r="H21" s="1989">
        <f>'GPC Data'!M72</f>
        <v/>
      </c>
      <c r="I21" s="2469">
        <f>'GPC Data'!N72</f>
        <v/>
      </c>
      <c r="J21" s="2469">
        <f>'GPC Data'!O72</f>
        <v/>
      </c>
      <c r="L21" s="63">
        <f>B21</f>
        <v/>
      </c>
      <c r="M21" s="63">
        <f>C21</f>
        <v/>
      </c>
      <c r="N21" s="1989">
        <f>'GPC Data'!P72</f>
        <v/>
      </c>
      <c r="O21" s="1989">
        <f>'GPC Data'!Q72</f>
        <v/>
      </c>
      <c r="P21" s="1989">
        <f>'GPC Data'!R72</f>
        <v/>
      </c>
      <c r="Q21" s="1989">
        <f>'GPC Data'!S72</f>
        <v/>
      </c>
      <c r="R21" s="1989">
        <f>'GPC Data'!T72</f>
        <v/>
      </c>
      <c r="S21" s="2469">
        <f>'GPC Data'!U72</f>
        <v/>
      </c>
      <c r="T21" s="2469">
        <f>'GPC Data'!V72</f>
        <v/>
      </c>
    </row>
    <row r="22">
      <c r="A22" s="988" t="n">
        <v>18</v>
      </c>
      <c r="B22" s="63">
        <f>'GPC Data'!D39</f>
        <v/>
      </c>
      <c r="C22" s="63">
        <f>'GPC Data'!E39</f>
        <v/>
      </c>
      <c r="D22" s="1989">
        <f>'GPC Data'!I73</f>
        <v/>
      </c>
      <c r="E22" s="1989">
        <f>'GPC Data'!J73</f>
        <v/>
      </c>
      <c r="F22" s="1989">
        <f>'GPC Data'!K73</f>
        <v/>
      </c>
      <c r="G22" s="1989">
        <f>'GPC Data'!L73</f>
        <v/>
      </c>
      <c r="H22" s="1989">
        <f>'GPC Data'!M73</f>
        <v/>
      </c>
      <c r="I22" s="2469">
        <f>'GPC Data'!N73</f>
        <v/>
      </c>
      <c r="J22" s="2469">
        <f>'GPC Data'!O73</f>
        <v/>
      </c>
      <c r="L22" s="63">
        <f>B22</f>
        <v/>
      </c>
      <c r="M22" s="63">
        <f>C22</f>
        <v/>
      </c>
      <c r="N22" s="1989">
        <f>'GPC Data'!P73</f>
        <v/>
      </c>
      <c r="O22" s="1989">
        <f>'GPC Data'!Q73</f>
        <v/>
      </c>
      <c r="P22" s="1989">
        <f>'GPC Data'!R73</f>
        <v/>
      </c>
      <c r="Q22" s="1989">
        <f>'GPC Data'!S73</f>
        <v/>
      </c>
      <c r="R22" s="1989">
        <f>'GPC Data'!T73</f>
        <v/>
      </c>
      <c r="S22" s="2469">
        <f>'GPC Data'!U73</f>
        <v/>
      </c>
      <c r="T22" s="2469">
        <f>'GPC Data'!V73</f>
        <v/>
      </c>
    </row>
    <row r="23">
      <c r="A23" s="988" t="n">
        <v>19</v>
      </c>
      <c r="B23" s="63">
        <f>'GPC Data'!D40</f>
        <v/>
      </c>
      <c r="C23" s="63">
        <f>'GPC Data'!E40</f>
        <v/>
      </c>
      <c r="D23" s="1989">
        <f>'GPC Data'!I74</f>
        <v/>
      </c>
      <c r="E23" s="1989">
        <f>'GPC Data'!J74</f>
        <v/>
      </c>
      <c r="F23" s="1989">
        <f>'GPC Data'!K74</f>
        <v/>
      </c>
      <c r="G23" s="1989">
        <f>'GPC Data'!L74</f>
        <v/>
      </c>
      <c r="H23" s="1989">
        <f>'GPC Data'!M74</f>
        <v/>
      </c>
      <c r="I23" s="2469">
        <f>'GPC Data'!N74</f>
        <v/>
      </c>
      <c r="J23" s="2469">
        <f>'GPC Data'!O74</f>
        <v/>
      </c>
      <c r="L23" s="63">
        <f>B23</f>
        <v/>
      </c>
      <c r="M23" s="63">
        <f>C23</f>
        <v/>
      </c>
      <c r="N23" s="1989">
        <f>'GPC Data'!P74</f>
        <v/>
      </c>
      <c r="O23" s="1989">
        <f>'GPC Data'!Q74</f>
        <v/>
      </c>
      <c r="P23" s="1989">
        <f>'GPC Data'!R74</f>
        <v/>
      </c>
      <c r="Q23" s="1989">
        <f>'GPC Data'!S74</f>
        <v/>
      </c>
      <c r="R23" s="1989">
        <f>'GPC Data'!T74</f>
        <v/>
      </c>
      <c r="S23" s="2469">
        <f>'GPC Data'!U74</f>
        <v/>
      </c>
      <c r="T23" s="2469">
        <f>'GPC Data'!V74</f>
        <v/>
      </c>
    </row>
    <row r="24">
      <c r="A24" s="988" t="n">
        <v>20</v>
      </c>
      <c r="B24" s="63">
        <f>'GPC Data'!D41</f>
        <v/>
      </c>
      <c r="C24" s="63">
        <f>'GPC Data'!E41</f>
        <v/>
      </c>
      <c r="D24" s="1989">
        <f>'GPC Data'!I75</f>
        <v/>
      </c>
      <c r="E24" s="1989">
        <f>'GPC Data'!J75</f>
        <v/>
      </c>
      <c r="F24" s="1989">
        <f>'GPC Data'!K75</f>
        <v/>
      </c>
      <c r="G24" s="1989">
        <f>'GPC Data'!L75</f>
        <v/>
      </c>
      <c r="H24" s="1989">
        <f>'GPC Data'!M75</f>
        <v/>
      </c>
      <c r="I24" s="2469">
        <f>'GPC Data'!N75</f>
        <v/>
      </c>
      <c r="J24" s="2469">
        <f>'GPC Data'!O75</f>
        <v/>
      </c>
      <c r="L24" s="63">
        <f>B24</f>
        <v/>
      </c>
      <c r="M24" s="63">
        <f>C24</f>
        <v/>
      </c>
      <c r="N24" s="1989">
        <f>'GPC Data'!P75</f>
        <v/>
      </c>
      <c r="O24" s="1989">
        <f>'GPC Data'!Q75</f>
        <v/>
      </c>
      <c r="P24" s="1989">
        <f>'GPC Data'!R75</f>
        <v/>
      </c>
      <c r="Q24" s="1989">
        <f>'GPC Data'!S75</f>
        <v/>
      </c>
      <c r="R24" s="1989">
        <f>'GPC Data'!T75</f>
        <v/>
      </c>
      <c r="S24" s="2469">
        <f>'GPC Data'!U75</f>
        <v/>
      </c>
      <c r="T24" s="2469">
        <f>'GPC Data'!V75</f>
        <v/>
      </c>
    </row>
    <row r="25">
      <c r="A25" s="988" t="n">
        <v>21</v>
      </c>
      <c r="B25" s="63">
        <f>'GPC Data'!D42</f>
        <v/>
      </c>
      <c r="C25" s="63">
        <f>'GPC Data'!E42</f>
        <v/>
      </c>
      <c r="D25" s="1989">
        <f>'GPC Data'!I76</f>
        <v/>
      </c>
      <c r="E25" s="1989">
        <f>'GPC Data'!J76</f>
        <v/>
      </c>
      <c r="F25" s="1989">
        <f>'GPC Data'!K76</f>
        <v/>
      </c>
      <c r="G25" s="1989">
        <f>'GPC Data'!L76</f>
        <v/>
      </c>
      <c r="H25" s="1989">
        <f>'GPC Data'!M76</f>
        <v/>
      </c>
      <c r="I25" s="2469">
        <f>'GPC Data'!N76</f>
        <v/>
      </c>
      <c r="J25" s="2469">
        <f>'GPC Data'!O76</f>
        <v/>
      </c>
      <c r="L25" s="63">
        <f>B25</f>
        <v/>
      </c>
      <c r="M25" s="63">
        <f>C25</f>
        <v/>
      </c>
      <c r="N25" s="1989">
        <f>'GPC Data'!P76</f>
        <v/>
      </c>
      <c r="O25" s="1989">
        <f>'GPC Data'!Q76</f>
        <v/>
      </c>
      <c r="P25" s="1989">
        <f>'GPC Data'!R76</f>
        <v/>
      </c>
      <c r="Q25" s="1989">
        <f>'GPC Data'!S76</f>
        <v/>
      </c>
      <c r="R25" s="1989">
        <f>'GPC Data'!T76</f>
        <v/>
      </c>
      <c r="S25" s="2469">
        <f>'GPC Data'!U76</f>
        <v/>
      </c>
      <c r="T25" s="2469">
        <f>'GPC Data'!V76</f>
        <v/>
      </c>
    </row>
    <row r="26">
      <c r="A26" s="988" t="n">
        <v>22</v>
      </c>
      <c r="B26" s="63">
        <f>'GPC Data'!D43</f>
        <v/>
      </c>
      <c r="C26" s="63">
        <f>'GPC Data'!E43</f>
        <v/>
      </c>
      <c r="D26" s="1989">
        <f>'GPC Data'!I77</f>
        <v/>
      </c>
      <c r="E26" s="1989">
        <f>'GPC Data'!J77</f>
        <v/>
      </c>
      <c r="F26" s="1989">
        <f>'GPC Data'!K77</f>
        <v/>
      </c>
      <c r="G26" s="1989">
        <f>'GPC Data'!L77</f>
        <v/>
      </c>
      <c r="H26" s="1989">
        <f>'GPC Data'!M77</f>
        <v/>
      </c>
      <c r="I26" s="2469">
        <f>'GPC Data'!N77</f>
        <v/>
      </c>
      <c r="J26" s="2469">
        <f>'GPC Data'!O77</f>
        <v/>
      </c>
      <c r="L26" s="63">
        <f>B26</f>
        <v/>
      </c>
      <c r="M26" s="63">
        <f>C26</f>
        <v/>
      </c>
      <c r="N26" s="1989">
        <f>'GPC Data'!P77</f>
        <v/>
      </c>
      <c r="O26" s="1989">
        <f>'GPC Data'!Q77</f>
        <v/>
      </c>
      <c r="P26" s="1989">
        <f>'GPC Data'!R77</f>
        <v/>
      </c>
      <c r="Q26" s="1989">
        <f>'GPC Data'!S77</f>
        <v/>
      </c>
      <c r="R26" s="1989">
        <f>'GPC Data'!T77</f>
        <v/>
      </c>
      <c r="S26" s="2469">
        <f>'GPC Data'!U77</f>
        <v/>
      </c>
      <c r="T26" s="2469">
        <f>'GPC Data'!V77</f>
        <v/>
      </c>
    </row>
    <row r="27">
      <c r="A27" s="988" t="n">
        <v>23</v>
      </c>
      <c r="B27" s="63">
        <f>'GPC Data'!D44</f>
        <v/>
      </c>
      <c r="C27" s="63">
        <f>'GPC Data'!E44</f>
        <v/>
      </c>
      <c r="D27" s="1989">
        <f>'GPC Data'!I78</f>
        <v/>
      </c>
      <c r="E27" s="1989">
        <f>'GPC Data'!J78</f>
        <v/>
      </c>
      <c r="F27" s="1989">
        <f>'GPC Data'!K78</f>
        <v/>
      </c>
      <c r="G27" s="1989">
        <f>'GPC Data'!L78</f>
        <v/>
      </c>
      <c r="H27" s="1989">
        <f>'GPC Data'!M78</f>
        <v/>
      </c>
      <c r="I27" s="2469">
        <f>'GPC Data'!N78</f>
        <v/>
      </c>
      <c r="J27" s="2469">
        <f>'GPC Data'!O78</f>
        <v/>
      </c>
      <c r="L27" s="63">
        <f>B27</f>
        <v/>
      </c>
      <c r="M27" s="63">
        <f>C27</f>
        <v/>
      </c>
      <c r="N27" s="1989">
        <f>'GPC Data'!P78</f>
        <v/>
      </c>
      <c r="O27" s="1989">
        <f>'GPC Data'!Q78</f>
        <v/>
      </c>
      <c r="P27" s="1989">
        <f>'GPC Data'!R78</f>
        <v/>
      </c>
      <c r="Q27" s="1989">
        <f>'GPC Data'!S78</f>
        <v/>
      </c>
      <c r="R27" s="1989">
        <f>'GPC Data'!T78</f>
        <v/>
      </c>
      <c r="S27" s="2469">
        <f>'GPC Data'!U78</f>
        <v/>
      </c>
      <c r="T27" s="2469">
        <f>'GPC Data'!V78</f>
        <v/>
      </c>
    </row>
    <row r="28">
      <c r="A28" s="988" t="n">
        <v>24</v>
      </c>
      <c r="B28" s="63">
        <f>'GPC Data'!D45</f>
        <v/>
      </c>
      <c r="C28" s="63">
        <f>'GPC Data'!E45</f>
        <v/>
      </c>
      <c r="D28" s="1989">
        <f>'GPC Data'!I79</f>
        <v/>
      </c>
      <c r="E28" s="1989">
        <f>'GPC Data'!J79</f>
        <v/>
      </c>
      <c r="F28" s="1989">
        <f>'GPC Data'!K79</f>
        <v/>
      </c>
      <c r="G28" s="1989">
        <f>'GPC Data'!L79</f>
        <v/>
      </c>
      <c r="H28" s="1989">
        <f>'GPC Data'!M79</f>
        <v/>
      </c>
      <c r="I28" s="2469">
        <f>'GPC Data'!N79</f>
        <v/>
      </c>
      <c r="J28" s="2469">
        <f>'GPC Data'!O79</f>
        <v/>
      </c>
      <c r="L28" s="63">
        <f>B28</f>
        <v/>
      </c>
      <c r="M28" s="63">
        <f>C28</f>
        <v/>
      </c>
      <c r="N28" s="1989">
        <f>'GPC Data'!P79</f>
        <v/>
      </c>
      <c r="O28" s="1989">
        <f>'GPC Data'!Q79</f>
        <v/>
      </c>
      <c r="P28" s="1989">
        <f>'GPC Data'!R79</f>
        <v/>
      </c>
      <c r="Q28" s="1989">
        <f>'GPC Data'!S79</f>
        <v/>
      </c>
      <c r="R28" s="1989">
        <f>'GPC Data'!T79</f>
        <v/>
      </c>
      <c r="S28" s="2469">
        <f>'GPC Data'!U79</f>
        <v/>
      </c>
      <c r="T28" s="2469">
        <f>'GPC Data'!V79</f>
        <v/>
      </c>
    </row>
    <row r="29">
      <c r="A29" s="988" t="n">
        <v>25</v>
      </c>
      <c r="B29" s="63">
        <f>'GPC Data'!D46</f>
        <v/>
      </c>
      <c r="C29" s="63">
        <f>'GPC Data'!E46</f>
        <v/>
      </c>
      <c r="D29" s="1989">
        <f>'GPC Data'!I80</f>
        <v/>
      </c>
      <c r="E29" s="1989">
        <f>'GPC Data'!J80</f>
        <v/>
      </c>
      <c r="F29" s="1989">
        <f>'GPC Data'!K80</f>
        <v/>
      </c>
      <c r="G29" s="1989">
        <f>'GPC Data'!L80</f>
        <v/>
      </c>
      <c r="H29" s="1989">
        <f>'GPC Data'!M80</f>
        <v/>
      </c>
      <c r="I29" s="2469">
        <f>'GPC Data'!N80</f>
        <v/>
      </c>
      <c r="J29" s="2469">
        <f>'GPC Data'!O80</f>
        <v/>
      </c>
      <c r="L29" s="63">
        <f>B29</f>
        <v/>
      </c>
      <c r="M29" s="63">
        <f>C29</f>
        <v/>
      </c>
      <c r="N29" s="1989">
        <f>'GPC Data'!P80</f>
        <v/>
      </c>
      <c r="O29" s="1989">
        <f>'GPC Data'!Q80</f>
        <v/>
      </c>
      <c r="P29" s="1989">
        <f>'GPC Data'!R80</f>
        <v/>
      </c>
      <c r="Q29" s="1989">
        <f>'GPC Data'!S80</f>
        <v/>
      </c>
      <c r="R29" s="1989">
        <f>'GPC Data'!T80</f>
        <v/>
      </c>
      <c r="S29" s="2469">
        <f>'GPC Data'!U80</f>
        <v/>
      </c>
      <c r="T29" s="2469">
        <f>'GPC Data'!V80</f>
        <v/>
      </c>
    </row>
    <row r="30">
      <c r="A30" s="988" t="n">
        <v>26</v>
      </c>
      <c r="B30" s="63">
        <f>'GPC Data'!D47</f>
        <v/>
      </c>
      <c r="C30" s="63">
        <f>'GPC Data'!E47</f>
        <v/>
      </c>
      <c r="D30" s="1989">
        <f>'GPC Data'!I81</f>
        <v/>
      </c>
      <c r="E30" s="1989">
        <f>'GPC Data'!J81</f>
        <v/>
      </c>
      <c r="F30" s="1989">
        <f>'GPC Data'!K81</f>
        <v/>
      </c>
      <c r="G30" s="1989">
        <f>'GPC Data'!L81</f>
        <v/>
      </c>
      <c r="H30" s="1989">
        <f>'GPC Data'!M81</f>
        <v/>
      </c>
      <c r="I30" s="2469">
        <f>'GPC Data'!N81</f>
        <v/>
      </c>
      <c r="J30" s="2469">
        <f>'GPC Data'!O81</f>
        <v/>
      </c>
      <c r="L30" s="63">
        <f>B30</f>
        <v/>
      </c>
      <c r="M30" s="63">
        <f>C30</f>
        <v/>
      </c>
      <c r="N30" s="1989">
        <f>'GPC Data'!P81</f>
        <v/>
      </c>
      <c r="O30" s="1989">
        <f>'GPC Data'!Q81</f>
        <v/>
      </c>
      <c r="P30" s="1989">
        <f>'GPC Data'!R81</f>
        <v/>
      </c>
      <c r="Q30" s="1989">
        <f>'GPC Data'!S81</f>
        <v/>
      </c>
      <c r="R30" s="1989">
        <f>'GPC Data'!T81</f>
        <v/>
      </c>
      <c r="S30" s="2469">
        <f>'GPC Data'!U81</f>
        <v/>
      </c>
      <c r="T30" s="2469">
        <f>'GPC Data'!V81</f>
        <v/>
      </c>
    </row>
    <row r="31" ht="10.5" customHeight="1">
      <c r="A31" s="988" t="n">
        <v>27</v>
      </c>
      <c r="B31" s="63">
        <f>'GPC Data'!D48</f>
        <v/>
      </c>
      <c r="C31" s="63">
        <f>'GPC Data'!E48</f>
        <v/>
      </c>
      <c r="D31" s="1989">
        <f>'GPC Data'!I82</f>
        <v/>
      </c>
      <c r="E31" s="1989">
        <f>'GPC Data'!J82</f>
        <v/>
      </c>
      <c r="F31" s="1989">
        <f>'GPC Data'!K82</f>
        <v/>
      </c>
      <c r="G31" s="1989">
        <f>'GPC Data'!L82</f>
        <v/>
      </c>
      <c r="H31" s="1989">
        <f>'GPC Data'!M82</f>
        <v/>
      </c>
      <c r="I31" s="2469">
        <f>'GPC Data'!N82</f>
        <v/>
      </c>
      <c r="J31" s="2469">
        <f>'GPC Data'!O82</f>
        <v/>
      </c>
      <c r="L31" s="63">
        <f>B31</f>
        <v/>
      </c>
      <c r="M31" s="63">
        <f>C31</f>
        <v/>
      </c>
      <c r="N31" s="1989">
        <f>'GPC Data'!P82</f>
        <v/>
      </c>
      <c r="O31" s="1989">
        <f>'GPC Data'!Q82</f>
        <v/>
      </c>
      <c r="P31" s="1989">
        <f>'GPC Data'!R82</f>
        <v/>
      </c>
      <c r="Q31" s="1989">
        <f>'GPC Data'!S82</f>
        <v/>
      </c>
      <c r="R31" s="1989">
        <f>'GPC Data'!T82</f>
        <v/>
      </c>
      <c r="S31" s="2469">
        <f>'GPC Data'!U82</f>
        <v/>
      </c>
      <c r="T31" s="2469">
        <f>'GPC Data'!V82</f>
        <v/>
      </c>
    </row>
    <row r="32" ht="10.5" customHeight="1">
      <c r="A32" s="988" t="n">
        <v>28</v>
      </c>
      <c r="B32" s="63">
        <f>'GPC Data'!D49</f>
        <v/>
      </c>
      <c r="C32" s="63">
        <f>'GPC Data'!E49</f>
        <v/>
      </c>
      <c r="D32" s="1989">
        <f>'GPC Data'!I83</f>
        <v/>
      </c>
      <c r="E32" s="1989">
        <f>'GPC Data'!J83</f>
        <v/>
      </c>
      <c r="F32" s="1989">
        <f>'GPC Data'!K83</f>
        <v/>
      </c>
      <c r="G32" s="1989">
        <f>'GPC Data'!L83</f>
        <v/>
      </c>
      <c r="H32" s="1989">
        <f>'GPC Data'!M83</f>
        <v/>
      </c>
      <c r="I32" s="2469">
        <f>'GPC Data'!N83</f>
        <v/>
      </c>
      <c r="J32" s="2469">
        <f>'GPC Data'!O83</f>
        <v/>
      </c>
      <c r="L32" s="63">
        <f>B32</f>
        <v/>
      </c>
      <c r="M32" s="63">
        <f>C32</f>
        <v/>
      </c>
      <c r="N32" s="1989">
        <f>'GPC Data'!P83</f>
        <v/>
      </c>
      <c r="O32" s="1989">
        <f>'GPC Data'!Q83</f>
        <v/>
      </c>
      <c r="P32" s="1989">
        <f>'GPC Data'!R83</f>
        <v/>
      </c>
      <c r="Q32" s="1989">
        <f>'GPC Data'!S83</f>
        <v/>
      </c>
      <c r="R32" s="1989">
        <f>'GPC Data'!T83</f>
        <v/>
      </c>
      <c r="S32" s="2469">
        <f>'GPC Data'!U83</f>
        <v/>
      </c>
      <c r="T32" s="2469">
        <f>'GPC Data'!V83</f>
        <v/>
      </c>
    </row>
    <row r="33" ht="10.5" customHeight="1">
      <c r="A33" s="988" t="n">
        <v>29</v>
      </c>
      <c r="B33" s="63">
        <f>'GPC Data'!D50</f>
        <v/>
      </c>
      <c r="C33" s="63">
        <f>'GPC Data'!E50</f>
        <v/>
      </c>
      <c r="D33" s="1989">
        <f>'GPC Data'!I84</f>
        <v/>
      </c>
      <c r="E33" s="1989">
        <f>'GPC Data'!J84</f>
        <v/>
      </c>
      <c r="F33" s="1989">
        <f>'GPC Data'!K84</f>
        <v/>
      </c>
      <c r="G33" s="1989">
        <f>'GPC Data'!L84</f>
        <v/>
      </c>
      <c r="H33" s="1989">
        <f>'GPC Data'!M84</f>
        <v/>
      </c>
      <c r="I33" s="2469">
        <f>'GPC Data'!N84</f>
        <v/>
      </c>
      <c r="J33" s="2469">
        <f>'GPC Data'!O84</f>
        <v/>
      </c>
      <c r="L33" s="63">
        <f>B33</f>
        <v/>
      </c>
      <c r="M33" s="63">
        <f>C33</f>
        <v/>
      </c>
      <c r="N33" s="1989">
        <f>'GPC Data'!P84</f>
        <v/>
      </c>
      <c r="O33" s="1989">
        <f>'GPC Data'!Q84</f>
        <v/>
      </c>
      <c r="P33" s="1989">
        <f>'GPC Data'!R84</f>
        <v/>
      </c>
      <c r="Q33" s="1989">
        <f>'GPC Data'!S84</f>
        <v/>
      </c>
      <c r="R33" s="1989">
        <f>'GPC Data'!T84</f>
        <v/>
      </c>
      <c r="S33" s="2469">
        <f>'GPC Data'!U84</f>
        <v/>
      </c>
      <c r="T33" s="2469">
        <f>'GPC Data'!V84</f>
        <v/>
      </c>
    </row>
    <row r="34" ht="10.5" customHeight="1">
      <c r="A34" s="988" t="n">
        <v>30</v>
      </c>
      <c r="B34" s="992">
        <f>'GPC Data'!D51</f>
        <v/>
      </c>
      <c r="C34" s="992">
        <f>'GPC Data'!E51</f>
        <v/>
      </c>
      <c r="D34" s="2470">
        <f>'GPC Data'!I85</f>
        <v/>
      </c>
      <c r="E34" s="2470">
        <f>'GPC Data'!J85</f>
        <v/>
      </c>
      <c r="F34" s="2470">
        <f>'GPC Data'!K85</f>
        <v/>
      </c>
      <c r="G34" s="2470">
        <f>'GPC Data'!L85</f>
        <v/>
      </c>
      <c r="H34" s="2470">
        <f>'GPC Data'!M85</f>
        <v/>
      </c>
      <c r="I34" s="2471">
        <f>'GPC Data'!N85</f>
        <v/>
      </c>
      <c r="J34" s="2471">
        <f>'GPC Data'!O85</f>
        <v/>
      </c>
      <c r="L34" s="992">
        <f>B34</f>
        <v/>
      </c>
      <c r="M34" s="992">
        <f>C34</f>
        <v/>
      </c>
      <c r="N34" s="2470">
        <f>'GPC Data'!P85</f>
        <v/>
      </c>
      <c r="O34" s="2470">
        <f>'GPC Data'!Q85</f>
        <v/>
      </c>
      <c r="P34" s="2470">
        <f>'GPC Data'!R85</f>
        <v/>
      </c>
      <c r="Q34" s="2470">
        <f>'GPC Data'!S85</f>
        <v/>
      </c>
      <c r="R34" s="2470">
        <f>'GPC Data'!T85</f>
        <v/>
      </c>
      <c r="S34" s="2471">
        <f>'GPC Data'!U85</f>
        <v/>
      </c>
      <c r="T34" s="2471">
        <f>'GPC Data'!V85</f>
        <v/>
      </c>
    </row>
  </sheetData>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34.xml><?xml version="1.0" encoding="utf-8"?>
<worksheet xmlns="http://schemas.openxmlformats.org/spreadsheetml/2006/main">
  <sheetPr codeName="Sheet24">
    <tabColor theme="9" tint="-0.09997863704336681"/>
    <outlinePr summaryBelow="1" summaryRight="1"/>
    <pageSetUpPr/>
  </sheetPr>
  <dimension ref="B1:K42"/>
  <sheetViews>
    <sheetView showGridLines="0" view="pageBreakPreview" zoomScale="90" zoomScaleNormal="75" zoomScaleSheetLayoutView="90" workbookViewId="0">
      <selection activeCell="H13" sqref="H13"/>
    </sheetView>
  </sheetViews>
  <sheetFormatPr baseColWidth="8" defaultColWidth="8.84375" defaultRowHeight="11.5"/>
  <cols>
    <col width="4.15234375" customWidth="1" style="259" min="1" max="1"/>
    <col width="2.84375" customWidth="1" style="259" min="2" max="2"/>
    <col width="9.84375" customWidth="1" style="259" min="3" max="3"/>
    <col hidden="1" outlineLevel="1" width="9.84375" customWidth="1" style="259" min="4" max="6"/>
    <col collapsed="1" width="9.84375" customWidth="1" style="259" min="7" max="7"/>
    <col width="93.84375" customWidth="1" style="259" min="8" max="8"/>
    <col width="2.84375" customWidth="1" style="259" min="9" max="9"/>
    <col width="6" bestFit="1" customWidth="1" style="977" min="10" max="10"/>
    <col width="8.84375" customWidth="1" style="977" min="11" max="11"/>
    <col width="8.84375" customWidth="1" style="259" min="12" max="16384"/>
  </cols>
  <sheetData>
    <row r="1" customFormat="1" s="752">
      <c r="B1" s="960" t="n"/>
    </row>
    <row r="2" customFormat="1" s="747">
      <c r="B2" s="505">
        <f>Inputs!B2</f>
        <v/>
      </c>
      <c r="C2" s="393" t="n"/>
      <c r="D2" s="393" t="n"/>
      <c r="E2" s="393" t="n"/>
      <c r="F2" s="393" t="n"/>
      <c r="G2" s="393" t="n"/>
      <c r="H2" s="393" t="n"/>
      <c r="I2" s="741" t="n"/>
    </row>
    <row r="3" customFormat="1" s="747">
      <c r="B3" s="742">
        <f>Inputs!$B$3</f>
        <v/>
      </c>
      <c r="C3" s="506" t="n"/>
      <c r="D3" s="506" t="n"/>
      <c r="E3" s="506" t="n"/>
      <c r="F3" s="506" t="n"/>
      <c r="G3" s="506" t="n"/>
      <c r="H3" s="506" t="n"/>
      <c r="I3" s="745" t="n"/>
    </row>
    <row r="4" customFormat="1" s="747">
      <c r="B4" s="925" t="inlineStr">
        <is>
          <t>Market Approach: Guideline Public Company Method - Business Descriptions</t>
        </is>
      </c>
      <c r="C4" s="508" t="n"/>
      <c r="D4" s="508" t="n"/>
      <c r="E4" s="508" t="n"/>
      <c r="F4" s="508" t="n"/>
      <c r="G4" s="508" t="n"/>
      <c r="H4" s="508" t="n"/>
      <c r="I4" s="509">
        <f>valuation.date.header</f>
        <v/>
      </c>
    </row>
    <row r="5">
      <c r="B5" s="927" t="n"/>
      <c r="C5" s="976" t="n"/>
      <c r="D5" s="976" t="n"/>
      <c r="E5" s="976" t="n"/>
      <c r="F5" s="976" t="n"/>
      <c r="G5" s="976" t="n"/>
      <c r="H5" s="976" t="n"/>
    </row>
    <row r="6" ht="18" customHeight="1">
      <c r="C6" s="978" t="inlineStr">
        <is>
          <t>Guideline public companies - detailed descriptions</t>
        </is>
      </c>
      <c r="J6" s="259" t="n"/>
    </row>
    <row r="7" ht="26" customHeight="1">
      <c r="C7" s="979" t="inlineStr">
        <is>
          <t>Name</t>
        </is>
      </c>
      <c r="D7" s="979" t="inlineStr">
        <is>
          <t>Ticker</t>
        </is>
      </c>
      <c r="E7" s="979" t="inlineStr">
        <is>
          <t>Exchange</t>
        </is>
      </c>
      <c r="F7" s="979" t="inlineStr">
        <is>
          <t>Industry</t>
        </is>
      </c>
      <c r="G7" s="979" t="inlineStr">
        <is>
          <t>Country</t>
        </is>
      </c>
      <c r="H7" s="979" t="inlineStr">
        <is>
          <t>Summary Description</t>
        </is>
      </c>
      <c r="J7" s="259" t="n"/>
    </row>
    <row r="8">
      <c r="C8" s="2472">
        <f>'GPC Data'!E22</f>
        <v/>
      </c>
      <c r="D8" s="2473">
        <f>#REF!</f>
        <v/>
      </c>
      <c r="E8" s="2473">
        <f>#REF!</f>
        <v/>
      </c>
      <c r="F8" s="2473">
        <f>#REF!</f>
        <v/>
      </c>
      <c r="G8" s="2472">
        <f>'GPC Data'!H22</f>
        <v/>
      </c>
      <c r="H8" s="2474">
        <f>'GPC Data'!S22</f>
        <v/>
      </c>
      <c r="J8" s="259" t="n"/>
    </row>
    <row r="9">
      <c r="C9" s="2472">
        <f>'GPC Data'!E23</f>
        <v/>
      </c>
      <c r="D9" s="2473">
        <f>#REF!</f>
        <v/>
      </c>
      <c r="E9" s="2473">
        <f>#REF!</f>
        <v/>
      </c>
      <c r="F9" s="2473">
        <f>#REF!</f>
        <v/>
      </c>
      <c r="G9" s="2472">
        <f>'GPC Data'!H23</f>
        <v/>
      </c>
      <c r="H9" s="2474">
        <f>'GPC Data'!S23</f>
        <v/>
      </c>
      <c r="J9" s="259" t="n"/>
    </row>
    <row r="10">
      <c r="C10" s="2472">
        <f>'GPC Data'!E24</f>
        <v/>
      </c>
      <c r="D10" s="2473">
        <f>#REF!</f>
        <v/>
      </c>
      <c r="E10" s="2473">
        <f>#REF!</f>
        <v/>
      </c>
      <c r="F10" s="2473">
        <f>#REF!</f>
        <v/>
      </c>
      <c r="G10" s="2472">
        <f>'GPC Data'!H24</f>
        <v/>
      </c>
      <c r="H10" s="2474">
        <f>'GPC Data'!S24</f>
        <v/>
      </c>
      <c r="J10" s="259" t="n"/>
    </row>
    <row r="11" ht="12" customHeight="1">
      <c r="C11" s="2472">
        <f>'GPC Data'!E25</f>
        <v/>
      </c>
      <c r="D11" s="2473">
        <f>#REF!</f>
        <v/>
      </c>
      <c r="E11" s="2473">
        <f>#REF!</f>
        <v/>
      </c>
      <c r="F11" s="2473">
        <f>#REF!</f>
        <v/>
      </c>
      <c r="G11" s="2472">
        <f>'GPC Data'!H25</f>
        <v/>
      </c>
      <c r="H11" s="2474">
        <f>'GPC Data'!S25</f>
        <v/>
      </c>
      <c r="J11" s="259" t="n"/>
    </row>
    <row r="12" ht="12" customHeight="1">
      <c r="C12" s="2472">
        <f>'GPC Data'!E26</f>
        <v/>
      </c>
      <c r="D12" s="2473">
        <f>#REF!</f>
        <v/>
      </c>
      <c r="E12" s="2473">
        <f>#REF!</f>
        <v/>
      </c>
      <c r="F12" s="2473">
        <f>#REF!</f>
        <v/>
      </c>
      <c r="G12" s="2472">
        <f>'GPC Data'!H26</f>
        <v/>
      </c>
      <c r="H12" s="2474">
        <f>'GPC Data'!S26</f>
        <v/>
      </c>
      <c r="J12" s="259" t="n"/>
    </row>
    <row r="13" ht="12" customHeight="1">
      <c r="C13" s="2472">
        <f>'GPC Data'!E27</f>
        <v/>
      </c>
      <c r="D13" s="2473">
        <f>#REF!</f>
        <v/>
      </c>
      <c r="E13" s="2473">
        <f>#REF!</f>
        <v/>
      </c>
      <c r="F13" s="2473">
        <f>#REF!</f>
        <v/>
      </c>
      <c r="G13" s="2472">
        <f>'GPC Data'!H27</f>
        <v/>
      </c>
      <c r="H13" s="2474">
        <f>'GPC Data'!S27</f>
        <v/>
      </c>
      <c r="J13" s="259" t="n"/>
    </row>
    <row r="14" ht="12" customHeight="1">
      <c r="C14" s="2472">
        <f>'GPC Data'!E28</f>
        <v/>
      </c>
      <c r="D14" s="2473">
        <f>#REF!</f>
        <v/>
      </c>
      <c r="E14" s="2473">
        <f>#REF!</f>
        <v/>
      </c>
      <c r="F14" s="2473">
        <f>#REF!</f>
        <v/>
      </c>
      <c r="G14" s="2472">
        <f>'GPC Data'!H28</f>
        <v/>
      </c>
      <c r="H14" s="2474">
        <f>'GPC Data'!S28</f>
        <v/>
      </c>
      <c r="J14" s="259" t="n"/>
    </row>
    <row r="15" ht="12" customHeight="1">
      <c r="C15" s="2472">
        <f>'GPC Data'!E29</f>
        <v/>
      </c>
      <c r="D15" s="2473">
        <f>#REF!</f>
        <v/>
      </c>
      <c r="E15" s="2473">
        <f>#REF!</f>
        <v/>
      </c>
      <c r="F15" s="2473">
        <f>#REF!</f>
        <v/>
      </c>
      <c r="G15" s="2472">
        <f>'GPC Data'!H29</f>
        <v/>
      </c>
      <c r="H15" s="2474">
        <f>'GPC Data'!S29</f>
        <v/>
      </c>
      <c r="J15" s="259" t="n"/>
    </row>
    <row r="16" ht="12" customHeight="1">
      <c r="C16" s="2472">
        <f>'GPC Data'!E30</f>
        <v/>
      </c>
      <c r="D16" s="2473">
        <f>#REF!</f>
        <v/>
      </c>
      <c r="E16" s="2473">
        <f>#REF!</f>
        <v/>
      </c>
      <c r="F16" s="2473">
        <f>#REF!</f>
        <v/>
      </c>
      <c r="G16" s="2472">
        <f>'GPC Data'!H30</f>
        <v/>
      </c>
      <c r="H16" s="2474">
        <f>'GPC Data'!S30</f>
        <v/>
      </c>
      <c r="J16" s="259" t="n"/>
    </row>
    <row r="17" ht="12" customHeight="1">
      <c r="C17" s="2472">
        <f>'GPC Data'!E31</f>
        <v/>
      </c>
      <c r="D17" s="2473">
        <f>#REF!</f>
        <v/>
      </c>
      <c r="E17" s="2473">
        <f>#REF!</f>
        <v/>
      </c>
      <c r="F17" s="2473">
        <f>#REF!</f>
        <v/>
      </c>
      <c r="G17" s="2472">
        <f>'GPC Data'!H31</f>
        <v/>
      </c>
      <c r="H17" s="2474">
        <f>'GPC Data'!S31</f>
        <v/>
      </c>
      <c r="J17" s="259" t="n"/>
    </row>
    <row r="18" ht="12" customHeight="1">
      <c r="C18" s="2472">
        <f>'GPC Data'!E32</f>
        <v/>
      </c>
      <c r="D18" s="2473">
        <f>#REF!</f>
        <v/>
      </c>
      <c r="E18" s="2473">
        <f>#REF!</f>
        <v/>
      </c>
      <c r="F18" s="2473">
        <f>#REF!</f>
        <v/>
      </c>
      <c r="G18" s="2472">
        <f>'GPC Data'!H32</f>
        <v/>
      </c>
      <c r="H18" s="2474">
        <f>'GPC Data'!S32</f>
        <v/>
      </c>
      <c r="J18" s="259" t="n"/>
    </row>
    <row r="19" ht="12" customHeight="1">
      <c r="C19" s="2472">
        <f>'GPC Data'!E33</f>
        <v/>
      </c>
      <c r="D19" s="2473">
        <f>#REF!</f>
        <v/>
      </c>
      <c r="E19" s="2473">
        <f>#REF!</f>
        <v/>
      </c>
      <c r="F19" s="2473">
        <f>#REF!</f>
        <v/>
      </c>
      <c r="G19" s="2472">
        <f>'GPC Data'!H33</f>
        <v/>
      </c>
      <c r="H19" s="2474">
        <f>'GPC Data'!S33</f>
        <v/>
      </c>
      <c r="J19" s="259" t="n"/>
    </row>
    <row r="20" ht="12" customHeight="1">
      <c r="C20" s="2472">
        <f>'GPC Data'!E34</f>
        <v/>
      </c>
      <c r="D20" s="2473">
        <f>#REF!</f>
        <v/>
      </c>
      <c r="E20" s="2473">
        <f>#REF!</f>
        <v/>
      </c>
      <c r="F20" s="2473">
        <f>#REF!</f>
        <v/>
      </c>
      <c r="G20" s="2472">
        <f>'GPC Data'!H34</f>
        <v/>
      </c>
      <c r="H20" s="2474">
        <f>'GPC Data'!S34</f>
        <v/>
      </c>
      <c r="J20" s="259" t="n"/>
    </row>
    <row r="21" ht="12" customHeight="1">
      <c r="C21" s="2472">
        <f>'GPC Data'!E35</f>
        <v/>
      </c>
      <c r="D21" s="2473">
        <f>#REF!</f>
        <v/>
      </c>
      <c r="E21" s="2473">
        <f>#REF!</f>
        <v/>
      </c>
      <c r="F21" s="2473">
        <f>#REF!</f>
        <v/>
      </c>
      <c r="G21" s="2472">
        <f>'GPC Data'!H35</f>
        <v/>
      </c>
      <c r="H21" s="2474">
        <f>'GPC Data'!S35</f>
        <v/>
      </c>
      <c r="J21" s="259" t="n"/>
    </row>
    <row r="22" ht="12" customHeight="1">
      <c r="C22" s="2472">
        <f>'GPC Data'!E36</f>
        <v/>
      </c>
      <c r="D22" s="2473">
        <f>#REF!</f>
        <v/>
      </c>
      <c r="E22" s="2473">
        <f>#REF!</f>
        <v/>
      </c>
      <c r="F22" s="2473">
        <f>#REF!</f>
        <v/>
      </c>
      <c r="G22" s="2472">
        <f>'GPC Data'!H36</f>
        <v/>
      </c>
      <c r="H22" s="2474">
        <f>'GPC Data'!S36</f>
        <v/>
      </c>
      <c r="J22" s="259" t="n"/>
    </row>
    <row r="23" ht="12" customHeight="1">
      <c r="C23" s="2472">
        <f>'GPC Data'!E37</f>
        <v/>
      </c>
      <c r="D23" s="2473">
        <f>#REF!</f>
        <v/>
      </c>
      <c r="E23" s="2473">
        <f>#REF!</f>
        <v/>
      </c>
      <c r="F23" s="2473">
        <f>#REF!</f>
        <v/>
      </c>
      <c r="G23" s="2472">
        <f>'GPC Data'!H37</f>
        <v/>
      </c>
      <c r="H23" s="2474">
        <f>'GPC Data'!S37</f>
        <v/>
      </c>
      <c r="J23" s="259" t="n"/>
    </row>
    <row r="24" ht="12" customHeight="1">
      <c r="C24" s="2472">
        <f>'GPC Data'!E38</f>
        <v/>
      </c>
      <c r="D24" s="2473">
        <f>#REF!</f>
        <v/>
      </c>
      <c r="E24" s="2473">
        <f>#REF!</f>
        <v/>
      </c>
      <c r="F24" s="2473">
        <f>#REF!</f>
        <v/>
      </c>
      <c r="G24" s="2472">
        <f>'GPC Data'!H38</f>
        <v/>
      </c>
      <c r="H24" s="2474">
        <f>'GPC Data'!S38</f>
        <v/>
      </c>
      <c r="J24" s="259" t="n"/>
    </row>
    <row r="25" ht="12" customHeight="1">
      <c r="C25" s="2472">
        <f>'GPC Data'!E39</f>
        <v/>
      </c>
      <c r="D25" s="2473">
        <f>#REF!</f>
        <v/>
      </c>
      <c r="E25" s="2473">
        <f>#REF!</f>
        <v/>
      </c>
      <c r="F25" s="2473">
        <f>#REF!</f>
        <v/>
      </c>
      <c r="G25" s="2472">
        <f>'GPC Data'!H39</f>
        <v/>
      </c>
      <c r="H25" s="2474">
        <f>'GPC Data'!S39</f>
        <v/>
      </c>
      <c r="J25" s="259" t="n"/>
    </row>
    <row r="26" ht="12" customHeight="1">
      <c r="C26" s="2472">
        <f>'GPC Data'!E40</f>
        <v/>
      </c>
      <c r="D26" s="2473">
        <f>#REF!</f>
        <v/>
      </c>
      <c r="E26" s="2473">
        <f>#REF!</f>
        <v/>
      </c>
      <c r="F26" s="2473">
        <f>#REF!</f>
        <v/>
      </c>
      <c r="G26" s="2472">
        <f>'GPC Data'!H40</f>
        <v/>
      </c>
      <c r="H26" s="2474">
        <f>'GPC Data'!S40</f>
        <v/>
      </c>
      <c r="J26" s="259" t="n"/>
    </row>
    <row r="27" ht="12" customHeight="1">
      <c r="C27" s="2472">
        <f>'GPC Data'!E41</f>
        <v/>
      </c>
      <c r="D27" s="2473">
        <f>#REF!</f>
        <v/>
      </c>
      <c r="E27" s="2473">
        <f>#REF!</f>
        <v/>
      </c>
      <c r="F27" s="2473">
        <f>#REF!</f>
        <v/>
      </c>
      <c r="G27" s="2472">
        <f>'GPC Data'!H41</f>
        <v/>
      </c>
      <c r="H27" s="2474">
        <f>'GPC Data'!S41</f>
        <v/>
      </c>
      <c r="J27" s="259" t="n"/>
    </row>
    <row r="28" ht="12" customHeight="1">
      <c r="C28" s="2472">
        <f>'GPC Data'!E42</f>
        <v/>
      </c>
      <c r="D28" s="2473">
        <f>#REF!</f>
        <v/>
      </c>
      <c r="E28" s="2473">
        <f>#REF!</f>
        <v/>
      </c>
      <c r="F28" s="2473">
        <f>#REF!</f>
        <v/>
      </c>
      <c r="G28" s="2472">
        <f>'GPC Data'!H42</f>
        <v/>
      </c>
      <c r="H28" s="2474">
        <f>'GPC Data'!S42</f>
        <v/>
      </c>
      <c r="J28" s="259" t="n"/>
    </row>
    <row r="29" ht="12" customHeight="1">
      <c r="C29" s="2472">
        <f>'GPC Data'!E43</f>
        <v/>
      </c>
      <c r="D29" s="2473">
        <f>#REF!</f>
        <v/>
      </c>
      <c r="E29" s="2473">
        <f>#REF!</f>
        <v/>
      </c>
      <c r="F29" s="2473">
        <f>#REF!</f>
        <v/>
      </c>
      <c r="G29" s="2472">
        <f>'GPC Data'!H43</f>
        <v/>
      </c>
      <c r="H29" s="2474">
        <f>'GPC Data'!S43</f>
        <v/>
      </c>
      <c r="J29" s="259" t="n"/>
    </row>
    <row r="30" ht="12" customHeight="1">
      <c r="C30" s="2472">
        <f>'GPC Data'!E44</f>
        <v/>
      </c>
      <c r="D30" s="2473">
        <f>#REF!</f>
        <v/>
      </c>
      <c r="E30" s="2473">
        <f>#REF!</f>
        <v/>
      </c>
      <c r="F30" s="2473">
        <f>#REF!</f>
        <v/>
      </c>
      <c r="G30" s="2472">
        <f>'GPC Data'!H44</f>
        <v/>
      </c>
      <c r="H30" s="2474">
        <f>'GPC Data'!S44</f>
        <v/>
      </c>
      <c r="J30" s="259" t="n"/>
    </row>
    <row r="31" ht="12" customHeight="1">
      <c r="C31" s="2472">
        <f>'GPC Data'!E45</f>
        <v/>
      </c>
      <c r="D31" s="2473">
        <f>#REF!</f>
        <v/>
      </c>
      <c r="E31" s="2473">
        <f>#REF!</f>
        <v/>
      </c>
      <c r="F31" s="2473">
        <f>#REF!</f>
        <v/>
      </c>
      <c r="G31" s="2472">
        <f>'GPC Data'!H45</f>
        <v/>
      </c>
      <c r="H31" s="2474">
        <f>'GPC Data'!S45</f>
        <v/>
      </c>
      <c r="J31" s="259" t="n"/>
    </row>
    <row r="32" ht="12" customHeight="1">
      <c r="C32" s="2472">
        <f>'GPC Data'!E46</f>
        <v/>
      </c>
      <c r="D32" s="2473">
        <f>#REF!</f>
        <v/>
      </c>
      <c r="E32" s="2473">
        <f>#REF!</f>
        <v/>
      </c>
      <c r="F32" s="2473">
        <f>#REF!</f>
        <v/>
      </c>
      <c r="G32" s="2472">
        <f>'GPC Data'!H46</f>
        <v/>
      </c>
      <c r="H32" s="2474">
        <f>'GPC Data'!S46</f>
        <v/>
      </c>
      <c r="J32" s="259" t="n"/>
    </row>
    <row r="33" ht="12" customHeight="1">
      <c r="C33" s="2472">
        <f>'GPC Data'!E47</f>
        <v/>
      </c>
      <c r="D33" s="2473">
        <f>#REF!</f>
        <v/>
      </c>
      <c r="E33" s="2473">
        <f>#REF!</f>
        <v/>
      </c>
      <c r="F33" s="2473">
        <f>#REF!</f>
        <v/>
      </c>
      <c r="G33" s="2472">
        <f>'GPC Data'!H47</f>
        <v/>
      </c>
      <c r="H33" s="2474">
        <f>'GPC Data'!S47</f>
        <v/>
      </c>
      <c r="J33" s="259" t="n"/>
    </row>
    <row r="34" ht="12" customHeight="1">
      <c r="C34" s="2472">
        <f>'GPC Data'!E48</f>
        <v/>
      </c>
      <c r="D34" s="2473">
        <f>#REF!</f>
        <v/>
      </c>
      <c r="E34" s="2473">
        <f>#REF!</f>
        <v/>
      </c>
      <c r="F34" s="2473">
        <f>#REF!</f>
        <v/>
      </c>
      <c r="G34" s="2472">
        <f>'GPC Data'!H48</f>
        <v/>
      </c>
      <c r="H34" s="2474">
        <f>'GPC Data'!S48</f>
        <v/>
      </c>
      <c r="J34" s="259" t="n"/>
    </row>
    <row r="35" ht="12" customHeight="1">
      <c r="C35" s="2472">
        <f>'GPC Data'!E49</f>
        <v/>
      </c>
      <c r="D35" s="2473">
        <f>#REF!</f>
        <v/>
      </c>
      <c r="E35" s="2473">
        <f>#REF!</f>
        <v/>
      </c>
      <c r="F35" s="2473">
        <f>#REF!</f>
        <v/>
      </c>
      <c r="G35" s="2472">
        <f>'GPC Data'!H49</f>
        <v/>
      </c>
      <c r="H35" s="2474">
        <f>'GPC Data'!S49</f>
        <v/>
      </c>
      <c r="J35" s="259" t="n"/>
    </row>
    <row r="36" ht="12" customHeight="1">
      <c r="C36" s="2472">
        <f>'GPC Data'!E50</f>
        <v/>
      </c>
      <c r="D36" s="2473">
        <f>#REF!</f>
        <v/>
      </c>
      <c r="E36" s="2473">
        <f>#REF!</f>
        <v/>
      </c>
      <c r="F36" s="2473">
        <f>#REF!</f>
        <v/>
      </c>
      <c r="G36" s="2472">
        <f>'GPC Data'!H50</f>
        <v/>
      </c>
      <c r="H36" s="2474">
        <f>'GPC Data'!S50</f>
        <v/>
      </c>
      <c r="J36" s="259" t="n"/>
    </row>
    <row r="37" ht="12" customHeight="1">
      <c r="C37" s="2472">
        <f>'GPC Data'!E51</f>
        <v/>
      </c>
      <c r="D37" s="2473">
        <f>#REF!</f>
        <v/>
      </c>
      <c r="E37" s="2473">
        <f>#REF!</f>
        <v/>
      </c>
      <c r="F37" s="2473">
        <f>#REF!</f>
        <v/>
      </c>
      <c r="G37" s="2472">
        <f>'GPC Data'!H51</f>
        <v/>
      </c>
      <c r="H37" s="2474">
        <f>'GPC Data'!S51</f>
        <v/>
      </c>
      <c r="J37" s="259" t="n"/>
    </row>
    <row r="38">
      <c r="B38" s="259" t="n"/>
      <c r="C38" s="259" t="n"/>
      <c r="D38" s="259" t="n"/>
      <c r="E38" s="259" t="n"/>
      <c r="F38" s="259" t="n"/>
      <c r="G38" s="259" t="n"/>
      <c r="H38" s="259" t="n"/>
      <c r="I38" s="259" t="n"/>
    </row>
    <row r="39" customFormat="1" s="551">
      <c r="B39" s="551" t="n"/>
      <c r="C39" s="551" t="n"/>
      <c r="D39" s="551" t="n"/>
      <c r="E39" s="551" t="n"/>
      <c r="F39" s="551" t="n"/>
      <c r="G39" s="551" t="n"/>
      <c r="H39" s="551" t="n"/>
      <c r="I39" s="551" t="n"/>
      <c r="J39" s="983" t="n"/>
      <c r="K39" s="983" t="n"/>
    </row>
    <row r="40" customFormat="1" s="551">
      <c r="B40" s="551" t="n"/>
      <c r="C40" s="551" t="n"/>
      <c r="D40" s="551" t="n"/>
      <c r="E40" s="551" t="n"/>
      <c r="F40" s="551" t="n"/>
      <c r="G40" s="551" t="n"/>
      <c r="H40" s="551" t="n"/>
      <c r="I40" s="551" t="n"/>
      <c r="J40" s="983" t="n"/>
      <c r="K40" s="983" t="n"/>
    </row>
    <row r="41" customFormat="1" s="1033">
      <c r="B41" s="2475" t="n"/>
      <c r="C41" s="1033" t="n"/>
      <c r="D41" s="1033" t="n"/>
      <c r="E41" s="1033" t="n"/>
      <c r="F41" s="1033" t="n"/>
      <c r="G41" s="1033" t="n"/>
      <c r="H41" s="1033" t="n"/>
      <c r="I41" s="1033" t="n"/>
      <c r="J41" s="501" t="n"/>
      <c r="K41" s="501" t="n"/>
    </row>
    <row r="42" customFormat="1" s="1033">
      <c r="J42" s="501" t="n"/>
      <c r="K42" s="501" t="n"/>
    </row>
  </sheetData>
  <printOptions horizontalCentered="1"/>
  <pageMargins left="0.25" right="0.25" top="0.75" bottom="0.25" header="0.25" footer="0.25"/>
  <pageSetup orientation="portrait" scale="57" fitToHeight="5"/>
  <headerFooter alignWithMargins="0">
    <oddHeader>&amp;R&amp;"Arial"&amp;1 &amp;K000000Confidential#</oddHeader>
    <oddFooter/>
    <evenHeader/>
    <evenFooter/>
    <firstHeader/>
    <firstFooter/>
  </headerFooter>
</worksheet>
</file>

<file path=xl/worksheets/sheet35.xml><?xml version="1.0" encoding="utf-8"?>
<worksheet xmlns="http://schemas.openxmlformats.org/spreadsheetml/2006/main">
  <sheetPr codeName="Sheet6">
    <outlinePr summaryBelow="1" summaryRight="1"/>
    <pageSetUpPr fitToPage="1"/>
  </sheetPr>
  <dimension ref="B2:AS66"/>
  <sheetViews>
    <sheetView showGridLines="0" zoomScale="68" zoomScaleNormal="100" zoomScaleSheetLayoutView="80" workbookViewId="0">
      <selection activeCell="J18" sqref="J18"/>
    </sheetView>
  </sheetViews>
  <sheetFormatPr baseColWidth="8" defaultColWidth="8.84375" defaultRowHeight="11.5"/>
  <cols>
    <col width="2.23046875" customWidth="1" style="259" min="1" max="1"/>
    <col width="2.84375" customWidth="1" style="259" min="2" max="2"/>
    <col width="30.84375" customWidth="1" style="259" min="3" max="3"/>
    <col width="7.84375" customWidth="1" style="259" min="4" max="4"/>
    <col width="8.15234375" customWidth="1" style="259" min="5" max="5"/>
    <col width="6.84375" customWidth="1" style="259" min="6" max="7"/>
    <col width="9" customWidth="1" style="259" min="8" max="14"/>
    <col width="7.84375" customWidth="1" style="259" min="15" max="22"/>
    <col width="7.4609375" customWidth="1" style="259" min="23" max="30"/>
    <col width="7.15234375" customWidth="1" style="259" min="31" max="36"/>
    <col width="7.53515625" customWidth="1" style="259" min="37" max="42"/>
    <col width="2.84375" customWidth="1" style="259" min="43" max="43"/>
    <col width="3.07421875" customWidth="1" style="259" min="44" max="44"/>
    <col width="8.84375" customWidth="1" style="259" min="45" max="16384"/>
  </cols>
  <sheetData>
    <row r="2" customFormat="1" s="747">
      <c r="B2" s="996">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740" t="n"/>
      <c r="AD2" s="740" t="n"/>
      <c r="AE2" s="740" t="n"/>
      <c r="AF2" s="740" t="n"/>
      <c r="AG2" s="740" t="n"/>
      <c r="AH2" s="740" t="n"/>
      <c r="AI2" s="740" t="n"/>
      <c r="AJ2" s="740" t="n"/>
      <c r="AK2" s="740" t="n"/>
      <c r="AL2" s="740" t="n"/>
      <c r="AM2" s="740" t="n"/>
      <c r="AN2" s="740" t="n"/>
      <c r="AO2" s="740" t="n"/>
      <c r="AP2" s="740" t="n"/>
      <c r="AQ2" s="741" t="n"/>
    </row>
    <row r="3" customFormat="1" s="747">
      <c r="B3" s="997">
        <f>Inputs!$B$3</f>
        <v/>
      </c>
      <c r="C3" s="506" t="n"/>
      <c r="D3" s="506" t="n"/>
      <c r="E3" s="506" t="n"/>
      <c r="F3" s="506" t="n"/>
      <c r="G3" s="506" t="n"/>
      <c r="H3" s="506" t="n"/>
      <c r="I3" s="506" t="n"/>
      <c r="J3" s="506" t="n"/>
      <c r="K3" s="506" t="n"/>
      <c r="L3" s="506" t="n"/>
      <c r="M3" s="506" t="n"/>
      <c r="N3" s="506" t="n"/>
      <c r="O3" s="506" t="n"/>
      <c r="P3" s="743" t="n"/>
      <c r="Q3" s="744" t="n"/>
      <c r="R3" s="744" t="n"/>
      <c r="S3" s="744" t="n"/>
      <c r="T3" s="506" t="n"/>
      <c r="U3" s="506" t="n"/>
      <c r="V3" s="506" t="n"/>
      <c r="W3" s="506" t="n"/>
      <c r="X3" s="506" t="n"/>
      <c r="Y3" s="506" t="n"/>
      <c r="Z3" s="506" t="n"/>
      <c r="AA3" s="506" t="n"/>
      <c r="AB3" s="506" t="n"/>
      <c r="AC3" s="503" t="n"/>
      <c r="AD3" s="503" t="n"/>
      <c r="AE3" s="503" t="n"/>
      <c r="AF3" s="503" t="n"/>
      <c r="AG3" s="503" t="n"/>
      <c r="AH3" s="503" t="n"/>
      <c r="AI3" s="503" t="n"/>
      <c r="AJ3" s="503" t="n"/>
      <c r="AK3" s="503" t="n"/>
      <c r="AL3" s="503" t="n"/>
      <c r="AM3" s="503" t="n"/>
      <c r="AN3" s="503" t="n"/>
      <c r="AO3" s="503" t="n"/>
      <c r="AP3" s="503" t="n"/>
      <c r="AQ3" s="745" t="n"/>
    </row>
    <row r="4" customFormat="1" s="747">
      <c r="B4" s="997" t="inlineStr">
        <is>
          <t>Market Approach: Guideline Public Company Method - Comparative Historical Financial Ratios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3" t="n"/>
      <c r="AD4" s="503" t="n"/>
      <c r="AE4" s="503" t="n"/>
      <c r="AF4" s="503" t="n"/>
      <c r="AG4" s="503" t="n"/>
      <c r="AH4" s="503" t="n"/>
      <c r="AI4" s="503" t="n"/>
      <c r="AJ4" s="503" t="n"/>
      <c r="AK4" s="503" t="n"/>
      <c r="AL4" s="503" t="n"/>
      <c r="AM4" s="503" t="n"/>
      <c r="AN4" s="503" t="n"/>
      <c r="AO4" s="503" t="n"/>
      <c r="AP4" s="503" t="n"/>
      <c r="AQ4" s="503">
        <f>valuation.date.header</f>
        <v/>
      </c>
    </row>
    <row r="5" ht="5" customHeight="1" thickBot="1">
      <c r="B5" s="1035" t="n"/>
      <c r="C5" s="1035" t="n"/>
      <c r="D5" s="1035" t="n"/>
      <c r="E5" s="1036" t="n"/>
      <c r="F5" s="1035" t="n"/>
      <c r="G5" s="1035" t="n"/>
      <c r="H5" s="1035" t="n"/>
      <c r="I5" s="1035" t="n"/>
      <c r="J5" s="1035" t="n"/>
      <c r="K5" s="1035" t="n"/>
      <c r="L5" s="1035" t="n"/>
      <c r="M5" s="1035" t="n"/>
      <c r="N5" s="1035" t="n"/>
      <c r="O5" s="1035" t="n"/>
      <c r="P5" s="1035" t="n"/>
      <c r="Q5" s="1035" t="n"/>
      <c r="R5" s="1035" t="n"/>
      <c r="S5" s="1035" t="n"/>
      <c r="T5" s="1035" t="n"/>
      <c r="U5" s="1035" t="n"/>
      <c r="V5" s="1035" t="n"/>
      <c r="W5" s="1035" t="n"/>
      <c r="X5" s="1035" t="n"/>
      <c r="Y5" s="1035" t="n"/>
      <c r="Z5" s="1035" t="n"/>
      <c r="AA5" s="1035" t="n"/>
      <c r="AB5" s="1035" t="n"/>
      <c r="AC5" s="1035" t="n"/>
      <c r="AD5" s="1035" t="n"/>
      <c r="AE5" s="1035" t="n"/>
      <c r="AF5" s="1035" t="n"/>
      <c r="AG5" s="1035" t="n"/>
      <c r="AH5" s="1035" t="n"/>
      <c r="AI5" s="1035" t="n"/>
      <c r="AJ5" s="1035" t="n"/>
      <c r="AK5" s="1035" t="n"/>
      <c r="AL5" s="1035" t="n"/>
      <c r="AM5" s="1035" t="n"/>
      <c r="AN5" s="1035" t="n"/>
      <c r="AO5" s="1035" t="n"/>
      <c r="AP5" s="1035" t="n"/>
      <c r="AQ5" s="1037" t="n"/>
    </row>
    <row r="6">
      <c r="B6" s="259" t="n"/>
      <c r="C6" s="259" t="n"/>
      <c r="D6" s="259" t="n"/>
      <c r="E6" s="259" t="n"/>
      <c r="F6" s="259" t="n"/>
      <c r="G6" s="259" t="n"/>
      <c r="H6" s="259" t="n"/>
      <c r="I6" s="259" t="n"/>
      <c r="J6" s="259" t="n"/>
      <c r="K6" s="259" t="n"/>
      <c r="L6" s="259" t="n"/>
      <c r="M6" s="259" t="n"/>
      <c r="N6" s="259" t="n"/>
      <c r="O6" s="259" t="n"/>
      <c r="P6" s="259" t="n"/>
      <c r="Q6" s="259" t="n"/>
      <c r="R6" s="259" t="n"/>
      <c r="S6" s="259" t="n"/>
      <c r="T6" s="259" t="n"/>
      <c r="U6" s="259" t="n"/>
      <c r="V6" s="259" t="n"/>
      <c r="W6" s="259" t="n"/>
      <c r="X6" s="259" t="n"/>
      <c r="Y6" s="259" t="n"/>
      <c r="Z6" s="259" t="n"/>
      <c r="AA6" s="259" t="n"/>
      <c r="AB6" s="259" t="n"/>
      <c r="AC6" s="259" t="n"/>
      <c r="AD6" s="259" t="n"/>
      <c r="AE6" s="259" t="n"/>
      <c r="AF6" s="259" t="n"/>
      <c r="AG6" s="259" t="n"/>
      <c r="AH6" s="259" t="n"/>
      <c r="AI6" s="259" t="n"/>
      <c r="AJ6" s="259" t="n"/>
      <c r="AK6" s="259" t="n"/>
      <c r="AL6" s="259" t="n"/>
      <c r="AM6" s="259" t="n"/>
      <c r="AN6" s="259" t="n"/>
      <c r="AO6" s="259" t="n"/>
      <c r="AP6" s="259" t="n"/>
    </row>
    <row r="7">
      <c r="B7" s="259" t="n"/>
      <c r="C7" s="1038" t="n"/>
      <c r="D7" s="1038" t="n"/>
      <c r="E7" s="1038" t="n"/>
      <c r="F7" s="2287" t="inlineStr">
        <is>
          <t>Liquidity Ratios</t>
        </is>
      </c>
      <c r="H7" s="2287" t="inlineStr">
        <is>
          <t>Leverage Ratios</t>
        </is>
      </c>
      <c r="O7" s="2287" t="inlineStr">
        <is>
          <t>Operating Efficiency Ratios</t>
        </is>
      </c>
      <c r="W7" s="2287" t="inlineStr">
        <is>
          <t>Profitability Ratios</t>
        </is>
      </c>
      <c r="AE7" s="2287" t="inlineStr">
        <is>
          <t>Revenue Growth</t>
        </is>
      </c>
      <c r="AH7" s="2287" t="inlineStr">
        <is>
          <t>Net Income Growth</t>
        </is>
      </c>
      <c r="AK7" s="2287" t="inlineStr">
        <is>
          <t>EBITDA Growth</t>
        </is>
      </c>
      <c r="AN7" s="2287" t="inlineStr">
        <is>
          <t>Equity Growth</t>
        </is>
      </c>
    </row>
    <row r="8" ht="47" customHeight="1">
      <c r="C8" s="1039" t="inlineStr">
        <is>
          <t>Company Name</t>
        </is>
      </c>
      <c r="D8" s="1040" t="inlineStr">
        <is>
          <t>Ticker Symbol</t>
        </is>
      </c>
      <c r="E8" s="1040" t="inlineStr">
        <is>
          <t>Last FYE</t>
        </is>
      </c>
      <c r="F8" s="758" t="inlineStr">
        <is>
          <t>Current Ratio</t>
        </is>
      </c>
      <c r="G8" s="758" t="inlineStr">
        <is>
          <t>Quick Ratio</t>
        </is>
      </c>
      <c r="H8" s="758" t="inlineStr">
        <is>
          <t>Interest Coverage Before Tax</t>
        </is>
      </c>
      <c r="I8" s="758" t="inlineStr">
        <is>
          <t>Interest Coverage After Tax</t>
        </is>
      </c>
      <c r="J8" s="758" t="inlineStr">
        <is>
          <t>Long-Term Debt / Equity</t>
        </is>
      </c>
      <c r="K8" s="758" t="inlineStr">
        <is>
          <t>Total Debt / Invested Capital</t>
        </is>
      </c>
      <c r="L8" s="758" t="inlineStr">
        <is>
          <t>Total Debt / Total Assets</t>
        </is>
      </c>
      <c r="M8" s="758" t="inlineStr">
        <is>
          <t>Total Liabilities / Equity</t>
        </is>
      </c>
      <c r="N8" s="758" t="inlineStr">
        <is>
          <t>Total Debt / Total Market Capitalization</t>
        </is>
      </c>
      <c r="O8" s="758" t="inlineStr">
        <is>
          <t>Revenue / Total Assets</t>
        </is>
      </c>
      <c r="P8" s="758" t="inlineStr">
        <is>
          <t>Revenue / Receivables</t>
        </is>
      </c>
      <c r="Q8" s="1041" t="inlineStr">
        <is>
          <t>Receivable Turnover (Days)</t>
        </is>
      </c>
      <c r="R8" s="1041" t="inlineStr">
        <is>
          <t>Working Capital as % of Revenue</t>
        </is>
      </c>
      <c r="S8" s="758" t="inlineStr">
        <is>
          <t>COGS / Inventory</t>
        </is>
      </c>
      <c r="T8" s="1041" t="inlineStr">
        <is>
          <t>Inventory Turnover (Days)</t>
        </is>
      </c>
      <c r="U8" s="758" t="inlineStr">
        <is>
          <t>COGS / Payables</t>
        </is>
      </c>
      <c r="V8" s="1041" t="inlineStr">
        <is>
          <t>Payable Turnover (Days)</t>
        </is>
      </c>
      <c r="W8" s="1041" t="inlineStr">
        <is>
          <t>Return on Assets</t>
        </is>
      </c>
      <c r="X8" s="1041" t="inlineStr">
        <is>
          <t>Return on Equity</t>
        </is>
      </c>
      <c r="Y8" s="1041" t="inlineStr">
        <is>
          <t>Return on Invested Capital</t>
        </is>
      </c>
      <c r="Z8" s="1041" t="inlineStr">
        <is>
          <t>Return on Market Value of Equity</t>
        </is>
      </c>
      <c r="AA8" s="1041" t="inlineStr">
        <is>
          <t>EBITDA Margin</t>
        </is>
      </c>
      <c r="AB8" s="1041" t="inlineStr">
        <is>
          <t>EBIT Margin</t>
        </is>
      </c>
      <c r="AC8" s="1041" t="inlineStr">
        <is>
          <t>Pretax Profit Margin</t>
        </is>
      </c>
      <c r="AD8" s="1041" t="inlineStr">
        <is>
          <t>Net Profit Margin</t>
        </is>
      </c>
      <c r="AE8" s="1041" t="inlineStr">
        <is>
          <t>Previous Fiscal Year</t>
        </is>
      </c>
      <c r="AF8" s="1041" t="inlineStr">
        <is>
          <t>Latest Fiscal Year</t>
        </is>
      </c>
      <c r="AG8" s="1041" t="inlineStr">
        <is>
          <t>Three-year Historic CAGR</t>
        </is>
      </c>
      <c r="AH8" s="1041" t="inlineStr">
        <is>
          <t>Previous Fiscal Year</t>
        </is>
      </c>
      <c r="AI8" s="1041" t="inlineStr">
        <is>
          <t>Latest Fiscal Year</t>
        </is>
      </c>
      <c r="AJ8" s="1041" t="inlineStr">
        <is>
          <t>Three-year Historic CAGR</t>
        </is>
      </c>
      <c r="AK8" s="1041" t="inlineStr">
        <is>
          <t>Previous Fiscal Year</t>
        </is>
      </c>
      <c r="AL8" s="1041" t="inlineStr">
        <is>
          <t>Latest Fiscal Year</t>
        </is>
      </c>
      <c r="AM8" s="1041" t="inlineStr">
        <is>
          <t>Three-year Historic CAGR</t>
        </is>
      </c>
      <c r="AN8" s="1041" t="inlineStr">
        <is>
          <t>Previous Fiscal Year</t>
        </is>
      </c>
      <c r="AO8" s="1041" t="inlineStr">
        <is>
          <t>Latest Fiscal Year</t>
        </is>
      </c>
      <c r="AP8" s="1041" t="inlineStr">
        <is>
          <t>Three-year Historic CAGR</t>
        </is>
      </c>
    </row>
    <row r="9">
      <c r="B9" s="432" t="n"/>
      <c r="C9" s="998">
        <f>client.name.long</f>
        <v/>
      </c>
      <c r="D9" s="762" t="n"/>
      <c r="E9" s="2290" t="n"/>
      <c r="F9" s="2476" t="n"/>
      <c r="G9" s="2477" t="n"/>
      <c r="H9" s="2476" t="n"/>
      <c r="I9" s="2477" t="n"/>
      <c r="J9" s="2477" t="n"/>
      <c r="K9" s="2477" t="n"/>
      <c r="L9" s="2477" t="n"/>
      <c r="M9" s="2477" t="n"/>
      <c r="N9" s="2477" t="n"/>
      <c r="O9" s="2476" t="n"/>
      <c r="P9" s="2477" t="n"/>
      <c r="Q9" s="2478" t="n"/>
      <c r="R9" s="2479" t="n"/>
      <c r="S9" s="2477" t="n"/>
      <c r="T9" s="2478" t="n"/>
      <c r="U9" s="2477" t="n"/>
      <c r="V9" s="2478" t="n"/>
      <c r="W9" s="2480" t="n"/>
      <c r="X9" s="2479" t="n"/>
      <c r="Y9" s="2479" t="n"/>
      <c r="Z9" s="2479" t="n"/>
      <c r="AA9" s="2479" t="n"/>
      <c r="AB9" s="2479" t="n"/>
      <c r="AC9" s="2479" t="n"/>
      <c r="AD9" s="2479" t="n"/>
      <c r="AE9" s="2480" t="n"/>
      <c r="AF9" s="2479" t="n"/>
      <c r="AG9" s="2479" t="n"/>
      <c r="AH9" s="2480" t="n"/>
      <c r="AI9" s="2479" t="n"/>
      <c r="AJ9" s="2479" t="n"/>
      <c r="AK9" s="2480" t="n"/>
      <c r="AL9" s="2479" t="n"/>
      <c r="AM9" s="2479" t="n"/>
      <c r="AN9" s="2480" t="n"/>
      <c r="AO9" s="2479" t="n"/>
      <c r="AP9" s="2479" t="n"/>
    </row>
    <row r="10" ht="12" customHeight="1" thickBot="1">
      <c r="B10" s="432" t="n"/>
      <c r="C10" s="998" t="n"/>
      <c r="D10" s="762" t="n"/>
      <c r="E10" s="2290" t="n"/>
      <c r="F10" s="2476" t="n"/>
      <c r="G10" s="2477" t="n"/>
      <c r="H10" s="2476" t="n"/>
      <c r="I10" s="2477" t="n"/>
      <c r="J10" s="2477" t="n"/>
      <c r="K10" s="2477" t="n"/>
      <c r="L10" s="2477" t="n"/>
      <c r="M10" s="2477" t="n"/>
      <c r="N10" s="2477" t="n"/>
      <c r="O10" s="2476" t="n"/>
      <c r="P10" s="2477" t="n"/>
      <c r="Q10" s="2478" t="n"/>
      <c r="R10" s="2479" t="n"/>
      <c r="S10" s="2477" t="n"/>
      <c r="T10" s="2478" t="n"/>
      <c r="U10" s="2477" t="n"/>
      <c r="V10" s="2478" t="n"/>
      <c r="W10" s="2480" t="n"/>
      <c r="X10" s="2479" t="n"/>
      <c r="Y10" s="2479" t="n"/>
      <c r="Z10" s="2479" t="n"/>
      <c r="AA10" s="2479" t="n"/>
      <c r="AB10" s="2479" t="n"/>
      <c r="AC10" s="2479" t="n"/>
      <c r="AD10" s="2479" t="n"/>
      <c r="AE10" s="2480" t="n"/>
      <c r="AF10" s="2479" t="n"/>
      <c r="AG10" s="2479" t="n"/>
      <c r="AH10" s="2480" t="n"/>
      <c r="AI10" s="2479" t="n"/>
      <c r="AJ10" s="2479" t="n"/>
      <c r="AK10" s="2480" t="n"/>
      <c r="AL10" s="2479" t="n"/>
      <c r="AM10" s="2479" t="n"/>
      <c r="AN10" s="2480" t="n"/>
      <c r="AO10" s="2479" t="n"/>
      <c r="AP10" s="2479" t="n"/>
      <c r="AS10" s="516" t="inlineStr">
        <is>
          <t>Exclude as outlier?</t>
        </is>
      </c>
    </row>
    <row r="11" ht="12" customHeight="1" thickBot="1">
      <c r="B11" s="1005" t="n">
        <v>1</v>
      </c>
      <c r="C11" s="1006">
        <f>'GPC Data'!E22</f>
        <v/>
      </c>
      <c r="D11" s="1007">
        <f>'GPC Data'!D22</f>
        <v/>
      </c>
      <c r="E11" s="2298">
        <f>Multiples!E9</f>
        <v/>
      </c>
      <c r="F11" s="2481">
        <f>'GPC Data'!F226</f>
        <v/>
      </c>
      <c r="G11" s="2482">
        <f>'GPC Data'!G226</f>
        <v/>
      </c>
      <c r="H11" s="2481">
        <f>'GPC Data'!H226</f>
        <v/>
      </c>
      <c r="I11" s="2482">
        <f>'GPC Data'!I226</f>
        <v/>
      </c>
      <c r="J11" s="2483">
        <f>'GPC Data'!J226</f>
        <v/>
      </c>
      <c r="K11" s="2483">
        <f>'GPC Data'!K226</f>
        <v/>
      </c>
      <c r="L11" s="2483">
        <f>'GPC Data'!L226</f>
        <v/>
      </c>
      <c r="M11" s="2483">
        <f>'GPC Data'!M226</f>
        <v/>
      </c>
      <c r="N11" s="2482">
        <f>'GPC Data'!N226</f>
        <v/>
      </c>
      <c r="O11" s="2481">
        <f>'GPC Data'!O226</f>
        <v/>
      </c>
      <c r="P11" s="2482">
        <f>'GPC Data'!P226</f>
        <v/>
      </c>
      <c r="Q11" s="2484">
        <f>'GPC Data'!Q226</f>
        <v/>
      </c>
      <c r="R11" s="2485">
        <f>'GPC Data'!R226</f>
        <v/>
      </c>
      <c r="S11" s="2483">
        <f>'GPC Data'!S226</f>
        <v/>
      </c>
      <c r="T11" s="2486">
        <f>'GPC Data'!T226</f>
        <v/>
      </c>
      <c r="U11" s="2483">
        <f>'GPC Data'!U226</f>
        <v/>
      </c>
      <c r="V11" s="2486">
        <f>'GPC Data'!V226</f>
        <v/>
      </c>
      <c r="W11" s="2487">
        <f>'GPC Data'!W226</f>
        <v/>
      </c>
      <c r="X11" s="2488">
        <f>'GPC Data'!X226</f>
        <v/>
      </c>
      <c r="Y11" s="2488">
        <f>'GPC Data'!Y226</f>
        <v/>
      </c>
      <c r="Z11" s="2488">
        <f>'GPC Data'!Z226</f>
        <v/>
      </c>
      <c r="AA11" s="2485">
        <f>'GPC Data'!AA226</f>
        <v/>
      </c>
      <c r="AB11" s="2485">
        <f>'GPC Data'!AB226</f>
        <v/>
      </c>
      <c r="AC11" s="2485">
        <f>'GPC Data'!AC226</f>
        <v/>
      </c>
      <c r="AD11" s="2485">
        <f>'GPC Data'!AD226</f>
        <v/>
      </c>
      <c r="AE11" s="2489">
        <f>'GPC Data'!AE226</f>
        <v/>
      </c>
      <c r="AF11" s="2485">
        <f>'GPC Data'!AF226</f>
        <v/>
      </c>
      <c r="AG11" s="2485">
        <f>'GPC Data'!AG226</f>
        <v/>
      </c>
      <c r="AH11" s="2489">
        <f>'GPC Data'!AH226</f>
        <v/>
      </c>
      <c r="AI11" s="2485">
        <f>'GPC Data'!AI226</f>
        <v/>
      </c>
      <c r="AJ11" s="2485">
        <f>'GPC Data'!AJ226</f>
        <v/>
      </c>
      <c r="AK11" s="2489">
        <f>'GPC Data'!AK226</f>
        <v/>
      </c>
      <c r="AL11" s="2485">
        <f>'GPC Data'!AL226</f>
        <v/>
      </c>
      <c r="AM11" s="2485">
        <f>'GPC Data'!AM226</f>
        <v/>
      </c>
      <c r="AN11" s="2489">
        <f>'GPC Data'!AN226</f>
        <v/>
      </c>
      <c r="AO11" s="2485">
        <f>'GPC Data'!AO226</f>
        <v/>
      </c>
      <c r="AP11" s="2485">
        <f>'GPC Data'!AP226</f>
        <v/>
      </c>
      <c r="AS11" s="443" t="inlineStr">
        <is>
          <t>No</t>
        </is>
      </c>
    </row>
    <row r="12" ht="12" customHeight="1" thickBot="1">
      <c r="B12" s="1018">
        <f>B11+1</f>
        <v/>
      </c>
      <c r="C12" s="1006">
        <f>'GPC Data'!E23</f>
        <v/>
      </c>
      <c r="D12" s="1007">
        <f>'GPC Data'!D23</f>
        <v/>
      </c>
      <c r="E12" s="2298">
        <f>Multiples!E10</f>
        <v/>
      </c>
      <c r="F12" s="2481">
        <f>'GPC Data'!F227</f>
        <v/>
      </c>
      <c r="G12" s="2482">
        <f>'GPC Data'!G227</f>
        <v/>
      </c>
      <c r="H12" s="2481">
        <f>'GPC Data'!H227</f>
        <v/>
      </c>
      <c r="I12" s="2482">
        <f>'GPC Data'!I227</f>
        <v/>
      </c>
      <c r="J12" s="2483">
        <f>'GPC Data'!J227</f>
        <v/>
      </c>
      <c r="K12" s="2483">
        <f>'GPC Data'!K227</f>
        <v/>
      </c>
      <c r="L12" s="2483">
        <f>'GPC Data'!L227</f>
        <v/>
      </c>
      <c r="M12" s="2483">
        <f>'GPC Data'!M227</f>
        <v/>
      </c>
      <c r="N12" s="2482">
        <f>'GPC Data'!N227</f>
        <v/>
      </c>
      <c r="O12" s="2481">
        <f>'GPC Data'!O227</f>
        <v/>
      </c>
      <c r="P12" s="2482">
        <f>'GPC Data'!P227</f>
        <v/>
      </c>
      <c r="Q12" s="2484">
        <f>'GPC Data'!Q227</f>
        <v/>
      </c>
      <c r="R12" s="2485">
        <f>'GPC Data'!R227</f>
        <v/>
      </c>
      <c r="S12" s="2483">
        <f>'GPC Data'!S227</f>
        <v/>
      </c>
      <c r="T12" s="2486">
        <f>'GPC Data'!T227</f>
        <v/>
      </c>
      <c r="U12" s="2483">
        <f>'GPC Data'!U227</f>
        <v/>
      </c>
      <c r="V12" s="2486">
        <f>'GPC Data'!V227</f>
        <v/>
      </c>
      <c r="W12" s="2487">
        <f>'GPC Data'!W227</f>
        <v/>
      </c>
      <c r="X12" s="2488">
        <f>'GPC Data'!X227</f>
        <v/>
      </c>
      <c r="Y12" s="2488">
        <f>'GPC Data'!Y227</f>
        <v/>
      </c>
      <c r="Z12" s="2488">
        <f>'GPC Data'!Z227</f>
        <v/>
      </c>
      <c r="AA12" s="2485">
        <f>'GPC Data'!AA227</f>
        <v/>
      </c>
      <c r="AB12" s="2485">
        <f>'GPC Data'!AB227</f>
        <v/>
      </c>
      <c r="AC12" s="2485">
        <f>'GPC Data'!AC227</f>
        <v/>
      </c>
      <c r="AD12" s="2485">
        <f>'GPC Data'!AD227</f>
        <v/>
      </c>
      <c r="AE12" s="2489">
        <f>'GPC Data'!AE227</f>
        <v/>
      </c>
      <c r="AF12" s="2485">
        <f>'GPC Data'!AF227</f>
        <v/>
      </c>
      <c r="AG12" s="2485">
        <f>'GPC Data'!AG227</f>
        <v/>
      </c>
      <c r="AH12" s="2489">
        <f>'GPC Data'!AH227</f>
        <v/>
      </c>
      <c r="AI12" s="2485">
        <f>'GPC Data'!AI227</f>
        <v/>
      </c>
      <c r="AJ12" s="2485">
        <f>'GPC Data'!AJ227</f>
        <v/>
      </c>
      <c r="AK12" s="2489">
        <f>'GPC Data'!AK227</f>
        <v/>
      </c>
      <c r="AL12" s="2485">
        <f>'GPC Data'!AL227</f>
        <v/>
      </c>
      <c r="AM12" s="2485">
        <f>'GPC Data'!AM227</f>
        <v/>
      </c>
      <c r="AN12" s="2489">
        <f>'GPC Data'!AN227</f>
        <v/>
      </c>
      <c r="AO12" s="2485">
        <f>'GPC Data'!AO227</f>
        <v/>
      </c>
      <c r="AP12" s="2485">
        <f>'GPC Data'!AP227</f>
        <v/>
      </c>
      <c r="AS12" s="443" t="inlineStr">
        <is>
          <t>No</t>
        </is>
      </c>
    </row>
    <row r="13" ht="12" customHeight="1" thickBot="1">
      <c r="B13" s="1018">
        <f>B12+1</f>
        <v/>
      </c>
      <c r="C13" s="1006">
        <f>'GPC Data'!E24</f>
        <v/>
      </c>
      <c r="D13" s="1007">
        <f>'GPC Data'!D24</f>
        <v/>
      </c>
      <c r="E13" s="2298">
        <f>Multiples!E11</f>
        <v/>
      </c>
      <c r="F13" s="2481">
        <f>'GPC Data'!F228</f>
        <v/>
      </c>
      <c r="G13" s="2482">
        <f>'GPC Data'!G228</f>
        <v/>
      </c>
      <c r="H13" s="2481">
        <f>'GPC Data'!H228</f>
        <v/>
      </c>
      <c r="I13" s="2482">
        <f>'GPC Data'!I228</f>
        <v/>
      </c>
      <c r="J13" s="2483">
        <f>'GPC Data'!J228</f>
        <v/>
      </c>
      <c r="K13" s="2483">
        <f>'GPC Data'!K228</f>
        <v/>
      </c>
      <c r="L13" s="2483">
        <f>'GPC Data'!L228</f>
        <v/>
      </c>
      <c r="M13" s="2483">
        <f>'GPC Data'!M228</f>
        <v/>
      </c>
      <c r="N13" s="2482">
        <f>'GPC Data'!N228</f>
        <v/>
      </c>
      <c r="O13" s="2481">
        <f>'GPC Data'!O228</f>
        <v/>
      </c>
      <c r="P13" s="2482">
        <f>'GPC Data'!P228</f>
        <v/>
      </c>
      <c r="Q13" s="2484">
        <f>'GPC Data'!Q228</f>
        <v/>
      </c>
      <c r="R13" s="2485">
        <f>'GPC Data'!R228</f>
        <v/>
      </c>
      <c r="S13" s="2483">
        <f>'GPC Data'!S228</f>
        <v/>
      </c>
      <c r="T13" s="2486">
        <f>'GPC Data'!T228</f>
        <v/>
      </c>
      <c r="U13" s="2483">
        <f>'GPC Data'!U228</f>
        <v/>
      </c>
      <c r="V13" s="2486">
        <f>'GPC Data'!V228</f>
        <v/>
      </c>
      <c r="W13" s="2487">
        <f>'GPC Data'!W228</f>
        <v/>
      </c>
      <c r="X13" s="2488">
        <f>'GPC Data'!X228</f>
        <v/>
      </c>
      <c r="Y13" s="2488">
        <f>'GPC Data'!Y228</f>
        <v/>
      </c>
      <c r="Z13" s="2488">
        <f>'GPC Data'!Z228</f>
        <v/>
      </c>
      <c r="AA13" s="2485">
        <f>'GPC Data'!AA228</f>
        <v/>
      </c>
      <c r="AB13" s="2485">
        <f>'GPC Data'!AB228</f>
        <v/>
      </c>
      <c r="AC13" s="2485">
        <f>'GPC Data'!AC228</f>
        <v/>
      </c>
      <c r="AD13" s="2485">
        <f>'GPC Data'!AD228</f>
        <v/>
      </c>
      <c r="AE13" s="2489">
        <f>'GPC Data'!AE228</f>
        <v/>
      </c>
      <c r="AF13" s="2485">
        <f>'GPC Data'!AF228</f>
        <v/>
      </c>
      <c r="AG13" s="2485">
        <f>'GPC Data'!AG228</f>
        <v/>
      </c>
      <c r="AH13" s="2489">
        <f>'GPC Data'!AH228</f>
        <v/>
      </c>
      <c r="AI13" s="2485">
        <f>'GPC Data'!AI228</f>
        <v/>
      </c>
      <c r="AJ13" s="2485">
        <f>'GPC Data'!AJ228</f>
        <v/>
      </c>
      <c r="AK13" s="2489">
        <f>'GPC Data'!AK228</f>
        <v/>
      </c>
      <c r="AL13" s="2485">
        <f>'GPC Data'!AL228</f>
        <v/>
      </c>
      <c r="AM13" s="2485">
        <f>'GPC Data'!AM228</f>
        <v/>
      </c>
      <c r="AN13" s="2489">
        <f>'GPC Data'!AN228</f>
        <v/>
      </c>
      <c r="AO13" s="2485">
        <f>'GPC Data'!AO228</f>
        <v/>
      </c>
      <c r="AP13" s="2485">
        <f>'GPC Data'!AP228</f>
        <v/>
      </c>
      <c r="AS13" s="443" t="inlineStr">
        <is>
          <t>No</t>
        </is>
      </c>
    </row>
    <row r="14" ht="12" customFormat="1" customHeight="1" s="259" thickBot="1">
      <c r="B14" s="1018">
        <f>B13+1</f>
        <v/>
      </c>
      <c r="C14" s="1006">
        <f>'GPC Data'!E25</f>
        <v/>
      </c>
      <c r="D14" s="1007">
        <f>'GPC Data'!D25</f>
        <v/>
      </c>
      <c r="E14" s="2298">
        <f>Multiples!E12</f>
        <v/>
      </c>
      <c r="F14" s="2481">
        <f>'GPC Data'!F229</f>
        <v/>
      </c>
      <c r="G14" s="2482">
        <f>'GPC Data'!G229</f>
        <v/>
      </c>
      <c r="H14" s="2481">
        <f>'GPC Data'!H229</f>
        <v/>
      </c>
      <c r="I14" s="2482">
        <f>'GPC Data'!I229</f>
        <v/>
      </c>
      <c r="J14" s="2483">
        <f>'GPC Data'!J229</f>
        <v/>
      </c>
      <c r="K14" s="2483">
        <f>'GPC Data'!K229</f>
        <v/>
      </c>
      <c r="L14" s="2483">
        <f>'GPC Data'!L229</f>
        <v/>
      </c>
      <c r="M14" s="2483">
        <f>'GPC Data'!M229</f>
        <v/>
      </c>
      <c r="N14" s="2482">
        <f>'GPC Data'!N229</f>
        <v/>
      </c>
      <c r="O14" s="2481">
        <f>'GPC Data'!O229</f>
        <v/>
      </c>
      <c r="P14" s="2482">
        <f>'GPC Data'!P229</f>
        <v/>
      </c>
      <c r="Q14" s="2484">
        <f>'GPC Data'!Q229</f>
        <v/>
      </c>
      <c r="R14" s="2485">
        <f>'GPC Data'!R229</f>
        <v/>
      </c>
      <c r="S14" s="2483">
        <f>'GPC Data'!S229</f>
        <v/>
      </c>
      <c r="T14" s="2486">
        <f>'GPC Data'!T229</f>
        <v/>
      </c>
      <c r="U14" s="2483">
        <f>'GPC Data'!U229</f>
        <v/>
      </c>
      <c r="V14" s="2486">
        <f>'GPC Data'!V229</f>
        <v/>
      </c>
      <c r="W14" s="2487">
        <f>'GPC Data'!W229</f>
        <v/>
      </c>
      <c r="X14" s="2488">
        <f>'GPC Data'!X229</f>
        <v/>
      </c>
      <c r="Y14" s="2488">
        <f>'GPC Data'!Y229</f>
        <v/>
      </c>
      <c r="Z14" s="2488">
        <f>'GPC Data'!Z229</f>
        <v/>
      </c>
      <c r="AA14" s="2485">
        <f>'GPC Data'!AA229</f>
        <v/>
      </c>
      <c r="AB14" s="2485">
        <f>'GPC Data'!AB229</f>
        <v/>
      </c>
      <c r="AC14" s="2485">
        <f>'GPC Data'!AC229</f>
        <v/>
      </c>
      <c r="AD14" s="2485">
        <f>'GPC Data'!AD229</f>
        <v/>
      </c>
      <c r="AE14" s="2489">
        <f>'GPC Data'!AE229</f>
        <v/>
      </c>
      <c r="AF14" s="2485">
        <f>'GPC Data'!AF229</f>
        <v/>
      </c>
      <c r="AG14" s="2485">
        <f>'GPC Data'!AG229</f>
        <v/>
      </c>
      <c r="AH14" s="2489">
        <f>'GPC Data'!AH229</f>
        <v/>
      </c>
      <c r="AI14" s="2485">
        <f>'GPC Data'!AI229</f>
        <v/>
      </c>
      <c r="AJ14" s="2485">
        <f>'GPC Data'!AJ229</f>
        <v/>
      </c>
      <c r="AK14" s="2489">
        <f>'GPC Data'!AK229</f>
        <v/>
      </c>
      <c r="AL14" s="2485">
        <f>'GPC Data'!AL229</f>
        <v/>
      </c>
      <c r="AM14" s="2485">
        <f>'GPC Data'!AM229</f>
        <v/>
      </c>
      <c r="AN14" s="2489">
        <f>'GPC Data'!AN229</f>
        <v/>
      </c>
      <c r="AO14" s="2485">
        <f>'GPC Data'!AO229</f>
        <v/>
      </c>
      <c r="AP14" s="2485">
        <f>'GPC Data'!AP229</f>
        <v/>
      </c>
      <c r="AS14" s="443" t="inlineStr">
        <is>
          <t>No</t>
        </is>
      </c>
    </row>
    <row r="15" ht="12" customHeight="1" thickBot="1">
      <c r="B15" s="1018">
        <f>B14+1</f>
        <v/>
      </c>
      <c r="C15" s="1006">
        <f>'GPC Data'!E26</f>
        <v/>
      </c>
      <c r="D15" s="1007">
        <f>'GPC Data'!D26</f>
        <v/>
      </c>
      <c r="E15" s="2298">
        <f>Multiples!E13</f>
        <v/>
      </c>
      <c r="F15" s="2481">
        <f>'GPC Data'!F230</f>
        <v/>
      </c>
      <c r="G15" s="2482">
        <f>'GPC Data'!G230</f>
        <v/>
      </c>
      <c r="H15" s="2481">
        <f>'GPC Data'!H230</f>
        <v/>
      </c>
      <c r="I15" s="2482">
        <f>'GPC Data'!I230</f>
        <v/>
      </c>
      <c r="J15" s="2483">
        <f>'GPC Data'!J230</f>
        <v/>
      </c>
      <c r="K15" s="2483">
        <f>'GPC Data'!K230</f>
        <v/>
      </c>
      <c r="L15" s="2483">
        <f>'GPC Data'!L230</f>
        <v/>
      </c>
      <c r="M15" s="2483">
        <f>'GPC Data'!M230</f>
        <v/>
      </c>
      <c r="N15" s="2482">
        <f>'GPC Data'!N230</f>
        <v/>
      </c>
      <c r="O15" s="2481">
        <f>'GPC Data'!O230</f>
        <v/>
      </c>
      <c r="P15" s="2482">
        <f>'GPC Data'!P230</f>
        <v/>
      </c>
      <c r="Q15" s="2484">
        <f>'GPC Data'!Q230</f>
        <v/>
      </c>
      <c r="R15" s="2485">
        <f>'GPC Data'!R230</f>
        <v/>
      </c>
      <c r="S15" s="2483">
        <f>'GPC Data'!S230</f>
        <v/>
      </c>
      <c r="T15" s="2486">
        <f>'GPC Data'!T230</f>
        <v/>
      </c>
      <c r="U15" s="2483">
        <f>'GPC Data'!U230</f>
        <v/>
      </c>
      <c r="V15" s="2486">
        <f>'GPC Data'!V230</f>
        <v/>
      </c>
      <c r="W15" s="2487">
        <f>'GPC Data'!W230</f>
        <v/>
      </c>
      <c r="X15" s="2488">
        <f>'GPC Data'!X230</f>
        <v/>
      </c>
      <c r="Y15" s="2488">
        <f>'GPC Data'!Y230</f>
        <v/>
      </c>
      <c r="Z15" s="2488">
        <f>'GPC Data'!Z230</f>
        <v/>
      </c>
      <c r="AA15" s="2485">
        <f>'GPC Data'!AA230</f>
        <v/>
      </c>
      <c r="AB15" s="2485">
        <f>'GPC Data'!AB230</f>
        <v/>
      </c>
      <c r="AC15" s="2485">
        <f>'GPC Data'!AC230</f>
        <v/>
      </c>
      <c r="AD15" s="2485">
        <f>'GPC Data'!AD230</f>
        <v/>
      </c>
      <c r="AE15" s="2489">
        <f>'GPC Data'!AE230</f>
        <v/>
      </c>
      <c r="AF15" s="2485">
        <f>'GPC Data'!AF230</f>
        <v/>
      </c>
      <c r="AG15" s="2485">
        <f>'GPC Data'!AG230</f>
        <v/>
      </c>
      <c r="AH15" s="2489">
        <f>'GPC Data'!AH230</f>
        <v/>
      </c>
      <c r="AI15" s="2485">
        <f>'GPC Data'!AI230</f>
        <v/>
      </c>
      <c r="AJ15" s="2485">
        <f>'GPC Data'!AJ230</f>
        <v/>
      </c>
      <c r="AK15" s="2489">
        <f>'GPC Data'!AK230</f>
        <v/>
      </c>
      <c r="AL15" s="2485">
        <f>'GPC Data'!AL230</f>
        <v/>
      </c>
      <c r="AM15" s="2485">
        <f>'GPC Data'!AM230</f>
        <v/>
      </c>
      <c r="AN15" s="2489">
        <f>'GPC Data'!AN230</f>
        <v/>
      </c>
      <c r="AO15" s="2485">
        <f>'GPC Data'!AO230</f>
        <v/>
      </c>
      <c r="AP15" s="2485">
        <f>'GPC Data'!AP230</f>
        <v/>
      </c>
      <c r="AS15" s="443" t="inlineStr">
        <is>
          <t>No</t>
        </is>
      </c>
    </row>
    <row r="16" ht="12" customHeight="1" thickBot="1">
      <c r="B16" s="1018">
        <f>B15+1</f>
        <v/>
      </c>
      <c r="C16" s="1006">
        <f>'GPC Data'!E27</f>
        <v/>
      </c>
      <c r="D16" s="1007">
        <f>'GPC Data'!D27</f>
        <v/>
      </c>
      <c r="E16" s="2298">
        <f>Multiples!E14</f>
        <v/>
      </c>
      <c r="F16" s="2481">
        <f>'GPC Data'!F231</f>
        <v/>
      </c>
      <c r="G16" s="2482">
        <f>'GPC Data'!G231</f>
        <v/>
      </c>
      <c r="H16" s="2481">
        <f>'GPC Data'!H231</f>
        <v/>
      </c>
      <c r="I16" s="2482">
        <f>'GPC Data'!I231</f>
        <v/>
      </c>
      <c r="J16" s="2483">
        <f>'GPC Data'!J231</f>
        <v/>
      </c>
      <c r="K16" s="2483">
        <f>'GPC Data'!K231</f>
        <v/>
      </c>
      <c r="L16" s="2483">
        <f>'GPC Data'!L231</f>
        <v/>
      </c>
      <c r="M16" s="2483">
        <f>'GPC Data'!M231</f>
        <v/>
      </c>
      <c r="N16" s="2482">
        <f>'GPC Data'!N231</f>
        <v/>
      </c>
      <c r="O16" s="2481">
        <f>'GPC Data'!O231</f>
        <v/>
      </c>
      <c r="P16" s="2482">
        <f>'GPC Data'!P231</f>
        <v/>
      </c>
      <c r="Q16" s="2484">
        <f>'GPC Data'!Q231</f>
        <v/>
      </c>
      <c r="R16" s="2485">
        <f>'GPC Data'!R231</f>
        <v/>
      </c>
      <c r="S16" s="2483">
        <f>'GPC Data'!S231</f>
        <v/>
      </c>
      <c r="T16" s="2486">
        <f>'GPC Data'!T231</f>
        <v/>
      </c>
      <c r="U16" s="2483">
        <f>'GPC Data'!U231</f>
        <v/>
      </c>
      <c r="V16" s="2486">
        <f>'GPC Data'!V231</f>
        <v/>
      </c>
      <c r="W16" s="2487">
        <f>'GPC Data'!W231</f>
        <v/>
      </c>
      <c r="X16" s="2488">
        <f>'GPC Data'!X231</f>
        <v/>
      </c>
      <c r="Y16" s="2488">
        <f>'GPC Data'!Y231</f>
        <v/>
      </c>
      <c r="Z16" s="2488">
        <f>'GPC Data'!Z231</f>
        <v/>
      </c>
      <c r="AA16" s="2485">
        <f>'GPC Data'!AA231</f>
        <v/>
      </c>
      <c r="AB16" s="2485">
        <f>'GPC Data'!AB231</f>
        <v/>
      </c>
      <c r="AC16" s="2485">
        <f>'GPC Data'!AC231</f>
        <v/>
      </c>
      <c r="AD16" s="2485">
        <f>'GPC Data'!AD231</f>
        <v/>
      </c>
      <c r="AE16" s="2489">
        <f>'GPC Data'!AE231</f>
        <v/>
      </c>
      <c r="AF16" s="2485">
        <f>'GPC Data'!AF231</f>
        <v/>
      </c>
      <c r="AG16" s="2485">
        <f>'GPC Data'!AG231</f>
        <v/>
      </c>
      <c r="AH16" s="2489">
        <f>'GPC Data'!AH231</f>
        <v/>
      </c>
      <c r="AI16" s="2485">
        <f>'GPC Data'!AI231</f>
        <v/>
      </c>
      <c r="AJ16" s="2485">
        <f>'GPC Data'!AJ231</f>
        <v/>
      </c>
      <c r="AK16" s="2489">
        <f>'GPC Data'!AK231</f>
        <v/>
      </c>
      <c r="AL16" s="2485">
        <f>'GPC Data'!AL231</f>
        <v/>
      </c>
      <c r="AM16" s="2485">
        <f>'GPC Data'!AM231</f>
        <v/>
      </c>
      <c r="AN16" s="2489">
        <f>'GPC Data'!AN231</f>
        <v/>
      </c>
      <c r="AO16" s="2485">
        <f>'GPC Data'!AO231</f>
        <v/>
      </c>
      <c r="AP16" s="2485">
        <f>'GPC Data'!AP231</f>
        <v/>
      </c>
      <c r="AS16" s="443" t="inlineStr">
        <is>
          <t>No</t>
        </is>
      </c>
    </row>
    <row r="17" ht="12" customHeight="1" thickBot="1">
      <c r="B17" s="1018">
        <f>B16+1</f>
        <v/>
      </c>
      <c r="C17" s="1006">
        <f>'GPC Data'!E28</f>
        <v/>
      </c>
      <c r="D17" s="1007">
        <f>'GPC Data'!D28</f>
        <v/>
      </c>
      <c r="E17" s="2298">
        <f>Multiples!E15</f>
        <v/>
      </c>
      <c r="F17" s="2481">
        <f>'GPC Data'!F232</f>
        <v/>
      </c>
      <c r="G17" s="2482">
        <f>'GPC Data'!G232</f>
        <v/>
      </c>
      <c r="H17" s="2481">
        <f>'GPC Data'!H232</f>
        <v/>
      </c>
      <c r="I17" s="2482">
        <f>'GPC Data'!I232</f>
        <v/>
      </c>
      <c r="J17" s="2483">
        <f>'GPC Data'!J232</f>
        <v/>
      </c>
      <c r="K17" s="2483">
        <f>'GPC Data'!K232</f>
        <v/>
      </c>
      <c r="L17" s="2483">
        <f>'GPC Data'!L232</f>
        <v/>
      </c>
      <c r="M17" s="2483">
        <f>'GPC Data'!M232</f>
        <v/>
      </c>
      <c r="N17" s="2482">
        <f>'GPC Data'!N232</f>
        <v/>
      </c>
      <c r="O17" s="2481">
        <f>'GPC Data'!O232</f>
        <v/>
      </c>
      <c r="P17" s="2482">
        <f>'GPC Data'!P232</f>
        <v/>
      </c>
      <c r="Q17" s="2484">
        <f>'GPC Data'!Q232</f>
        <v/>
      </c>
      <c r="R17" s="2485">
        <f>'GPC Data'!R232</f>
        <v/>
      </c>
      <c r="S17" s="2483">
        <f>'GPC Data'!S232</f>
        <v/>
      </c>
      <c r="T17" s="2486">
        <f>'GPC Data'!T232</f>
        <v/>
      </c>
      <c r="U17" s="2483">
        <f>'GPC Data'!U232</f>
        <v/>
      </c>
      <c r="V17" s="2486">
        <f>'GPC Data'!V232</f>
        <v/>
      </c>
      <c r="W17" s="2487">
        <f>'GPC Data'!W232</f>
        <v/>
      </c>
      <c r="X17" s="2488">
        <f>'GPC Data'!X232</f>
        <v/>
      </c>
      <c r="Y17" s="2488">
        <f>'GPC Data'!Y232</f>
        <v/>
      </c>
      <c r="Z17" s="2488">
        <f>'GPC Data'!Z232</f>
        <v/>
      </c>
      <c r="AA17" s="2485">
        <f>'GPC Data'!AA232</f>
        <v/>
      </c>
      <c r="AB17" s="2485">
        <f>'GPC Data'!AB232</f>
        <v/>
      </c>
      <c r="AC17" s="2485">
        <f>'GPC Data'!AC232</f>
        <v/>
      </c>
      <c r="AD17" s="2485">
        <f>'GPC Data'!AD232</f>
        <v/>
      </c>
      <c r="AE17" s="2489">
        <f>'GPC Data'!AE232</f>
        <v/>
      </c>
      <c r="AF17" s="2485">
        <f>'GPC Data'!AF232</f>
        <v/>
      </c>
      <c r="AG17" s="2485">
        <f>'GPC Data'!AG232</f>
        <v/>
      </c>
      <c r="AH17" s="2489">
        <f>'GPC Data'!AH232</f>
        <v/>
      </c>
      <c r="AI17" s="2485">
        <f>'GPC Data'!AI232</f>
        <v/>
      </c>
      <c r="AJ17" s="2485">
        <f>'GPC Data'!AJ232</f>
        <v/>
      </c>
      <c r="AK17" s="2489">
        <f>'GPC Data'!AK232</f>
        <v/>
      </c>
      <c r="AL17" s="2485">
        <f>'GPC Data'!AL232</f>
        <v/>
      </c>
      <c r="AM17" s="2485">
        <f>'GPC Data'!AM232</f>
        <v/>
      </c>
      <c r="AN17" s="2489">
        <f>'GPC Data'!AN232</f>
        <v/>
      </c>
      <c r="AO17" s="2485">
        <f>'GPC Data'!AO232</f>
        <v/>
      </c>
      <c r="AP17" s="2485">
        <f>'GPC Data'!AP232</f>
        <v/>
      </c>
      <c r="AS17" s="443" t="inlineStr">
        <is>
          <t>No</t>
        </is>
      </c>
    </row>
    <row r="18" ht="12" customHeight="1" thickBot="1">
      <c r="B18" s="1018">
        <f>B17+1</f>
        <v/>
      </c>
      <c r="C18" s="1006">
        <f>'GPC Data'!E29</f>
        <v/>
      </c>
      <c r="D18" s="1007">
        <f>'GPC Data'!D29</f>
        <v/>
      </c>
      <c r="E18" s="2298">
        <f>Multiples!E16</f>
        <v/>
      </c>
      <c r="F18" s="2481">
        <f>'GPC Data'!F233</f>
        <v/>
      </c>
      <c r="G18" s="2482">
        <f>'GPC Data'!G233</f>
        <v/>
      </c>
      <c r="H18" s="2481">
        <f>'GPC Data'!H233</f>
        <v/>
      </c>
      <c r="I18" s="2482">
        <f>'GPC Data'!I233</f>
        <v/>
      </c>
      <c r="J18" s="2483">
        <f>'GPC Data'!J233</f>
        <v/>
      </c>
      <c r="K18" s="2483">
        <f>'GPC Data'!K233</f>
        <v/>
      </c>
      <c r="L18" s="2483">
        <f>'GPC Data'!L233</f>
        <v/>
      </c>
      <c r="M18" s="2483">
        <f>'GPC Data'!M233</f>
        <v/>
      </c>
      <c r="N18" s="2482">
        <f>'GPC Data'!N233</f>
        <v/>
      </c>
      <c r="O18" s="2481">
        <f>'GPC Data'!O233</f>
        <v/>
      </c>
      <c r="P18" s="2482">
        <f>'GPC Data'!P233</f>
        <v/>
      </c>
      <c r="Q18" s="2484">
        <f>'GPC Data'!Q233</f>
        <v/>
      </c>
      <c r="R18" s="2485">
        <f>'GPC Data'!R233</f>
        <v/>
      </c>
      <c r="S18" s="2483">
        <f>'GPC Data'!S233</f>
        <v/>
      </c>
      <c r="T18" s="2486">
        <f>'GPC Data'!T233</f>
        <v/>
      </c>
      <c r="U18" s="2483">
        <f>'GPC Data'!U233</f>
        <v/>
      </c>
      <c r="V18" s="2486">
        <f>'GPC Data'!V233</f>
        <v/>
      </c>
      <c r="W18" s="2487">
        <f>'GPC Data'!W233</f>
        <v/>
      </c>
      <c r="X18" s="2488">
        <f>'GPC Data'!X233</f>
        <v/>
      </c>
      <c r="Y18" s="2488">
        <f>'GPC Data'!Y233</f>
        <v/>
      </c>
      <c r="Z18" s="2488">
        <f>'GPC Data'!Z233</f>
        <v/>
      </c>
      <c r="AA18" s="2485">
        <f>'GPC Data'!AA233</f>
        <v/>
      </c>
      <c r="AB18" s="2485">
        <f>'GPC Data'!AB233</f>
        <v/>
      </c>
      <c r="AC18" s="2485">
        <f>'GPC Data'!AC233</f>
        <v/>
      </c>
      <c r="AD18" s="2485">
        <f>'GPC Data'!AD233</f>
        <v/>
      </c>
      <c r="AE18" s="2489">
        <f>'GPC Data'!AE233</f>
        <v/>
      </c>
      <c r="AF18" s="2485">
        <f>'GPC Data'!AF233</f>
        <v/>
      </c>
      <c r="AG18" s="2485">
        <f>'GPC Data'!AG233</f>
        <v/>
      </c>
      <c r="AH18" s="2489">
        <f>'GPC Data'!AH233</f>
        <v/>
      </c>
      <c r="AI18" s="2485">
        <f>'GPC Data'!AI233</f>
        <v/>
      </c>
      <c r="AJ18" s="2485">
        <f>'GPC Data'!AJ233</f>
        <v/>
      </c>
      <c r="AK18" s="2489">
        <f>'GPC Data'!AK233</f>
        <v/>
      </c>
      <c r="AL18" s="2485">
        <f>'GPC Data'!AL233</f>
        <v/>
      </c>
      <c r="AM18" s="2485">
        <f>'GPC Data'!AM233</f>
        <v/>
      </c>
      <c r="AN18" s="2489">
        <f>'GPC Data'!AN233</f>
        <v/>
      </c>
      <c r="AO18" s="2485">
        <f>'GPC Data'!AO233</f>
        <v/>
      </c>
      <c r="AP18" s="2485">
        <f>'GPC Data'!AP233</f>
        <v/>
      </c>
      <c r="AS18" s="443" t="inlineStr">
        <is>
          <t>No</t>
        </is>
      </c>
    </row>
    <row r="19" ht="12" customHeight="1" thickBot="1">
      <c r="B19" s="1018">
        <f>B18+1</f>
        <v/>
      </c>
      <c r="C19" s="1006">
        <f>'GPC Data'!E30</f>
        <v/>
      </c>
      <c r="D19" s="1007">
        <f>'GPC Data'!D30</f>
        <v/>
      </c>
      <c r="E19" s="2298">
        <f>Multiples!E17</f>
        <v/>
      </c>
      <c r="F19" s="2481">
        <f>'GPC Data'!F234</f>
        <v/>
      </c>
      <c r="G19" s="2482">
        <f>'GPC Data'!G234</f>
        <v/>
      </c>
      <c r="H19" s="2481">
        <f>'GPC Data'!H234</f>
        <v/>
      </c>
      <c r="I19" s="2482">
        <f>'GPC Data'!I234</f>
        <v/>
      </c>
      <c r="J19" s="2483">
        <f>'GPC Data'!J234</f>
        <v/>
      </c>
      <c r="K19" s="2483">
        <f>'GPC Data'!K234</f>
        <v/>
      </c>
      <c r="L19" s="2483">
        <f>'GPC Data'!L234</f>
        <v/>
      </c>
      <c r="M19" s="2483">
        <f>'GPC Data'!M234</f>
        <v/>
      </c>
      <c r="N19" s="2482">
        <f>'GPC Data'!N234</f>
        <v/>
      </c>
      <c r="O19" s="2481">
        <f>'GPC Data'!O234</f>
        <v/>
      </c>
      <c r="P19" s="2482">
        <f>'GPC Data'!P234</f>
        <v/>
      </c>
      <c r="Q19" s="2484">
        <f>'GPC Data'!Q234</f>
        <v/>
      </c>
      <c r="R19" s="2485">
        <f>'GPC Data'!R234</f>
        <v/>
      </c>
      <c r="S19" s="2483">
        <f>'GPC Data'!S234</f>
        <v/>
      </c>
      <c r="T19" s="2486">
        <f>'GPC Data'!T234</f>
        <v/>
      </c>
      <c r="U19" s="2483">
        <f>'GPC Data'!U234</f>
        <v/>
      </c>
      <c r="V19" s="2486">
        <f>'GPC Data'!V234</f>
        <v/>
      </c>
      <c r="W19" s="2487">
        <f>'GPC Data'!W234</f>
        <v/>
      </c>
      <c r="X19" s="2488">
        <f>'GPC Data'!X234</f>
        <v/>
      </c>
      <c r="Y19" s="2488">
        <f>'GPC Data'!Y234</f>
        <v/>
      </c>
      <c r="Z19" s="2488">
        <f>'GPC Data'!Z234</f>
        <v/>
      </c>
      <c r="AA19" s="2485">
        <f>'GPC Data'!AA234</f>
        <v/>
      </c>
      <c r="AB19" s="2485">
        <f>'GPC Data'!AB234</f>
        <v/>
      </c>
      <c r="AC19" s="2485">
        <f>'GPC Data'!AC234</f>
        <v/>
      </c>
      <c r="AD19" s="2485">
        <f>'GPC Data'!AD234</f>
        <v/>
      </c>
      <c r="AE19" s="2489">
        <f>'GPC Data'!AE234</f>
        <v/>
      </c>
      <c r="AF19" s="2485">
        <f>'GPC Data'!AF234</f>
        <v/>
      </c>
      <c r="AG19" s="2485">
        <f>'GPC Data'!AG234</f>
        <v/>
      </c>
      <c r="AH19" s="2489">
        <f>'GPC Data'!AH234</f>
        <v/>
      </c>
      <c r="AI19" s="2485">
        <f>'GPC Data'!AI234</f>
        <v/>
      </c>
      <c r="AJ19" s="2485">
        <f>'GPC Data'!AJ234</f>
        <v/>
      </c>
      <c r="AK19" s="2489">
        <f>'GPC Data'!AK234</f>
        <v/>
      </c>
      <c r="AL19" s="2485">
        <f>'GPC Data'!AL234</f>
        <v/>
      </c>
      <c r="AM19" s="2485">
        <f>'GPC Data'!AM234</f>
        <v/>
      </c>
      <c r="AN19" s="2489">
        <f>'GPC Data'!AN234</f>
        <v/>
      </c>
      <c r="AO19" s="2485">
        <f>'GPC Data'!AO234</f>
        <v/>
      </c>
      <c r="AP19" s="2485">
        <f>'GPC Data'!AP234</f>
        <v/>
      </c>
      <c r="AS19" s="443" t="inlineStr">
        <is>
          <t>No</t>
        </is>
      </c>
    </row>
    <row r="20" ht="12" customHeight="1" thickBot="1">
      <c r="B20" s="1018">
        <f>B19+1</f>
        <v/>
      </c>
      <c r="C20" s="1006">
        <f>'GPC Data'!E31</f>
        <v/>
      </c>
      <c r="D20" s="1007">
        <f>'GPC Data'!D31</f>
        <v/>
      </c>
      <c r="E20" s="2298">
        <f>Multiples!E18</f>
        <v/>
      </c>
      <c r="F20" s="2481">
        <f>'GPC Data'!F235</f>
        <v/>
      </c>
      <c r="G20" s="2482">
        <f>'GPC Data'!G235</f>
        <v/>
      </c>
      <c r="H20" s="2481">
        <f>'GPC Data'!H235</f>
        <v/>
      </c>
      <c r="I20" s="2482">
        <f>'GPC Data'!I235</f>
        <v/>
      </c>
      <c r="J20" s="2483">
        <f>'GPC Data'!J235</f>
        <v/>
      </c>
      <c r="K20" s="2483">
        <f>'GPC Data'!K235</f>
        <v/>
      </c>
      <c r="L20" s="2483">
        <f>'GPC Data'!L235</f>
        <v/>
      </c>
      <c r="M20" s="2483">
        <f>'GPC Data'!M235</f>
        <v/>
      </c>
      <c r="N20" s="2482">
        <f>'GPC Data'!N235</f>
        <v/>
      </c>
      <c r="O20" s="2481">
        <f>'GPC Data'!O235</f>
        <v/>
      </c>
      <c r="P20" s="2482">
        <f>'GPC Data'!P235</f>
        <v/>
      </c>
      <c r="Q20" s="2484">
        <f>'GPC Data'!Q235</f>
        <v/>
      </c>
      <c r="R20" s="2485">
        <f>'GPC Data'!R235</f>
        <v/>
      </c>
      <c r="S20" s="2483">
        <f>'GPC Data'!S235</f>
        <v/>
      </c>
      <c r="T20" s="2486">
        <f>'GPC Data'!T235</f>
        <v/>
      </c>
      <c r="U20" s="2483">
        <f>'GPC Data'!U235</f>
        <v/>
      </c>
      <c r="V20" s="2486">
        <f>'GPC Data'!V235</f>
        <v/>
      </c>
      <c r="W20" s="2487">
        <f>'GPC Data'!W235</f>
        <v/>
      </c>
      <c r="X20" s="2488">
        <f>'GPC Data'!X235</f>
        <v/>
      </c>
      <c r="Y20" s="2488">
        <f>'GPC Data'!Y235</f>
        <v/>
      </c>
      <c r="Z20" s="2488">
        <f>'GPC Data'!Z235</f>
        <v/>
      </c>
      <c r="AA20" s="2485">
        <f>'GPC Data'!AA235</f>
        <v/>
      </c>
      <c r="AB20" s="2485">
        <f>'GPC Data'!AB235</f>
        <v/>
      </c>
      <c r="AC20" s="2485">
        <f>'GPC Data'!AC235</f>
        <v/>
      </c>
      <c r="AD20" s="2485">
        <f>'GPC Data'!AD235</f>
        <v/>
      </c>
      <c r="AE20" s="2489">
        <f>'GPC Data'!AE235</f>
        <v/>
      </c>
      <c r="AF20" s="2485">
        <f>'GPC Data'!AF235</f>
        <v/>
      </c>
      <c r="AG20" s="2485">
        <f>'GPC Data'!AG235</f>
        <v/>
      </c>
      <c r="AH20" s="2489">
        <f>'GPC Data'!AH235</f>
        <v/>
      </c>
      <c r="AI20" s="2485">
        <f>'GPC Data'!AI235</f>
        <v/>
      </c>
      <c r="AJ20" s="2485">
        <f>'GPC Data'!AJ235</f>
        <v/>
      </c>
      <c r="AK20" s="2489">
        <f>'GPC Data'!AK235</f>
        <v/>
      </c>
      <c r="AL20" s="2485">
        <f>'GPC Data'!AL235</f>
        <v/>
      </c>
      <c r="AM20" s="2485">
        <f>'GPC Data'!AM235</f>
        <v/>
      </c>
      <c r="AN20" s="2489">
        <f>'GPC Data'!AN235</f>
        <v/>
      </c>
      <c r="AO20" s="2485">
        <f>'GPC Data'!AO235</f>
        <v/>
      </c>
      <c r="AP20" s="2485">
        <f>'GPC Data'!AP235</f>
        <v/>
      </c>
      <c r="AS20" s="443" t="inlineStr">
        <is>
          <t>No</t>
        </is>
      </c>
    </row>
    <row r="21" ht="12" customHeight="1" thickBot="1">
      <c r="B21" s="1018">
        <f>B20+1</f>
        <v/>
      </c>
      <c r="C21" s="1006">
        <f>'GPC Data'!E32</f>
        <v/>
      </c>
      <c r="D21" s="1007">
        <f>'GPC Data'!D32</f>
        <v/>
      </c>
      <c r="E21" s="2298">
        <f>Multiples!#REF!</f>
        <v/>
      </c>
      <c r="F21" s="2481">
        <f>'GPC Data'!F236</f>
        <v/>
      </c>
      <c r="G21" s="2482">
        <f>'GPC Data'!G236</f>
        <v/>
      </c>
      <c r="H21" s="2481">
        <f>'GPC Data'!H236</f>
        <v/>
      </c>
      <c r="I21" s="2482">
        <f>'GPC Data'!I236</f>
        <v/>
      </c>
      <c r="J21" s="2483">
        <f>'GPC Data'!J236</f>
        <v/>
      </c>
      <c r="K21" s="2483">
        <f>'GPC Data'!K236</f>
        <v/>
      </c>
      <c r="L21" s="2483">
        <f>'GPC Data'!L236</f>
        <v/>
      </c>
      <c r="M21" s="2483">
        <f>'GPC Data'!M236</f>
        <v/>
      </c>
      <c r="N21" s="2482">
        <f>'GPC Data'!N236</f>
        <v/>
      </c>
      <c r="O21" s="2481">
        <f>'GPC Data'!O236</f>
        <v/>
      </c>
      <c r="P21" s="2482">
        <f>'GPC Data'!P236</f>
        <v/>
      </c>
      <c r="Q21" s="2484">
        <f>'GPC Data'!Q236</f>
        <v/>
      </c>
      <c r="R21" s="2485">
        <f>'GPC Data'!R236</f>
        <v/>
      </c>
      <c r="S21" s="2483">
        <f>'GPC Data'!S236</f>
        <v/>
      </c>
      <c r="T21" s="2486">
        <f>'GPC Data'!T236</f>
        <v/>
      </c>
      <c r="U21" s="2483">
        <f>'GPC Data'!U236</f>
        <v/>
      </c>
      <c r="V21" s="2486">
        <f>'GPC Data'!V236</f>
        <v/>
      </c>
      <c r="W21" s="2487">
        <f>'GPC Data'!W236</f>
        <v/>
      </c>
      <c r="X21" s="2488">
        <f>'GPC Data'!X236</f>
        <v/>
      </c>
      <c r="Y21" s="2488">
        <f>'GPC Data'!Y236</f>
        <v/>
      </c>
      <c r="Z21" s="2488">
        <f>'GPC Data'!Z236</f>
        <v/>
      </c>
      <c r="AA21" s="2485">
        <f>'GPC Data'!AA236</f>
        <v/>
      </c>
      <c r="AB21" s="2485">
        <f>'GPC Data'!AB236</f>
        <v/>
      </c>
      <c r="AC21" s="2485">
        <f>'GPC Data'!AC236</f>
        <v/>
      </c>
      <c r="AD21" s="2485">
        <f>'GPC Data'!AD236</f>
        <v/>
      </c>
      <c r="AE21" s="2489">
        <f>'GPC Data'!AE236</f>
        <v/>
      </c>
      <c r="AF21" s="2485">
        <f>'GPC Data'!AF236</f>
        <v/>
      </c>
      <c r="AG21" s="2485">
        <f>'GPC Data'!AG236</f>
        <v/>
      </c>
      <c r="AH21" s="2489">
        <f>'GPC Data'!AH236</f>
        <v/>
      </c>
      <c r="AI21" s="2485">
        <f>'GPC Data'!AI236</f>
        <v/>
      </c>
      <c r="AJ21" s="2485">
        <f>'GPC Data'!AJ236</f>
        <v/>
      </c>
      <c r="AK21" s="2489">
        <f>'GPC Data'!AK236</f>
        <v/>
      </c>
      <c r="AL21" s="2485">
        <f>'GPC Data'!AL236</f>
        <v/>
      </c>
      <c r="AM21" s="2485">
        <f>'GPC Data'!AM236</f>
        <v/>
      </c>
      <c r="AN21" s="2489">
        <f>'GPC Data'!AN236</f>
        <v/>
      </c>
      <c r="AO21" s="2485">
        <f>'GPC Data'!AO236</f>
        <v/>
      </c>
      <c r="AP21" s="2485">
        <f>'GPC Data'!AP236</f>
        <v/>
      </c>
      <c r="AS21" s="443" t="inlineStr">
        <is>
          <t>Yes</t>
        </is>
      </c>
    </row>
    <row r="22" ht="12" customHeight="1" thickBot="1">
      <c r="B22" s="1018">
        <f>B21+1</f>
        <v/>
      </c>
      <c r="C22" s="1006">
        <f>'GPC Data'!E33</f>
        <v/>
      </c>
      <c r="D22" s="1007">
        <f>'GPC Data'!D33</f>
        <v/>
      </c>
      <c r="E22" s="2298">
        <f>Multiples!#REF!</f>
        <v/>
      </c>
      <c r="F22" s="2481">
        <f>'GPC Data'!F237</f>
        <v/>
      </c>
      <c r="G22" s="2482">
        <f>'GPC Data'!G237</f>
        <v/>
      </c>
      <c r="H22" s="2481">
        <f>'GPC Data'!H237</f>
        <v/>
      </c>
      <c r="I22" s="2482">
        <f>'GPC Data'!I237</f>
        <v/>
      </c>
      <c r="J22" s="2483">
        <f>'GPC Data'!J237</f>
        <v/>
      </c>
      <c r="K22" s="2483">
        <f>'GPC Data'!K237</f>
        <v/>
      </c>
      <c r="L22" s="2483">
        <f>'GPC Data'!L237</f>
        <v/>
      </c>
      <c r="M22" s="2483">
        <f>'GPC Data'!M237</f>
        <v/>
      </c>
      <c r="N22" s="2482">
        <f>'GPC Data'!N237</f>
        <v/>
      </c>
      <c r="O22" s="2481">
        <f>'GPC Data'!O237</f>
        <v/>
      </c>
      <c r="P22" s="2482">
        <f>'GPC Data'!P237</f>
        <v/>
      </c>
      <c r="Q22" s="2484">
        <f>'GPC Data'!Q237</f>
        <v/>
      </c>
      <c r="R22" s="2485">
        <f>'GPC Data'!R237</f>
        <v/>
      </c>
      <c r="S22" s="2483">
        <f>'GPC Data'!S237</f>
        <v/>
      </c>
      <c r="T22" s="2486">
        <f>'GPC Data'!T237</f>
        <v/>
      </c>
      <c r="U22" s="2483">
        <f>'GPC Data'!U237</f>
        <v/>
      </c>
      <c r="V22" s="2486">
        <f>'GPC Data'!V237</f>
        <v/>
      </c>
      <c r="W22" s="2487">
        <f>'GPC Data'!W237</f>
        <v/>
      </c>
      <c r="X22" s="2488">
        <f>'GPC Data'!X237</f>
        <v/>
      </c>
      <c r="Y22" s="2488">
        <f>'GPC Data'!Y237</f>
        <v/>
      </c>
      <c r="Z22" s="2488">
        <f>'GPC Data'!Z237</f>
        <v/>
      </c>
      <c r="AA22" s="2485">
        <f>'GPC Data'!AA237</f>
        <v/>
      </c>
      <c r="AB22" s="2485">
        <f>'GPC Data'!AB237</f>
        <v/>
      </c>
      <c r="AC22" s="2485">
        <f>'GPC Data'!AC237</f>
        <v/>
      </c>
      <c r="AD22" s="2485">
        <f>'GPC Data'!AD237</f>
        <v/>
      </c>
      <c r="AE22" s="2489">
        <f>'GPC Data'!AE237</f>
        <v/>
      </c>
      <c r="AF22" s="2485">
        <f>'GPC Data'!AF237</f>
        <v/>
      </c>
      <c r="AG22" s="2485">
        <f>'GPC Data'!AG237</f>
        <v/>
      </c>
      <c r="AH22" s="2489">
        <f>'GPC Data'!AH237</f>
        <v/>
      </c>
      <c r="AI22" s="2485">
        <f>'GPC Data'!AI237</f>
        <v/>
      </c>
      <c r="AJ22" s="2485">
        <f>'GPC Data'!AJ237</f>
        <v/>
      </c>
      <c r="AK22" s="2489">
        <f>'GPC Data'!AK237</f>
        <v/>
      </c>
      <c r="AL22" s="2485">
        <f>'GPC Data'!AL237</f>
        <v/>
      </c>
      <c r="AM22" s="2485">
        <f>'GPC Data'!AM237</f>
        <v/>
      </c>
      <c r="AN22" s="2489">
        <f>'GPC Data'!AN237</f>
        <v/>
      </c>
      <c r="AO22" s="2485">
        <f>'GPC Data'!AO237</f>
        <v/>
      </c>
      <c r="AP22" s="2485">
        <f>'GPC Data'!AP237</f>
        <v/>
      </c>
      <c r="AS22" s="443" t="inlineStr">
        <is>
          <t>Yes</t>
        </is>
      </c>
    </row>
    <row r="23" ht="12" customHeight="1" thickBot="1">
      <c r="B23" s="1018">
        <f>B22+1</f>
        <v/>
      </c>
      <c r="C23" s="1006">
        <f>'GPC Data'!E34</f>
        <v/>
      </c>
      <c r="D23" s="1007">
        <f>'GPC Data'!D34</f>
        <v/>
      </c>
      <c r="E23" s="2298">
        <f>Multiples!#REF!</f>
        <v/>
      </c>
      <c r="F23" s="2481">
        <f>'GPC Data'!F238</f>
        <v/>
      </c>
      <c r="G23" s="2482">
        <f>'GPC Data'!G238</f>
        <v/>
      </c>
      <c r="H23" s="2481">
        <f>'GPC Data'!H238</f>
        <v/>
      </c>
      <c r="I23" s="2482">
        <f>'GPC Data'!I238</f>
        <v/>
      </c>
      <c r="J23" s="2483">
        <f>'GPC Data'!J238</f>
        <v/>
      </c>
      <c r="K23" s="2483">
        <f>'GPC Data'!K238</f>
        <v/>
      </c>
      <c r="L23" s="2483">
        <f>'GPC Data'!L238</f>
        <v/>
      </c>
      <c r="M23" s="2483">
        <f>'GPC Data'!M238</f>
        <v/>
      </c>
      <c r="N23" s="2482">
        <f>'GPC Data'!N238</f>
        <v/>
      </c>
      <c r="O23" s="2481">
        <f>'GPC Data'!O238</f>
        <v/>
      </c>
      <c r="P23" s="2482">
        <f>'GPC Data'!P238</f>
        <v/>
      </c>
      <c r="Q23" s="2484">
        <f>'GPC Data'!Q238</f>
        <v/>
      </c>
      <c r="R23" s="2485">
        <f>'GPC Data'!R238</f>
        <v/>
      </c>
      <c r="S23" s="2483">
        <f>'GPC Data'!S238</f>
        <v/>
      </c>
      <c r="T23" s="2486">
        <f>'GPC Data'!T238</f>
        <v/>
      </c>
      <c r="U23" s="2483">
        <f>'GPC Data'!U238</f>
        <v/>
      </c>
      <c r="V23" s="2486">
        <f>'GPC Data'!V238</f>
        <v/>
      </c>
      <c r="W23" s="2487">
        <f>'GPC Data'!W238</f>
        <v/>
      </c>
      <c r="X23" s="2488">
        <f>'GPC Data'!X238</f>
        <v/>
      </c>
      <c r="Y23" s="2488">
        <f>'GPC Data'!Y238</f>
        <v/>
      </c>
      <c r="Z23" s="2488">
        <f>'GPC Data'!Z238</f>
        <v/>
      </c>
      <c r="AA23" s="2485">
        <f>'GPC Data'!AA238</f>
        <v/>
      </c>
      <c r="AB23" s="2485">
        <f>'GPC Data'!AB238</f>
        <v/>
      </c>
      <c r="AC23" s="2485">
        <f>'GPC Data'!AC238</f>
        <v/>
      </c>
      <c r="AD23" s="2485">
        <f>'GPC Data'!AD238</f>
        <v/>
      </c>
      <c r="AE23" s="2489">
        <f>'GPC Data'!AE238</f>
        <v/>
      </c>
      <c r="AF23" s="2485">
        <f>'GPC Data'!AF238</f>
        <v/>
      </c>
      <c r="AG23" s="2485">
        <f>'GPC Data'!AG238</f>
        <v/>
      </c>
      <c r="AH23" s="2489">
        <f>'GPC Data'!AH238</f>
        <v/>
      </c>
      <c r="AI23" s="2485">
        <f>'GPC Data'!AI238</f>
        <v/>
      </c>
      <c r="AJ23" s="2485">
        <f>'GPC Data'!AJ238</f>
        <v/>
      </c>
      <c r="AK23" s="2489">
        <f>'GPC Data'!AK238</f>
        <v/>
      </c>
      <c r="AL23" s="2485">
        <f>'GPC Data'!AL238</f>
        <v/>
      </c>
      <c r="AM23" s="2485">
        <f>'GPC Data'!AM238</f>
        <v/>
      </c>
      <c r="AN23" s="2489">
        <f>'GPC Data'!AN238</f>
        <v/>
      </c>
      <c r="AO23" s="2485">
        <f>'GPC Data'!AO238</f>
        <v/>
      </c>
      <c r="AP23" s="2485">
        <f>'GPC Data'!AP238</f>
        <v/>
      </c>
      <c r="AS23" s="443" t="inlineStr">
        <is>
          <t>Yes</t>
        </is>
      </c>
    </row>
    <row r="24" ht="12" customHeight="1" thickBot="1">
      <c r="B24" s="1018">
        <f>B23+1</f>
        <v/>
      </c>
      <c r="C24" s="1006">
        <f>'GPC Data'!E35</f>
        <v/>
      </c>
      <c r="D24" s="1007">
        <f>'GPC Data'!D35</f>
        <v/>
      </c>
      <c r="E24" s="2298">
        <f>Multiples!#REF!</f>
        <v/>
      </c>
      <c r="F24" s="2481">
        <f>'GPC Data'!F239</f>
        <v/>
      </c>
      <c r="G24" s="2482">
        <f>'GPC Data'!G239</f>
        <v/>
      </c>
      <c r="H24" s="2481">
        <f>'GPC Data'!H239</f>
        <v/>
      </c>
      <c r="I24" s="2482">
        <f>'GPC Data'!I239</f>
        <v/>
      </c>
      <c r="J24" s="2483">
        <f>'GPC Data'!J239</f>
        <v/>
      </c>
      <c r="K24" s="2483">
        <f>'GPC Data'!K239</f>
        <v/>
      </c>
      <c r="L24" s="2483">
        <f>'GPC Data'!L239</f>
        <v/>
      </c>
      <c r="M24" s="2483">
        <f>'GPC Data'!M239</f>
        <v/>
      </c>
      <c r="N24" s="2482">
        <f>'GPC Data'!N239</f>
        <v/>
      </c>
      <c r="O24" s="2481">
        <f>'GPC Data'!O239</f>
        <v/>
      </c>
      <c r="P24" s="2482">
        <f>'GPC Data'!P239</f>
        <v/>
      </c>
      <c r="Q24" s="2484">
        <f>'GPC Data'!Q239</f>
        <v/>
      </c>
      <c r="R24" s="2485">
        <f>'GPC Data'!R239</f>
        <v/>
      </c>
      <c r="S24" s="2483">
        <f>'GPC Data'!S239</f>
        <v/>
      </c>
      <c r="T24" s="2486">
        <f>'GPC Data'!T239</f>
        <v/>
      </c>
      <c r="U24" s="2483">
        <f>'GPC Data'!U239</f>
        <v/>
      </c>
      <c r="V24" s="2486">
        <f>'GPC Data'!V239</f>
        <v/>
      </c>
      <c r="W24" s="2487">
        <f>'GPC Data'!W239</f>
        <v/>
      </c>
      <c r="X24" s="2488">
        <f>'GPC Data'!X239</f>
        <v/>
      </c>
      <c r="Y24" s="2488">
        <f>'GPC Data'!Y239</f>
        <v/>
      </c>
      <c r="Z24" s="2488">
        <f>'GPC Data'!Z239</f>
        <v/>
      </c>
      <c r="AA24" s="2485">
        <f>'GPC Data'!AA239</f>
        <v/>
      </c>
      <c r="AB24" s="2485">
        <f>'GPC Data'!AB239</f>
        <v/>
      </c>
      <c r="AC24" s="2485">
        <f>'GPC Data'!AC239</f>
        <v/>
      </c>
      <c r="AD24" s="2485">
        <f>'GPC Data'!AD239</f>
        <v/>
      </c>
      <c r="AE24" s="2489">
        <f>'GPC Data'!AE239</f>
        <v/>
      </c>
      <c r="AF24" s="2485">
        <f>'GPC Data'!AF239</f>
        <v/>
      </c>
      <c r="AG24" s="2485">
        <f>'GPC Data'!AG239</f>
        <v/>
      </c>
      <c r="AH24" s="2489">
        <f>'GPC Data'!AH239</f>
        <v/>
      </c>
      <c r="AI24" s="2485">
        <f>'GPC Data'!AI239</f>
        <v/>
      </c>
      <c r="AJ24" s="2485">
        <f>'GPC Data'!AJ239</f>
        <v/>
      </c>
      <c r="AK24" s="2489">
        <f>'GPC Data'!AK239</f>
        <v/>
      </c>
      <c r="AL24" s="2485">
        <f>'GPC Data'!AL239</f>
        <v/>
      </c>
      <c r="AM24" s="2485">
        <f>'GPC Data'!AM239</f>
        <v/>
      </c>
      <c r="AN24" s="2489">
        <f>'GPC Data'!AN239</f>
        <v/>
      </c>
      <c r="AO24" s="2485">
        <f>'GPC Data'!AO239</f>
        <v/>
      </c>
      <c r="AP24" s="2485">
        <f>'GPC Data'!AP239</f>
        <v/>
      </c>
      <c r="AS24" s="443" t="inlineStr">
        <is>
          <t>Yes</t>
        </is>
      </c>
    </row>
    <row r="25" ht="12" customHeight="1" thickBot="1">
      <c r="B25" s="1018">
        <f>B24+1</f>
        <v/>
      </c>
      <c r="C25" s="1006">
        <f>'GPC Data'!E36</f>
        <v/>
      </c>
      <c r="D25" s="1007">
        <f>'GPC Data'!D36</f>
        <v/>
      </c>
      <c r="E25" s="2298">
        <f>Multiples!#REF!</f>
        <v/>
      </c>
      <c r="F25" s="2481">
        <f>'GPC Data'!F240</f>
        <v/>
      </c>
      <c r="G25" s="2482">
        <f>'GPC Data'!G240</f>
        <v/>
      </c>
      <c r="H25" s="2481">
        <f>'GPC Data'!H240</f>
        <v/>
      </c>
      <c r="I25" s="2482">
        <f>'GPC Data'!I240</f>
        <v/>
      </c>
      <c r="J25" s="2483">
        <f>'GPC Data'!J240</f>
        <v/>
      </c>
      <c r="K25" s="2483">
        <f>'GPC Data'!K240</f>
        <v/>
      </c>
      <c r="L25" s="2483">
        <f>'GPC Data'!L240</f>
        <v/>
      </c>
      <c r="M25" s="2483">
        <f>'GPC Data'!M240</f>
        <v/>
      </c>
      <c r="N25" s="2482">
        <f>'GPC Data'!N240</f>
        <v/>
      </c>
      <c r="O25" s="2481">
        <f>'GPC Data'!O240</f>
        <v/>
      </c>
      <c r="P25" s="2482">
        <f>'GPC Data'!P240</f>
        <v/>
      </c>
      <c r="Q25" s="2484">
        <f>'GPC Data'!Q240</f>
        <v/>
      </c>
      <c r="R25" s="2485">
        <f>'GPC Data'!R240</f>
        <v/>
      </c>
      <c r="S25" s="2483">
        <f>'GPC Data'!S240</f>
        <v/>
      </c>
      <c r="T25" s="2486">
        <f>'GPC Data'!T240</f>
        <v/>
      </c>
      <c r="U25" s="2483">
        <f>'GPC Data'!U240</f>
        <v/>
      </c>
      <c r="V25" s="2486">
        <f>'GPC Data'!V240</f>
        <v/>
      </c>
      <c r="W25" s="2487">
        <f>'GPC Data'!W240</f>
        <v/>
      </c>
      <c r="X25" s="2488">
        <f>'GPC Data'!X240</f>
        <v/>
      </c>
      <c r="Y25" s="2488">
        <f>'GPC Data'!Y240</f>
        <v/>
      </c>
      <c r="Z25" s="2488">
        <f>'GPC Data'!Z240</f>
        <v/>
      </c>
      <c r="AA25" s="2485">
        <f>'GPC Data'!AA240</f>
        <v/>
      </c>
      <c r="AB25" s="2485">
        <f>'GPC Data'!AB240</f>
        <v/>
      </c>
      <c r="AC25" s="2485">
        <f>'GPC Data'!AC240</f>
        <v/>
      </c>
      <c r="AD25" s="2485">
        <f>'GPC Data'!AD240</f>
        <v/>
      </c>
      <c r="AE25" s="2489">
        <f>'GPC Data'!AE240</f>
        <v/>
      </c>
      <c r="AF25" s="2485">
        <f>'GPC Data'!AF240</f>
        <v/>
      </c>
      <c r="AG25" s="2485">
        <f>'GPC Data'!AG240</f>
        <v/>
      </c>
      <c r="AH25" s="2489">
        <f>'GPC Data'!AH240</f>
        <v/>
      </c>
      <c r="AI25" s="2485">
        <f>'GPC Data'!AI240</f>
        <v/>
      </c>
      <c r="AJ25" s="2485">
        <f>'GPC Data'!AJ240</f>
        <v/>
      </c>
      <c r="AK25" s="2489">
        <f>'GPC Data'!AK240</f>
        <v/>
      </c>
      <c r="AL25" s="2485">
        <f>'GPC Data'!AL240</f>
        <v/>
      </c>
      <c r="AM25" s="2485">
        <f>'GPC Data'!AM240</f>
        <v/>
      </c>
      <c r="AN25" s="2489">
        <f>'GPC Data'!AN240</f>
        <v/>
      </c>
      <c r="AO25" s="2485">
        <f>'GPC Data'!AO240</f>
        <v/>
      </c>
      <c r="AP25" s="2485">
        <f>'GPC Data'!AP240</f>
        <v/>
      </c>
      <c r="AS25" s="443" t="inlineStr">
        <is>
          <t>Yes</t>
        </is>
      </c>
    </row>
    <row r="26" ht="12" customHeight="1" thickBot="1">
      <c r="B26" s="1018">
        <f>B25+1</f>
        <v/>
      </c>
      <c r="C26" s="1006">
        <f>'GPC Data'!E37</f>
        <v/>
      </c>
      <c r="D26" s="1007">
        <f>'GPC Data'!D37</f>
        <v/>
      </c>
      <c r="E26" s="2298">
        <f>Multiples!#REF!</f>
        <v/>
      </c>
      <c r="F26" s="2481">
        <f>'GPC Data'!F241</f>
        <v/>
      </c>
      <c r="G26" s="2482">
        <f>'GPC Data'!G241</f>
        <v/>
      </c>
      <c r="H26" s="2481">
        <f>'GPC Data'!H241</f>
        <v/>
      </c>
      <c r="I26" s="2482">
        <f>'GPC Data'!I241</f>
        <v/>
      </c>
      <c r="J26" s="2483">
        <f>'GPC Data'!J241</f>
        <v/>
      </c>
      <c r="K26" s="2483">
        <f>'GPC Data'!K241</f>
        <v/>
      </c>
      <c r="L26" s="2483">
        <f>'GPC Data'!L241</f>
        <v/>
      </c>
      <c r="M26" s="2483">
        <f>'GPC Data'!M241</f>
        <v/>
      </c>
      <c r="N26" s="2482">
        <f>'GPC Data'!N241</f>
        <v/>
      </c>
      <c r="O26" s="2481">
        <f>'GPC Data'!O241</f>
        <v/>
      </c>
      <c r="P26" s="2482">
        <f>'GPC Data'!P241</f>
        <v/>
      </c>
      <c r="Q26" s="2484">
        <f>'GPC Data'!Q241</f>
        <v/>
      </c>
      <c r="R26" s="2485">
        <f>'GPC Data'!R241</f>
        <v/>
      </c>
      <c r="S26" s="2483">
        <f>'GPC Data'!S241</f>
        <v/>
      </c>
      <c r="T26" s="2486">
        <f>'GPC Data'!T241</f>
        <v/>
      </c>
      <c r="U26" s="2483">
        <f>'GPC Data'!U241</f>
        <v/>
      </c>
      <c r="V26" s="2486">
        <f>'GPC Data'!V241</f>
        <v/>
      </c>
      <c r="W26" s="2487">
        <f>'GPC Data'!W241</f>
        <v/>
      </c>
      <c r="X26" s="2488">
        <f>'GPC Data'!X241</f>
        <v/>
      </c>
      <c r="Y26" s="2488">
        <f>'GPC Data'!Y241</f>
        <v/>
      </c>
      <c r="Z26" s="2488">
        <f>'GPC Data'!Z241</f>
        <v/>
      </c>
      <c r="AA26" s="2485">
        <f>'GPC Data'!AA241</f>
        <v/>
      </c>
      <c r="AB26" s="2485">
        <f>'GPC Data'!AB241</f>
        <v/>
      </c>
      <c r="AC26" s="2485">
        <f>'GPC Data'!AC241</f>
        <v/>
      </c>
      <c r="AD26" s="2485">
        <f>'GPC Data'!AD241</f>
        <v/>
      </c>
      <c r="AE26" s="2489">
        <f>'GPC Data'!AE241</f>
        <v/>
      </c>
      <c r="AF26" s="2485">
        <f>'GPC Data'!AF241</f>
        <v/>
      </c>
      <c r="AG26" s="2485">
        <f>'GPC Data'!AG241</f>
        <v/>
      </c>
      <c r="AH26" s="2489">
        <f>'GPC Data'!AH241</f>
        <v/>
      </c>
      <c r="AI26" s="2485">
        <f>'GPC Data'!AI241</f>
        <v/>
      </c>
      <c r="AJ26" s="2485">
        <f>'GPC Data'!AJ241</f>
        <v/>
      </c>
      <c r="AK26" s="2489">
        <f>'GPC Data'!AK241</f>
        <v/>
      </c>
      <c r="AL26" s="2485">
        <f>'GPC Data'!AL241</f>
        <v/>
      </c>
      <c r="AM26" s="2485">
        <f>'GPC Data'!AM241</f>
        <v/>
      </c>
      <c r="AN26" s="2489">
        <f>'GPC Data'!AN241</f>
        <v/>
      </c>
      <c r="AO26" s="2485">
        <f>'GPC Data'!AO241</f>
        <v/>
      </c>
      <c r="AP26" s="2485">
        <f>'GPC Data'!AP241</f>
        <v/>
      </c>
      <c r="AS26" s="443" t="inlineStr">
        <is>
          <t>Yes</t>
        </is>
      </c>
    </row>
    <row r="27" ht="12" customHeight="1" thickBot="1">
      <c r="B27" s="1018">
        <f>B26+1</f>
        <v/>
      </c>
      <c r="C27" s="1006">
        <f>'GPC Data'!E38</f>
        <v/>
      </c>
      <c r="D27" s="1007">
        <f>'GPC Data'!D38</f>
        <v/>
      </c>
      <c r="E27" s="2298">
        <f>Multiples!#REF!</f>
        <v/>
      </c>
      <c r="F27" s="2481">
        <f>'GPC Data'!F242</f>
        <v/>
      </c>
      <c r="G27" s="2482">
        <f>'GPC Data'!G242</f>
        <v/>
      </c>
      <c r="H27" s="2481">
        <f>'GPC Data'!H242</f>
        <v/>
      </c>
      <c r="I27" s="2482">
        <f>'GPC Data'!I242</f>
        <v/>
      </c>
      <c r="J27" s="2483">
        <f>'GPC Data'!J242</f>
        <v/>
      </c>
      <c r="K27" s="2483">
        <f>'GPC Data'!K242</f>
        <v/>
      </c>
      <c r="L27" s="2483">
        <f>'GPC Data'!L242</f>
        <v/>
      </c>
      <c r="M27" s="2483">
        <f>'GPC Data'!M242</f>
        <v/>
      </c>
      <c r="N27" s="2482">
        <f>'GPC Data'!N242</f>
        <v/>
      </c>
      <c r="O27" s="2481">
        <f>'GPC Data'!O242</f>
        <v/>
      </c>
      <c r="P27" s="2482">
        <f>'GPC Data'!P242</f>
        <v/>
      </c>
      <c r="Q27" s="2484">
        <f>'GPC Data'!Q242</f>
        <v/>
      </c>
      <c r="R27" s="2485">
        <f>'GPC Data'!R242</f>
        <v/>
      </c>
      <c r="S27" s="2483">
        <f>'GPC Data'!S242</f>
        <v/>
      </c>
      <c r="T27" s="2486">
        <f>'GPC Data'!T242</f>
        <v/>
      </c>
      <c r="U27" s="2483">
        <f>'GPC Data'!U242</f>
        <v/>
      </c>
      <c r="V27" s="2486">
        <f>'GPC Data'!V242</f>
        <v/>
      </c>
      <c r="W27" s="2487">
        <f>'GPC Data'!W242</f>
        <v/>
      </c>
      <c r="X27" s="2488">
        <f>'GPC Data'!X242</f>
        <v/>
      </c>
      <c r="Y27" s="2488">
        <f>'GPC Data'!Y242</f>
        <v/>
      </c>
      <c r="Z27" s="2488">
        <f>'GPC Data'!Z242</f>
        <v/>
      </c>
      <c r="AA27" s="2485">
        <f>'GPC Data'!AA242</f>
        <v/>
      </c>
      <c r="AB27" s="2485">
        <f>'GPC Data'!AB242</f>
        <v/>
      </c>
      <c r="AC27" s="2485">
        <f>'GPC Data'!AC242</f>
        <v/>
      </c>
      <c r="AD27" s="2485">
        <f>'GPC Data'!AD242</f>
        <v/>
      </c>
      <c r="AE27" s="2489">
        <f>'GPC Data'!AE242</f>
        <v/>
      </c>
      <c r="AF27" s="2485">
        <f>'GPC Data'!AF242</f>
        <v/>
      </c>
      <c r="AG27" s="2485">
        <f>'GPC Data'!AG242</f>
        <v/>
      </c>
      <c r="AH27" s="2489">
        <f>'GPC Data'!AH242</f>
        <v/>
      </c>
      <c r="AI27" s="2485">
        <f>'GPC Data'!AI242</f>
        <v/>
      </c>
      <c r="AJ27" s="2485">
        <f>'GPC Data'!AJ242</f>
        <v/>
      </c>
      <c r="AK27" s="2489">
        <f>'GPC Data'!AK242</f>
        <v/>
      </c>
      <c r="AL27" s="2485">
        <f>'GPC Data'!AL242</f>
        <v/>
      </c>
      <c r="AM27" s="2485">
        <f>'GPC Data'!AM242</f>
        <v/>
      </c>
      <c r="AN27" s="2489">
        <f>'GPC Data'!AN242</f>
        <v/>
      </c>
      <c r="AO27" s="2485">
        <f>'GPC Data'!AO242</f>
        <v/>
      </c>
      <c r="AP27" s="2485">
        <f>'GPC Data'!AP242</f>
        <v/>
      </c>
      <c r="AS27" s="443" t="inlineStr">
        <is>
          <t>Yes</t>
        </is>
      </c>
    </row>
    <row r="28" ht="12" customHeight="1" thickBot="1">
      <c r="B28" s="1018">
        <f>B27+1</f>
        <v/>
      </c>
      <c r="C28" s="1006">
        <f>'GPC Data'!E39</f>
        <v/>
      </c>
      <c r="D28" s="1007">
        <f>'GPC Data'!D39</f>
        <v/>
      </c>
      <c r="E28" s="2298">
        <f>Multiples!#REF!</f>
        <v/>
      </c>
      <c r="F28" s="2481">
        <f>'GPC Data'!F243</f>
        <v/>
      </c>
      <c r="G28" s="2482">
        <f>'GPC Data'!G243</f>
        <v/>
      </c>
      <c r="H28" s="2481">
        <f>'GPC Data'!H243</f>
        <v/>
      </c>
      <c r="I28" s="2482">
        <f>'GPC Data'!I243</f>
        <v/>
      </c>
      <c r="J28" s="2483">
        <f>'GPC Data'!J243</f>
        <v/>
      </c>
      <c r="K28" s="2483">
        <f>'GPC Data'!K243</f>
        <v/>
      </c>
      <c r="L28" s="2483">
        <f>'GPC Data'!L243</f>
        <v/>
      </c>
      <c r="M28" s="2483">
        <f>'GPC Data'!M243</f>
        <v/>
      </c>
      <c r="N28" s="2482">
        <f>'GPC Data'!N243</f>
        <v/>
      </c>
      <c r="O28" s="2481">
        <f>'GPC Data'!O243</f>
        <v/>
      </c>
      <c r="P28" s="2482">
        <f>'GPC Data'!P243</f>
        <v/>
      </c>
      <c r="Q28" s="2484">
        <f>'GPC Data'!Q243</f>
        <v/>
      </c>
      <c r="R28" s="2485">
        <f>'GPC Data'!R243</f>
        <v/>
      </c>
      <c r="S28" s="2483">
        <f>'GPC Data'!S243</f>
        <v/>
      </c>
      <c r="T28" s="2486">
        <f>'GPC Data'!T243</f>
        <v/>
      </c>
      <c r="U28" s="2483">
        <f>'GPC Data'!U243</f>
        <v/>
      </c>
      <c r="V28" s="2486">
        <f>'GPC Data'!V243</f>
        <v/>
      </c>
      <c r="W28" s="2487">
        <f>'GPC Data'!W243</f>
        <v/>
      </c>
      <c r="X28" s="2488">
        <f>'GPC Data'!X243</f>
        <v/>
      </c>
      <c r="Y28" s="2488">
        <f>'GPC Data'!Y243</f>
        <v/>
      </c>
      <c r="Z28" s="2488">
        <f>'GPC Data'!Z243</f>
        <v/>
      </c>
      <c r="AA28" s="2485">
        <f>'GPC Data'!AA243</f>
        <v/>
      </c>
      <c r="AB28" s="2485">
        <f>'GPC Data'!AB243</f>
        <v/>
      </c>
      <c r="AC28" s="2485">
        <f>'GPC Data'!AC243</f>
        <v/>
      </c>
      <c r="AD28" s="2485">
        <f>'GPC Data'!AD243</f>
        <v/>
      </c>
      <c r="AE28" s="2489">
        <f>'GPC Data'!AE243</f>
        <v/>
      </c>
      <c r="AF28" s="2485">
        <f>'GPC Data'!AF243</f>
        <v/>
      </c>
      <c r="AG28" s="2485">
        <f>'GPC Data'!AG243</f>
        <v/>
      </c>
      <c r="AH28" s="2489">
        <f>'GPC Data'!AH243</f>
        <v/>
      </c>
      <c r="AI28" s="2485">
        <f>'GPC Data'!AI243</f>
        <v/>
      </c>
      <c r="AJ28" s="2485">
        <f>'GPC Data'!AJ243</f>
        <v/>
      </c>
      <c r="AK28" s="2489">
        <f>'GPC Data'!AK243</f>
        <v/>
      </c>
      <c r="AL28" s="2485">
        <f>'GPC Data'!AL243</f>
        <v/>
      </c>
      <c r="AM28" s="2485">
        <f>'GPC Data'!AM243</f>
        <v/>
      </c>
      <c r="AN28" s="2489">
        <f>'GPC Data'!AN243</f>
        <v/>
      </c>
      <c r="AO28" s="2485">
        <f>'GPC Data'!AO243</f>
        <v/>
      </c>
      <c r="AP28" s="2485">
        <f>'GPC Data'!AP243</f>
        <v/>
      </c>
      <c r="AS28" s="443" t="inlineStr">
        <is>
          <t>Yes</t>
        </is>
      </c>
    </row>
    <row r="29" ht="12" customHeight="1" thickBot="1">
      <c r="B29" s="1018">
        <f>B28+1</f>
        <v/>
      </c>
      <c r="C29" s="1006">
        <f>'GPC Data'!E40</f>
        <v/>
      </c>
      <c r="D29" s="1007">
        <f>'GPC Data'!D40</f>
        <v/>
      </c>
      <c r="E29" s="2298">
        <f>Multiples!#REF!</f>
        <v/>
      </c>
      <c r="F29" s="2481">
        <f>'GPC Data'!F244</f>
        <v/>
      </c>
      <c r="G29" s="2482">
        <f>'GPC Data'!G244</f>
        <v/>
      </c>
      <c r="H29" s="2481">
        <f>'GPC Data'!H244</f>
        <v/>
      </c>
      <c r="I29" s="2482">
        <f>'GPC Data'!I244</f>
        <v/>
      </c>
      <c r="J29" s="2483">
        <f>'GPC Data'!J244</f>
        <v/>
      </c>
      <c r="K29" s="2483">
        <f>'GPC Data'!K244</f>
        <v/>
      </c>
      <c r="L29" s="2483">
        <f>'GPC Data'!L244</f>
        <v/>
      </c>
      <c r="M29" s="2483">
        <f>'GPC Data'!M244</f>
        <v/>
      </c>
      <c r="N29" s="2482">
        <f>'GPC Data'!N244</f>
        <v/>
      </c>
      <c r="O29" s="2481">
        <f>'GPC Data'!O244</f>
        <v/>
      </c>
      <c r="P29" s="2482">
        <f>'GPC Data'!P244</f>
        <v/>
      </c>
      <c r="Q29" s="2484">
        <f>'GPC Data'!Q244</f>
        <v/>
      </c>
      <c r="R29" s="2485">
        <f>'GPC Data'!R244</f>
        <v/>
      </c>
      <c r="S29" s="2483">
        <f>'GPC Data'!S244</f>
        <v/>
      </c>
      <c r="T29" s="2486">
        <f>'GPC Data'!T244</f>
        <v/>
      </c>
      <c r="U29" s="2483">
        <f>'GPC Data'!U244</f>
        <v/>
      </c>
      <c r="V29" s="2486">
        <f>'GPC Data'!V244</f>
        <v/>
      </c>
      <c r="W29" s="2487">
        <f>'GPC Data'!W244</f>
        <v/>
      </c>
      <c r="X29" s="2488">
        <f>'GPC Data'!X244</f>
        <v/>
      </c>
      <c r="Y29" s="2488">
        <f>'GPC Data'!Y244</f>
        <v/>
      </c>
      <c r="Z29" s="2488">
        <f>'GPC Data'!Z244</f>
        <v/>
      </c>
      <c r="AA29" s="2485">
        <f>'GPC Data'!AA244</f>
        <v/>
      </c>
      <c r="AB29" s="2485">
        <f>'GPC Data'!AB244</f>
        <v/>
      </c>
      <c r="AC29" s="2485">
        <f>'GPC Data'!AC244</f>
        <v/>
      </c>
      <c r="AD29" s="2485">
        <f>'GPC Data'!AD244</f>
        <v/>
      </c>
      <c r="AE29" s="2489">
        <f>'GPC Data'!AE244</f>
        <v/>
      </c>
      <c r="AF29" s="2485">
        <f>'GPC Data'!AF244</f>
        <v/>
      </c>
      <c r="AG29" s="2485">
        <f>'GPC Data'!AG244</f>
        <v/>
      </c>
      <c r="AH29" s="2489">
        <f>'GPC Data'!AH244</f>
        <v/>
      </c>
      <c r="AI29" s="2485">
        <f>'GPC Data'!AI244</f>
        <v/>
      </c>
      <c r="AJ29" s="2485">
        <f>'GPC Data'!AJ244</f>
        <v/>
      </c>
      <c r="AK29" s="2489">
        <f>'GPC Data'!AK244</f>
        <v/>
      </c>
      <c r="AL29" s="2485">
        <f>'GPC Data'!AL244</f>
        <v/>
      </c>
      <c r="AM29" s="2485">
        <f>'GPC Data'!AM244</f>
        <v/>
      </c>
      <c r="AN29" s="2489">
        <f>'GPC Data'!AN244</f>
        <v/>
      </c>
      <c r="AO29" s="2485">
        <f>'GPC Data'!AO244</f>
        <v/>
      </c>
      <c r="AP29" s="2485">
        <f>'GPC Data'!AP244</f>
        <v/>
      </c>
      <c r="AS29" s="443" t="inlineStr">
        <is>
          <t>Yes</t>
        </is>
      </c>
    </row>
    <row r="30" ht="12" customHeight="1" thickBot="1">
      <c r="B30" s="1018">
        <f>B29+1</f>
        <v/>
      </c>
      <c r="C30" s="1006">
        <f>'GPC Data'!E41</f>
        <v/>
      </c>
      <c r="D30" s="1007">
        <f>'GPC Data'!D41</f>
        <v/>
      </c>
      <c r="E30" s="2298">
        <f>Multiples!#REF!</f>
        <v/>
      </c>
      <c r="F30" s="2481">
        <f>'GPC Data'!F245</f>
        <v/>
      </c>
      <c r="G30" s="2482">
        <f>'GPC Data'!G245</f>
        <v/>
      </c>
      <c r="H30" s="2481">
        <f>'GPC Data'!H245</f>
        <v/>
      </c>
      <c r="I30" s="2482">
        <f>'GPC Data'!I245</f>
        <v/>
      </c>
      <c r="J30" s="2483">
        <f>'GPC Data'!J245</f>
        <v/>
      </c>
      <c r="K30" s="2483">
        <f>'GPC Data'!K245</f>
        <v/>
      </c>
      <c r="L30" s="2483">
        <f>'GPC Data'!L245</f>
        <v/>
      </c>
      <c r="M30" s="2483">
        <f>'GPC Data'!M245</f>
        <v/>
      </c>
      <c r="N30" s="2482">
        <f>'GPC Data'!N245</f>
        <v/>
      </c>
      <c r="O30" s="2481">
        <f>'GPC Data'!O245</f>
        <v/>
      </c>
      <c r="P30" s="2482">
        <f>'GPC Data'!P245</f>
        <v/>
      </c>
      <c r="Q30" s="2484">
        <f>'GPC Data'!Q245</f>
        <v/>
      </c>
      <c r="R30" s="2485">
        <f>'GPC Data'!R245</f>
        <v/>
      </c>
      <c r="S30" s="2483">
        <f>'GPC Data'!S245</f>
        <v/>
      </c>
      <c r="T30" s="2486">
        <f>'GPC Data'!T245</f>
        <v/>
      </c>
      <c r="U30" s="2483">
        <f>'GPC Data'!U245</f>
        <v/>
      </c>
      <c r="V30" s="2486">
        <f>'GPC Data'!V245</f>
        <v/>
      </c>
      <c r="W30" s="2487">
        <f>'GPC Data'!W245</f>
        <v/>
      </c>
      <c r="X30" s="2488">
        <f>'GPC Data'!X245</f>
        <v/>
      </c>
      <c r="Y30" s="2488">
        <f>'GPC Data'!Y245</f>
        <v/>
      </c>
      <c r="Z30" s="2488">
        <f>'GPC Data'!Z245</f>
        <v/>
      </c>
      <c r="AA30" s="2485">
        <f>'GPC Data'!AA245</f>
        <v/>
      </c>
      <c r="AB30" s="2485">
        <f>'GPC Data'!AB245</f>
        <v/>
      </c>
      <c r="AC30" s="2485">
        <f>'GPC Data'!AC245</f>
        <v/>
      </c>
      <c r="AD30" s="2485">
        <f>'GPC Data'!AD245</f>
        <v/>
      </c>
      <c r="AE30" s="2489">
        <f>'GPC Data'!AE245</f>
        <v/>
      </c>
      <c r="AF30" s="2485">
        <f>'GPC Data'!AF245</f>
        <v/>
      </c>
      <c r="AG30" s="2485">
        <f>'GPC Data'!AG245</f>
        <v/>
      </c>
      <c r="AH30" s="2489">
        <f>'GPC Data'!AH245</f>
        <v/>
      </c>
      <c r="AI30" s="2485">
        <f>'GPC Data'!AI245</f>
        <v/>
      </c>
      <c r="AJ30" s="2485">
        <f>'GPC Data'!AJ245</f>
        <v/>
      </c>
      <c r="AK30" s="2489">
        <f>'GPC Data'!AK245</f>
        <v/>
      </c>
      <c r="AL30" s="2485">
        <f>'GPC Data'!AL245</f>
        <v/>
      </c>
      <c r="AM30" s="2485">
        <f>'GPC Data'!AM245</f>
        <v/>
      </c>
      <c r="AN30" s="2489">
        <f>'GPC Data'!AN245</f>
        <v/>
      </c>
      <c r="AO30" s="2485">
        <f>'GPC Data'!AO245</f>
        <v/>
      </c>
      <c r="AP30" s="2485">
        <f>'GPC Data'!AP245</f>
        <v/>
      </c>
      <c r="AS30" s="443" t="inlineStr">
        <is>
          <t>Yes</t>
        </is>
      </c>
    </row>
    <row r="31" ht="12" customHeight="1" thickBot="1">
      <c r="B31" s="1018">
        <f>B30+1</f>
        <v/>
      </c>
      <c r="C31" s="1006">
        <f>'GPC Data'!E42</f>
        <v/>
      </c>
      <c r="D31" s="1007">
        <f>'GPC Data'!D42</f>
        <v/>
      </c>
      <c r="E31" s="2298">
        <f>Multiples!#REF!</f>
        <v/>
      </c>
      <c r="F31" s="2481">
        <f>'GPC Data'!F246</f>
        <v/>
      </c>
      <c r="G31" s="2482">
        <f>'GPC Data'!G246</f>
        <v/>
      </c>
      <c r="H31" s="2481">
        <f>'GPC Data'!H246</f>
        <v/>
      </c>
      <c r="I31" s="2482">
        <f>'GPC Data'!I246</f>
        <v/>
      </c>
      <c r="J31" s="2483">
        <f>'GPC Data'!J246</f>
        <v/>
      </c>
      <c r="K31" s="2483">
        <f>'GPC Data'!K246</f>
        <v/>
      </c>
      <c r="L31" s="2483">
        <f>'GPC Data'!L246</f>
        <v/>
      </c>
      <c r="M31" s="2483">
        <f>'GPC Data'!M246</f>
        <v/>
      </c>
      <c r="N31" s="2482">
        <f>'GPC Data'!N246</f>
        <v/>
      </c>
      <c r="O31" s="2481">
        <f>'GPC Data'!O246</f>
        <v/>
      </c>
      <c r="P31" s="2482">
        <f>'GPC Data'!P246</f>
        <v/>
      </c>
      <c r="Q31" s="2484">
        <f>'GPC Data'!Q246</f>
        <v/>
      </c>
      <c r="R31" s="2485">
        <f>'GPC Data'!R246</f>
        <v/>
      </c>
      <c r="S31" s="2483">
        <f>'GPC Data'!S246</f>
        <v/>
      </c>
      <c r="T31" s="2486">
        <f>'GPC Data'!T246</f>
        <v/>
      </c>
      <c r="U31" s="2483">
        <f>'GPC Data'!U246</f>
        <v/>
      </c>
      <c r="V31" s="2486">
        <f>'GPC Data'!V246</f>
        <v/>
      </c>
      <c r="W31" s="2487">
        <f>'GPC Data'!W246</f>
        <v/>
      </c>
      <c r="X31" s="2488">
        <f>'GPC Data'!X246</f>
        <v/>
      </c>
      <c r="Y31" s="2488">
        <f>'GPC Data'!Y246</f>
        <v/>
      </c>
      <c r="Z31" s="2488">
        <f>'GPC Data'!Z246</f>
        <v/>
      </c>
      <c r="AA31" s="2485">
        <f>'GPC Data'!AA246</f>
        <v/>
      </c>
      <c r="AB31" s="2485">
        <f>'GPC Data'!AB246</f>
        <v/>
      </c>
      <c r="AC31" s="2485">
        <f>'GPC Data'!AC246</f>
        <v/>
      </c>
      <c r="AD31" s="2485">
        <f>'GPC Data'!AD246</f>
        <v/>
      </c>
      <c r="AE31" s="2489">
        <f>'GPC Data'!AE246</f>
        <v/>
      </c>
      <c r="AF31" s="2485">
        <f>'GPC Data'!AF246</f>
        <v/>
      </c>
      <c r="AG31" s="2485">
        <f>'GPC Data'!AG246</f>
        <v/>
      </c>
      <c r="AH31" s="2489">
        <f>'GPC Data'!AH246</f>
        <v/>
      </c>
      <c r="AI31" s="2485">
        <f>'GPC Data'!AI246</f>
        <v/>
      </c>
      <c r="AJ31" s="2485">
        <f>'GPC Data'!AJ246</f>
        <v/>
      </c>
      <c r="AK31" s="2489">
        <f>'GPC Data'!AK246</f>
        <v/>
      </c>
      <c r="AL31" s="2485">
        <f>'GPC Data'!AL246</f>
        <v/>
      </c>
      <c r="AM31" s="2485">
        <f>'GPC Data'!AM246</f>
        <v/>
      </c>
      <c r="AN31" s="2489">
        <f>'GPC Data'!AN246</f>
        <v/>
      </c>
      <c r="AO31" s="2485">
        <f>'GPC Data'!AO246</f>
        <v/>
      </c>
      <c r="AP31" s="2485">
        <f>'GPC Data'!AP246</f>
        <v/>
      </c>
      <c r="AS31" s="443" t="inlineStr">
        <is>
          <t>Yes</t>
        </is>
      </c>
    </row>
    <row r="32" ht="12" customHeight="1" thickBot="1">
      <c r="B32" s="1018">
        <f>B31+1</f>
        <v/>
      </c>
      <c r="C32" s="1006">
        <f>'GPC Data'!E43</f>
        <v/>
      </c>
      <c r="D32" s="1007">
        <f>'GPC Data'!D43</f>
        <v/>
      </c>
      <c r="E32" s="2298">
        <f>Multiples!#REF!</f>
        <v/>
      </c>
      <c r="F32" s="2481">
        <f>'GPC Data'!F247</f>
        <v/>
      </c>
      <c r="G32" s="2482">
        <f>'GPC Data'!G247</f>
        <v/>
      </c>
      <c r="H32" s="2481">
        <f>'GPC Data'!H247</f>
        <v/>
      </c>
      <c r="I32" s="2482">
        <f>'GPC Data'!I247</f>
        <v/>
      </c>
      <c r="J32" s="2483">
        <f>'GPC Data'!J247</f>
        <v/>
      </c>
      <c r="K32" s="2483">
        <f>'GPC Data'!K247</f>
        <v/>
      </c>
      <c r="L32" s="2483">
        <f>'GPC Data'!L247</f>
        <v/>
      </c>
      <c r="M32" s="2483">
        <f>'GPC Data'!M247</f>
        <v/>
      </c>
      <c r="N32" s="2482">
        <f>'GPC Data'!N247</f>
        <v/>
      </c>
      <c r="O32" s="2481">
        <f>'GPC Data'!O247</f>
        <v/>
      </c>
      <c r="P32" s="2482">
        <f>'GPC Data'!P247</f>
        <v/>
      </c>
      <c r="Q32" s="2484">
        <f>'GPC Data'!Q247</f>
        <v/>
      </c>
      <c r="R32" s="2485">
        <f>'GPC Data'!R247</f>
        <v/>
      </c>
      <c r="S32" s="2483">
        <f>'GPC Data'!S247</f>
        <v/>
      </c>
      <c r="T32" s="2486">
        <f>'GPC Data'!T247</f>
        <v/>
      </c>
      <c r="U32" s="2483">
        <f>'GPC Data'!U247</f>
        <v/>
      </c>
      <c r="V32" s="2486">
        <f>'GPC Data'!V247</f>
        <v/>
      </c>
      <c r="W32" s="2487">
        <f>'GPC Data'!W247</f>
        <v/>
      </c>
      <c r="X32" s="2488">
        <f>'GPC Data'!X247</f>
        <v/>
      </c>
      <c r="Y32" s="2488">
        <f>'GPC Data'!Y247</f>
        <v/>
      </c>
      <c r="Z32" s="2488">
        <f>'GPC Data'!Z247</f>
        <v/>
      </c>
      <c r="AA32" s="2485">
        <f>'GPC Data'!AA247</f>
        <v/>
      </c>
      <c r="AB32" s="2485">
        <f>'GPC Data'!AB247</f>
        <v/>
      </c>
      <c r="AC32" s="2485">
        <f>'GPC Data'!AC247</f>
        <v/>
      </c>
      <c r="AD32" s="2485">
        <f>'GPC Data'!AD247</f>
        <v/>
      </c>
      <c r="AE32" s="2489">
        <f>'GPC Data'!AE247</f>
        <v/>
      </c>
      <c r="AF32" s="2485">
        <f>'GPC Data'!AF247</f>
        <v/>
      </c>
      <c r="AG32" s="2485">
        <f>'GPC Data'!AG247</f>
        <v/>
      </c>
      <c r="AH32" s="2489">
        <f>'GPC Data'!AH247</f>
        <v/>
      </c>
      <c r="AI32" s="2485">
        <f>'GPC Data'!AI247</f>
        <v/>
      </c>
      <c r="AJ32" s="2485">
        <f>'GPC Data'!AJ247</f>
        <v/>
      </c>
      <c r="AK32" s="2489">
        <f>'GPC Data'!AK247</f>
        <v/>
      </c>
      <c r="AL32" s="2485">
        <f>'GPC Data'!AL247</f>
        <v/>
      </c>
      <c r="AM32" s="2485">
        <f>'GPC Data'!AM247</f>
        <v/>
      </c>
      <c r="AN32" s="2489">
        <f>'GPC Data'!AN247</f>
        <v/>
      </c>
      <c r="AO32" s="2485">
        <f>'GPC Data'!AO247</f>
        <v/>
      </c>
      <c r="AP32" s="2485">
        <f>'GPC Data'!AP247</f>
        <v/>
      </c>
      <c r="AS32" s="443" t="inlineStr">
        <is>
          <t>Yes</t>
        </is>
      </c>
    </row>
    <row r="33" ht="12" customHeight="1" thickBot="1">
      <c r="B33" s="1018">
        <f>B32+1</f>
        <v/>
      </c>
      <c r="C33" s="1006">
        <f>'GPC Data'!E44</f>
        <v/>
      </c>
      <c r="D33" s="1007">
        <f>'GPC Data'!D44</f>
        <v/>
      </c>
      <c r="E33" s="2298">
        <f>Multiples!#REF!</f>
        <v/>
      </c>
      <c r="F33" s="2481">
        <f>'GPC Data'!F248</f>
        <v/>
      </c>
      <c r="G33" s="2482">
        <f>'GPC Data'!G248</f>
        <v/>
      </c>
      <c r="H33" s="2481">
        <f>'GPC Data'!H248</f>
        <v/>
      </c>
      <c r="I33" s="2482">
        <f>'GPC Data'!I248</f>
        <v/>
      </c>
      <c r="J33" s="2483">
        <f>'GPC Data'!J248</f>
        <v/>
      </c>
      <c r="K33" s="2483">
        <f>'GPC Data'!K248</f>
        <v/>
      </c>
      <c r="L33" s="2483">
        <f>'GPC Data'!L248</f>
        <v/>
      </c>
      <c r="M33" s="2483">
        <f>'GPC Data'!M248</f>
        <v/>
      </c>
      <c r="N33" s="2482">
        <f>'GPC Data'!N248</f>
        <v/>
      </c>
      <c r="O33" s="2481">
        <f>'GPC Data'!O248</f>
        <v/>
      </c>
      <c r="P33" s="2482">
        <f>'GPC Data'!P248</f>
        <v/>
      </c>
      <c r="Q33" s="2484">
        <f>'GPC Data'!Q248</f>
        <v/>
      </c>
      <c r="R33" s="2485">
        <f>'GPC Data'!R248</f>
        <v/>
      </c>
      <c r="S33" s="2483">
        <f>'GPC Data'!S248</f>
        <v/>
      </c>
      <c r="T33" s="2486">
        <f>'GPC Data'!T248</f>
        <v/>
      </c>
      <c r="U33" s="2483">
        <f>'GPC Data'!U248</f>
        <v/>
      </c>
      <c r="V33" s="2486">
        <f>'GPC Data'!V248</f>
        <v/>
      </c>
      <c r="W33" s="2487">
        <f>'GPC Data'!W248</f>
        <v/>
      </c>
      <c r="X33" s="2488">
        <f>'GPC Data'!X248</f>
        <v/>
      </c>
      <c r="Y33" s="2488">
        <f>'GPC Data'!Y248</f>
        <v/>
      </c>
      <c r="Z33" s="2488">
        <f>'GPC Data'!Z248</f>
        <v/>
      </c>
      <c r="AA33" s="2485">
        <f>'GPC Data'!AA248</f>
        <v/>
      </c>
      <c r="AB33" s="2485">
        <f>'GPC Data'!AB248</f>
        <v/>
      </c>
      <c r="AC33" s="2485">
        <f>'GPC Data'!AC248</f>
        <v/>
      </c>
      <c r="AD33" s="2485">
        <f>'GPC Data'!AD248</f>
        <v/>
      </c>
      <c r="AE33" s="2489">
        <f>'GPC Data'!AE248</f>
        <v/>
      </c>
      <c r="AF33" s="2485">
        <f>'GPC Data'!AF248</f>
        <v/>
      </c>
      <c r="AG33" s="2485">
        <f>'GPC Data'!AG248</f>
        <v/>
      </c>
      <c r="AH33" s="2489">
        <f>'GPC Data'!AH248</f>
        <v/>
      </c>
      <c r="AI33" s="2485">
        <f>'GPC Data'!AI248</f>
        <v/>
      </c>
      <c r="AJ33" s="2485">
        <f>'GPC Data'!AJ248</f>
        <v/>
      </c>
      <c r="AK33" s="2489">
        <f>'GPC Data'!AK248</f>
        <v/>
      </c>
      <c r="AL33" s="2485">
        <f>'GPC Data'!AL248</f>
        <v/>
      </c>
      <c r="AM33" s="2485">
        <f>'GPC Data'!AM248</f>
        <v/>
      </c>
      <c r="AN33" s="2489">
        <f>'GPC Data'!AN248</f>
        <v/>
      </c>
      <c r="AO33" s="2485">
        <f>'GPC Data'!AO248</f>
        <v/>
      </c>
      <c r="AP33" s="2485">
        <f>'GPC Data'!AP248</f>
        <v/>
      </c>
      <c r="AS33" s="443" t="inlineStr">
        <is>
          <t>Yes</t>
        </is>
      </c>
    </row>
    <row r="34" ht="12" customHeight="1" thickBot="1">
      <c r="B34" s="1018">
        <f>B33+1</f>
        <v/>
      </c>
      <c r="C34" s="1006">
        <f>'GPC Data'!E45</f>
        <v/>
      </c>
      <c r="D34" s="1007">
        <f>'GPC Data'!D45</f>
        <v/>
      </c>
      <c r="E34" s="2298">
        <f>Multiples!#REF!</f>
        <v/>
      </c>
      <c r="F34" s="2481">
        <f>'GPC Data'!F249</f>
        <v/>
      </c>
      <c r="G34" s="2482">
        <f>'GPC Data'!G249</f>
        <v/>
      </c>
      <c r="H34" s="2481">
        <f>'GPC Data'!H249</f>
        <v/>
      </c>
      <c r="I34" s="2482">
        <f>'GPC Data'!I249</f>
        <v/>
      </c>
      <c r="J34" s="2483">
        <f>'GPC Data'!J249</f>
        <v/>
      </c>
      <c r="K34" s="2483">
        <f>'GPC Data'!K249</f>
        <v/>
      </c>
      <c r="L34" s="2483">
        <f>'GPC Data'!L249</f>
        <v/>
      </c>
      <c r="M34" s="2483">
        <f>'GPC Data'!M249</f>
        <v/>
      </c>
      <c r="N34" s="2482">
        <f>'GPC Data'!N249</f>
        <v/>
      </c>
      <c r="O34" s="2481">
        <f>'GPC Data'!O249</f>
        <v/>
      </c>
      <c r="P34" s="2482">
        <f>'GPC Data'!P249</f>
        <v/>
      </c>
      <c r="Q34" s="2484">
        <f>'GPC Data'!Q249</f>
        <v/>
      </c>
      <c r="R34" s="2485">
        <f>'GPC Data'!R249</f>
        <v/>
      </c>
      <c r="S34" s="2483">
        <f>'GPC Data'!S249</f>
        <v/>
      </c>
      <c r="T34" s="2486">
        <f>'GPC Data'!T249</f>
        <v/>
      </c>
      <c r="U34" s="2483">
        <f>'GPC Data'!U249</f>
        <v/>
      </c>
      <c r="V34" s="2486">
        <f>'GPC Data'!V249</f>
        <v/>
      </c>
      <c r="W34" s="2487">
        <f>'GPC Data'!W249</f>
        <v/>
      </c>
      <c r="X34" s="2488">
        <f>'GPC Data'!X249</f>
        <v/>
      </c>
      <c r="Y34" s="2488">
        <f>'GPC Data'!Y249</f>
        <v/>
      </c>
      <c r="Z34" s="2488">
        <f>'GPC Data'!Z249</f>
        <v/>
      </c>
      <c r="AA34" s="2485">
        <f>'GPC Data'!AA249</f>
        <v/>
      </c>
      <c r="AB34" s="2485">
        <f>'GPC Data'!AB249</f>
        <v/>
      </c>
      <c r="AC34" s="2485">
        <f>'GPC Data'!AC249</f>
        <v/>
      </c>
      <c r="AD34" s="2485">
        <f>'GPC Data'!AD249</f>
        <v/>
      </c>
      <c r="AE34" s="2489">
        <f>'GPC Data'!AE249</f>
        <v/>
      </c>
      <c r="AF34" s="2485">
        <f>'GPC Data'!AF249</f>
        <v/>
      </c>
      <c r="AG34" s="2485">
        <f>'GPC Data'!AG249</f>
        <v/>
      </c>
      <c r="AH34" s="2489">
        <f>'GPC Data'!AH249</f>
        <v/>
      </c>
      <c r="AI34" s="2485">
        <f>'GPC Data'!AI249</f>
        <v/>
      </c>
      <c r="AJ34" s="2485">
        <f>'GPC Data'!AJ249</f>
        <v/>
      </c>
      <c r="AK34" s="2489">
        <f>'GPC Data'!AK249</f>
        <v/>
      </c>
      <c r="AL34" s="2485">
        <f>'GPC Data'!AL249</f>
        <v/>
      </c>
      <c r="AM34" s="2485">
        <f>'GPC Data'!AM249</f>
        <v/>
      </c>
      <c r="AN34" s="2489">
        <f>'GPC Data'!AN249</f>
        <v/>
      </c>
      <c r="AO34" s="2485">
        <f>'GPC Data'!AO249</f>
        <v/>
      </c>
      <c r="AP34" s="2485">
        <f>'GPC Data'!AP249</f>
        <v/>
      </c>
      <c r="AS34" s="443" t="inlineStr">
        <is>
          <t>Yes</t>
        </is>
      </c>
    </row>
    <row r="35" ht="12" customHeight="1" thickBot="1">
      <c r="B35" s="1018">
        <f>B34+1</f>
        <v/>
      </c>
      <c r="C35" s="1006">
        <f>'GPC Data'!E46</f>
        <v/>
      </c>
      <c r="D35" s="1007">
        <f>'GPC Data'!D46</f>
        <v/>
      </c>
      <c r="E35" s="2298">
        <f>Multiples!#REF!</f>
        <v/>
      </c>
      <c r="F35" s="2481">
        <f>'GPC Data'!F250</f>
        <v/>
      </c>
      <c r="G35" s="2482">
        <f>'GPC Data'!G250</f>
        <v/>
      </c>
      <c r="H35" s="2481">
        <f>'GPC Data'!H250</f>
        <v/>
      </c>
      <c r="I35" s="2482">
        <f>'GPC Data'!I250</f>
        <v/>
      </c>
      <c r="J35" s="2483">
        <f>'GPC Data'!J250</f>
        <v/>
      </c>
      <c r="K35" s="2483">
        <f>'GPC Data'!K250</f>
        <v/>
      </c>
      <c r="L35" s="2483">
        <f>'GPC Data'!L250</f>
        <v/>
      </c>
      <c r="M35" s="2483">
        <f>'GPC Data'!M250</f>
        <v/>
      </c>
      <c r="N35" s="2482">
        <f>'GPC Data'!N250</f>
        <v/>
      </c>
      <c r="O35" s="2481">
        <f>'GPC Data'!O250</f>
        <v/>
      </c>
      <c r="P35" s="2482">
        <f>'GPC Data'!P250</f>
        <v/>
      </c>
      <c r="Q35" s="2484">
        <f>'GPC Data'!Q250</f>
        <v/>
      </c>
      <c r="R35" s="2485">
        <f>'GPC Data'!R250</f>
        <v/>
      </c>
      <c r="S35" s="2483">
        <f>'GPC Data'!S250</f>
        <v/>
      </c>
      <c r="T35" s="2486">
        <f>'GPC Data'!T250</f>
        <v/>
      </c>
      <c r="U35" s="2483">
        <f>'GPC Data'!U250</f>
        <v/>
      </c>
      <c r="V35" s="2486">
        <f>'GPC Data'!V250</f>
        <v/>
      </c>
      <c r="W35" s="2487">
        <f>'GPC Data'!W250</f>
        <v/>
      </c>
      <c r="X35" s="2488">
        <f>'GPC Data'!X250</f>
        <v/>
      </c>
      <c r="Y35" s="2488">
        <f>'GPC Data'!Y250</f>
        <v/>
      </c>
      <c r="Z35" s="2488">
        <f>'GPC Data'!Z250</f>
        <v/>
      </c>
      <c r="AA35" s="2485">
        <f>'GPC Data'!AA250</f>
        <v/>
      </c>
      <c r="AB35" s="2485">
        <f>'GPC Data'!AB250</f>
        <v/>
      </c>
      <c r="AC35" s="2485">
        <f>'GPC Data'!AC250</f>
        <v/>
      </c>
      <c r="AD35" s="2485">
        <f>'GPC Data'!AD250</f>
        <v/>
      </c>
      <c r="AE35" s="2489">
        <f>'GPC Data'!AE250</f>
        <v/>
      </c>
      <c r="AF35" s="2485">
        <f>'GPC Data'!AF250</f>
        <v/>
      </c>
      <c r="AG35" s="2485">
        <f>'GPC Data'!AG250</f>
        <v/>
      </c>
      <c r="AH35" s="2489">
        <f>'GPC Data'!AH250</f>
        <v/>
      </c>
      <c r="AI35" s="2485">
        <f>'GPC Data'!AI250</f>
        <v/>
      </c>
      <c r="AJ35" s="2485">
        <f>'GPC Data'!AJ250</f>
        <v/>
      </c>
      <c r="AK35" s="2489">
        <f>'GPC Data'!AK250</f>
        <v/>
      </c>
      <c r="AL35" s="2485">
        <f>'GPC Data'!AL250</f>
        <v/>
      </c>
      <c r="AM35" s="2485">
        <f>'GPC Data'!AM250</f>
        <v/>
      </c>
      <c r="AN35" s="2489">
        <f>'GPC Data'!AN250</f>
        <v/>
      </c>
      <c r="AO35" s="2485">
        <f>'GPC Data'!AO250</f>
        <v/>
      </c>
      <c r="AP35" s="2485">
        <f>'GPC Data'!AP250</f>
        <v/>
      </c>
      <c r="AS35" s="443" t="inlineStr">
        <is>
          <t>Yes</t>
        </is>
      </c>
    </row>
    <row r="36" ht="12" customHeight="1" thickBot="1">
      <c r="B36" s="1018">
        <f>B35+1</f>
        <v/>
      </c>
      <c r="C36" s="1006">
        <f>'GPC Data'!E47</f>
        <v/>
      </c>
      <c r="D36" s="1007">
        <f>'GPC Data'!D47</f>
        <v/>
      </c>
      <c r="E36" s="2298">
        <f>Multiples!#REF!</f>
        <v/>
      </c>
      <c r="F36" s="2481">
        <f>'GPC Data'!F251</f>
        <v/>
      </c>
      <c r="G36" s="2482">
        <f>'GPC Data'!G251</f>
        <v/>
      </c>
      <c r="H36" s="2481">
        <f>'GPC Data'!H251</f>
        <v/>
      </c>
      <c r="I36" s="2482">
        <f>'GPC Data'!I251</f>
        <v/>
      </c>
      <c r="J36" s="2483">
        <f>'GPC Data'!J251</f>
        <v/>
      </c>
      <c r="K36" s="2483">
        <f>'GPC Data'!K251</f>
        <v/>
      </c>
      <c r="L36" s="2483">
        <f>'GPC Data'!L251</f>
        <v/>
      </c>
      <c r="M36" s="2483">
        <f>'GPC Data'!M251</f>
        <v/>
      </c>
      <c r="N36" s="2482">
        <f>'GPC Data'!N251</f>
        <v/>
      </c>
      <c r="O36" s="2481">
        <f>'GPC Data'!O251</f>
        <v/>
      </c>
      <c r="P36" s="2482">
        <f>'GPC Data'!P251</f>
        <v/>
      </c>
      <c r="Q36" s="2484">
        <f>'GPC Data'!Q251</f>
        <v/>
      </c>
      <c r="R36" s="2485">
        <f>'GPC Data'!R251</f>
        <v/>
      </c>
      <c r="S36" s="2483">
        <f>'GPC Data'!S251</f>
        <v/>
      </c>
      <c r="T36" s="2486">
        <f>'GPC Data'!T251</f>
        <v/>
      </c>
      <c r="U36" s="2483">
        <f>'GPC Data'!U251</f>
        <v/>
      </c>
      <c r="V36" s="2486">
        <f>'GPC Data'!V251</f>
        <v/>
      </c>
      <c r="W36" s="2487">
        <f>'GPC Data'!W251</f>
        <v/>
      </c>
      <c r="X36" s="2488">
        <f>'GPC Data'!X251</f>
        <v/>
      </c>
      <c r="Y36" s="2488">
        <f>'GPC Data'!Y251</f>
        <v/>
      </c>
      <c r="Z36" s="2488">
        <f>'GPC Data'!Z251</f>
        <v/>
      </c>
      <c r="AA36" s="2485">
        <f>'GPC Data'!AA251</f>
        <v/>
      </c>
      <c r="AB36" s="2485">
        <f>'GPC Data'!AB251</f>
        <v/>
      </c>
      <c r="AC36" s="2485">
        <f>'GPC Data'!AC251</f>
        <v/>
      </c>
      <c r="AD36" s="2485">
        <f>'GPC Data'!AD251</f>
        <v/>
      </c>
      <c r="AE36" s="2489">
        <f>'GPC Data'!AE251</f>
        <v/>
      </c>
      <c r="AF36" s="2485">
        <f>'GPC Data'!AF251</f>
        <v/>
      </c>
      <c r="AG36" s="2485">
        <f>'GPC Data'!AG251</f>
        <v/>
      </c>
      <c r="AH36" s="2489">
        <f>'GPC Data'!AH251</f>
        <v/>
      </c>
      <c r="AI36" s="2485">
        <f>'GPC Data'!AI251</f>
        <v/>
      </c>
      <c r="AJ36" s="2485">
        <f>'GPC Data'!AJ251</f>
        <v/>
      </c>
      <c r="AK36" s="2489">
        <f>'GPC Data'!AK251</f>
        <v/>
      </c>
      <c r="AL36" s="2485">
        <f>'GPC Data'!AL251</f>
        <v/>
      </c>
      <c r="AM36" s="2485">
        <f>'GPC Data'!AM251</f>
        <v/>
      </c>
      <c r="AN36" s="2489">
        <f>'GPC Data'!AN251</f>
        <v/>
      </c>
      <c r="AO36" s="2485">
        <f>'GPC Data'!AO251</f>
        <v/>
      </c>
      <c r="AP36" s="2485">
        <f>'GPC Data'!AP251</f>
        <v/>
      </c>
      <c r="AS36" s="443" t="inlineStr">
        <is>
          <t>Yes</t>
        </is>
      </c>
    </row>
    <row r="37" ht="12" customHeight="1" thickBot="1">
      <c r="B37" s="1018">
        <f>B36+1</f>
        <v/>
      </c>
      <c r="C37" s="1006">
        <f>'GPC Data'!E48</f>
        <v/>
      </c>
      <c r="D37" s="1007">
        <f>'GPC Data'!D48</f>
        <v/>
      </c>
      <c r="E37" s="2298">
        <f>Multiples!#REF!</f>
        <v/>
      </c>
      <c r="F37" s="2481">
        <f>'GPC Data'!F252</f>
        <v/>
      </c>
      <c r="G37" s="2482">
        <f>'GPC Data'!G252</f>
        <v/>
      </c>
      <c r="H37" s="2481">
        <f>'GPC Data'!H252</f>
        <v/>
      </c>
      <c r="I37" s="2482">
        <f>'GPC Data'!I252</f>
        <v/>
      </c>
      <c r="J37" s="2483">
        <f>'GPC Data'!J252</f>
        <v/>
      </c>
      <c r="K37" s="2483">
        <f>'GPC Data'!K252</f>
        <v/>
      </c>
      <c r="L37" s="2483">
        <f>'GPC Data'!L252</f>
        <v/>
      </c>
      <c r="M37" s="2483">
        <f>'GPC Data'!M252</f>
        <v/>
      </c>
      <c r="N37" s="2482">
        <f>'GPC Data'!N252</f>
        <v/>
      </c>
      <c r="O37" s="2481">
        <f>'GPC Data'!O252</f>
        <v/>
      </c>
      <c r="P37" s="2482">
        <f>'GPC Data'!P252</f>
        <v/>
      </c>
      <c r="Q37" s="2484">
        <f>'GPC Data'!Q252</f>
        <v/>
      </c>
      <c r="R37" s="2485">
        <f>'GPC Data'!R252</f>
        <v/>
      </c>
      <c r="S37" s="2483">
        <f>'GPC Data'!S252</f>
        <v/>
      </c>
      <c r="T37" s="2486">
        <f>'GPC Data'!T252</f>
        <v/>
      </c>
      <c r="U37" s="2483">
        <f>'GPC Data'!U252</f>
        <v/>
      </c>
      <c r="V37" s="2486">
        <f>'GPC Data'!V252</f>
        <v/>
      </c>
      <c r="W37" s="2487">
        <f>'GPC Data'!W252</f>
        <v/>
      </c>
      <c r="X37" s="2488">
        <f>'GPC Data'!X252</f>
        <v/>
      </c>
      <c r="Y37" s="2488">
        <f>'GPC Data'!Y252</f>
        <v/>
      </c>
      <c r="Z37" s="2488">
        <f>'GPC Data'!Z252</f>
        <v/>
      </c>
      <c r="AA37" s="2485">
        <f>'GPC Data'!AA252</f>
        <v/>
      </c>
      <c r="AB37" s="2485">
        <f>'GPC Data'!AB252</f>
        <v/>
      </c>
      <c r="AC37" s="2485">
        <f>'GPC Data'!AC252</f>
        <v/>
      </c>
      <c r="AD37" s="2485">
        <f>'GPC Data'!AD252</f>
        <v/>
      </c>
      <c r="AE37" s="2489">
        <f>'GPC Data'!AE252</f>
        <v/>
      </c>
      <c r="AF37" s="2485">
        <f>'GPC Data'!AF252</f>
        <v/>
      </c>
      <c r="AG37" s="2485">
        <f>'GPC Data'!AG252</f>
        <v/>
      </c>
      <c r="AH37" s="2489">
        <f>'GPC Data'!AH252</f>
        <v/>
      </c>
      <c r="AI37" s="2485">
        <f>'GPC Data'!AI252</f>
        <v/>
      </c>
      <c r="AJ37" s="2485">
        <f>'GPC Data'!AJ252</f>
        <v/>
      </c>
      <c r="AK37" s="2489">
        <f>'GPC Data'!AK252</f>
        <v/>
      </c>
      <c r="AL37" s="2485">
        <f>'GPC Data'!AL252</f>
        <v/>
      </c>
      <c r="AM37" s="2485">
        <f>'GPC Data'!AM252</f>
        <v/>
      </c>
      <c r="AN37" s="2489">
        <f>'GPC Data'!AN252</f>
        <v/>
      </c>
      <c r="AO37" s="2485">
        <f>'GPC Data'!AO252</f>
        <v/>
      </c>
      <c r="AP37" s="2485">
        <f>'GPC Data'!AP252</f>
        <v/>
      </c>
      <c r="AS37" s="443" t="inlineStr">
        <is>
          <t>Yes</t>
        </is>
      </c>
    </row>
    <row r="38" ht="12" customHeight="1" thickBot="1">
      <c r="B38" s="1018">
        <f>B37+1</f>
        <v/>
      </c>
      <c r="C38" s="1006">
        <f>'GPC Data'!E49</f>
        <v/>
      </c>
      <c r="D38" s="1007">
        <f>'GPC Data'!D49</f>
        <v/>
      </c>
      <c r="E38" s="2298">
        <f>Multiples!#REF!</f>
        <v/>
      </c>
      <c r="F38" s="2481">
        <f>'GPC Data'!F253</f>
        <v/>
      </c>
      <c r="G38" s="2482">
        <f>'GPC Data'!G253</f>
        <v/>
      </c>
      <c r="H38" s="2481">
        <f>'GPC Data'!H253</f>
        <v/>
      </c>
      <c r="I38" s="2482">
        <f>'GPC Data'!I253</f>
        <v/>
      </c>
      <c r="J38" s="2483">
        <f>'GPC Data'!J253</f>
        <v/>
      </c>
      <c r="K38" s="2483">
        <f>'GPC Data'!K253</f>
        <v/>
      </c>
      <c r="L38" s="2483">
        <f>'GPC Data'!L253</f>
        <v/>
      </c>
      <c r="M38" s="2483">
        <f>'GPC Data'!M253</f>
        <v/>
      </c>
      <c r="N38" s="2482">
        <f>'GPC Data'!N253</f>
        <v/>
      </c>
      <c r="O38" s="2481">
        <f>'GPC Data'!O253</f>
        <v/>
      </c>
      <c r="P38" s="2482">
        <f>'GPC Data'!P253</f>
        <v/>
      </c>
      <c r="Q38" s="2484">
        <f>'GPC Data'!Q253</f>
        <v/>
      </c>
      <c r="R38" s="2485">
        <f>'GPC Data'!R253</f>
        <v/>
      </c>
      <c r="S38" s="2483">
        <f>'GPC Data'!S253</f>
        <v/>
      </c>
      <c r="T38" s="2486">
        <f>'GPC Data'!T253</f>
        <v/>
      </c>
      <c r="U38" s="2483">
        <f>'GPC Data'!U253</f>
        <v/>
      </c>
      <c r="V38" s="2486">
        <f>'GPC Data'!V253</f>
        <v/>
      </c>
      <c r="W38" s="2487">
        <f>'GPC Data'!W253</f>
        <v/>
      </c>
      <c r="X38" s="2488">
        <f>'GPC Data'!X253</f>
        <v/>
      </c>
      <c r="Y38" s="2488">
        <f>'GPC Data'!Y253</f>
        <v/>
      </c>
      <c r="Z38" s="2488">
        <f>'GPC Data'!Z253</f>
        <v/>
      </c>
      <c r="AA38" s="2485">
        <f>'GPC Data'!AA253</f>
        <v/>
      </c>
      <c r="AB38" s="2485">
        <f>'GPC Data'!AB253</f>
        <v/>
      </c>
      <c r="AC38" s="2485">
        <f>'GPC Data'!AC253</f>
        <v/>
      </c>
      <c r="AD38" s="2485">
        <f>'GPC Data'!AD253</f>
        <v/>
      </c>
      <c r="AE38" s="2489">
        <f>'GPC Data'!AE253</f>
        <v/>
      </c>
      <c r="AF38" s="2485">
        <f>'GPC Data'!AF253</f>
        <v/>
      </c>
      <c r="AG38" s="2485">
        <f>'GPC Data'!AG253</f>
        <v/>
      </c>
      <c r="AH38" s="2489">
        <f>'GPC Data'!AH253</f>
        <v/>
      </c>
      <c r="AI38" s="2485">
        <f>'GPC Data'!AI253</f>
        <v/>
      </c>
      <c r="AJ38" s="2485">
        <f>'GPC Data'!AJ253</f>
        <v/>
      </c>
      <c r="AK38" s="2489">
        <f>'GPC Data'!AK253</f>
        <v/>
      </c>
      <c r="AL38" s="2485">
        <f>'GPC Data'!AL253</f>
        <v/>
      </c>
      <c r="AM38" s="2485">
        <f>'GPC Data'!AM253</f>
        <v/>
      </c>
      <c r="AN38" s="2489">
        <f>'GPC Data'!AN253</f>
        <v/>
      </c>
      <c r="AO38" s="2485">
        <f>'GPC Data'!AO253</f>
        <v/>
      </c>
      <c r="AP38" s="2485">
        <f>'GPC Data'!AP253</f>
        <v/>
      </c>
      <c r="AS38" s="443" t="inlineStr">
        <is>
          <t>Yes</t>
        </is>
      </c>
    </row>
    <row r="39" ht="12" customHeight="1" thickBot="1">
      <c r="B39" s="1018">
        <f>B38+1</f>
        <v/>
      </c>
      <c r="C39" s="1006">
        <f>'GPC Data'!E50</f>
        <v/>
      </c>
      <c r="D39" s="1007">
        <f>'GPC Data'!D50</f>
        <v/>
      </c>
      <c r="E39" s="2298">
        <f>Multiples!#REF!</f>
        <v/>
      </c>
      <c r="F39" s="2481">
        <f>'GPC Data'!F254</f>
        <v/>
      </c>
      <c r="G39" s="2482">
        <f>'GPC Data'!G254</f>
        <v/>
      </c>
      <c r="H39" s="2481">
        <f>'GPC Data'!H254</f>
        <v/>
      </c>
      <c r="I39" s="2482">
        <f>'GPC Data'!I254</f>
        <v/>
      </c>
      <c r="J39" s="2483">
        <f>'GPC Data'!J254</f>
        <v/>
      </c>
      <c r="K39" s="2483">
        <f>'GPC Data'!K254</f>
        <v/>
      </c>
      <c r="L39" s="2483">
        <f>'GPC Data'!L254</f>
        <v/>
      </c>
      <c r="M39" s="2483">
        <f>'GPC Data'!M254</f>
        <v/>
      </c>
      <c r="N39" s="2482">
        <f>'GPC Data'!N254</f>
        <v/>
      </c>
      <c r="O39" s="2481">
        <f>'GPC Data'!O254</f>
        <v/>
      </c>
      <c r="P39" s="2482">
        <f>'GPC Data'!P254</f>
        <v/>
      </c>
      <c r="Q39" s="2484">
        <f>'GPC Data'!Q254</f>
        <v/>
      </c>
      <c r="R39" s="2485">
        <f>'GPC Data'!R254</f>
        <v/>
      </c>
      <c r="S39" s="2483">
        <f>'GPC Data'!S254</f>
        <v/>
      </c>
      <c r="T39" s="2486">
        <f>'GPC Data'!T254</f>
        <v/>
      </c>
      <c r="U39" s="2483">
        <f>'GPC Data'!U254</f>
        <v/>
      </c>
      <c r="V39" s="2486">
        <f>'GPC Data'!V254</f>
        <v/>
      </c>
      <c r="W39" s="2487">
        <f>'GPC Data'!W254</f>
        <v/>
      </c>
      <c r="X39" s="2488">
        <f>'GPC Data'!X254</f>
        <v/>
      </c>
      <c r="Y39" s="2488">
        <f>'GPC Data'!Y254</f>
        <v/>
      </c>
      <c r="Z39" s="2488">
        <f>'GPC Data'!Z254</f>
        <v/>
      </c>
      <c r="AA39" s="2485">
        <f>'GPC Data'!AA254</f>
        <v/>
      </c>
      <c r="AB39" s="2485">
        <f>'GPC Data'!AB254</f>
        <v/>
      </c>
      <c r="AC39" s="2485">
        <f>'GPC Data'!AC254</f>
        <v/>
      </c>
      <c r="AD39" s="2485">
        <f>'GPC Data'!AD254</f>
        <v/>
      </c>
      <c r="AE39" s="2489">
        <f>'GPC Data'!AE254</f>
        <v/>
      </c>
      <c r="AF39" s="2485">
        <f>'GPC Data'!AF254</f>
        <v/>
      </c>
      <c r="AG39" s="2485">
        <f>'GPC Data'!AG254</f>
        <v/>
      </c>
      <c r="AH39" s="2489">
        <f>'GPC Data'!AH254</f>
        <v/>
      </c>
      <c r="AI39" s="2485">
        <f>'GPC Data'!AI254</f>
        <v/>
      </c>
      <c r="AJ39" s="2485">
        <f>'GPC Data'!AJ254</f>
        <v/>
      </c>
      <c r="AK39" s="2489">
        <f>'GPC Data'!AK254</f>
        <v/>
      </c>
      <c r="AL39" s="2485">
        <f>'GPC Data'!AL254</f>
        <v/>
      </c>
      <c r="AM39" s="2485">
        <f>'GPC Data'!AM254</f>
        <v/>
      </c>
      <c r="AN39" s="2489">
        <f>'GPC Data'!AN254</f>
        <v/>
      </c>
      <c r="AO39" s="2485">
        <f>'GPC Data'!AO254</f>
        <v/>
      </c>
      <c r="AP39" s="2485">
        <f>'GPC Data'!AP254</f>
        <v/>
      </c>
      <c r="AS39" s="443" t="inlineStr">
        <is>
          <t>Yes</t>
        </is>
      </c>
    </row>
    <row r="40" ht="12" customHeight="1" thickBot="1">
      <c r="B40" s="1018">
        <f>B19+1</f>
        <v/>
      </c>
      <c r="C40" s="1006">
        <f>'GPC Data'!E51</f>
        <v/>
      </c>
      <c r="D40" s="1007">
        <f>'GPC Data'!D51</f>
        <v/>
      </c>
      <c r="E40" s="2298">
        <f>Multiples!#REF!</f>
        <v/>
      </c>
      <c r="F40" s="2481">
        <f>'GPC Data'!F255</f>
        <v/>
      </c>
      <c r="G40" s="2482">
        <f>'GPC Data'!G255</f>
        <v/>
      </c>
      <c r="H40" s="2481">
        <f>'GPC Data'!H255</f>
        <v/>
      </c>
      <c r="I40" s="2482">
        <f>'GPC Data'!I255</f>
        <v/>
      </c>
      <c r="J40" s="2483">
        <f>'GPC Data'!J255</f>
        <v/>
      </c>
      <c r="K40" s="2483">
        <f>'GPC Data'!K255</f>
        <v/>
      </c>
      <c r="L40" s="2483">
        <f>'GPC Data'!L255</f>
        <v/>
      </c>
      <c r="M40" s="2483">
        <f>'GPC Data'!M255</f>
        <v/>
      </c>
      <c r="N40" s="2482">
        <f>'GPC Data'!N255</f>
        <v/>
      </c>
      <c r="O40" s="2481">
        <f>'GPC Data'!O255</f>
        <v/>
      </c>
      <c r="P40" s="2482">
        <f>'GPC Data'!P255</f>
        <v/>
      </c>
      <c r="Q40" s="2484">
        <f>'GPC Data'!Q255</f>
        <v/>
      </c>
      <c r="R40" s="2485">
        <f>'GPC Data'!R255</f>
        <v/>
      </c>
      <c r="S40" s="2483">
        <f>'GPC Data'!S255</f>
        <v/>
      </c>
      <c r="T40" s="2486">
        <f>'GPC Data'!T255</f>
        <v/>
      </c>
      <c r="U40" s="2483">
        <f>'GPC Data'!U255</f>
        <v/>
      </c>
      <c r="V40" s="2486">
        <f>'GPC Data'!V255</f>
        <v/>
      </c>
      <c r="W40" s="2487">
        <f>'GPC Data'!W255</f>
        <v/>
      </c>
      <c r="X40" s="2488">
        <f>'GPC Data'!X255</f>
        <v/>
      </c>
      <c r="Y40" s="2488">
        <f>'GPC Data'!Y255</f>
        <v/>
      </c>
      <c r="Z40" s="2488">
        <f>'GPC Data'!Z255</f>
        <v/>
      </c>
      <c r="AA40" s="2485">
        <f>'GPC Data'!AA255</f>
        <v/>
      </c>
      <c r="AB40" s="2485">
        <f>'GPC Data'!AB255</f>
        <v/>
      </c>
      <c r="AC40" s="2485">
        <f>'GPC Data'!AC255</f>
        <v/>
      </c>
      <c r="AD40" s="2485">
        <f>'GPC Data'!AD255</f>
        <v/>
      </c>
      <c r="AE40" s="2489">
        <f>'GPC Data'!AE255</f>
        <v/>
      </c>
      <c r="AF40" s="2485">
        <f>'GPC Data'!AF255</f>
        <v/>
      </c>
      <c r="AG40" s="2485">
        <f>'GPC Data'!AG255</f>
        <v/>
      </c>
      <c r="AH40" s="2489">
        <f>'GPC Data'!AH255</f>
        <v/>
      </c>
      <c r="AI40" s="2485">
        <f>'GPC Data'!AI255</f>
        <v/>
      </c>
      <c r="AJ40" s="2485">
        <f>'GPC Data'!AJ255</f>
        <v/>
      </c>
      <c r="AK40" s="2489">
        <f>'GPC Data'!AK255</f>
        <v/>
      </c>
      <c r="AL40" s="2485">
        <f>'GPC Data'!AL255</f>
        <v/>
      </c>
      <c r="AM40" s="2485">
        <f>'GPC Data'!AM255</f>
        <v/>
      </c>
      <c r="AN40" s="2489">
        <f>'GPC Data'!AN255</f>
        <v/>
      </c>
      <c r="AO40" s="2485">
        <f>'GPC Data'!AO255</f>
        <v/>
      </c>
      <c r="AP40" s="2485">
        <f>'GPC Data'!AP255</f>
        <v/>
      </c>
      <c r="AS40" s="443" t="inlineStr">
        <is>
          <t>Yes</t>
        </is>
      </c>
    </row>
    <row r="41">
      <c r="C41" s="910">
        <f>"As of "&amp;TEXT(valuation.date,"d mmmm yyy")&amp;"."&amp;" Historical information for the selected guideline public companies provided  by market data providers."</f>
        <v/>
      </c>
      <c r="D41" s="1833" t="n"/>
      <c r="E41" s="2298" t="n"/>
      <c r="F41" s="2482" t="n"/>
      <c r="G41" s="2482" t="n"/>
      <c r="H41" s="2482" t="n"/>
      <c r="I41" s="2482" t="n"/>
      <c r="J41" s="2482" t="n"/>
      <c r="K41" s="2482" t="n"/>
      <c r="L41" s="2482" t="n"/>
      <c r="M41" s="2482" t="n"/>
      <c r="N41" s="2482" t="n"/>
      <c r="O41" s="2482" t="n"/>
      <c r="P41" s="2482" t="n"/>
      <c r="Q41" s="2484" t="n"/>
      <c r="R41" s="2485" t="n"/>
      <c r="S41" s="2482" t="n"/>
      <c r="T41" s="2484" t="n"/>
      <c r="U41" s="2482" t="n"/>
      <c r="V41" s="2484" t="n"/>
      <c r="W41" s="2485" t="n"/>
      <c r="X41" s="2485" t="n"/>
      <c r="Y41" s="2485" t="n"/>
      <c r="Z41" s="2485" t="n"/>
      <c r="AA41" s="2485" t="n"/>
      <c r="AB41" s="2485" t="n"/>
      <c r="AC41" s="2485" t="n"/>
      <c r="AD41" s="2485" t="n"/>
      <c r="AE41" s="2485" t="n"/>
      <c r="AF41" s="2485" t="n"/>
      <c r="AG41" s="2485" t="n"/>
      <c r="AH41" s="2485" t="n"/>
      <c r="AI41" s="2485" t="n"/>
      <c r="AJ41" s="2485" t="n"/>
      <c r="AK41" s="2485" t="n"/>
      <c r="AL41" s="2485" t="n"/>
      <c r="AM41" s="2485" t="n"/>
      <c r="AN41" s="2485" t="n"/>
      <c r="AO41" s="2485" t="n"/>
      <c r="AP41" s="2485" t="n"/>
    </row>
    <row r="42">
      <c r="C42" s="910" t="n"/>
      <c r="D42" s="1833" t="n"/>
      <c r="E42" s="2298" t="n"/>
      <c r="F42" s="2482" t="n"/>
      <c r="G42" s="2482" t="n"/>
      <c r="H42" s="2482" t="n"/>
      <c r="I42" s="2482" t="n"/>
      <c r="J42" s="2482" t="n"/>
      <c r="K42" s="2482" t="n"/>
      <c r="L42" s="2482" t="n"/>
      <c r="M42" s="2482" t="n"/>
      <c r="N42" s="2482" t="n"/>
      <c r="O42" s="2482" t="n"/>
      <c r="P42" s="2482" t="n"/>
      <c r="Q42" s="2484" t="n"/>
      <c r="R42" s="2485" t="n"/>
      <c r="S42" s="2482" t="n"/>
      <c r="T42" s="2484" t="n"/>
      <c r="U42" s="2482" t="n"/>
      <c r="V42" s="2484" t="n"/>
      <c r="W42" s="2485" t="n"/>
      <c r="X42" s="2485" t="n"/>
      <c r="Y42" s="2485" t="n"/>
      <c r="Z42" s="2485" t="n"/>
      <c r="AA42" s="2485" t="n"/>
      <c r="AB42" s="2485" t="n"/>
      <c r="AC42" s="2485" t="n"/>
      <c r="AD42" s="2485" t="n"/>
      <c r="AE42" s="2485" t="n"/>
      <c r="AF42" s="2485" t="n"/>
      <c r="AG42" s="2485" t="n"/>
      <c r="AH42" s="2485" t="n"/>
      <c r="AI42" s="2485" t="n"/>
      <c r="AJ42" s="2485" t="n"/>
      <c r="AK42" s="2485" t="n"/>
      <c r="AL42" s="2485" t="n"/>
      <c r="AM42" s="2485" t="n"/>
      <c r="AN42" s="2485" t="n"/>
      <c r="AO42" s="2485" t="n"/>
      <c r="AP42" s="2485" t="n"/>
    </row>
    <row r="43">
      <c r="B43" s="432" t="n"/>
      <c r="E43" s="786" t="inlineStr">
        <is>
          <t>High</t>
        </is>
      </c>
      <c r="F43" s="2490">
        <f>IFERROR(MAX(F11:F40),"")</f>
        <v/>
      </c>
      <c r="G43" s="2490">
        <f>IFERROR(MAX(G11:G40),"")</f>
        <v/>
      </c>
      <c r="H43" s="2490">
        <f>IFERROR(MAX(H11:H40),"")</f>
        <v/>
      </c>
      <c r="I43" s="2490">
        <f>IFERROR(MAX(I11:I40),"")</f>
        <v/>
      </c>
      <c r="J43" s="2490">
        <f>IFERROR(MAX(J11:J40),"")</f>
        <v/>
      </c>
      <c r="K43" s="2490">
        <f>IFERROR(MAX(K11:K40),"")</f>
        <v/>
      </c>
      <c r="L43" s="2490">
        <f>IFERROR(MAX(L11:L40),"")</f>
        <v/>
      </c>
      <c r="M43" s="2490">
        <f>IFERROR(MAX(M11:M40),"")</f>
        <v/>
      </c>
      <c r="N43" s="2490">
        <f>IFERROR(MAX(N11:N40),"")</f>
        <v/>
      </c>
      <c r="O43" s="2490">
        <f>IFERROR(MAX(O11:O40),"")</f>
        <v/>
      </c>
      <c r="P43" s="2490">
        <f>IFERROR(MAX(P11:P40),"")</f>
        <v/>
      </c>
      <c r="Q43" s="2490">
        <f>IFERROR(MAX(Q11:Q40),"")</f>
        <v/>
      </c>
      <c r="R43" s="2412">
        <f>IFERROR(MAX(R11:R40),"")</f>
        <v/>
      </c>
      <c r="S43" s="2490">
        <f>IFERROR(MAX(S11:S40),"")</f>
        <v/>
      </c>
      <c r="T43" s="2490">
        <f>IFERROR(MAX(T11:T40),"")</f>
        <v/>
      </c>
      <c r="U43" s="2490">
        <f>IFERROR(MAX(U11:U40),"")</f>
        <v/>
      </c>
      <c r="V43" s="2490">
        <f>IFERROR(MAX(V11:V40),"")</f>
        <v/>
      </c>
      <c r="W43" s="2412">
        <f>IFERROR(MAX(W11:W40),"")</f>
        <v/>
      </c>
      <c r="X43" s="2412">
        <f>IFERROR(MAX(X11:X40),"")</f>
        <v/>
      </c>
      <c r="Y43" s="2412">
        <f>IFERROR(MAX(Y11:Y40),"")</f>
        <v/>
      </c>
      <c r="Z43" s="2412">
        <f>IFERROR(MAX(Z11:Z40),"")</f>
        <v/>
      </c>
      <c r="AA43" s="2412">
        <f>IFERROR(MAX(AA11:AA40),"")</f>
        <v/>
      </c>
      <c r="AB43" s="2412">
        <f>IFERROR(MAX(AB11:AB40),"")</f>
        <v/>
      </c>
      <c r="AC43" s="2412">
        <f>IFERROR(MAX(AC11:AC40),"")</f>
        <v/>
      </c>
      <c r="AD43" s="2412">
        <f>IFERROR(MAX(AD11:AD40),"")</f>
        <v/>
      </c>
      <c r="AE43" s="2412">
        <f>IFERROR(MAX(AE11:AE40),"")</f>
        <v/>
      </c>
      <c r="AF43" s="2412">
        <f>IFERROR(MAX(AF11:AF40),"")</f>
        <v/>
      </c>
      <c r="AG43" s="2412">
        <f>IFERROR(MAX(AG11:AG40),"")</f>
        <v/>
      </c>
      <c r="AH43" s="2412">
        <f>IFERROR(MAX(AH11:AH40),"")</f>
        <v/>
      </c>
      <c r="AI43" s="2412">
        <f>IFERROR(MAX(AI11:AI40),"")</f>
        <v/>
      </c>
      <c r="AJ43" s="2412">
        <f>IFERROR(MAX(AJ11:AJ40),"")</f>
        <v/>
      </c>
      <c r="AK43" s="2412">
        <f>IFERROR(MAX(AK11:AK40),"")</f>
        <v/>
      </c>
      <c r="AL43" s="2412">
        <f>IFERROR(MAX(AL11:AL40),"")</f>
        <v/>
      </c>
      <c r="AM43" s="2412">
        <f>IFERROR(MAX(AM11:AM40),"")</f>
        <v/>
      </c>
      <c r="AN43" s="2412">
        <f>IFERROR(MAX(AN11:AN40),"")</f>
        <v/>
      </c>
      <c r="AO43" s="2412">
        <f>IFERROR(MAX(AO11:AO40),"")</f>
        <v/>
      </c>
      <c r="AP43" s="2412">
        <f>IFERROR(MAX(AP11:AP40),"")</f>
        <v/>
      </c>
    </row>
    <row r="44">
      <c r="B44" s="432" t="n"/>
      <c r="E44" s="792" t="inlineStr">
        <is>
          <t>75th Percentile</t>
        </is>
      </c>
      <c r="F44" s="2491">
        <f>IFERROR(QUARTILE(F11:F40,3),"")</f>
        <v/>
      </c>
      <c r="G44" s="2491">
        <f>IFERROR(QUARTILE(G11:G40,3),"")</f>
        <v/>
      </c>
      <c r="H44" s="2491">
        <f>IFERROR(QUARTILE(H11:H40,3),"")</f>
        <v/>
      </c>
      <c r="I44" s="2491">
        <f>IFERROR(QUARTILE(I11:I40,3),"")</f>
        <v/>
      </c>
      <c r="J44" s="2491">
        <f>IFERROR(QUARTILE(J11:J40,3),"")</f>
        <v/>
      </c>
      <c r="K44" s="2491">
        <f>IFERROR(QUARTILE(K11:K40,3),"")</f>
        <v/>
      </c>
      <c r="L44" s="2491">
        <f>IFERROR(QUARTILE(L11:L40,3),"")</f>
        <v/>
      </c>
      <c r="M44" s="2491">
        <f>IFERROR(QUARTILE(M11:M40,3),"")</f>
        <v/>
      </c>
      <c r="N44" s="2491">
        <f>IFERROR(QUARTILE(N11:N40,3),"")</f>
        <v/>
      </c>
      <c r="O44" s="2491">
        <f>IFERROR(QUARTILE(O11:O40,3),"")</f>
        <v/>
      </c>
      <c r="P44" s="2491">
        <f>IFERROR(QUARTILE(P11:P40,3),"")</f>
        <v/>
      </c>
      <c r="Q44" s="2491">
        <f>IFERROR(QUARTILE(Q11:Q40,3),"")</f>
        <v/>
      </c>
      <c r="R44" s="2330">
        <f>IFERROR(QUARTILE(R11:R40,3),"")</f>
        <v/>
      </c>
      <c r="S44" s="2491">
        <f>IFERROR(QUARTILE(S11:S40,3),"")</f>
        <v/>
      </c>
      <c r="T44" s="2491">
        <f>IFERROR(QUARTILE(T11:T40,3),"")</f>
        <v/>
      </c>
      <c r="U44" s="2491">
        <f>IFERROR(QUARTILE(U11:U40,3),"")</f>
        <v/>
      </c>
      <c r="V44" s="2491">
        <f>IFERROR(QUARTILE(V11:V40,3),"")</f>
        <v/>
      </c>
      <c r="W44" s="2330">
        <f>IFERROR(QUARTILE(W11:W40,3),"")</f>
        <v/>
      </c>
      <c r="X44" s="2330">
        <f>IFERROR(QUARTILE(X11:X40,3),"")</f>
        <v/>
      </c>
      <c r="Y44" s="2330">
        <f>IFERROR(QUARTILE(Y11:Y40,3),"")</f>
        <v/>
      </c>
      <c r="Z44" s="2330">
        <f>IFERROR(QUARTILE(Z11:Z40,3),"")</f>
        <v/>
      </c>
      <c r="AA44" s="2330">
        <f>IFERROR(QUARTILE(AA11:AA40,3),"")</f>
        <v/>
      </c>
      <c r="AB44" s="2330">
        <f>IFERROR(QUARTILE(AB11:AB40,3),"")</f>
        <v/>
      </c>
      <c r="AC44" s="2330">
        <f>IFERROR(QUARTILE(AC11:AC40,3),"")</f>
        <v/>
      </c>
      <c r="AD44" s="2330">
        <f>IFERROR(QUARTILE(AD11:AD40,3),"")</f>
        <v/>
      </c>
      <c r="AE44" s="2330">
        <f>IFERROR(QUARTILE(AE11:AE40,3),"")</f>
        <v/>
      </c>
      <c r="AF44" s="2330">
        <f>IFERROR(QUARTILE(AF11:AF40,3),"")</f>
        <v/>
      </c>
      <c r="AG44" s="2330">
        <f>IFERROR(QUARTILE(AG11:AG40,3),"")</f>
        <v/>
      </c>
      <c r="AH44" s="2330">
        <f>IFERROR(QUARTILE(AH11:AH40,3),"")</f>
        <v/>
      </c>
      <c r="AI44" s="2330">
        <f>IFERROR(QUARTILE(AI11:AI40,3),"")</f>
        <v/>
      </c>
      <c r="AJ44" s="2330">
        <f>IFERROR(QUARTILE(AJ11:AJ40,3),"")</f>
        <v/>
      </c>
      <c r="AK44" s="2330">
        <f>IFERROR(QUARTILE(AK11:AK40,3),"")</f>
        <v/>
      </c>
      <c r="AL44" s="2330">
        <f>IFERROR(QUARTILE(AL11:AL40,3),"")</f>
        <v/>
      </c>
      <c r="AM44" s="2330">
        <f>IFERROR(QUARTILE(AM11:AM40,3),"")</f>
        <v/>
      </c>
      <c r="AN44" s="2330">
        <f>IFERROR(QUARTILE(AN11:AN40,3),"")</f>
        <v/>
      </c>
      <c r="AO44" s="2330">
        <f>IFERROR(QUARTILE(AO11:AO40,3),"")</f>
        <v/>
      </c>
      <c r="AP44" s="2330">
        <f>IFERROR(QUARTILE(AP11:AP40,3),"")</f>
        <v/>
      </c>
    </row>
    <row r="45">
      <c r="B45" s="432" t="n"/>
      <c r="E45" s="792" t="inlineStr">
        <is>
          <t>Mean</t>
        </is>
      </c>
      <c r="F45" s="2491">
        <f>IFERROR(AVERAGE(F11:F40),"")</f>
        <v/>
      </c>
      <c r="G45" s="2491">
        <f>IFERROR(AVERAGE(G11:G40),"")</f>
        <v/>
      </c>
      <c r="H45" s="2491">
        <f>IFERROR(AVERAGE(H11:H40),"")</f>
        <v/>
      </c>
      <c r="I45" s="2491">
        <f>IFERROR(AVERAGE(I11:I40),"")</f>
        <v/>
      </c>
      <c r="J45" s="2491">
        <f>IFERROR(AVERAGE(J11:J40),"")</f>
        <v/>
      </c>
      <c r="K45" s="2491">
        <f>IFERROR(AVERAGE(K11:K40),"")</f>
        <v/>
      </c>
      <c r="L45" s="2491">
        <f>IFERROR(AVERAGE(L11:L40),"")</f>
        <v/>
      </c>
      <c r="M45" s="2491">
        <f>IFERROR(AVERAGE(M11:M40),"")</f>
        <v/>
      </c>
      <c r="N45" s="2491">
        <f>IFERROR(AVERAGE(N11:N40),"")</f>
        <v/>
      </c>
      <c r="O45" s="2491">
        <f>IFERROR(AVERAGE(O11:O40),"")</f>
        <v/>
      </c>
      <c r="P45" s="2491">
        <f>IFERROR(AVERAGE(P11:P40),"")</f>
        <v/>
      </c>
      <c r="Q45" s="2491">
        <f>IFERROR(AVERAGE(Q11:Q40),"")</f>
        <v/>
      </c>
      <c r="R45" s="2330">
        <f>IFERROR(AVERAGE(R11:R40),"")</f>
        <v/>
      </c>
      <c r="S45" s="2491">
        <f>IFERROR(AVERAGE(S11:S40),"")</f>
        <v/>
      </c>
      <c r="T45" s="2491">
        <f>IFERROR(AVERAGE(T11:T40),"")</f>
        <v/>
      </c>
      <c r="U45" s="2491">
        <f>IFERROR(AVERAGE(U11:U40),"")</f>
        <v/>
      </c>
      <c r="V45" s="2491">
        <f>IFERROR(AVERAGE(V11:V40),"")</f>
        <v/>
      </c>
      <c r="W45" s="2330">
        <f>IFERROR(AVERAGE(W11:W40),"")</f>
        <v/>
      </c>
      <c r="X45" s="2330">
        <f>IFERROR(AVERAGE(X11:X40),"")</f>
        <v/>
      </c>
      <c r="Y45" s="2330">
        <f>IFERROR(AVERAGE(Y11:Y40),"")</f>
        <v/>
      </c>
      <c r="Z45" s="2330">
        <f>IFERROR(AVERAGE(Z11:Z40),"")</f>
        <v/>
      </c>
      <c r="AA45" s="2330">
        <f>IFERROR(AVERAGE(AA11:AA40),"")</f>
        <v/>
      </c>
      <c r="AB45" s="2330">
        <f>IFERROR(AVERAGE(AB11:AB40),"")</f>
        <v/>
      </c>
      <c r="AC45" s="2330">
        <f>IFERROR(AVERAGE(AC11:AC40),"")</f>
        <v/>
      </c>
      <c r="AD45" s="2330">
        <f>IFERROR(AVERAGE(AD11:AD40),"")</f>
        <v/>
      </c>
      <c r="AE45" s="2330">
        <f>IFERROR(AVERAGE(AE11:AE40),"")</f>
        <v/>
      </c>
      <c r="AF45" s="2330">
        <f>IFERROR(AVERAGE(AF11:AF40),"")</f>
        <v/>
      </c>
      <c r="AG45" s="2330">
        <f>IFERROR(AVERAGE(AG11:AG40),"")</f>
        <v/>
      </c>
      <c r="AH45" s="2330">
        <f>IFERROR(AVERAGE(AH11:AH40),"")</f>
        <v/>
      </c>
      <c r="AI45" s="2330">
        <f>IFERROR(AVERAGE(AI11:AI40),"")</f>
        <v/>
      </c>
      <c r="AJ45" s="2330">
        <f>IFERROR(AVERAGE(AJ11:AJ40),"")</f>
        <v/>
      </c>
      <c r="AK45" s="2330">
        <f>IFERROR(AVERAGE(AK11:AK40),"")</f>
        <v/>
      </c>
      <c r="AL45" s="2330">
        <f>IFERROR(AVERAGE(AL11:AL40),"")</f>
        <v/>
      </c>
      <c r="AM45" s="2330">
        <f>IFERROR(AVERAGE(AM11:AM40),"")</f>
        <v/>
      </c>
      <c r="AN45" s="2330">
        <f>IFERROR(AVERAGE(AN11:AN40),"")</f>
        <v/>
      </c>
      <c r="AO45" s="2330">
        <f>IFERROR(AVERAGE(AO11:AO40),"")</f>
        <v/>
      </c>
      <c r="AP45" s="2330">
        <f>IFERROR(AVERAGE(AP11:AP40),"")</f>
        <v/>
      </c>
    </row>
    <row r="46">
      <c r="B46" s="432" t="n"/>
      <c r="E46" s="798" t="inlineStr">
        <is>
          <t>Median</t>
        </is>
      </c>
      <c r="F46" s="2492">
        <f>IFERROR(MEDIAN(F11:F40),"")</f>
        <v/>
      </c>
      <c r="G46" s="2492">
        <f>IFERROR(MEDIAN(G11:G40),"")</f>
        <v/>
      </c>
      <c r="H46" s="2492">
        <f>IFERROR(MEDIAN(H11:H40),"")</f>
        <v/>
      </c>
      <c r="I46" s="2492">
        <f>IFERROR(MEDIAN(I11:I40),"")</f>
        <v/>
      </c>
      <c r="J46" s="2492">
        <f>IFERROR(MEDIAN(J11:J40),"")</f>
        <v/>
      </c>
      <c r="K46" s="2492">
        <f>IFERROR(MEDIAN(K11:K40),"")</f>
        <v/>
      </c>
      <c r="L46" s="2492">
        <f>IFERROR(MEDIAN(L11:L40),"")</f>
        <v/>
      </c>
      <c r="M46" s="2492">
        <f>IFERROR(MEDIAN(M11:M40),"")</f>
        <v/>
      </c>
      <c r="N46" s="2492">
        <f>IFERROR(MEDIAN(N11:N40),"")</f>
        <v/>
      </c>
      <c r="O46" s="2492">
        <f>IFERROR(MEDIAN(O11:O40),"")</f>
        <v/>
      </c>
      <c r="P46" s="2492">
        <f>IFERROR(MEDIAN(P11:P40),"")</f>
        <v/>
      </c>
      <c r="Q46" s="2492">
        <f>IFERROR(MEDIAN(Q11:Q40),"")</f>
        <v/>
      </c>
      <c r="R46" s="2415">
        <f>IFERROR(MEDIAN(R11:R40),"")</f>
        <v/>
      </c>
      <c r="S46" s="2492">
        <f>IFERROR(MEDIAN(S11:S40),"")</f>
        <v/>
      </c>
      <c r="T46" s="2492">
        <f>IFERROR(MEDIAN(T11:T40),"")</f>
        <v/>
      </c>
      <c r="U46" s="2492">
        <f>IFERROR(MEDIAN(U11:U40),"")</f>
        <v/>
      </c>
      <c r="V46" s="2492">
        <f>IFERROR(MEDIAN(V11:V40),"")</f>
        <v/>
      </c>
      <c r="W46" s="2415">
        <f>IFERROR(MEDIAN(W11:W40),"")</f>
        <v/>
      </c>
      <c r="X46" s="2415">
        <f>IFERROR(MEDIAN(X11:X40),"")</f>
        <v/>
      </c>
      <c r="Y46" s="2415">
        <f>IFERROR(MEDIAN(Y11:Y40),"")</f>
        <v/>
      </c>
      <c r="Z46" s="2415">
        <f>IFERROR(MEDIAN(Z11:Z40),"")</f>
        <v/>
      </c>
      <c r="AA46" s="2415">
        <f>IFERROR(MEDIAN(AA11:AA40),"")</f>
        <v/>
      </c>
      <c r="AB46" s="2415">
        <f>IFERROR(MEDIAN(AB11:AB40),"")</f>
        <v/>
      </c>
      <c r="AC46" s="2415">
        <f>IFERROR(MEDIAN(AC11:AC40),"")</f>
        <v/>
      </c>
      <c r="AD46" s="2415">
        <f>IFERROR(MEDIAN(AD11:AD40),"")</f>
        <v/>
      </c>
      <c r="AE46" s="2415">
        <f>IFERROR(MEDIAN(AE11:AE40),"")</f>
        <v/>
      </c>
      <c r="AF46" s="2415">
        <f>IFERROR(MEDIAN(AF11:AF40),"")</f>
        <v/>
      </c>
      <c r="AG46" s="2415">
        <f>IFERROR(MEDIAN(AG11:AG40),"")</f>
        <v/>
      </c>
      <c r="AH46" s="2415">
        <f>IFERROR(MEDIAN(AH11:AH40),"")</f>
        <v/>
      </c>
      <c r="AI46" s="2415">
        <f>IFERROR(MEDIAN(AI11:AI40),"")</f>
        <v/>
      </c>
      <c r="AJ46" s="2415">
        <f>IFERROR(MEDIAN(AJ11:AJ40),"")</f>
        <v/>
      </c>
      <c r="AK46" s="2415">
        <f>IFERROR(MEDIAN(AK11:AK40),"")</f>
        <v/>
      </c>
      <c r="AL46" s="2415">
        <f>IFERROR(MEDIAN(AL11:AL40),"")</f>
        <v/>
      </c>
      <c r="AM46" s="2415">
        <f>IFERROR(MEDIAN(AM11:AM40),"")</f>
        <v/>
      </c>
      <c r="AN46" s="2415">
        <f>IFERROR(MEDIAN(AN11:AN40),"")</f>
        <v/>
      </c>
      <c r="AO46" s="2415">
        <f>IFERROR(MEDIAN(AO11:AO40),"")</f>
        <v/>
      </c>
      <c r="AP46" s="2415">
        <f>IFERROR(MEDIAN(AP11:AP40),"")</f>
        <v/>
      </c>
    </row>
    <row r="47">
      <c r="B47" s="432" t="n"/>
      <c r="E47" s="792" t="inlineStr">
        <is>
          <t>25th Percentile</t>
        </is>
      </c>
      <c r="F47" s="2491">
        <f>IFERROR(QUARTILE(F11:F40,1),"")</f>
        <v/>
      </c>
      <c r="G47" s="2491">
        <f>IFERROR(QUARTILE(G11:G40,1),"")</f>
        <v/>
      </c>
      <c r="H47" s="2491">
        <f>IFERROR(QUARTILE(H11:H40,1),"")</f>
        <v/>
      </c>
      <c r="I47" s="2491">
        <f>IFERROR(QUARTILE(I11:I40,1),"")</f>
        <v/>
      </c>
      <c r="J47" s="2491">
        <f>IFERROR(QUARTILE(J11:J40,1),"")</f>
        <v/>
      </c>
      <c r="K47" s="2491">
        <f>IFERROR(QUARTILE(K11:K40,1),"")</f>
        <v/>
      </c>
      <c r="L47" s="2491">
        <f>IFERROR(QUARTILE(L11:L40,1),"")</f>
        <v/>
      </c>
      <c r="M47" s="2491">
        <f>IFERROR(QUARTILE(M11:M40,1),"")</f>
        <v/>
      </c>
      <c r="N47" s="2491">
        <f>IFERROR(QUARTILE(N11:N40,1),"")</f>
        <v/>
      </c>
      <c r="O47" s="2491">
        <f>IFERROR(QUARTILE(O11:O40,1),"")</f>
        <v/>
      </c>
      <c r="P47" s="2491">
        <f>IFERROR(QUARTILE(P11:P40,1),"")</f>
        <v/>
      </c>
      <c r="Q47" s="2491">
        <f>IFERROR(QUARTILE(Q11:Q40,1),"")</f>
        <v/>
      </c>
      <c r="R47" s="2330">
        <f>IFERROR(QUARTILE(R11:R40,1),"")</f>
        <v/>
      </c>
      <c r="S47" s="2491">
        <f>IFERROR(QUARTILE(S11:S40,1),"")</f>
        <v/>
      </c>
      <c r="T47" s="2491">
        <f>IFERROR(QUARTILE(T11:T40,1),"")</f>
        <v/>
      </c>
      <c r="U47" s="2491">
        <f>IFERROR(QUARTILE(U11:U40,1),"")</f>
        <v/>
      </c>
      <c r="V47" s="2491">
        <f>IFERROR(QUARTILE(V11:V40,1),"")</f>
        <v/>
      </c>
      <c r="W47" s="2330">
        <f>IFERROR(QUARTILE(W11:W40,1),"")</f>
        <v/>
      </c>
      <c r="X47" s="2330">
        <f>IFERROR(QUARTILE(X11:X40,1),"")</f>
        <v/>
      </c>
      <c r="Y47" s="2330">
        <f>IFERROR(QUARTILE(Y11:Y40,1),"")</f>
        <v/>
      </c>
      <c r="Z47" s="2330">
        <f>IFERROR(QUARTILE(Z11:Z40,1),"")</f>
        <v/>
      </c>
      <c r="AA47" s="2330">
        <f>IFERROR(QUARTILE(AA11:AA40,1),"")</f>
        <v/>
      </c>
      <c r="AB47" s="2330">
        <f>IFERROR(QUARTILE(AB11:AB40,1),"")</f>
        <v/>
      </c>
      <c r="AC47" s="2330">
        <f>IFERROR(QUARTILE(AC11:AC40,1),"")</f>
        <v/>
      </c>
      <c r="AD47" s="2330">
        <f>IFERROR(QUARTILE(AD11:AD40,1),"")</f>
        <v/>
      </c>
      <c r="AE47" s="2330">
        <f>IFERROR(QUARTILE(AE11:AE40,1),"")</f>
        <v/>
      </c>
      <c r="AF47" s="2330">
        <f>IFERROR(QUARTILE(AF11:AF40,1),"")</f>
        <v/>
      </c>
      <c r="AG47" s="2330">
        <f>IFERROR(QUARTILE(AG11:AG40,1),"")</f>
        <v/>
      </c>
      <c r="AH47" s="2330">
        <f>IFERROR(QUARTILE(AH11:AH40,1),"")</f>
        <v/>
      </c>
      <c r="AI47" s="2330">
        <f>IFERROR(QUARTILE(AI11:AI40,1),"")</f>
        <v/>
      </c>
      <c r="AJ47" s="2330">
        <f>IFERROR(QUARTILE(AJ11:AJ40,1),"")</f>
        <v/>
      </c>
      <c r="AK47" s="2330">
        <f>IFERROR(QUARTILE(AK11:AK40,1),"")</f>
        <v/>
      </c>
      <c r="AL47" s="2330">
        <f>IFERROR(QUARTILE(AL11:AL40,1),"")</f>
        <v/>
      </c>
      <c r="AM47" s="2330">
        <f>IFERROR(QUARTILE(AM11:AM40,1),"")</f>
        <v/>
      </c>
      <c r="AN47" s="2330">
        <f>IFERROR(QUARTILE(AN11:AN40,1),"")</f>
        <v/>
      </c>
      <c r="AO47" s="2330">
        <f>IFERROR(QUARTILE(AO11:AO40,1),"")</f>
        <v/>
      </c>
      <c r="AP47" s="2330">
        <f>IFERROR(QUARTILE(AP11:AP40,1),"")</f>
        <v/>
      </c>
    </row>
    <row r="48" customFormat="1" s="1026">
      <c r="C48" s="1027" t="n"/>
      <c r="E48" s="803" t="inlineStr">
        <is>
          <t>Low</t>
        </is>
      </c>
      <c r="F48" s="2493">
        <f>IFERROR(MIN(F11:F40),"")</f>
        <v/>
      </c>
      <c r="G48" s="2493">
        <f>IFERROR(MIN(G11:G40),"")</f>
        <v/>
      </c>
      <c r="H48" s="2493">
        <f>IFERROR(MIN(H11:H40),"")</f>
        <v/>
      </c>
      <c r="I48" s="2493">
        <f>IFERROR(MIN(I11:I40),"")</f>
        <v/>
      </c>
      <c r="J48" s="2493">
        <f>IFERROR(MIN(J11:J40),"")</f>
        <v/>
      </c>
      <c r="K48" s="2493">
        <f>IFERROR(MIN(K11:K40),"")</f>
        <v/>
      </c>
      <c r="L48" s="2493">
        <f>IFERROR(MIN(L11:L40),"")</f>
        <v/>
      </c>
      <c r="M48" s="2493">
        <f>IFERROR(MIN(M11:M40),"")</f>
        <v/>
      </c>
      <c r="N48" s="2493">
        <f>IFERROR(MIN(N11:N40),"")</f>
        <v/>
      </c>
      <c r="O48" s="2493">
        <f>IFERROR(MIN(O11:O40),"")</f>
        <v/>
      </c>
      <c r="P48" s="2493">
        <f>IFERROR(MIN(P11:P40),"")</f>
        <v/>
      </c>
      <c r="Q48" s="2493">
        <f>IFERROR(MIN(Q11:Q40),"")</f>
        <v/>
      </c>
      <c r="R48" s="2423">
        <f>IFERROR(MIN(R11:R40),"")</f>
        <v/>
      </c>
      <c r="S48" s="2493">
        <f>IFERROR(MIN(S11:S40),"")</f>
        <v/>
      </c>
      <c r="T48" s="2493">
        <f>IFERROR(MIN(T11:T40),"")</f>
        <v/>
      </c>
      <c r="U48" s="2493">
        <f>IFERROR(MIN(U11:U40),"")</f>
        <v/>
      </c>
      <c r="V48" s="2493">
        <f>IFERROR(MIN(V11:V40),"")</f>
        <v/>
      </c>
      <c r="W48" s="2423">
        <f>IFERROR(MIN(W11:W40),"")</f>
        <v/>
      </c>
      <c r="X48" s="2423">
        <f>IFERROR(MIN(X11:X40),"")</f>
        <v/>
      </c>
      <c r="Y48" s="2423">
        <f>IFERROR(MIN(Y11:Y40),"")</f>
        <v/>
      </c>
      <c r="Z48" s="2423">
        <f>IFERROR(MIN(Z11:Z40),"")</f>
        <v/>
      </c>
      <c r="AA48" s="2423">
        <f>IFERROR(MIN(AA11:AA40),"")</f>
        <v/>
      </c>
      <c r="AB48" s="2423">
        <f>IFERROR(MIN(AB11:AB40),"")</f>
        <v/>
      </c>
      <c r="AC48" s="2423">
        <f>IFERROR(MIN(AC11:AC40),"")</f>
        <v/>
      </c>
      <c r="AD48" s="2423">
        <f>IFERROR(MIN(AD11:AD40),"")</f>
        <v/>
      </c>
      <c r="AE48" s="2423">
        <f>IFERROR(MIN(AE11:AE40),"")</f>
        <v/>
      </c>
      <c r="AF48" s="2423">
        <f>IFERROR(MIN(AF11:AF40),"")</f>
        <v/>
      </c>
      <c r="AG48" s="2423">
        <f>IFERROR(MIN(AG11:AG40),"")</f>
        <v/>
      </c>
      <c r="AH48" s="2423">
        <f>IFERROR(MIN(AH11:AH40),"")</f>
        <v/>
      </c>
      <c r="AI48" s="2423">
        <f>IFERROR(MIN(AI11:AI40),"")</f>
        <v/>
      </c>
      <c r="AJ48" s="2423">
        <f>IFERROR(MIN(AJ11:AJ40),"")</f>
        <v/>
      </c>
      <c r="AK48" s="2423">
        <f>IFERROR(MIN(AK11:AK40),"")</f>
        <v/>
      </c>
      <c r="AL48" s="2423">
        <f>IFERROR(MIN(AL11:AL40),"")</f>
        <v/>
      </c>
      <c r="AM48" s="2423">
        <f>IFERROR(MIN(AM11:AM40),"")</f>
        <v/>
      </c>
      <c r="AN48" s="2423">
        <f>IFERROR(MIN(AN11:AN40),"")</f>
        <v/>
      </c>
      <c r="AO48" s="2423">
        <f>IFERROR(MIN(AO11:AO40),"")</f>
        <v/>
      </c>
      <c r="AP48" s="2423">
        <f>IFERROR(MIN(AP11:AP40),"")</f>
        <v/>
      </c>
    </row>
    <row r="49">
      <c r="B49" s="259" t="n"/>
      <c r="C49" s="1133" t="n"/>
      <c r="D49" s="259" t="n"/>
      <c r="E49" s="259" t="n"/>
      <c r="F49" s="259" t="n"/>
      <c r="G49" s="259" t="n"/>
      <c r="H49" s="259" t="n"/>
      <c r="I49" s="259" t="n"/>
      <c r="J49" s="259" t="n"/>
      <c r="K49" s="259" t="n"/>
      <c r="L49" s="259" t="n"/>
      <c r="M49" s="259" t="n"/>
      <c r="N49" s="259" t="n"/>
      <c r="O49" s="259" t="n"/>
      <c r="P49" s="259" t="n"/>
      <c r="Q49" s="259" t="n"/>
      <c r="R49" s="259" t="n"/>
      <c r="S49" s="259" t="n"/>
      <c r="T49" s="259" t="n"/>
      <c r="U49" s="259" t="n"/>
      <c r="V49" s="259" t="n"/>
      <c r="W49" s="259" t="n"/>
      <c r="X49" s="259" t="n"/>
      <c r="Y49" s="259" t="n"/>
      <c r="Z49" s="259" t="n"/>
      <c r="AA49" s="259" t="n"/>
      <c r="AB49" s="259" t="n"/>
      <c r="AC49" s="259" t="n"/>
      <c r="AD49" s="259" t="n"/>
      <c r="AE49" s="259" t="n"/>
      <c r="AF49" s="259" t="n"/>
      <c r="AG49" s="259" t="n"/>
      <c r="AH49" s="259" t="n"/>
      <c r="AI49" s="259" t="n"/>
      <c r="AJ49" s="259" t="n"/>
      <c r="AK49" s="259" t="n"/>
      <c r="AL49" s="259" t="n"/>
      <c r="AM49" s="259" t="n"/>
      <c r="AN49" s="259" t="n"/>
      <c r="AO49" s="259" t="n"/>
      <c r="AP49" s="259" t="n"/>
      <c r="AQ49" s="259" t="n"/>
    </row>
    <row r="50" customFormat="1" s="1033">
      <c r="B50" s="1033" t="n"/>
      <c r="C50" s="1031" t="n"/>
      <c r="D50" s="1033" t="n"/>
      <c r="E50" s="466" t="inlineStr">
        <is>
          <t>Excluding outliers</t>
        </is>
      </c>
      <c r="F50" s="1032" t="n"/>
      <c r="G50" s="1033" t="n"/>
      <c r="H50" s="1033" t="n"/>
      <c r="I50" s="1033" t="n"/>
      <c r="J50" s="1033" t="n"/>
      <c r="K50" s="1033" t="n"/>
      <c r="L50" s="1033" t="n"/>
      <c r="M50" s="1033" t="n"/>
      <c r="N50" s="1033"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c r="AL50" s="1033" t="n"/>
      <c r="AM50" s="1033" t="n"/>
      <c r="AN50" s="1033" t="n"/>
      <c r="AO50" s="1033" t="n"/>
      <c r="AP50" s="1033" t="n"/>
      <c r="AQ50" s="1033" t="n"/>
    </row>
    <row r="51">
      <c r="C51" s="1133" t="n"/>
      <c r="E51" s="786" t="inlineStr">
        <is>
          <t>High</t>
        </is>
      </c>
      <c r="F51" s="2490">
        <f t="array" ref="F51">IFERROR(MAX(IF($AS$11:$AS$40="No",F11:F40)),"")</f>
        <v/>
      </c>
      <c r="G51" s="2490">
        <f t="array" ref="G51">IFERROR(MAX(IF($AS$11:$AS$40="No",G11:G40)),"")</f>
        <v/>
      </c>
      <c r="H51" s="2490">
        <f t="array" ref="H51">IFERROR(MAX(IF($AS$11:$AS$40="No",H11:H40)),"")</f>
        <v/>
      </c>
      <c r="I51" s="2490">
        <f t="array" ref="I51">IFERROR(MAX(IF($AS$11:$AS$40="No",I11:I40)),"")</f>
        <v/>
      </c>
      <c r="J51" s="2490">
        <f t="array" ref="J51">IFERROR(MAX(IF($AS$11:$AS$40="No",J11:J40)),"")</f>
        <v/>
      </c>
      <c r="K51" s="2490">
        <f t="array" ref="K51">IFERROR(MAX(IF($AS$11:$AS$40="No",K11:K40)),"")</f>
        <v/>
      </c>
      <c r="L51" s="2490">
        <f t="array" ref="L51">IFERROR(MAX(IF($AS$11:$AS$40="No",L11:L40)),"")</f>
        <v/>
      </c>
      <c r="M51" s="2490">
        <f t="array" ref="M51">IFERROR(MAX(IF($AS$11:$AS$40="No",M11:M40)),"")</f>
        <v/>
      </c>
      <c r="N51" s="2490">
        <f t="array" ref="N51">IFERROR(MAX(IF($AS$11:$AS$40="No",N11:N40)),"")</f>
        <v/>
      </c>
      <c r="O51" s="2490">
        <f t="array" ref="O51">IFERROR(MAX(IF($AS$11:$AS$40="No",O11:O40)),"")</f>
        <v/>
      </c>
      <c r="P51" s="2490">
        <f t="array" ref="P51">IFERROR(MAX(IF($AS$11:$AS$40="No",P11:P40)),"")</f>
        <v/>
      </c>
      <c r="Q51" s="2490">
        <f t="array" ref="Q51">IFERROR(MAX(IF($AS$11:$AS$40="No",Q11:Q40)),"")</f>
        <v/>
      </c>
      <c r="R51" s="2412">
        <f t="array" ref="R51">IFERROR(MAX(IF($AS$11:$AS$40="No",R11:R40)),"")</f>
        <v/>
      </c>
      <c r="S51" s="2490">
        <f t="array" ref="S51">IFERROR(MAX(IF($AS$11:$AS$40="No",S11:S40)),"")</f>
        <v/>
      </c>
      <c r="T51" s="2490">
        <f t="array" ref="T51">IFERROR(MAX(IF($AS$11:$AS$40="No",T11:T40)),"")</f>
        <v/>
      </c>
      <c r="U51" s="2490">
        <f t="array" ref="U51">IFERROR(MAX(IF($AS$11:$AS$40="No",U11:U40)),"")</f>
        <v/>
      </c>
      <c r="V51" s="2490">
        <f t="array" ref="V51">IFERROR(MAX(IF($AS$11:$AS$40="No",V11:V40)),"")</f>
        <v/>
      </c>
      <c r="W51" s="2412">
        <f t="array" ref="W51">IFERROR(MAX(IF($AS$11:$AS$40="No",W11:W40)),"")</f>
        <v/>
      </c>
      <c r="X51" s="2412">
        <f t="array" ref="X51">IFERROR(MAX(IF($AS$11:$AS$40="No",X11:X40)),"")</f>
        <v/>
      </c>
      <c r="Y51" s="2412">
        <f t="array" ref="Y51">IFERROR(MAX(IF($AS$11:$AS$40="No",Y11:Y40)),"")</f>
        <v/>
      </c>
      <c r="Z51" s="2412">
        <f t="array" ref="Z51">IFERROR(MAX(IF($AS$11:$AS$40="No",Z11:Z40)),"")</f>
        <v/>
      </c>
      <c r="AA51" s="2412">
        <f t="array" ref="AA51">IFERROR(MAX(IF($AS$11:$AS$40="No",AA11:AA40)),"")</f>
        <v/>
      </c>
      <c r="AB51" s="2412">
        <f t="array" ref="AB51">IFERROR(MAX(IF($AS$11:$AS$40="No",AB11:AB40)),"")</f>
        <v/>
      </c>
      <c r="AC51" s="2412">
        <f t="array" ref="AC51">IFERROR(MAX(IF($AS$11:$AS$40="No",AC11:AC40)),"")</f>
        <v/>
      </c>
      <c r="AD51" s="2412">
        <f t="array" ref="AD51">IFERROR(MAX(IF($AS$11:$AS$40="No",AD11:AD40)),"")</f>
        <v/>
      </c>
      <c r="AE51" s="2412">
        <f t="array" ref="AE51">IFERROR(MAX(IF($AS$11:$AS$40="No",AE11:AE40)),"")</f>
        <v/>
      </c>
      <c r="AF51" s="2412">
        <f t="array" ref="AF51">IFERROR(MAX(IF($AS$11:$AS$40="No",AF11:AF40)),"")</f>
        <v/>
      </c>
      <c r="AG51" s="2412">
        <f t="array" ref="AG51">IFERROR(MAX(IF($AS$11:$AS$40="No",AG11:AG40)),"")</f>
        <v/>
      </c>
      <c r="AH51" s="2412">
        <f t="array" ref="AH51">IFERROR(MAX(IF($AS$11:$AS$40="No",AH11:AH40)),"")</f>
        <v/>
      </c>
      <c r="AI51" s="2412">
        <f t="array" ref="AI51">IFERROR(MAX(IF($AS$11:$AS$40="No",AI11:AI40)),"")</f>
        <v/>
      </c>
      <c r="AJ51" s="2412">
        <f t="array" ref="AJ51">IFERROR(MAX(IF($AS$11:$AS$40="No",AJ11:AJ40)),"")</f>
        <v/>
      </c>
      <c r="AK51" s="2412">
        <f t="array" ref="AK51">IFERROR(MAX(IF($AS$11:$AS$40="No",AK11:AK40)),"")</f>
        <v/>
      </c>
      <c r="AL51" s="2412">
        <f t="array" ref="AL51">IFERROR(MAX(IF($AS$11:$AS$40="No",AL11:AL40)),"")</f>
        <v/>
      </c>
      <c r="AM51" s="2412">
        <f t="array" ref="AM51">IFERROR(MAX(IF($AS$11:$AS$40="No",AM11:AM40)),"")</f>
        <v/>
      </c>
      <c r="AN51" s="2412">
        <f t="array" ref="AN51">IFERROR(MAX(IF($AS$11:$AS$40="No",AN11:AN40)),"")</f>
        <v/>
      </c>
      <c r="AO51" s="2412">
        <f t="array" ref="AO51">IFERROR(MAX(IF($AS$11:$AS$40="No",AO11:AO40)),"")</f>
        <v/>
      </c>
      <c r="AP51" s="2412">
        <f t="array" ref="AP51">IFERROR(MAX(IF($AS$11:$AS$40="No",AP11:AP40)),"")</f>
        <v/>
      </c>
    </row>
    <row r="52">
      <c r="C52" s="1133" t="n"/>
      <c r="E52" s="792" t="inlineStr">
        <is>
          <t>75th Percentile</t>
        </is>
      </c>
      <c r="F52" s="2491">
        <f t="array" ref="F52">IFERROR(PERCENTILE(IF($AS$11:$AS$40="No",F11:F40),0.75),"")</f>
        <v/>
      </c>
      <c r="G52" s="2491">
        <f t="array" ref="G52">IFERROR(PERCENTILE(IF($AS$11:$AS$40="No",G11:G40),0.75),"")</f>
        <v/>
      </c>
      <c r="H52" s="2491">
        <f t="array" ref="H52">IFERROR(PERCENTILE(IF($AS$11:$AS$40="No",H11:H40),0.75),"")</f>
        <v/>
      </c>
      <c r="I52" s="2491">
        <f t="array" ref="I52">IFERROR(PERCENTILE(IF($AS$11:$AS$40="No",I11:I40),0.75),"")</f>
        <v/>
      </c>
      <c r="J52" s="2491">
        <f t="array" ref="J52">IFERROR(PERCENTILE(IF($AS$11:$AS$40="No",J11:J40),0.75),"")</f>
        <v/>
      </c>
      <c r="K52" s="2491">
        <f t="array" ref="K52">IFERROR(PERCENTILE(IF($AS$11:$AS$40="No",K11:K40),0.75),"")</f>
        <v/>
      </c>
      <c r="L52" s="2491">
        <f t="array" ref="L52">IFERROR(PERCENTILE(IF($AS$11:$AS$40="No",L11:L40),0.75),"")</f>
        <v/>
      </c>
      <c r="M52" s="2491">
        <f t="array" ref="M52">IFERROR(PERCENTILE(IF($AS$11:$AS$40="No",M11:M40),0.75),"")</f>
        <v/>
      </c>
      <c r="N52" s="2491">
        <f t="array" ref="N52">IFERROR(PERCENTILE(IF($AS$11:$AS$40="No",N11:N40),0.75),"")</f>
        <v/>
      </c>
      <c r="O52" s="2491">
        <f t="array" ref="O52">IFERROR(PERCENTILE(IF($AS$11:$AS$40="No",O11:O40),0.75),"")</f>
        <v/>
      </c>
      <c r="P52" s="2491">
        <f t="array" ref="P52">IFERROR(PERCENTILE(IF($AS$11:$AS$40="No",P11:P40),0.75),"")</f>
        <v/>
      </c>
      <c r="Q52" s="2491">
        <f t="array" ref="Q52">IFERROR(PERCENTILE(IF($AS$11:$AS$40="No",Q11:Q40),0.75),"")</f>
        <v/>
      </c>
      <c r="R52" s="2330">
        <f t="array" ref="R52">IFERROR(PERCENTILE(IF($AS$11:$AS$40="No",R11:R40),0.75),"")</f>
        <v/>
      </c>
      <c r="S52" s="2491">
        <f t="array" ref="S52">IFERROR(PERCENTILE(IF($AS$11:$AS$40="No",S11:S40),0.75),"")</f>
        <v/>
      </c>
      <c r="T52" s="2491">
        <f t="array" ref="T52">IFERROR(PERCENTILE(IF($AS$11:$AS$40="No",T11:T40),0.75),"")</f>
        <v/>
      </c>
      <c r="U52" s="2491">
        <f t="array" ref="U52">IFERROR(PERCENTILE(IF($AS$11:$AS$40="No",U11:U40),0.75),"")</f>
        <v/>
      </c>
      <c r="V52" s="2491">
        <f t="array" ref="V52">IFERROR(PERCENTILE(IF($AS$11:$AS$40="No",V11:V40),0.75),"")</f>
        <v/>
      </c>
      <c r="W52" s="2330">
        <f t="array" ref="W52">IFERROR(PERCENTILE(IF($AS$11:$AS$40="No",W11:W40),0.75),"")</f>
        <v/>
      </c>
      <c r="X52" s="2330">
        <f t="array" ref="X52">IFERROR(PERCENTILE(IF($AS$11:$AS$40="No",X11:X40),0.75),"")</f>
        <v/>
      </c>
      <c r="Y52" s="2330">
        <f t="array" ref="Y52">IFERROR(PERCENTILE(IF($AS$11:$AS$40="No",Y11:Y40),0.75),"")</f>
        <v/>
      </c>
      <c r="Z52" s="2330">
        <f t="array" ref="Z52">IFERROR(PERCENTILE(IF($AS$11:$AS$40="No",Z11:Z40),0.75),"")</f>
        <v/>
      </c>
      <c r="AA52" s="2330">
        <f t="array" ref="AA52">IFERROR(PERCENTILE(IF($AS$11:$AS$40="No",AA11:AA40),0.75),"")</f>
        <v/>
      </c>
      <c r="AB52" s="2330">
        <f t="array" ref="AB52">IFERROR(PERCENTILE(IF($AS$11:$AS$40="No",AB11:AB40),0.75),"")</f>
        <v/>
      </c>
      <c r="AC52" s="2330">
        <f t="array" ref="AC52">IFERROR(PERCENTILE(IF($AS$11:$AS$40="No",AC11:AC40),0.75),"")</f>
        <v/>
      </c>
      <c r="AD52" s="2330">
        <f t="array" ref="AD52">IFERROR(PERCENTILE(IF($AS$11:$AS$40="No",AD11:AD40),0.75),"")</f>
        <v/>
      </c>
      <c r="AE52" s="2330">
        <f t="array" ref="AE52">IFERROR(PERCENTILE(IF($AS$11:$AS$40="No",AE11:AE40),0.75),"")</f>
        <v/>
      </c>
      <c r="AF52" s="2330">
        <f t="array" ref="AF52">IFERROR(PERCENTILE(IF($AS$11:$AS$40="No",AF11:AF40),0.75),"")</f>
        <v/>
      </c>
      <c r="AG52" s="2330">
        <f t="array" ref="AG52">IFERROR(PERCENTILE(IF($AS$11:$AS$40="No",AG11:AG40),0.75),"")</f>
        <v/>
      </c>
      <c r="AH52" s="2330">
        <f t="array" ref="AH52">IFERROR(PERCENTILE(IF($AS$11:$AS$40="No",AH11:AH40),0.75),"")</f>
        <v/>
      </c>
      <c r="AI52" s="2330">
        <f t="array" ref="AI52">IFERROR(PERCENTILE(IF($AS$11:$AS$40="No",AI11:AI40),0.75),"")</f>
        <v/>
      </c>
      <c r="AJ52" s="2330">
        <f t="array" ref="AJ52">IFERROR(PERCENTILE(IF($AS$11:$AS$40="No",AJ11:AJ40),0.75),"")</f>
        <v/>
      </c>
      <c r="AK52" s="2330">
        <f t="array" ref="AK52">IFERROR(PERCENTILE(IF($AS$11:$AS$40="No",AK11:AK40),0.75),"")</f>
        <v/>
      </c>
      <c r="AL52" s="2330">
        <f t="array" ref="AL52">IFERROR(PERCENTILE(IF($AS$11:$AS$40="No",AL11:AL40),0.75),"")</f>
        <v/>
      </c>
      <c r="AM52" s="2330">
        <f t="array" ref="AM52">IFERROR(PERCENTILE(IF($AS$11:$AS$40="No",AM11:AM40),0.75),"")</f>
        <v/>
      </c>
      <c r="AN52" s="2330">
        <f t="array" ref="AN52">IFERROR(PERCENTILE(IF($AS$11:$AS$40="No",AN11:AN40),0.75),"")</f>
        <v/>
      </c>
      <c r="AO52" s="2330">
        <f t="array" ref="AO52">IFERROR(PERCENTILE(IF($AS$11:$AS$40="No",AO11:AO40),0.75),"")</f>
        <v/>
      </c>
      <c r="AP52" s="2330">
        <f t="array" ref="AP52">IFERROR(PERCENTILE(IF($AS$11:$AS$40="No",AP11:AP40),0.75),"")</f>
        <v/>
      </c>
    </row>
    <row r="53">
      <c r="C53" s="1133" t="n"/>
      <c r="E53" s="792" t="inlineStr">
        <is>
          <t>Mean</t>
        </is>
      </c>
      <c r="F53" s="2491">
        <f t="array" ref="F53">IFERROR(AVERAGEIF($AS$11:$AS$40,"No",F11:F40),"")</f>
        <v/>
      </c>
      <c r="G53" s="2491">
        <f t="array" ref="G53">IFERROR(AVERAGEIF($AS$11:$AS$40,"No",G11:G40),"")</f>
        <v/>
      </c>
      <c r="H53" s="2491">
        <f t="array" ref="H53">IFERROR(AVERAGEIF($AS$11:$AS$40,"No",H11:H40),"")</f>
        <v/>
      </c>
      <c r="I53" s="2491">
        <f t="array" ref="I53">IFERROR(AVERAGEIF($AS$11:$AS$40,"No",I11:I40),"")</f>
        <v/>
      </c>
      <c r="J53" s="2491">
        <f t="array" ref="J53">IFERROR(AVERAGEIF($AS$11:$AS$40,"No",J11:J40),"")</f>
        <v/>
      </c>
      <c r="K53" s="2491">
        <f t="array" ref="K53">IFERROR(AVERAGEIF($AS$11:$AS$40,"No",K11:K40),"")</f>
        <v/>
      </c>
      <c r="L53" s="2491">
        <f t="array" ref="L53">IFERROR(AVERAGEIF($AS$11:$AS$40,"No",L11:L40),"")</f>
        <v/>
      </c>
      <c r="M53" s="2491">
        <f t="array" ref="M53">IFERROR(AVERAGEIF($AS$11:$AS$40,"No",M11:M40),"")</f>
        <v/>
      </c>
      <c r="N53" s="2491">
        <f t="array" ref="N53">IFERROR(AVERAGEIF($AS$11:$AS$40,"No",N11:N40),"")</f>
        <v/>
      </c>
      <c r="O53" s="2491">
        <f t="array" ref="O53">IFERROR(AVERAGEIF($AS$11:$AS$40,"No",O11:O40),"")</f>
        <v/>
      </c>
      <c r="P53" s="2491">
        <f t="array" ref="P53">IFERROR(AVERAGEIF($AS$11:$AS$40,"No",P11:P40),"")</f>
        <v/>
      </c>
      <c r="Q53" s="2491">
        <f t="array" ref="Q53">IFERROR(AVERAGEIF($AS$11:$AS$40,"No",Q11:Q40),"")</f>
        <v/>
      </c>
      <c r="R53" s="2330">
        <f t="array" ref="R53">IFERROR(AVERAGEIF($AS$11:$AS$40,"No",R11:R40),"")</f>
        <v/>
      </c>
      <c r="S53" s="2491">
        <f t="array" ref="S53">IFERROR(AVERAGEIF($AS$11:$AS$40,"No",S11:S40),"")</f>
        <v/>
      </c>
      <c r="T53" s="2491">
        <f t="array" ref="T53">IFERROR(AVERAGEIF($AS$11:$AS$40,"No",T11:T40),"")</f>
        <v/>
      </c>
      <c r="U53" s="2491">
        <f t="array" ref="U53">IFERROR(AVERAGEIF($AS$11:$AS$40,"No",U11:U40),"")</f>
        <v/>
      </c>
      <c r="V53" s="2491">
        <f t="array" ref="V53">IFERROR(AVERAGEIF($AS$11:$AS$40,"No",V11:V40),"")</f>
        <v/>
      </c>
      <c r="W53" s="2330">
        <f t="array" ref="W53">IFERROR(AVERAGEIF($AS$11:$AS$40,"No",W11:W40),"")</f>
        <v/>
      </c>
      <c r="X53" s="2330">
        <f t="array" ref="X53">IFERROR(AVERAGEIF($AS$11:$AS$40,"No",X11:X40),"")</f>
        <v/>
      </c>
      <c r="Y53" s="2330">
        <f t="array" ref="Y53">IFERROR(AVERAGEIF($AS$11:$AS$40,"No",Y11:Y40),"")</f>
        <v/>
      </c>
      <c r="Z53" s="2330">
        <f t="array" ref="Z53">IFERROR(AVERAGEIF($AS$11:$AS$40,"No",Z11:Z40),"")</f>
        <v/>
      </c>
      <c r="AA53" s="2330">
        <f t="array" ref="AA53">IFERROR(AVERAGEIF($AS$11:$AS$40,"No",AA11:AA40),"")</f>
        <v/>
      </c>
      <c r="AB53" s="2330">
        <f t="array" ref="AB53">IFERROR(AVERAGEIF($AS$11:$AS$40,"No",AB11:AB40),"")</f>
        <v/>
      </c>
      <c r="AC53" s="2330">
        <f t="array" ref="AC53">IFERROR(AVERAGEIF($AS$11:$AS$40,"No",AC11:AC40),"")</f>
        <v/>
      </c>
      <c r="AD53" s="2330">
        <f t="array" ref="AD53">IFERROR(AVERAGEIF($AS$11:$AS$40,"No",AD11:AD40),"")</f>
        <v/>
      </c>
      <c r="AE53" s="2330">
        <f t="array" ref="AE53">IFERROR(AVERAGEIF($AS$11:$AS$40,"No",AE11:AE40),"")</f>
        <v/>
      </c>
      <c r="AF53" s="2330">
        <f t="array" ref="AF53">IFERROR(AVERAGEIF($AS$11:$AS$40,"No",AF11:AF40),"")</f>
        <v/>
      </c>
      <c r="AG53" s="2330">
        <f t="array" ref="AG53">IFERROR(AVERAGEIF($AS$11:$AS$40,"No",AG11:AG40),"")</f>
        <v/>
      </c>
      <c r="AH53" s="2330">
        <f t="array" ref="AH53">IFERROR(AVERAGEIF($AS$11:$AS$40,"No",AH11:AH40),"")</f>
        <v/>
      </c>
      <c r="AI53" s="2330">
        <f t="array" ref="AI53">IFERROR(AVERAGEIF($AS$11:$AS$40,"No",AI11:AI40),"")</f>
        <v/>
      </c>
      <c r="AJ53" s="2330">
        <f t="array" ref="AJ53">IFERROR(AVERAGEIF($AS$11:$AS$40,"No",AJ11:AJ40),"")</f>
        <v/>
      </c>
      <c r="AK53" s="2330">
        <f t="array" ref="AK53">IFERROR(AVERAGEIF($AS$11:$AS$40,"No",AK11:AK40),"")</f>
        <v/>
      </c>
      <c r="AL53" s="2330">
        <f t="array" ref="AL53">IFERROR(AVERAGEIF($AS$11:$AS$40,"No",AL11:AL40),"")</f>
        <v/>
      </c>
      <c r="AM53" s="2330">
        <f t="array" ref="AM53">IFERROR(AVERAGEIF($AS$11:$AS$40,"No",AM11:AM40),"")</f>
        <v/>
      </c>
      <c r="AN53" s="2330">
        <f t="array" ref="AN53">IFERROR(AVERAGEIF($AS$11:$AS$40,"No",AN11:AN40),"")</f>
        <v/>
      </c>
      <c r="AO53" s="2330">
        <f t="array" ref="AO53">IFERROR(AVERAGEIF($AS$11:$AS$40,"No",AO11:AO40),"")</f>
        <v/>
      </c>
      <c r="AP53" s="2330">
        <f t="array" ref="AP53">IFERROR(AVERAGEIF($AS$11:$AS$40,"No",AP11:AP40),"")</f>
        <v/>
      </c>
    </row>
    <row r="54">
      <c r="C54" s="1133" t="n"/>
      <c r="E54" s="798" t="inlineStr">
        <is>
          <t>Median</t>
        </is>
      </c>
      <c r="F54" s="2492">
        <f t="array" ref="F54">IFERROR(MEDIAN(IF($AS$11:$AS$40="No",F11:F40)),"")</f>
        <v/>
      </c>
      <c r="G54" s="2492">
        <f t="array" ref="G54">IFERROR(MEDIAN(IF($AS$11:$AS$40="No",G11:G40)),"")</f>
        <v/>
      </c>
      <c r="H54" s="2492">
        <f t="array" ref="H54">IFERROR(MEDIAN(IF($AS$11:$AS$40="No",H11:H40)),"")</f>
        <v/>
      </c>
      <c r="I54" s="2492">
        <f t="array" ref="I54">IFERROR(MEDIAN(IF($AS$11:$AS$40="No",I11:I40)),"")</f>
        <v/>
      </c>
      <c r="J54" s="2492">
        <f t="array" ref="J54">IFERROR(MEDIAN(IF($AS$11:$AS$40="No",J11:J40)),"")</f>
        <v/>
      </c>
      <c r="K54" s="2492">
        <f t="array" ref="K54">IFERROR(MEDIAN(IF($AS$11:$AS$40="No",K11:K40)),"")</f>
        <v/>
      </c>
      <c r="L54" s="2492">
        <f t="array" ref="L54">IFERROR(MEDIAN(IF($AS$11:$AS$40="No",L11:L40)),"")</f>
        <v/>
      </c>
      <c r="M54" s="2492">
        <f t="array" ref="M54">IFERROR(MEDIAN(IF($AS$11:$AS$40="No",M11:M40)),"")</f>
        <v/>
      </c>
      <c r="N54" s="2492">
        <f t="array" ref="N54">IFERROR(MEDIAN(IF($AS$11:$AS$40="No",N11:N40)),"")</f>
        <v/>
      </c>
      <c r="O54" s="2492">
        <f t="array" ref="O54">IFERROR(MEDIAN(IF($AS$11:$AS$40="No",O11:O40)),"")</f>
        <v/>
      </c>
      <c r="P54" s="2492">
        <f t="array" ref="P54">IFERROR(MEDIAN(IF($AS$11:$AS$40="No",P11:P40)),"")</f>
        <v/>
      </c>
      <c r="Q54" s="2492">
        <f t="array" ref="Q54">IFERROR(MEDIAN(IF($AS$11:$AS$40="No",Q11:Q40)),"")</f>
        <v/>
      </c>
      <c r="R54" s="2415">
        <f t="array" ref="R54">IFERROR(MEDIAN(IF($AS$11:$AS$40="No",R11:R40)),"")</f>
        <v/>
      </c>
      <c r="S54" s="2492">
        <f t="array" ref="S54">IFERROR(MEDIAN(IF($AS$11:$AS$40="No",S11:S40)),"")</f>
        <v/>
      </c>
      <c r="T54" s="2492">
        <f t="array" ref="T54">IFERROR(MEDIAN(IF($AS$11:$AS$40="No",T11:T40)),"")</f>
        <v/>
      </c>
      <c r="U54" s="2492">
        <f t="array" ref="U54">IFERROR(MEDIAN(IF($AS$11:$AS$40="No",U11:U40)),"")</f>
        <v/>
      </c>
      <c r="V54" s="2492">
        <f t="array" ref="V54">IFERROR(MEDIAN(IF($AS$11:$AS$40="No",V11:V40)),"")</f>
        <v/>
      </c>
      <c r="W54" s="2415">
        <f t="array" ref="W54">IFERROR(MEDIAN(IF($AS$11:$AS$40="No",W11:W40)),"")</f>
        <v/>
      </c>
      <c r="X54" s="2415">
        <f t="array" ref="X54">IFERROR(MEDIAN(IF($AS$11:$AS$40="No",X11:X40)),"")</f>
        <v/>
      </c>
      <c r="Y54" s="2415">
        <f t="array" ref="Y54">IFERROR(MEDIAN(IF($AS$11:$AS$40="No",Y11:Y40)),"")</f>
        <v/>
      </c>
      <c r="Z54" s="2415">
        <f t="array" ref="Z54">IFERROR(MEDIAN(IF($AS$11:$AS$40="No",Z11:Z40)),"")</f>
        <v/>
      </c>
      <c r="AA54" s="2415">
        <f t="array" ref="AA54">IFERROR(MEDIAN(IF($AS$11:$AS$40="No",AA11:AA40)),"")</f>
        <v/>
      </c>
      <c r="AB54" s="2415">
        <f t="array" ref="AB54">IFERROR(MEDIAN(IF($AS$11:$AS$40="No",AB11:AB40)),"")</f>
        <v/>
      </c>
      <c r="AC54" s="2415">
        <f t="array" ref="AC54">IFERROR(MEDIAN(IF($AS$11:$AS$40="No",AC11:AC40)),"")</f>
        <v/>
      </c>
      <c r="AD54" s="2415">
        <f t="array" ref="AD54">IFERROR(MEDIAN(IF($AS$11:$AS$40="No",AD11:AD40)),"")</f>
        <v/>
      </c>
      <c r="AE54" s="2415">
        <f t="array" ref="AE54">IFERROR(MEDIAN(IF($AS$11:$AS$40="No",AE11:AE40)),"")</f>
        <v/>
      </c>
      <c r="AF54" s="2415">
        <f t="array" ref="AF54">IFERROR(MEDIAN(IF($AS$11:$AS$40="No",AF11:AF40)),"")</f>
        <v/>
      </c>
      <c r="AG54" s="2415">
        <f t="array" ref="AG54">IFERROR(MEDIAN(IF($AS$11:$AS$40="No",AG11:AG40)),"")</f>
        <v/>
      </c>
      <c r="AH54" s="2415">
        <f t="array" ref="AH54">IFERROR(MEDIAN(IF($AS$11:$AS$40="No",AH11:AH40)),"")</f>
        <v/>
      </c>
      <c r="AI54" s="2415">
        <f t="array" ref="AI54">IFERROR(MEDIAN(IF($AS$11:$AS$40="No",AI11:AI40)),"")</f>
        <v/>
      </c>
      <c r="AJ54" s="2415">
        <f t="array" ref="AJ54">IFERROR(MEDIAN(IF($AS$11:$AS$40="No",AJ11:AJ40)),"")</f>
        <v/>
      </c>
      <c r="AK54" s="2415">
        <f t="array" ref="AK54">IFERROR(MEDIAN(IF($AS$11:$AS$40="No",AK11:AK40)),"")</f>
        <v/>
      </c>
      <c r="AL54" s="2415">
        <f t="array" ref="AL54">IFERROR(MEDIAN(IF($AS$11:$AS$40="No",AL11:AL40)),"")</f>
        <v/>
      </c>
      <c r="AM54" s="2415">
        <f t="array" ref="AM54">IFERROR(MEDIAN(IF($AS$11:$AS$40="No",AM11:AM40)),"")</f>
        <v/>
      </c>
      <c r="AN54" s="2415">
        <f t="array" ref="AN54">IFERROR(MEDIAN(IF($AS$11:$AS$40="No",AN11:AN40)),"")</f>
        <v/>
      </c>
      <c r="AO54" s="2415">
        <f t="array" ref="AO54">IFERROR(MEDIAN(IF($AS$11:$AS$40="No",AO11:AO40)),"")</f>
        <v/>
      </c>
      <c r="AP54" s="2415">
        <f t="array" ref="AP54">IFERROR(MEDIAN(IF($AS$11:$AS$40="No",AP11:AP40)),"")</f>
        <v/>
      </c>
    </row>
    <row r="55">
      <c r="C55" s="1133" t="n"/>
      <c r="E55" s="792" t="inlineStr">
        <is>
          <t>25th Percentile</t>
        </is>
      </c>
      <c r="F55" s="2491">
        <f t="array" ref="F55">IFERROR(PERCENTILE(IF($AS$11:$AS$40="No",F11:F40),0.25),"")</f>
        <v/>
      </c>
      <c r="G55" s="2491">
        <f t="array" ref="G55">IFERROR(PERCENTILE(IF($AS$11:$AS$40="No",G11:G40),0.25),"")</f>
        <v/>
      </c>
      <c r="H55" s="2491">
        <f t="array" ref="H55">IFERROR(PERCENTILE(IF($AS$11:$AS$40="No",H11:H40),0.25),"")</f>
        <v/>
      </c>
      <c r="I55" s="2491">
        <f t="array" ref="I55">IFERROR(PERCENTILE(IF($AS$11:$AS$40="No",I11:I40),0.25),"")</f>
        <v/>
      </c>
      <c r="J55" s="2491">
        <f t="array" ref="J55">IFERROR(PERCENTILE(IF($AS$11:$AS$40="No",J11:J40),0.25),"")</f>
        <v/>
      </c>
      <c r="K55" s="2491">
        <f t="array" ref="K55">IFERROR(PERCENTILE(IF($AS$11:$AS$40="No",K11:K40),0.25),"")</f>
        <v/>
      </c>
      <c r="L55" s="2491">
        <f t="array" ref="L55">IFERROR(PERCENTILE(IF($AS$11:$AS$40="No",L11:L40),0.25),"")</f>
        <v/>
      </c>
      <c r="M55" s="2491">
        <f t="array" ref="M55">IFERROR(PERCENTILE(IF($AS$11:$AS$40="No",M11:M40),0.25),"")</f>
        <v/>
      </c>
      <c r="N55" s="2491">
        <f t="array" ref="N55">IFERROR(PERCENTILE(IF($AS$11:$AS$40="No",N11:N40),0.25),"")</f>
        <v/>
      </c>
      <c r="O55" s="2491">
        <f t="array" ref="O55">IFERROR(PERCENTILE(IF($AS$11:$AS$40="No",O11:O40),0.25),"")</f>
        <v/>
      </c>
      <c r="P55" s="2491">
        <f t="array" ref="P55">IFERROR(PERCENTILE(IF($AS$11:$AS$40="No",P11:P40),0.25),"")</f>
        <v/>
      </c>
      <c r="Q55" s="2491">
        <f t="array" ref="Q55">IFERROR(PERCENTILE(IF($AS$11:$AS$40="No",Q11:Q40),0.25),"")</f>
        <v/>
      </c>
      <c r="R55" s="2330">
        <f t="array" ref="R55">IFERROR(PERCENTILE(IF($AS$11:$AS$40="No",R11:R40),0.25),"")</f>
        <v/>
      </c>
      <c r="S55" s="2491">
        <f t="array" ref="S55">IFERROR(PERCENTILE(IF($AS$11:$AS$40="No",S11:S40),0.25),"")</f>
        <v/>
      </c>
      <c r="T55" s="2491">
        <f t="array" ref="T55">IFERROR(PERCENTILE(IF($AS$11:$AS$40="No",T11:T40),0.25),"")</f>
        <v/>
      </c>
      <c r="U55" s="2491">
        <f t="array" ref="U55">IFERROR(PERCENTILE(IF($AS$11:$AS$40="No",U11:U40),0.25),"")</f>
        <v/>
      </c>
      <c r="V55" s="2491">
        <f t="array" ref="V55">IFERROR(PERCENTILE(IF($AS$11:$AS$40="No",V11:V40),0.25),"")</f>
        <v/>
      </c>
      <c r="W55" s="2330">
        <f t="array" ref="W55">IFERROR(PERCENTILE(IF($AS$11:$AS$40="No",W11:W40),0.25),"")</f>
        <v/>
      </c>
      <c r="X55" s="2330">
        <f t="array" ref="X55">IFERROR(PERCENTILE(IF($AS$11:$AS$40="No",X11:X40),0.25),"")</f>
        <v/>
      </c>
      <c r="Y55" s="2330">
        <f t="array" ref="Y55">IFERROR(PERCENTILE(IF($AS$11:$AS$40="No",Y11:Y40),0.25),"")</f>
        <v/>
      </c>
      <c r="Z55" s="2330">
        <f t="array" ref="Z55">IFERROR(PERCENTILE(IF($AS$11:$AS$40="No",Z11:Z40),0.25),"")</f>
        <v/>
      </c>
      <c r="AA55" s="2330">
        <f t="array" ref="AA55">IFERROR(PERCENTILE(IF($AS$11:$AS$40="No",AA11:AA40),0.25),"")</f>
        <v/>
      </c>
      <c r="AB55" s="2330">
        <f t="array" ref="AB55">IFERROR(PERCENTILE(IF($AS$11:$AS$40="No",AB11:AB40),0.25),"")</f>
        <v/>
      </c>
      <c r="AC55" s="2330">
        <f t="array" ref="AC55">IFERROR(PERCENTILE(IF($AS$11:$AS$40="No",AC11:AC40),0.25),"")</f>
        <v/>
      </c>
      <c r="AD55" s="2330">
        <f t="array" ref="AD55">IFERROR(PERCENTILE(IF($AS$11:$AS$40="No",AD11:AD40),0.25),"")</f>
        <v/>
      </c>
      <c r="AE55" s="2330">
        <f t="array" ref="AE55">IFERROR(PERCENTILE(IF($AS$11:$AS$40="No",AE11:AE40),0.25),"")</f>
        <v/>
      </c>
      <c r="AF55" s="2330">
        <f t="array" ref="AF55">IFERROR(PERCENTILE(IF($AS$11:$AS$40="No",AF11:AF40),0.25),"")</f>
        <v/>
      </c>
      <c r="AG55" s="2330">
        <f t="array" ref="AG55">IFERROR(PERCENTILE(IF($AS$11:$AS$40="No",AG11:AG40),0.25),"")</f>
        <v/>
      </c>
      <c r="AH55" s="2330">
        <f t="array" ref="AH55">IFERROR(PERCENTILE(IF($AS$11:$AS$40="No",AH11:AH40),0.25),"")</f>
        <v/>
      </c>
      <c r="AI55" s="2330">
        <f t="array" ref="AI55">IFERROR(PERCENTILE(IF($AS$11:$AS$40="No",AI11:AI40),0.25),"")</f>
        <v/>
      </c>
      <c r="AJ55" s="2330">
        <f t="array" ref="AJ55">IFERROR(PERCENTILE(IF($AS$11:$AS$40="No",AJ11:AJ40),0.25),"")</f>
        <v/>
      </c>
      <c r="AK55" s="2330">
        <f t="array" ref="AK55">IFERROR(PERCENTILE(IF($AS$11:$AS$40="No",AK11:AK40),0.25),"")</f>
        <v/>
      </c>
      <c r="AL55" s="2330">
        <f t="array" ref="AL55">IFERROR(PERCENTILE(IF($AS$11:$AS$40="No",AL11:AL40),0.25),"")</f>
        <v/>
      </c>
      <c r="AM55" s="2330">
        <f t="array" ref="AM55">IFERROR(PERCENTILE(IF($AS$11:$AS$40="No",AM11:AM40),0.25),"")</f>
        <v/>
      </c>
      <c r="AN55" s="2330">
        <f t="array" ref="AN55">IFERROR(PERCENTILE(IF($AS$11:$AS$40="No",AN11:AN40),0.25),"")</f>
        <v/>
      </c>
      <c r="AO55" s="2330">
        <f t="array" ref="AO55">IFERROR(PERCENTILE(IF($AS$11:$AS$40="No",AO11:AO40),0.25),"")</f>
        <v/>
      </c>
      <c r="AP55" s="2330">
        <f t="array" ref="AP55">IFERROR(PERCENTILE(IF($AS$11:$AS$40="No",AP11:AP40),0.25),"")</f>
        <v/>
      </c>
    </row>
    <row r="56">
      <c r="C56" s="1133" t="n"/>
      <c r="E56" s="803" t="inlineStr">
        <is>
          <t>Low</t>
        </is>
      </c>
      <c r="F56" s="2493">
        <f t="array" ref="F56">IFERROR(MIN(IF($AS$11:$AS$40="No",F11:F40)),"")</f>
        <v/>
      </c>
      <c r="G56" s="2493">
        <f t="array" ref="G56">IFERROR(MIN(IF($AS$11:$AS$40="No",G11:G40)),"")</f>
        <v/>
      </c>
      <c r="H56" s="2493">
        <f t="array" ref="H56">IFERROR(MIN(IF($AS$11:$AS$40="No",H11:H40)),"")</f>
        <v/>
      </c>
      <c r="I56" s="2493">
        <f t="array" ref="I56">IFERROR(MIN(IF($AS$11:$AS$40="No",I11:I40)),"")</f>
        <v/>
      </c>
      <c r="J56" s="2493">
        <f t="array" ref="J56">IFERROR(MIN(IF($AS$11:$AS$40="No",J11:J40)),"")</f>
        <v/>
      </c>
      <c r="K56" s="2493">
        <f t="array" ref="K56">IFERROR(MIN(IF($AS$11:$AS$40="No",K11:K40)),"")</f>
        <v/>
      </c>
      <c r="L56" s="2493">
        <f t="array" ref="L56">IFERROR(MIN(IF($AS$11:$AS$40="No",L11:L40)),"")</f>
        <v/>
      </c>
      <c r="M56" s="2493">
        <f t="array" ref="M56">IFERROR(MIN(IF($AS$11:$AS$40="No",M11:M40)),"")</f>
        <v/>
      </c>
      <c r="N56" s="2493">
        <f t="array" ref="N56">IFERROR(MIN(IF($AS$11:$AS$40="No",N11:N40)),"")</f>
        <v/>
      </c>
      <c r="O56" s="2493">
        <f t="array" ref="O56">IFERROR(MIN(IF($AS$11:$AS$40="No",O11:O40)),"")</f>
        <v/>
      </c>
      <c r="P56" s="2493">
        <f t="array" ref="P56">IFERROR(MIN(IF($AS$11:$AS$40="No",P11:P40)),"")</f>
        <v/>
      </c>
      <c r="Q56" s="2493">
        <f t="array" ref="Q56">IFERROR(MIN(IF($AS$11:$AS$40="No",Q11:Q40)),"")</f>
        <v/>
      </c>
      <c r="R56" s="2423">
        <f t="array" ref="R56">IFERROR(MIN(IF($AS$11:$AS$40="No",R11:R40)),"")</f>
        <v/>
      </c>
      <c r="S56" s="2493">
        <f t="array" ref="S56">IFERROR(MIN(IF($AS$11:$AS$40="No",S11:S40)),"")</f>
        <v/>
      </c>
      <c r="T56" s="2493">
        <f t="array" ref="T56">IFERROR(MIN(IF($AS$11:$AS$40="No",T11:T40)),"")</f>
        <v/>
      </c>
      <c r="U56" s="2493">
        <f t="array" ref="U56">IFERROR(MIN(IF($AS$11:$AS$40="No",U11:U40)),"")</f>
        <v/>
      </c>
      <c r="V56" s="2493">
        <f t="array" ref="V56">IFERROR(MIN(IF($AS$11:$AS$40="No",V11:V40)),"")</f>
        <v/>
      </c>
      <c r="W56" s="2423">
        <f t="array" ref="W56">IFERROR(MIN(IF($AS$11:$AS$40="No",W11:W40)),"")</f>
        <v/>
      </c>
      <c r="X56" s="2423">
        <f t="array" ref="X56">IFERROR(MIN(IF($AS$11:$AS$40="No",X11:X40)),"")</f>
        <v/>
      </c>
      <c r="Y56" s="2423">
        <f t="array" ref="Y56">IFERROR(MIN(IF($AS$11:$AS$40="No",Y11:Y40)),"")</f>
        <v/>
      </c>
      <c r="Z56" s="2423">
        <f t="array" ref="Z56">IFERROR(MIN(IF($AS$11:$AS$40="No",Z11:Z40)),"")</f>
        <v/>
      </c>
      <c r="AA56" s="2423">
        <f t="array" ref="AA56">IFERROR(MIN(IF($AS$11:$AS$40="No",AA11:AA40)),"")</f>
        <v/>
      </c>
      <c r="AB56" s="2423">
        <f t="array" ref="AB56">IFERROR(MIN(IF($AS$11:$AS$40="No",AB11:AB40)),"")</f>
        <v/>
      </c>
      <c r="AC56" s="2423">
        <f t="array" ref="AC56">IFERROR(MIN(IF($AS$11:$AS$40="No",AC11:AC40)),"")</f>
        <v/>
      </c>
      <c r="AD56" s="2423">
        <f t="array" ref="AD56">IFERROR(MIN(IF($AS$11:$AS$40="No",AD11:AD40)),"")</f>
        <v/>
      </c>
      <c r="AE56" s="2423">
        <f t="array" ref="AE56">IFERROR(MIN(IF($AS$11:$AS$40="No",AE11:AE40)),"")</f>
        <v/>
      </c>
      <c r="AF56" s="2423">
        <f t="array" ref="AF56">IFERROR(MIN(IF($AS$11:$AS$40="No",AF11:AF40)),"")</f>
        <v/>
      </c>
      <c r="AG56" s="2423">
        <f t="array" ref="AG56">IFERROR(MIN(IF($AS$11:$AS$40="No",AG11:AG40)),"")</f>
        <v/>
      </c>
      <c r="AH56" s="2423">
        <f t="array" ref="AH56">IFERROR(MIN(IF($AS$11:$AS$40="No",AH11:AH40)),"")</f>
        <v/>
      </c>
      <c r="AI56" s="2423">
        <f t="array" ref="AI56">IFERROR(MIN(IF($AS$11:$AS$40="No",AI11:AI40)),"")</f>
        <v/>
      </c>
      <c r="AJ56" s="2423">
        <f t="array" ref="AJ56">IFERROR(MIN(IF($AS$11:$AS$40="No",AJ11:AJ40)),"")</f>
        <v/>
      </c>
      <c r="AK56" s="2423">
        <f t="array" ref="AK56">IFERROR(MIN(IF($AS$11:$AS$40="No",AK11:AK40)),"")</f>
        <v/>
      </c>
      <c r="AL56" s="2423">
        <f t="array" ref="AL56">IFERROR(MIN(IF($AS$11:$AS$40="No",AL11:AL40)),"")</f>
        <v/>
      </c>
      <c r="AM56" s="2423">
        <f t="array" ref="AM56">IFERROR(MIN(IF($AS$11:$AS$40="No",AM11:AM40)),"")</f>
        <v/>
      </c>
      <c r="AN56" s="2423">
        <f t="array" ref="AN56">IFERROR(MIN(IF($AS$11:$AS$40="No",AN11:AN40)),"")</f>
        <v/>
      </c>
      <c r="AO56" s="2423">
        <f t="array" ref="AO56">IFERROR(MIN(IF($AS$11:$AS$40="No",AO11:AO40)),"")</f>
        <v/>
      </c>
      <c r="AP56" s="2423">
        <f t="array" ref="AP56">IFERROR(MIN(IF($AS$11:$AS$40="No",AP11:AP40)),"")</f>
        <v/>
      </c>
    </row>
    <row r="57">
      <c r="C57" s="1133" t="n"/>
    </row>
    <row r="58">
      <c r="C58" s="1133" t="n"/>
    </row>
    <row r="59">
      <c r="C59" s="1133" t="n"/>
    </row>
    <row r="60">
      <c r="C60" s="1133" t="n"/>
    </row>
    <row r="61">
      <c r="C61" s="1133" t="n"/>
    </row>
    <row r="62">
      <c r="C62" s="1133" t="n"/>
    </row>
    <row r="63">
      <c r="C63" s="1133" t="n"/>
    </row>
    <row r="64">
      <c r="C64" s="1133" t="n"/>
    </row>
    <row r="65">
      <c r="C65" s="1133" t="n"/>
    </row>
    <row r="66">
      <c r="C66" s="1133" t="n"/>
    </row>
  </sheetData>
  <mergeCells count="8">
    <mergeCell ref="AN7:AP7"/>
    <mergeCell ref="O7:V7"/>
    <mergeCell ref="AK7:AM7"/>
    <mergeCell ref="AH7:AJ7"/>
    <mergeCell ref="AE7:AG7"/>
    <mergeCell ref="W7:AD7"/>
    <mergeCell ref="H7:N7"/>
    <mergeCell ref="F7:G7"/>
  </mergeCells>
  <dataValidations count="1">
    <dataValidation sqref="AS11:AS40" showDropDown="0" showInputMessage="1" showErrorMessage="1" allowBlank="1" type="list">
      <formula1>"Yes, No"</formula1>
    </dataValidation>
  </dataValidations>
  <printOptions horizontalCentered="1"/>
  <pageMargins left="0.25" right="0.25" top="0.75" bottom="0.25" header="0.25" footer="0.25"/>
  <pageSetup orientation="landscape" scale="30"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6.xml><?xml version="1.0" encoding="utf-8"?>
<worksheet xmlns="http://schemas.openxmlformats.org/spreadsheetml/2006/main">
  <sheetPr>
    <tabColor theme="1"/>
    <outlinePr summaryBelow="1" summaryRight="1"/>
    <pageSetUpPr/>
  </sheetPr>
  <dimension ref="B2:H7"/>
  <sheetViews>
    <sheetView showGridLines="0" workbookViewId="0">
      <selection activeCell="B5" sqref="B4:H5"/>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101" t="inlineStr">
        <is>
          <t>Section Divider - PBC</t>
        </is>
      </c>
    </row>
    <row r="5" ht="5" customHeight="1" thickBot="1">
      <c r="B5" s="1042" t="n"/>
      <c r="C5" s="1043" t="n"/>
      <c r="D5" s="1043" t="n"/>
      <c r="E5" s="1043" t="n"/>
      <c r="F5" s="1043" t="n"/>
      <c r="G5" s="1043" t="n"/>
      <c r="H5" s="1043" t="n"/>
    </row>
    <row r="6" ht="11.5" customHeight="1"/>
    <row r="7" ht="11.5" customHeight="1">
      <c r="B7" s="62" t="inlineStr">
        <is>
          <t>Provided by client (PBC)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37.xml><?xml version="1.0" encoding="utf-8"?>
<worksheet xmlns="http://schemas.openxmlformats.org/spreadsheetml/2006/main">
  <sheetPr>
    <tabColor theme="1" tint="0.499984740745262"/>
    <outlinePr summaryBelow="1" summaryRight="1"/>
    <pageSetUpPr/>
  </sheetPr>
  <dimension ref="A1:J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baseColWidth="8" defaultColWidth="0" defaultRowHeight="11.5" outlineLevelRow="1"/>
  <cols>
    <col width="2.61328125" customWidth="1" style="63" min="1" max="1"/>
    <col width="8.69140625" customWidth="1" style="63" min="2" max="4"/>
    <col hidden="1" style="63" min="5" max="5"/>
    <col width="10.15234375" bestFit="1" customWidth="1" style="63" min="6" max="6"/>
    <col width="6.15234375" bestFit="1" customWidth="1" style="63" min="7" max="10"/>
    <col width="8.69140625" customWidth="1" style="63" min="11" max="11"/>
    <col hidden="1" style="63" min="12" max="18"/>
    <col hidden="1" width="8.69140625" customWidth="1" style="63" min="19" max="16384"/>
  </cols>
  <sheetData>
    <row r="1">
      <c r="H1" s="1852" t="inlineStr">
        <is>
          <t>Historical Financial Information</t>
        </is>
      </c>
    </row>
    <row r="2">
      <c r="A2" s="1044" t="n"/>
      <c r="B2" s="1045" t="inlineStr">
        <is>
          <t>All amounts in USD '000s</t>
        </is>
      </c>
      <c r="E2" s="1046" t="n"/>
      <c r="F2" s="69" t="inlineStr">
        <is>
          <t>Financial Period</t>
        </is>
      </c>
      <c r="G2" s="69">
        <f>IS!H7</f>
        <v/>
      </c>
      <c r="H2" s="69">
        <f>IS!I7</f>
        <v/>
      </c>
      <c r="I2" s="69">
        <f>IS!J7</f>
        <v/>
      </c>
      <c r="J2" s="69">
        <f>IS!K7</f>
        <v/>
      </c>
    </row>
    <row r="3">
      <c r="A3" s="1047" t="n"/>
      <c r="B3" s="1047" t="n"/>
      <c r="E3" s="1046" t="n"/>
      <c r="F3" s="68" t="n"/>
      <c r="G3" s="69">
        <f>IS!H8</f>
        <v/>
      </c>
      <c r="H3" s="69">
        <f>IS!I8</f>
        <v/>
      </c>
      <c r="I3" s="69">
        <f>IS!J8</f>
        <v/>
      </c>
      <c r="J3" s="69">
        <f>IS!K8</f>
        <v/>
      </c>
    </row>
    <row r="4">
      <c r="A4" s="1048" t="inlineStr">
        <is>
          <t>Historical Income Statement</t>
        </is>
      </c>
      <c r="B4" s="93" t="n"/>
      <c r="C4" s="1049" t="n"/>
      <c r="D4" s="1049" t="n"/>
      <c r="E4" s="1049" t="n"/>
      <c r="F4" s="1049" t="n"/>
      <c r="G4" s="94" t="n"/>
      <c r="H4" s="94" t="n"/>
      <c r="I4" s="94" t="n"/>
      <c r="J4" s="94" t="n"/>
    </row>
    <row r="5">
      <c r="B5" s="432" t="n"/>
      <c r="C5" s="259" t="n"/>
      <c r="D5" s="259" t="n"/>
      <c r="E5" s="259" t="n"/>
      <c r="F5" s="259" t="n"/>
      <c r="G5" s="259" t="n"/>
      <c r="H5" s="259" t="n"/>
      <c r="I5" s="259" t="n"/>
      <c r="J5" s="259" t="n"/>
    </row>
    <row r="6" hidden="1" outlineLevel="1">
      <c r="B6" s="432" t="inlineStr">
        <is>
          <t>Revenue:</t>
        </is>
      </c>
      <c r="C6" s="259" t="n"/>
      <c r="D6" s="259" t="n"/>
      <c r="E6" s="259" t="n"/>
      <c r="F6" s="259" t="n"/>
      <c r="G6" s="259" t="n"/>
      <c r="H6" s="259" t="n"/>
      <c r="I6" s="259" t="n"/>
      <c r="J6" s="259" t="n"/>
    </row>
    <row r="7" hidden="1" outlineLevel="1" ht="10.5" customHeight="1">
      <c r="B7" s="259" t="n"/>
      <c r="C7" s="259" t="inlineStr">
        <is>
          <t>Existing Stream 1</t>
        </is>
      </c>
      <c r="D7" s="259" t="n"/>
      <c r="E7" s="259" t="n"/>
      <c r="F7" s="259" t="n"/>
      <c r="G7" s="1923" t="n">
        <v>90000</v>
      </c>
      <c r="H7" s="1923" t="n">
        <v>90000</v>
      </c>
      <c r="I7" s="1923" t="n">
        <v>90000</v>
      </c>
      <c r="J7" s="1923" t="n">
        <v>90000</v>
      </c>
    </row>
    <row r="8" hidden="1" outlineLevel="1" ht="10.5" customHeight="1">
      <c r="B8" s="259" t="n"/>
      <c r="C8" s="259" t="inlineStr">
        <is>
          <t>Existing Stream 2</t>
        </is>
      </c>
      <c r="D8" s="259" t="n"/>
      <c r="E8" s="259" t="n"/>
      <c r="F8" s="259" t="n"/>
      <c r="G8" s="1923" t="n">
        <v>40000</v>
      </c>
      <c r="H8" s="1923" t="n">
        <v>40000</v>
      </c>
      <c r="I8" s="1923" t="n">
        <v>40000</v>
      </c>
      <c r="J8" s="1923" t="n">
        <v>40000</v>
      </c>
    </row>
    <row r="9" hidden="1" outlineLevel="1" ht="10.5" customHeight="1">
      <c r="B9" s="259" t="n"/>
      <c r="C9" s="259" t="inlineStr">
        <is>
          <t>Existing Stream 3</t>
        </is>
      </c>
      <c r="D9" s="259" t="n"/>
      <c r="E9" s="259" t="n"/>
      <c r="F9" s="259" t="n"/>
      <c r="G9" s="1923" t="n">
        <v>10000</v>
      </c>
      <c r="H9" s="1923" t="n">
        <v>10000</v>
      </c>
      <c r="I9" s="1923" t="n">
        <v>10000</v>
      </c>
      <c r="J9" s="1923" t="n">
        <v>10000</v>
      </c>
    </row>
    <row r="10" hidden="1" outlineLevel="1" ht="10.5" customHeight="1">
      <c r="B10" s="259" t="n"/>
      <c r="C10" s="259" t="inlineStr">
        <is>
          <t>Existing Stream 4</t>
        </is>
      </c>
      <c r="D10" s="259" t="n"/>
      <c r="E10" s="259" t="n"/>
      <c r="F10" s="259" t="n"/>
      <c r="G10" s="1923" t="n">
        <v>22500</v>
      </c>
      <c r="H10" s="1923" t="n">
        <v>22500</v>
      </c>
      <c r="I10" s="1923" t="n">
        <v>22500</v>
      </c>
      <c r="J10" s="1923" t="n">
        <v>22500</v>
      </c>
    </row>
    <row r="11" hidden="1" outlineLevel="1" ht="10.5" customHeight="1">
      <c r="B11" s="259" t="n"/>
      <c r="C11" s="259" t="inlineStr">
        <is>
          <t>Pipeline Stream 1</t>
        </is>
      </c>
      <c r="D11" s="259" t="n"/>
      <c r="E11" s="259" t="n"/>
      <c r="F11" s="259" t="n"/>
      <c r="G11" s="1923" t="n">
        <v>0</v>
      </c>
      <c r="H11" s="1923" t="n">
        <v>0</v>
      </c>
      <c r="I11" s="1923" t="n">
        <v>0</v>
      </c>
      <c r="J11" s="1923" t="n">
        <v>0</v>
      </c>
    </row>
    <row r="12" hidden="1" outlineLevel="1" ht="10.5" customHeight="1">
      <c r="B12" s="259" t="n"/>
      <c r="C12" s="259" t="inlineStr">
        <is>
          <t>Pipeline Stream 2</t>
        </is>
      </c>
      <c r="D12" s="259" t="n"/>
      <c r="E12" s="259" t="n"/>
      <c r="F12" s="259" t="n"/>
      <c r="G12" s="1923" t="n">
        <v>0</v>
      </c>
      <c r="H12" s="1923" t="n">
        <v>0</v>
      </c>
      <c r="I12" s="1923" t="n">
        <v>0</v>
      </c>
      <c r="J12" s="1923" t="n">
        <v>0</v>
      </c>
    </row>
    <row r="13" hidden="1" outlineLevel="1" ht="10.5" customHeight="1">
      <c r="B13" s="259" t="n"/>
      <c r="C13" s="259" t="inlineStr">
        <is>
          <t>Pipeline Stream 3</t>
        </is>
      </c>
      <c r="D13" s="259" t="n"/>
      <c r="E13" s="259" t="n"/>
      <c r="F13" s="259" t="n"/>
      <c r="G13" s="1923" t="n">
        <v>0</v>
      </c>
      <c r="H13" s="1923" t="n">
        <v>0</v>
      </c>
      <c r="I13" s="1923" t="n">
        <v>0</v>
      </c>
      <c r="J13" s="1923" t="n">
        <v>0</v>
      </c>
    </row>
    <row r="14" hidden="1" outlineLevel="1" ht="10.5" customHeight="1">
      <c r="B14" s="259" t="n"/>
      <c r="C14" s="259" t="inlineStr">
        <is>
          <t>Pipeline Stream 4</t>
        </is>
      </c>
      <c r="D14" s="259" t="n"/>
      <c r="E14" s="259" t="n"/>
      <c r="F14" s="259" t="n"/>
      <c r="G14" s="1923" t="n">
        <v>0</v>
      </c>
      <c r="H14" s="1923" t="n">
        <v>0</v>
      </c>
      <c r="I14" s="1923" t="n">
        <v>0</v>
      </c>
      <c r="J14" s="1923" t="n">
        <v>0</v>
      </c>
    </row>
    <row r="15" hidden="1" outlineLevel="1" ht="10.5" customHeight="1">
      <c r="B15" s="259" t="n"/>
      <c r="C15" s="259" t="inlineStr">
        <is>
          <t>Potential Stream 1</t>
        </is>
      </c>
      <c r="D15" s="259" t="n"/>
      <c r="E15" s="259" t="n"/>
      <c r="F15" s="259" t="n"/>
      <c r="G15" s="1923" t="n">
        <v>0</v>
      </c>
      <c r="H15" s="1923" t="n">
        <v>0</v>
      </c>
      <c r="I15" s="1923" t="n">
        <v>0</v>
      </c>
      <c r="J15" s="1923" t="n">
        <v>0</v>
      </c>
    </row>
    <row r="16" hidden="1" outlineLevel="1" ht="10.5" customHeight="1">
      <c r="B16" s="259" t="n"/>
      <c r="C16" s="259" t="inlineStr">
        <is>
          <t>Potential Stream 2</t>
        </is>
      </c>
      <c r="D16" s="259" t="n"/>
      <c r="E16" s="259" t="n"/>
      <c r="F16" s="259" t="n"/>
      <c r="G16" s="1923" t="n">
        <v>0</v>
      </c>
      <c r="H16" s="1923" t="n">
        <v>0</v>
      </c>
      <c r="I16" s="1923" t="n">
        <v>0</v>
      </c>
      <c r="J16" s="1923" t="n">
        <v>0</v>
      </c>
    </row>
    <row r="17" hidden="1" outlineLevel="1" ht="10.5" customHeight="1">
      <c r="B17" s="259" t="n"/>
      <c r="C17" s="259" t="inlineStr">
        <is>
          <t>Potential Stream 3</t>
        </is>
      </c>
      <c r="D17" s="259" t="n"/>
      <c r="E17" s="259" t="n"/>
      <c r="F17" s="259" t="n"/>
      <c r="G17" s="1923" t="n">
        <v>0</v>
      </c>
      <c r="H17" s="1923" t="n">
        <v>0</v>
      </c>
      <c r="I17" s="1923" t="n">
        <v>0</v>
      </c>
      <c r="J17" s="1923" t="n">
        <v>0</v>
      </c>
    </row>
    <row r="18" hidden="1" outlineLevel="1" ht="10.5" customHeight="1">
      <c r="B18" s="259" t="n"/>
      <c r="C18" s="259" t="inlineStr">
        <is>
          <t>Potential Stream 4</t>
        </is>
      </c>
      <c r="D18" s="259" t="n"/>
      <c r="E18" s="259" t="n"/>
      <c r="F18" s="259" t="n"/>
      <c r="G18" s="1923" t="n">
        <v>0</v>
      </c>
      <c r="H18" s="1923" t="n">
        <v>0</v>
      </c>
      <c r="I18" s="1923" t="n">
        <v>0</v>
      </c>
      <c r="J18" s="1923" t="n">
        <v>0</v>
      </c>
    </row>
    <row r="19" collapsed="1">
      <c r="B19" s="246" t="inlineStr">
        <is>
          <t>Revenues</t>
        </is>
      </c>
      <c r="C19" s="246" t="n"/>
      <c r="D19" s="246" t="n"/>
      <c r="E19" s="246" t="n"/>
      <c r="F19" s="246" t="n"/>
      <c r="G19" s="1977" t="n">
        <v>162500</v>
      </c>
      <c r="H19" s="1977" t="n">
        <v>162500</v>
      </c>
      <c r="I19" s="1977" t="n">
        <v>162500</v>
      </c>
      <c r="J19" s="1977" t="n">
        <v>162500</v>
      </c>
    </row>
    <row r="20" hidden="1" outlineLevel="1">
      <c r="B20" s="259" t="n"/>
      <c r="C20" s="259" t="n"/>
      <c r="D20" s="259" t="n"/>
      <c r="E20" s="259" t="n"/>
      <c r="F20" s="259" t="n"/>
      <c r="G20" s="259" t="n"/>
      <c r="H20" s="259" t="n"/>
      <c r="I20" s="259" t="n"/>
      <c r="J20" s="259" t="n"/>
    </row>
    <row r="21" hidden="1" outlineLevel="1" ht="10.5" customHeight="1">
      <c r="B21" s="432" t="inlineStr">
        <is>
          <t>Cost of Revenue:</t>
        </is>
      </c>
      <c r="C21" s="259" t="n"/>
      <c r="D21" s="259" t="n"/>
      <c r="E21" s="259" t="n"/>
      <c r="F21" s="259" t="n"/>
      <c r="G21" s="259" t="n"/>
      <c r="H21" s="259" t="n"/>
      <c r="I21" s="259" t="n"/>
      <c r="J21" s="259" t="n"/>
    </row>
    <row r="22" hidden="1" outlineLevel="1" ht="10.5" customHeight="1">
      <c r="B22" s="259" t="n"/>
      <c r="C22" s="259" t="inlineStr">
        <is>
          <t>Existing Stream 1</t>
        </is>
      </c>
      <c r="D22" s="259" t="n"/>
      <c r="E22" s="259" t="n"/>
      <c r="F22" s="259" t="n"/>
      <c r="G22" s="1923" t="n">
        <v>72000</v>
      </c>
      <c r="H22" s="1923" t="n">
        <v>72000</v>
      </c>
      <c r="I22" s="1923" t="n">
        <v>72000</v>
      </c>
      <c r="J22" s="1923" t="n">
        <v>72000</v>
      </c>
    </row>
    <row r="23" hidden="1" outlineLevel="1" ht="10.5" customHeight="1">
      <c r="B23" s="259" t="n"/>
      <c r="C23" s="259" t="inlineStr">
        <is>
          <t>Existing Stream 2</t>
        </is>
      </c>
      <c r="D23" s="259" t="n"/>
      <c r="E23" s="259" t="n"/>
      <c r="F23" s="259" t="n"/>
      <c r="G23" s="1923" t="n">
        <v>24000</v>
      </c>
      <c r="H23" s="1923" t="n">
        <v>24000</v>
      </c>
      <c r="I23" s="1923" t="n">
        <v>24000</v>
      </c>
      <c r="J23" s="1923" t="n">
        <v>24000</v>
      </c>
    </row>
    <row r="24" hidden="1" outlineLevel="1" ht="10.5" customHeight="1">
      <c r="B24" s="259" t="n"/>
      <c r="C24" s="259" t="inlineStr">
        <is>
          <t>Existing Stream 3</t>
        </is>
      </c>
      <c r="D24" s="259" t="n"/>
      <c r="E24" s="259" t="n"/>
      <c r="F24" s="259" t="n"/>
      <c r="G24" s="1923" t="n">
        <v>5500</v>
      </c>
      <c r="H24" s="1923" t="n">
        <v>5500</v>
      </c>
      <c r="I24" s="1923" t="n">
        <v>5500</v>
      </c>
      <c r="J24" s="1923" t="n">
        <v>5500</v>
      </c>
    </row>
    <row r="25" hidden="1" outlineLevel="1" ht="10.5" customHeight="1">
      <c r="B25" s="259" t="n"/>
      <c r="C25" s="259" t="inlineStr">
        <is>
          <t>Existing Stream 4</t>
        </is>
      </c>
      <c r="D25" s="259" t="n"/>
      <c r="E25" s="259" t="n"/>
      <c r="F25" s="259" t="n"/>
      <c r="G25" s="1923" t="n">
        <v>17100</v>
      </c>
      <c r="H25" s="1923" t="n">
        <v>17100</v>
      </c>
      <c r="I25" s="1923" t="n">
        <v>17100</v>
      </c>
      <c r="J25" s="1923" t="n">
        <v>17100</v>
      </c>
    </row>
    <row r="26" hidden="1" outlineLevel="1" ht="10.5" customHeight="1">
      <c r="B26" s="259" t="n"/>
      <c r="C26" s="259" t="inlineStr">
        <is>
          <t>Pipeline Stream 1</t>
        </is>
      </c>
      <c r="D26" s="259" t="n"/>
      <c r="E26" s="259" t="n"/>
      <c r="F26" s="259" t="n"/>
      <c r="G26" s="1923" t="n">
        <v>0</v>
      </c>
      <c r="H26" s="1923" t="n">
        <v>0</v>
      </c>
      <c r="I26" s="1923" t="n">
        <v>0</v>
      </c>
      <c r="J26" s="1923" t="n">
        <v>0</v>
      </c>
    </row>
    <row r="27" hidden="1" outlineLevel="1" ht="10.5" customHeight="1">
      <c r="B27" s="259" t="n"/>
      <c r="C27" s="259" t="inlineStr">
        <is>
          <t>Pipeline Stream 2</t>
        </is>
      </c>
      <c r="D27" s="259" t="n"/>
      <c r="E27" s="259" t="n"/>
      <c r="F27" s="259" t="n"/>
      <c r="G27" s="1923" t="n">
        <v>0</v>
      </c>
      <c r="H27" s="1923" t="n">
        <v>0</v>
      </c>
      <c r="I27" s="1923" t="n">
        <v>0</v>
      </c>
      <c r="J27" s="1923" t="n">
        <v>0</v>
      </c>
    </row>
    <row r="28" hidden="1" outlineLevel="1" ht="10.5" customHeight="1">
      <c r="B28" s="259" t="n"/>
      <c r="C28" s="259" t="inlineStr">
        <is>
          <t>Pipeline Stream 3</t>
        </is>
      </c>
      <c r="D28" s="259" t="n"/>
      <c r="E28" s="259" t="n"/>
      <c r="F28" s="259" t="n"/>
      <c r="G28" s="1923" t="n">
        <v>0</v>
      </c>
      <c r="H28" s="1923" t="n">
        <v>0</v>
      </c>
      <c r="I28" s="1923" t="n">
        <v>0</v>
      </c>
      <c r="J28" s="1923" t="n">
        <v>0</v>
      </c>
    </row>
    <row r="29" hidden="1" outlineLevel="1" ht="10.5" customHeight="1">
      <c r="B29" s="259" t="n"/>
      <c r="C29" s="259" t="inlineStr">
        <is>
          <t>Pipeline Stream 4</t>
        </is>
      </c>
      <c r="D29" s="259" t="n"/>
      <c r="E29" s="259" t="n"/>
      <c r="F29" s="259" t="n"/>
      <c r="G29" s="1923" t="n">
        <v>0</v>
      </c>
      <c r="H29" s="1923" t="n">
        <v>0</v>
      </c>
      <c r="I29" s="1923" t="n">
        <v>0</v>
      </c>
      <c r="J29" s="1923" t="n">
        <v>0</v>
      </c>
    </row>
    <row r="30" hidden="1" outlineLevel="1" ht="10.5" customHeight="1">
      <c r="B30" s="259" t="n"/>
      <c r="C30" s="259" t="inlineStr">
        <is>
          <t>Potential Stream 1</t>
        </is>
      </c>
      <c r="D30" s="259" t="n"/>
      <c r="E30" s="259" t="n"/>
      <c r="F30" s="259" t="n"/>
      <c r="G30" s="1923" t="n">
        <v>0</v>
      </c>
      <c r="H30" s="1923" t="n">
        <v>0</v>
      </c>
      <c r="I30" s="1923" t="n">
        <v>0</v>
      </c>
      <c r="J30" s="1923" t="n">
        <v>0</v>
      </c>
    </row>
    <row r="31" hidden="1" outlineLevel="1" ht="10.5" customHeight="1">
      <c r="B31" s="259" t="n"/>
      <c r="C31" s="259" t="inlineStr">
        <is>
          <t>Potential Stream 2</t>
        </is>
      </c>
      <c r="D31" s="259" t="n"/>
      <c r="E31" s="259" t="n"/>
      <c r="F31" s="259" t="n"/>
      <c r="G31" s="1923" t="n">
        <v>0</v>
      </c>
      <c r="H31" s="1923" t="n">
        <v>0</v>
      </c>
      <c r="I31" s="1923" t="n">
        <v>0</v>
      </c>
      <c r="J31" s="1923" t="n">
        <v>0</v>
      </c>
    </row>
    <row r="32" hidden="1" outlineLevel="1" ht="10.5" customHeight="1">
      <c r="B32" s="259" t="n"/>
      <c r="C32" s="259" t="inlineStr">
        <is>
          <t>Potential Stream 3</t>
        </is>
      </c>
      <c r="D32" s="259" t="n"/>
      <c r="E32" s="259" t="n"/>
      <c r="F32" s="259" t="n"/>
      <c r="G32" s="1923" t="n">
        <v>0</v>
      </c>
      <c r="H32" s="1923" t="n">
        <v>0</v>
      </c>
      <c r="I32" s="1923" t="n">
        <v>0</v>
      </c>
      <c r="J32" s="1923" t="n">
        <v>0</v>
      </c>
    </row>
    <row r="33" hidden="1" outlineLevel="1" ht="10.5" customHeight="1">
      <c r="B33" s="259" t="n"/>
      <c r="C33" s="259" t="inlineStr">
        <is>
          <t>Potential Stream 4</t>
        </is>
      </c>
      <c r="D33" s="259" t="n"/>
      <c r="E33" s="259" t="n"/>
      <c r="F33" s="259" t="n"/>
      <c r="G33" s="1923" t="n">
        <v>0</v>
      </c>
      <c r="H33" s="1923" t="n">
        <v>0</v>
      </c>
      <c r="I33" s="1923" t="n">
        <v>0</v>
      </c>
      <c r="J33" s="1923" t="n">
        <v>0</v>
      </c>
    </row>
    <row r="34" collapsed="1">
      <c r="B34" s="241" t="inlineStr">
        <is>
          <t>Cost of Revenues</t>
        </is>
      </c>
      <c r="C34" s="241" t="n"/>
      <c r="D34" s="241" t="n"/>
      <c r="E34" s="241" t="n"/>
      <c r="F34" s="241" t="n"/>
      <c r="G34" s="1979" t="n">
        <v>-118600</v>
      </c>
      <c r="H34" s="1979" t="n">
        <v>-118600</v>
      </c>
      <c r="I34" s="1979" t="n">
        <v>-118600</v>
      </c>
      <c r="J34" s="1979" t="n">
        <v>-118600</v>
      </c>
    </row>
    <row r="35">
      <c r="B35" s="259" t="n"/>
      <c r="C35" s="259" t="n"/>
      <c r="D35" s="259" t="n"/>
      <c r="E35" s="259" t="n"/>
      <c r="F35" s="259" t="n"/>
      <c r="G35" s="259" t="n"/>
      <c r="H35" s="259" t="n"/>
      <c r="I35" s="259" t="n"/>
      <c r="J35" s="259" t="n"/>
    </row>
    <row r="36">
      <c r="B36" s="432" t="inlineStr">
        <is>
          <t>Gross Profit</t>
        </is>
      </c>
      <c r="C36" s="432" t="n"/>
      <c r="D36" s="432" t="n"/>
      <c r="E36" s="432" t="n"/>
      <c r="F36" s="432" t="n"/>
      <c r="G36" s="1981" t="n">
        <v>43900</v>
      </c>
      <c r="H36" s="1981" t="n">
        <v>43900</v>
      </c>
      <c r="I36" s="1981" t="n">
        <v>43900</v>
      </c>
      <c r="J36" s="1981" t="n">
        <v>43900</v>
      </c>
    </row>
    <row r="37">
      <c r="B37" s="259" t="n"/>
      <c r="C37" s="259" t="n"/>
      <c r="D37" s="259" t="n"/>
      <c r="E37" s="259" t="n"/>
      <c r="F37" s="259" t="n"/>
      <c r="G37" s="259" t="n"/>
      <c r="H37" s="259" t="n"/>
      <c r="I37" s="259" t="n"/>
      <c r="J37" s="259" t="n"/>
    </row>
    <row r="38">
      <c r="B38" s="432" t="inlineStr">
        <is>
          <t>Operating Expenses:</t>
        </is>
      </c>
      <c r="C38" s="259" t="n"/>
      <c r="D38" s="259" t="n"/>
      <c r="E38" s="259" t="n"/>
      <c r="F38" s="259" t="n"/>
      <c r="G38" s="259" t="n"/>
      <c r="H38" s="259" t="n"/>
      <c r="I38" s="259" t="n"/>
      <c r="J38" s="259" t="n"/>
    </row>
    <row r="39">
      <c r="B39" s="432" t="n"/>
      <c r="C39" s="259" t="inlineStr">
        <is>
          <t xml:space="preserve">Staff salaries </t>
        </is>
      </c>
      <c r="D39" s="259" t="n"/>
      <c r="E39" s="259" t="n"/>
      <c r="F39" s="259" t="n"/>
      <c r="G39" s="1923" t="n">
        <v>-25859</v>
      </c>
      <c r="H39" s="1923" t="n">
        <v>-25859</v>
      </c>
      <c r="I39" s="1923" t="n">
        <v>-430250</v>
      </c>
      <c r="J39" s="1923" t="n">
        <v>-430250</v>
      </c>
    </row>
    <row r="40">
      <c r="B40" s="432" t="n"/>
      <c r="C40" s="259" t="inlineStr">
        <is>
          <t>Commission</t>
        </is>
      </c>
      <c r="D40" s="259" t="n"/>
      <c r="E40" s="259" t="n"/>
      <c r="F40" s="259" t="n"/>
      <c r="G40" s="1923" t="n">
        <v>0</v>
      </c>
      <c r="H40" s="1923" t="n">
        <v>0</v>
      </c>
      <c r="I40" s="1923" t="n">
        <v>-39764</v>
      </c>
      <c r="J40" s="1923" t="n">
        <v>-39764</v>
      </c>
    </row>
    <row r="41">
      <c r="B41" s="432" t="n"/>
      <c r="C41" s="259" t="inlineStr">
        <is>
          <t>Rent</t>
        </is>
      </c>
      <c r="D41" s="259" t="n"/>
      <c r="E41" s="259" t="n"/>
      <c r="F41" s="259" t="n"/>
      <c r="G41" s="1923" t="n">
        <v>-57731</v>
      </c>
      <c r="H41" s="1923" t="n">
        <v>-57731</v>
      </c>
      <c r="I41" s="1923" t="n">
        <v>-83433</v>
      </c>
      <c r="J41" s="1923" t="n">
        <v>-83433</v>
      </c>
    </row>
    <row r="42">
      <c r="B42" s="432" t="n"/>
      <c r="C42" s="259" t="inlineStr">
        <is>
          <t>Legal and professional fee</t>
        </is>
      </c>
      <c r="D42" s="259" t="n"/>
      <c r="E42" s="259" t="n"/>
      <c r="F42" s="259" t="n"/>
      <c r="G42" s="1923" t="n">
        <v>-46928</v>
      </c>
      <c r="H42" s="1923" t="n">
        <v>-46928</v>
      </c>
      <c r="I42" s="1923" t="n">
        <v>-98038</v>
      </c>
      <c r="J42" s="1923" t="n">
        <v>-98038</v>
      </c>
    </row>
    <row r="43">
      <c r="B43" s="259" t="n"/>
      <c r="C43" s="259" t="inlineStr">
        <is>
          <t>Travelling &amp; communication</t>
        </is>
      </c>
      <c r="D43" s="259" t="n"/>
      <c r="E43" s="259" t="n"/>
      <c r="F43" s="259" t="n"/>
      <c r="G43" s="1923" t="n">
        <v>-34136</v>
      </c>
      <c r="H43" s="1923" t="n">
        <v>-34136</v>
      </c>
      <c r="I43" s="1923" t="n">
        <v>-38142</v>
      </c>
      <c r="J43" s="1923" t="n">
        <v>-38142</v>
      </c>
    </row>
    <row r="44">
      <c r="B44" s="259" t="n"/>
      <c r="C44" s="259" t="inlineStr">
        <is>
          <t>Printing &amp; Stationary</t>
        </is>
      </c>
      <c r="D44" s="259" t="n"/>
      <c r="E44" s="259" t="n"/>
      <c r="F44" s="259" t="n"/>
      <c r="G44" s="1923" t="n">
        <v>-10725</v>
      </c>
      <c r="H44" s="1923" t="n">
        <v>-10725</v>
      </c>
      <c r="I44" s="1923" t="n">
        <v>-33816</v>
      </c>
      <c r="J44" s="1923" t="n">
        <v>-33816</v>
      </c>
    </row>
    <row r="45">
      <c r="B45" s="259" t="n"/>
      <c r="C45" s="259" t="inlineStr">
        <is>
          <t>Sundry expenses</t>
        </is>
      </c>
      <c r="D45" s="259" t="n"/>
      <c r="E45" s="259" t="n"/>
      <c r="F45" s="259" t="n"/>
      <c r="G45" s="1923" t="n">
        <v>-22605</v>
      </c>
      <c r="H45" s="1923" t="n">
        <v>-22605</v>
      </c>
      <c r="I45" s="1923" t="n">
        <v>-70843</v>
      </c>
      <c r="J45" s="1923" t="n">
        <v>-70843</v>
      </c>
    </row>
    <row r="46">
      <c r="B46" s="247" t="inlineStr">
        <is>
          <t>Total Operating Expenses</t>
        </is>
      </c>
      <c r="C46" s="247" t="n"/>
      <c r="D46" s="247" t="n"/>
      <c r="E46" s="247" t="n"/>
      <c r="F46" s="247" t="n"/>
      <c r="G46" s="1983" t="n">
        <v>-197984</v>
      </c>
      <c r="H46" s="1983" t="n">
        <v>-197984</v>
      </c>
      <c r="I46" s="1983" t="n">
        <v>-794286</v>
      </c>
      <c r="J46" s="1983" t="n">
        <v>-794286</v>
      </c>
    </row>
    <row r="47">
      <c r="B47" s="259" t="n"/>
      <c r="C47" s="259" t="n"/>
      <c r="D47" s="259" t="n"/>
      <c r="E47" s="259" t="n"/>
      <c r="F47" s="259" t="n"/>
      <c r="G47" s="259" t="n"/>
      <c r="H47" s="259" t="n"/>
      <c r="I47" s="259" t="n"/>
      <c r="J47" s="259" t="n"/>
    </row>
    <row r="48">
      <c r="B48" s="432" t="inlineStr">
        <is>
          <t xml:space="preserve">Operating  Income (Loss) </t>
        </is>
      </c>
      <c r="C48" s="432" t="n"/>
      <c r="D48" s="432" t="n"/>
      <c r="E48" s="432" t="n"/>
      <c r="F48" s="432" t="n"/>
      <c r="G48" s="1981" t="n">
        <v>-154084</v>
      </c>
      <c r="H48" s="1981" t="n">
        <v>-154084</v>
      </c>
      <c r="I48" s="1981" t="n">
        <v>-750386</v>
      </c>
      <c r="J48" s="1981" t="n">
        <v>-750386</v>
      </c>
    </row>
    <row r="49">
      <c r="B49" s="259" t="n"/>
      <c r="C49" s="259" t="inlineStr">
        <is>
          <t> </t>
        </is>
      </c>
      <c r="D49" s="259" t="n"/>
      <c r="E49" s="259" t="n"/>
      <c r="F49" s="259" t="n"/>
      <c r="G49" s="259" t="n"/>
      <c r="H49" s="259" t="n"/>
      <c r="I49" s="259" t="n"/>
      <c r="J49" s="259" t="n"/>
    </row>
    <row r="50">
      <c r="B50" s="432" t="inlineStr">
        <is>
          <t>Other Income</t>
        </is>
      </c>
      <c r="C50" s="259" t="n"/>
      <c r="D50" s="259" t="n"/>
      <c r="E50" s="259" t="n"/>
      <c r="F50" s="259" t="n"/>
      <c r="G50" s="259" t="n"/>
      <c r="H50" s="259" t="n"/>
      <c r="I50" s="259" t="n"/>
      <c r="J50" s="259" t="n"/>
    </row>
    <row r="51">
      <c r="B51" s="259" t="n"/>
      <c r="C51" s="259" t="inlineStr">
        <is>
          <t>Net Gain (Loss) on Dispositions of Assets</t>
        </is>
      </c>
      <c r="D51" s="259" t="n"/>
      <c r="E51" s="259" t="n"/>
      <c r="F51" s="259" t="n"/>
      <c r="G51" s="246" t="n"/>
      <c r="H51" s="246" t="n"/>
      <c r="I51" s="246" t="n"/>
      <c r="J51" s="246" t="n"/>
    </row>
    <row r="52" ht="10.5" customHeight="1">
      <c r="B52" s="259" t="n"/>
      <c r="C52" s="259" t="inlineStr">
        <is>
          <t>Equity in Earnings (Loss) of Affiliates</t>
        </is>
      </c>
      <c r="D52" s="259" t="n"/>
      <c r="E52" s="259" t="n"/>
      <c r="F52" s="259" t="n"/>
      <c r="G52" s="246" t="n"/>
      <c r="H52" s="246" t="n"/>
      <c r="I52" s="246" t="n"/>
      <c r="J52" s="246" t="n"/>
    </row>
    <row r="53" ht="10.5" customHeight="1">
      <c r="B53" s="259" t="n"/>
      <c r="C53" s="259" t="inlineStr">
        <is>
          <t>Special Items</t>
        </is>
      </c>
      <c r="D53" s="259" t="n"/>
      <c r="E53" s="259" t="n"/>
      <c r="F53" s="259" t="n"/>
      <c r="G53" s="246" t="n"/>
      <c r="H53" s="246" t="n"/>
      <c r="I53" s="246" t="n"/>
      <c r="J53" s="246" t="n"/>
    </row>
    <row r="54" ht="10.5" customHeight="1">
      <c r="B54" s="259" t="n"/>
      <c r="C54" s="259" t="inlineStr">
        <is>
          <t>Other Expense</t>
        </is>
      </c>
      <c r="D54" s="259" t="n"/>
      <c r="E54" s="259" t="n"/>
      <c r="F54" s="259" t="n"/>
      <c r="G54" s="246" t="n"/>
      <c r="H54" s="246" t="n"/>
      <c r="I54" s="246" t="n"/>
      <c r="J54" s="246" t="n"/>
    </row>
    <row r="55" ht="10.5" customHeight="1">
      <c r="B55" s="247" t="inlineStr">
        <is>
          <t>Total Other Income (Expense)</t>
        </is>
      </c>
      <c r="C55" s="247" t="n"/>
      <c r="D55" s="247" t="n"/>
      <c r="E55" s="247" t="n"/>
      <c r="F55" s="247" t="n"/>
      <c r="G55" s="1986" t="n">
        <v>0</v>
      </c>
      <c r="H55" s="1986" t="n">
        <v>0</v>
      </c>
      <c r="I55" s="1986" t="n">
        <v>0</v>
      </c>
      <c r="J55" s="1986" t="n">
        <v>0</v>
      </c>
    </row>
    <row r="56" ht="10.5" customHeight="1">
      <c r="B56" s="259" t="n"/>
      <c r="C56" s="259" t="n"/>
      <c r="D56" s="259" t="n"/>
      <c r="E56" s="259" t="n"/>
      <c r="F56" s="259" t="n"/>
      <c r="G56" s="259" t="n"/>
      <c r="H56" s="259" t="n"/>
      <c r="I56" s="259" t="n"/>
      <c r="J56" s="259" t="n"/>
    </row>
    <row r="57" ht="10.5" customHeight="1">
      <c r="B57" s="432" t="inlineStr">
        <is>
          <t>EBITDA</t>
        </is>
      </c>
      <c r="C57" s="432" t="n"/>
      <c r="D57" s="432" t="n"/>
      <c r="E57" s="432" t="n"/>
      <c r="F57" s="432" t="n"/>
      <c r="G57" s="1981" t="n">
        <v>-154084</v>
      </c>
      <c r="H57" s="1981" t="n">
        <v>-154084</v>
      </c>
      <c r="I57" s="1981" t="n">
        <v>-750386</v>
      </c>
      <c r="J57" s="1981" t="n">
        <v>-750386</v>
      </c>
    </row>
    <row r="58" ht="10.5" customHeight="1">
      <c r="B58" s="259" t="n"/>
      <c r="C58" s="259" t="n"/>
      <c r="D58" s="259" t="n"/>
      <c r="E58" s="259" t="n"/>
      <c r="F58" s="259" t="n"/>
      <c r="G58" s="259" t="n"/>
      <c r="H58" s="259" t="n"/>
      <c r="I58" s="259" t="n"/>
      <c r="J58" s="259" t="n"/>
    </row>
    <row r="59" ht="10.5" customHeight="1">
      <c r="B59" s="259" t="n"/>
      <c r="C59" s="259" t="inlineStr">
        <is>
          <t>Depreciation &amp; Amortisation</t>
        </is>
      </c>
      <c r="D59" s="259" t="n"/>
      <c r="E59" s="259" t="n"/>
      <c r="F59" s="259" t="n"/>
      <c r="G59" s="259" t="n"/>
      <c r="H59" s="259" t="n"/>
      <c r="I59" s="259" t="n"/>
      <c r="J59" s="259" t="n"/>
    </row>
    <row r="60" ht="10.5" customHeight="1">
      <c r="B60" s="247" t="inlineStr">
        <is>
          <t>Earnings (Loss) Before Interest &amp; Taxes - EBIT</t>
        </is>
      </c>
      <c r="C60" s="247" t="n"/>
      <c r="D60" s="247" t="n"/>
      <c r="E60" s="247" t="n"/>
      <c r="F60" s="247" t="n"/>
      <c r="G60" s="1986" t="n">
        <v>-154084</v>
      </c>
      <c r="H60" s="1986" t="n">
        <v>-154084</v>
      </c>
      <c r="I60" s="1986" t="n">
        <v>-750386</v>
      </c>
      <c r="J60" s="1986" t="n">
        <v>-750386</v>
      </c>
    </row>
    <row r="61" ht="10.5" customHeight="1">
      <c r="B61" s="259" t="n"/>
      <c r="C61" s="259" t="n"/>
      <c r="D61" s="259" t="n"/>
      <c r="E61" s="259" t="n"/>
      <c r="F61" s="259" t="n"/>
      <c r="G61" s="259" t="n"/>
      <c r="H61" s="259" t="n"/>
      <c r="I61" s="259" t="n"/>
      <c r="J61" s="259" t="n"/>
    </row>
    <row r="62" ht="10.5" customHeight="1">
      <c r="B62" s="259" t="n"/>
      <c r="C62" s="259" t="inlineStr">
        <is>
          <t>Net Interest Expense</t>
        </is>
      </c>
      <c r="D62" s="259" t="n"/>
      <c r="E62" s="259" t="n"/>
      <c r="F62" s="259" t="n"/>
      <c r="G62" s="1923" t="n">
        <v>0</v>
      </c>
      <c r="H62" s="1923" t="n">
        <v>0</v>
      </c>
      <c r="I62" s="1923" t="n">
        <v>0</v>
      </c>
      <c r="J62" s="1923" t="n">
        <v>0</v>
      </c>
    </row>
    <row r="63" ht="10.5" customHeight="1">
      <c r="B63" s="247" t="inlineStr">
        <is>
          <t>Earnings (Loss) Before Taxes - EBT</t>
        </is>
      </c>
      <c r="C63" s="247" t="n"/>
      <c r="D63" s="247" t="n"/>
      <c r="E63" s="247" t="n"/>
      <c r="F63" s="247" t="n"/>
      <c r="G63" s="1986" t="n">
        <v>-154084</v>
      </c>
      <c r="H63" s="1986" t="n">
        <v>-154084</v>
      </c>
      <c r="I63" s="1986" t="n">
        <v>-750386</v>
      </c>
      <c r="J63" s="1986" t="n">
        <v>-750386</v>
      </c>
    </row>
    <row r="64" ht="10.5" customHeight="1">
      <c r="B64" s="259" t="n"/>
      <c r="C64" s="259" t="n"/>
      <c r="D64" s="259" t="n"/>
      <c r="E64" s="259" t="n"/>
      <c r="F64" s="259" t="n"/>
      <c r="G64" s="259" t="n"/>
      <c r="H64" s="259" t="n"/>
      <c r="I64" s="259" t="n"/>
      <c r="J64" s="259" t="n"/>
    </row>
    <row r="65" ht="10.5" customHeight="1">
      <c r="B65" s="259" t="n"/>
      <c r="C65" s="259" t="inlineStr">
        <is>
          <t>Provision for Income Taxes (Benefit)</t>
        </is>
      </c>
      <c r="D65" s="259" t="n"/>
      <c r="E65" s="259" t="n"/>
      <c r="F65" s="259" t="n"/>
      <c r="G65" s="246" t="n"/>
      <c r="H65" s="246" t="n"/>
      <c r="I65" s="246" t="n"/>
      <c r="J65" s="246" t="n"/>
    </row>
    <row r="66" ht="10.5" customHeight="1">
      <c r="B66" s="259" t="n"/>
      <c r="C66" s="259" t="inlineStr">
        <is>
          <t>Minority Interest</t>
        </is>
      </c>
      <c r="D66" s="259" t="n"/>
      <c r="E66" s="259" t="n"/>
      <c r="F66" s="259" t="n"/>
      <c r="G66" s="246" t="n"/>
      <c r="H66" s="246" t="n"/>
      <c r="I66" s="246" t="n"/>
      <c r="J66" s="246" t="n"/>
    </row>
    <row r="67" ht="10.5" customHeight="1">
      <c r="B67" s="247" t="inlineStr">
        <is>
          <t>Income (Loss) Before Extraordinary Items</t>
        </is>
      </c>
      <c r="C67" s="247" t="n"/>
      <c r="D67" s="247" t="n"/>
      <c r="E67" s="247" t="n"/>
      <c r="F67" s="247" t="n"/>
      <c r="G67" s="1983" t="n">
        <v>-154084</v>
      </c>
      <c r="H67" s="1983" t="n">
        <v>-154084</v>
      </c>
      <c r="I67" s="1983" t="n">
        <v>-750386</v>
      </c>
      <c r="J67" s="1983" t="n">
        <v>-750386</v>
      </c>
    </row>
    <row r="68" ht="10.5" customHeight="1">
      <c r="B68" s="259" t="n"/>
      <c r="C68" s="259" t="n"/>
      <c r="D68" s="259" t="n"/>
      <c r="E68" s="259" t="n"/>
      <c r="F68" s="259" t="n"/>
      <c r="G68" s="259" t="n"/>
      <c r="H68" s="259" t="n"/>
      <c r="I68" s="259" t="n"/>
      <c r="J68" s="259" t="n"/>
    </row>
    <row r="69" ht="10.5" customHeight="1">
      <c r="B69" s="259" t="n"/>
      <c r="C69" s="259" t="inlineStr">
        <is>
          <t>Preferred Dividends</t>
        </is>
      </c>
      <c r="D69" s="259" t="n"/>
      <c r="E69" s="259" t="n"/>
      <c r="F69" s="259" t="n"/>
      <c r="G69" s="246" t="n"/>
      <c r="H69" s="246" t="n"/>
      <c r="I69" s="246" t="n"/>
      <c r="J69" s="246" t="n"/>
    </row>
    <row r="70" ht="10.5" customHeight="1">
      <c r="B70" s="247" t="inlineStr">
        <is>
          <t>Income (Loss) Available to Common</t>
        </is>
      </c>
      <c r="C70" s="247" t="n"/>
      <c r="D70" s="247" t="n"/>
      <c r="E70" s="247" t="n"/>
      <c r="F70" s="247" t="n"/>
      <c r="G70" s="1983" t="n">
        <v>-154084</v>
      </c>
      <c r="H70" s="1983" t="n">
        <v>-154084</v>
      </c>
      <c r="I70" s="1983" t="n">
        <v>-750386</v>
      </c>
      <c r="J70" s="1983" t="n">
        <v>-750386</v>
      </c>
    </row>
    <row r="71" ht="10.5" customHeight="1">
      <c r="B71" s="259" t="n"/>
      <c r="C71" s="259" t="n"/>
      <c r="D71" s="259" t="n"/>
      <c r="E71" s="259" t="n"/>
      <c r="F71" s="259" t="n"/>
      <c r="G71" s="259" t="n"/>
      <c r="H71" s="259" t="n"/>
      <c r="I71" s="259" t="n"/>
      <c r="J71" s="259" t="n"/>
    </row>
    <row r="72" ht="10.5" customHeight="1">
      <c r="B72" s="259" t="n"/>
      <c r="C72" s="259" t="inlineStr">
        <is>
          <t>Extraordinary Items</t>
        </is>
      </c>
      <c r="D72" s="259" t="n"/>
      <c r="E72" s="259" t="n"/>
      <c r="F72" s="259" t="n"/>
      <c r="G72" s="246" t="n"/>
      <c r="H72" s="246" t="n"/>
      <c r="I72" s="246" t="n"/>
      <c r="J72" s="246" t="n"/>
    </row>
    <row r="73" ht="10.5" customHeight="1">
      <c r="B73" s="259" t="n"/>
      <c r="C73" s="259" t="inlineStr">
        <is>
          <t>Discontinued Operations</t>
        </is>
      </c>
      <c r="D73" s="259" t="n"/>
      <c r="E73" s="259" t="n"/>
      <c r="F73" s="259" t="n"/>
      <c r="G73" s="246" t="n"/>
      <c r="H73" s="246" t="n"/>
      <c r="I73" s="246" t="n"/>
      <c r="J73" s="246" t="n"/>
    </row>
    <row r="74" ht="10.5" customHeight="1">
      <c r="B74" s="247" t="inlineStr">
        <is>
          <t>Net Income (Loss)</t>
        </is>
      </c>
      <c r="C74" s="247" t="n"/>
      <c r="D74" s="247" t="n"/>
      <c r="E74" s="247" t="n"/>
      <c r="F74" s="247" t="n"/>
      <c r="G74" s="1983" t="n">
        <v>-154084</v>
      </c>
      <c r="H74" s="1983" t="n">
        <v>-154084</v>
      </c>
      <c r="I74" s="1983" t="n">
        <v>-750386</v>
      </c>
      <c r="J74" s="1983" t="n">
        <v>-750386</v>
      </c>
    </row>
    <row r="75" ht="10.5" customHeight="1">
      <c r="B75" s="259" t="n"/>
      <c r="C75" s="259" t="n"/>
      <c r="D75" s="259" t="n"/>
      <c r="E75" s="259" t="n"/>
      <c r="F75" s="259" t="n"/>
      <c r="G75" s="259" t="n"/>
      <c r="H75" s="259" t="n"/>
      <c r="I75" s="259" t="n"/>
      <c r="J75" s="259" t="n"/>
    </row>
    <row r="76" ht="10.5" customHeight="1">
      <c r="B76" s="259" t="n"/>
      <c r="C76" s="259" t="n"/>
      <c r="D76" s="259" t="n"/>
      <c r="E76" s="259" t="n"/>
      <c r="F76" s="259" t="n"/>
      <c r="G76" s="259" t="n"/>
      <c r="H76" s="259" t="n"/>
      <c r="I76" s="259" t="n"/>
      <c r="J76" s="259" t="n"/>
    </row>
    <row r="77" ht="10.5" customHeight="1">
      <c r="B77" s="259" t="n"/>
      <c r="C77" s="259" t="n"/>
      <c r="D77" s="259" t="n"/>
      <c r="E77" s="259" t="n"/>
      <c r="F77" s="259" t="n"/>
      <c r="G77" s="259" t="n"/>
      <c r="H77" s="259" t="n"/>
      <c r="I77" s="259" t="n"/>
      <c r="J77" s="259" t="n"/>
    </row>
    <row r="78" ht="10.5" customHeight="1">
      <c r="B78" s="1050" t="inlineStr">
        <is>
          <t>Key Metrics</t>
        </is>
      </c>
      <c r="C78" s="1051" t="n"/>
      <c r="D78" s="1051" t="n"/>
      <c r="E78" s="1051" t="n"/>
      <c r="F78" s="1051" t="n"/>
      <c r="G78" s="1051" t="n"/>
      <c r="H78" s="1051" t="n"/>
      <c r="I78" s="1051" t="n"/>
      <c r="J78" s="1051" t="n"/>
    </row>
    <row r="79" ht="10.5" customHeight="1">
      <c r="B79" s="252" t="inlineStr">
        <is>
          <t>Revenue growth</t>
        </is>
      </c>
      <c r="C79" s="259" t="n"/>
      <c r="D79" s="259" t="n"/>
      <c r="E79" s="259" t="n"/>
      <c r="F79" s="259" t="n"/>
      <c r="G79" s="1989" t="e">
        <v>#DIV/0!</v>
      </c>
      <c r="H79" s="1989" t="e">
        <v>#DIV/0!</v>
      </c>
      <c r="I79" s="1989" t="n">
        <v>0</v>
      </c>
      <c r="J79" s="1989" t="n">
        <v>0</v>
      </c>
    </row>
    <row r="80" ht="10.5" customHeight="1">
      <c r="B80" s="259" t="inlineStr">
        <is>
          <t>Gross margins</t>
        </is>
      </c>
      <c r="C80" s="259" t="n"/>
      <c r="D80" s="259" t="n"/>
      <c r="E80" s="259" t="n"/>
      <c r="F80" s="259" t="n"/>
      <c r="G80" s="1989" t="n">
        <v>0.2701538461538461</v>
      </c>
      <c r="H80" s="1989" t="n">
        <v>0.2701538461538461</v>
      </c>
      <c r="I80" s="1989" t="n">
        <v>0.2701538461538461</v>
      </c>
      <c r="J80" s="1989" t="n">
        <v>0.2701538461538461</v>
      </c>
    </row>
    <row r="81" ht="10.5" customHeight="1">
      <c r="B81" s="259" t="inlineStr">
        <is>
          <t>OPEX as a % sales</t>
        </is>
      </c>
      <c r="C81" s="259" t="n"/>
      <c r="D81" s="259" t="n"/>
      <c r="E81" s="259" t="n"/>
      <c r="F81" s="259" t="n"/>
      <c r="G81" s="1989" t="n">
        <v>1.218363076923077</v>
      </c>
      <c r="H81" s="1989" t="n">
        <v>1.218363076923077</v>
      </c>
      <c r="I81" s="1989" t="n">
        <v>4.887913846153846</v>
      </c>
      <c r="J81" s="1989" t="n">
        <v>4.887913846153846</v>
      </c>
    </row>
    <row r="82" ht="10.5" customHeight="1">
      <c r="B82" s="259" t="inlineStr">
        <is>
          <t>EBITDA margin</t>
        </is>
      </c>
      <c r="C82" s="259" t="n"/>
      <c r="D82" s="259" t="n"/>
      <c r="E82" s="259" t="n"/>
      <c r="F82" s="259" t="n"/>
      <c r="G82" s="1989" t="n">
        <v>-0.9482092307692308</v>
      </c>
      <c r="H82" s="1989" t="n">
        <v>-0.9482092307692308</v>
      </c>
      <c r="I82" s="1989" t="n">
        <v>-4.61776</v>
      </c>
      <c r="J82" s="1989" t="n">
        <v>-4.61776</v>
      </c>
    </row>
    <row r="83" ht="10.5" customHeight="1">
      <c r="B83" s="259" t="inlineStr">
        <is>
          <t>D&amp;A as a % of sales</t>
        </is>
      </c>
      <c r="C83" s="259" t="n"/>
      <c r="D83" s="259" t="n"/>
      <c r="E83" s="259" t="n"/>
      <c r="F83" s="259" t="n"/>
      <c r="G83" s="1989" t="n">
        <v>0</v>
      </c>
      <c r="H83" s="1989" t="n">
        <v>0</v>
      </c>
      <c r="I83" s="1989" t="n">
        <v>0</v>
      </c>
      <c r="J83" s="1989" t="n">
        <v>0</v>
      </c>
    </row>
    <row r="84" ht="10.5" customHeight="1">
      <c r="B84" s="259" t="inlineStr">
        <is>
          <t>Net margin</t>
        </is>
      </c>
      <c r="C84" s="259" t="n"/>
      <c r="D84" s="259" t="n"/>
      <c r="E84" s="259" t="n"/>
      <c r="F84" s="259" t="n"/>
      <c r="G84" s="1989" t="n">
        <v>-0.9482092307692308</v>
      </c>
      <c r="H84" s="1989" t="n">
        <v>-0.9482092307692308</v>
      </c>
      <c r="I84" s="1989" t="n">
        <v>-4.61776</v>
      </c>
      <c r="J84" s="1989" t="n">
        <v>-4.61776</v>
      </c>
    </row>
    <row r="85" ht="10.5" customHeight="1">
      <c r="B85" s="259" t="n"/>
      <c r="C85" s="259" t="n"/>
      <c r="D85" s="259" t="n"/>
      <c r="E85" s="259" t="n"/>
      <c r="F85" s="259" t="n"/>
      <c r="G85" s="259" t="n"/>
      <c r="H85" s="259" t="n"/>
      <c r="I85" s="259" t="n"/>
      <c r="J85" s="259" t="n"/>
    </row>
    <row r="86" ht="10.5" customHeight="1">
      <c r="A86" s="1048" t="inlineStr">
        <is>
          <t>Historical Balance Sheet</t>
        </is>
      </c>
      <c r="B86" s="1048" t="n"/>
      <c r="C86" s="1049" t="n"/>
      <c r="D86" s="1049" t="n"/>
      <c r="E86" s="1049" t="n"/>
      <c r="F86" s="94" t="n"/>
      <c r="G86" s="94" t="n"/>
      <c r="H86" s="94" t="n"/>
      <c r="I86" s="94" t="n"/>
      <c r="J86" s="94" t="n"/>
    </row>
    <row r="88" ht="10.5" customHeight="1">
      <c r="B88" s="432" t="inlineStr">
        <is>
          <t>Other Assets</t>
        </is>
      </c>
      <c r="C88" s="259" t="n"/>
      <c r="D88" s="259" t="n"/>
      <c r="E88" s="259" t="n"/>
      <c r="F88" s="259" t="n"/>
      <c r="G88" s="1994" t="n">
        <v>0</v>
      </c>
      <c r="H88" s="1994" t="n">
        <v>0</v>
      </c>
      <c r="I88" s="1994" t="n">
        <v>0</v>
      </c>
      <c r="J88" s="1994" t="n">
        <v>0</v>
      </c>
    </row>
    <row r="89" ht="10.5" customHeight="1">
      <c r="B89" s="259" t="n"/>
      <c r="C89" s="259" t="inlineStr">
        <is>
          <t>Long-Term Investments</t>
        </is>
      </c>
      <c r="D89" s="259" t="n"/>
      <c r="E89" s="259" t="n"/>
      <c r="F89" s="259" t="n"/>
      <c r="G89" s="1994" t="n">
        <v>0</v>
      </c>
      <c r="H89" s="1994" t="n">
        <v>0</v>
      </c>
      <c r="I89" s="1994" t="n">
        <v>0</v>
      </c>
      <c r="J89" s="1994" t="n">
        <v>0</v>
      </c>
    </row>
    <row r="90" ht="10.5" customHeight="1">
      <c r="B90" s="259" t="n"/>
      <c r="C90" s="259" t="inlineStr">
        <is>
          <t>Investment in Affiliates</t>
        </is>
      </c>
      <c r="D90" s="259" t="n"/>
      <c r="E90" s="259" t="n"/>
      <c r="F90" s="259" t="n"/>
      <c r="G90" s="1994" t="n">
        <v>0</v>
      </c>
      <c r="H90" s="1994" t="n">
        <v>0</v>
      </c>
      <c r="I90" s="1994" t="n">
        <v>0</v>
      </c>
      <c r="J90" s="1994" t="n">
        <v>0</v>
      </c>
    </row>
    <row r="91" ht="10.5" customHeight="1">
      <c r="B91" s="259" t="n"/>
      <c r="C91" s="259" t="inlineStr">
        <is>
          <t>Investment in Restricted Equity Securities</t>
        </is>
      </c>
      <c r="D91" s="259" t="n"/>
      <c r="E91" s="259" t="n"/>
      <c r="F91" s="259" t="n"/>
      <c r="G91" s="1994" t="n">
        <v>0</v>
      </c>
      <c r="H91" s="1994" t="n">
        <v>0</v>
      </c>
      <c r="I91" s="1994" t="n">
        <v>0</v>
      </c>
      <c r="J91" s="1994" t="n">
        <v>0</v>
      </c>
    </row>
    <row r="92" ht="10.5" customHeight="1">
      <c r="B92" s="259" t="n"/>
      <c r="C92" s="259" t="inlineStr">
        <is>
          <t>Goodwill</t>
        </is>
      </c>
      <c r="D92" s="259" t="n"/>
      <c r="E92" s="259" t="n"/>
      <c r="F92" s="259" t="n"/>
      <c r="G92" s="1994" t="n">
        <v>0</v>
      </c>
      <c r="H92" s="1994" t="n">
        <v>0</v>
      </c>
      <c r="I92" s="1994" t="n">
        <v>0</v>
      </c>
      <c r="J92" s="1994" t="n">
        <v>0</v>
      </c>
    </row>
    <row r="93" ht="10.5" customHeight="1">
      <c r="B93" s="259" t="n"/>
      <c r="C93" s="259" t="inlineStr">
        <is>
          <t>Intangible Assets, Net</t>
        </is>
      </c>
      <c r="D93" s="259" t="n"/>
      <c r="E93" s="259" t="n"/>
      <c r="F93" s="259" t="n"/>
      <c r="G93" s="1994" t="n">
        <v>0</v>
      </c>
      <c r="H93" s="1994" t="n">
        <v>0</v>
      </c>
      <c r="I93" s="1994" t="n">
        <v>0</v>
      </c>
      <c r="J93" s="1994" t="n">
        <v>0</v>
      </c>
    </row>
    <row r="94" ht="10.5" customHeight="1">
      <c r="B94" s="259" t="n"/>
      <c r="C94" s="259" t="inlineStr">
        <is>
          <t>Noncurrent Notes Receivable</t>
        </is>
      </c>
      <c r="D94" s="259" t="n"/>
      <c r="E94" s="259" t="n"/>
      <c r="F94" s="259" t="n"/>
      <c r="G94" s="1994" t="n">
        <v>0</v>
      </c>
      <c r="H94" s="1994" t="n">
        <v>0</v>
      </c>
      <c r="I94" s="1994" t="n">
        <v>0</v>
      </c>
      <c r="J94" s="1994" t="n">
        <v>0</v>
      </c>
    </row>
    <row r="95" ht="10.5" customHeight="1">
      <c r="B95" s="259" t="n"/>
      <c r="C95" s="259" t="inlineStr">
        <is>
          <t>Noncurrent Related Party Note Receivable</t>
        </is>
      </c>
      <c r="D95" s="259" t="n"/>
      <c r="E95" s="259" t="n"/>
      <c r="F95" s="259" t="n"/>
      <c r="G95" s="1994" t="n">
        <v>0</v>
      </c>
      <c r="H95" s="1994" t="n">
        <v>0</v>
      </c>
      <c r="I95" s="1994" t="n">
        <v>0</v>
      </c>
      <c r="J95" s="1994" t="n">
        <v>0</v>
      </c>
    </row>
    <row r="96" ht="10.5" customHeight="1">
      <c r="B96" s="259" t="n"/>
      <c r="C96" s="259" t="inlineStr">
        <is>
          <t>Deferred Income Taxes</t>
        </is>
      </c>
      <c r="D96" s="259" t="n"/>
      <c r="E96" s="259" t="n"/>
      <c r="F96" s="259" t="n"/>
      <c r="G96" s="1994" t="n">
        <v>0</v>
      </c>
      <c r="H96" s="1994" t="n">
        <v>0</v>
      </c>
      <c r="I96" s="1994" t="n">
        <v>0</v>
      </c>
      <c r="J96" s="1994" t="n">
        <v>0</v>
      </c>
    </row>
    <row r="97" ht="10.5" customHeight="1">
      <c r="B97" s="259" t="n"/>
      <c r="C97" s="259" t="inlineStr">
        <is>
          <t>Deferred Loan Origination Fees, Net</t>
        </is>
      </c>
      <c r="D97" s="259" t="n"/>
      <c r="E97" s="259" t="n"/>
      <c r="F97" s="259" t="n"/>
      <c r="G97" s="1994" t="n">
        <v>0</v>
      </c>
      <c r="H97" s="1994" t="n">
        <v>0</v>
      </c>
      <c r="I97" s="1994" t="n">
        <v>0</v>
      </c>
      <c r="J97" s="1994" t="n">
        <v>0</v>
      </c>
    </row>
    <row r="98" ht="10.5" customHeight="1">
      <c r="B98" s="259" t="n"/>
      <c r="C98" s="259" t="inlineStr">
        <is>
          <t>Other</t>
        </is>
      </c>
      <c r="D98" s="259" t="n"/>
      <c r="E98" s="259" t="n"/>
      <c r="F98" s="259" t="n"/>
      <c r="G98" s="1994" t="n">
        <v>0</v>
      </c>
      <c r="H98" s="1994" t="n">
        <v>0</v>
      </c>
      <c r="I98" s="1994" t="n">
        <v>0</v>
      </c>
      <c r="J98" s="1994" t="n">
        <v>0</v>
      </c>
    </row>
    <row r="99" ht="10.5" customHeight="1">
      <c r="B99" s="247" t="inlineStr">
        <is>
          <t>Total Other Assets</t>
        </is>
      </c>
      <c r="C99" s="247" t="n"/>
      <c r="D99" s="247" t="n"/>
      <c r="E99" s="247" t="n"/>
      <c r="F99" s="247" t="n"/>
      <c r="G99" s="1996" t="n">
        <v>0</v>
      </c>
      <c r="H99" s="1996" t="n">
        <v>0</v>
      </c>
      <c r="I99" s="1996" t="n">
        <v>0</v>
      </c>
      <c r="J99" s="1996" t="n">
        <v>0</v>
      </c>
    </row>
    <row r="100" ht="10.5" customHeight="1">
      <c r="B100" s="259" t="n"/>
      <c r="C100" s="259" t="n"/>
      <c r="D100" s="259" t="n"/>
      <c r="E100" s="259" t="n"/>
      <c r="F100" s="259" t="n"/>
      <c r="G100" s="272" t="n"/>
      <c r="H100" s="272" t="n"/>
      <c r="I100" s="272" t="n"/>
      <c r="J100" s="272" t="n"/>
    </row>
    <row r="101" ht="10.5" customHeight="1">
      <c r="B101" s="432" t="inlineStr">
        <is>
          <t>Property, Plant &amp; Equipment</t>
        </is>
      </c>
      <c r="C101" s="259" t="n"/>
      <c r="D101" s="259" t="n"/>
      <c r="E101" s="259" t="n"/>
      <c r="F101" s="259" t="n"/>
      <c r="G101" s="272" t="n"/>
      <c r="H101" s="272" t="n"/>
      <c r="I101" s="272" t="n"/>
      <c r="J101" s="272" t="n"/>
    </row>
    <row r="102" ht="10.5" customHeight="1">
      <c r="B102" s="259" t="n"/>
      <c r="C102" s="259" t="n"/>
      <c r="D102" s="259" t="inlineStr">
        <is>
          <t>Item I</t>
        </is>
      </c>
      <c r="E102" s="259" t="n"/>
      <c r="F102" s="259" t="n"/>
      <c r="G102" s="272" t="n"/>
      <c r="H102" s="272" t="n"/>
      <c r="I102" s="272" t="n"/>
      <c r="J102" s="272" t="n"/>
    </row>
    <row r="103" ht="10.5" customHeight="1">
      <c r="B103" s="259" t="n"/>
      <c r="C103" s="259" t="n"/>
      <c r="D103" s="259" t="inlineStr">
        <is>
          <t>Item II</t>
        </is>
      </c>
      <c r="E103" s="259" t="n"/>
      <c r="F103" s="259" t="n"/>
      <c r="G103" s="272" t="n"/>
      <c r="H103" s="272" t="n"/>
      <c r="I103" s="272" t="n"/>
      <c r="J103" s="272" t="n"/>
    </row>
    <row r="104" ht="10.5" customHeight="1">
      <c r="B104" s="259" t="n"/>
      <c r="C104" s="259" t="n"/>
      <c r="D104" s="259" t="inlineStr">
        <is>
          <t>Item III</t>
        </is>
      </c>
      <c r="E104" s="259" t="n"/>
      <c r="F104" s="259" t="n"/>
      <c r="G104" s="272" t="n"/>
      <c r="H104" s="272" t="n"/>
      <c r="I104" s="272" t="n"/>
      <c r="J104" s="272" t="n"/>
    </row>
    <row r="105" ht="10.5" customHeight="1">
      <c r="B105" s="259" t="n"/>
      <c r="C105" s="259" t="n"/>
      <c r="D105" s="259" t="inlineStr">
        <is>
          <t>Item IV</t>
        </is>
      </c>
      <c r="E105" s="259" t="n"/>
      <c r="F105" s="259" t="n"/>
      <c r="G105" s="272" t="n"/>
      <c r="H105" s="272" t="n"/>
      <c r="I105" s="272" t="n"/>
      <c r="J105" s="272" t="n"/>
    </row>
    <row r="106" ht="10.5" customHeight="1">
      <c r="B106" s="259" t="n"/>
      <c r="C106" s="259" t="inlineStr">
        <is>
          <t>Gross Property, Plant &amp; Equipment</t>
        </is>
      </c>
      <c r="D106" s="259" t="n"/>
      <c r="E106" s="259" t="n"/>
      <c r="F106" s="259" t="n"/>
      <c r="G106" s="1994" t="n">
        <v>0</v>
      </c>
      <c r="H106" s="1994" t="n">
        <v>0</v>
      </c>
      <c r="I106" s="1994" t="n">
        <v>0</v>
      </c>
      <c r="J106" s="1994" t="n">
        <v>0</v>
      </c>
    </row>
    <row r="107" ht="10.5" customHeight="1">
      <c r="B107" s="259" t="n"/>
      <c r="C107" s="259" t="inlineStr">
        <is>
          <t>Less: Depreciation</t>
        </is>
      </c>
      <c r="D107" s="259" t="n"/>
      <c r="E107" s="259" t="n"/>
      <c r="F107" s="259" t="n"/>
      <c r="G107" s="1994" t="n">
        <v>0</v>
      </c>
      <c r="H107" s="1994" t="n">
        <v>0</v>
      </c>
      <c r="I107" s="1994" t="n">
        <v>0</v>
      </c>
      <c r="J107" s="1994" t="n">
        <v>0</v>
      </c>
    </row>
    <row r="108" ht="10.5" customHeight="1">
      <c r="B108" s="247" t="inlineStr">
        <is>
          <t>Net Property, Plant &amp; Equipment</t>
        </is>
      </c>
      <c r="C108" s="247" t="n"/>
      <c r="D108" s="247" t="n"/>
      <c r="E108" s="247" t="n"/>
      <c r="F108" s="247" t="n"/>
      <c r="G108" s="1996" t="n">
        <v>0</v>
      </c>
      <c r="H108" s="1996" t="n">
        <v>0</v>
      </c>
      <c r="I108" s="1996" t="n">
        <v>0</v>
      </c>
      <c r="J108" s="1996" t="n">
        <v>0</v>
      </c>
    </row>
    <row r="109" ht="10.5" customHeight="1">
      <c r="B109" s="259" t="n"/>
      <c r="C109" s="259" t="n"/>
      <c r="D109" s="259" t="n"/>
      <c r="E109" s="259" t="n"/>
      <c r="F109" s="259" t="n"/>
      <c r="G109" s="272" t="n"/>
      <c r="H109" s="272" t="n"/>
      <c r="I109" s="272" t="n"/>
      <c r="J109" s="272" t="n"/>
    </row>
    <row r="110" ht="10.5" customHeight="1">
      <c r="B110" s="432" t="inlineStr">
        <is>
          <t>Current Assets</t>
        </is>
      </c>
      <c r="C110" s="259" t="n"/>
      <c r="D110" s="259" t="n"/>
      <c r="E110" s="259" t="n"/>
      <c r="F110" s="259" t="n"/>
      <c r="G110" s="272" t="n"/>
      <c r="H110" s="272" t="n"/>
      <c r="I110" s="272" t="n"/>
      <c r="J110" s="272" t="n"/>
    </row>
    <row r="111" ht="10.5" customHeight="1">
      <c r="B111" s="259" t="n"/>
      <c r="C111" s="259" t="inlineStr">
        <is>
          <t>Cash &amp; Equivalents</t>
        </is>
      </c>
      <c r="D111" s="259" t="n"/>
      <c r="E111" s="259" t="n"/>
      <c r="F111" s="259" t="n"/>
      <c r="G111" s="1994" t="n">
        <v>0</v>
      </c>
      <c r="H111" s="1994" t="n">
        <v>0</v>
      </c>
      <c r="I111" s="1994" t="n">
        <v>0</v>
      </c>
      <c r="J111" s="1994" t="n">
        <v>0</v>
      </c>
    </row>
    <row r="112" ht="10.5" customHeight="1">
      <c r="B112" s="259" t="n"/>
      <c r="C112" s="259" t="inlineStr">
        <is>
          <t>Accounts Receivable, Net</t>
        </is>
      </c>
      <c r="D112" s="259" t="n"/>
      <c r="E112" s="259" t="n"/>
      <c r="F112" s="259" t="n"/>
      <c r="G112" s="1994" t="n">
        <v>0</v>
      </c>
      <c r="H112" s="1994" t="n">
        <v>0</v>
      </c>
      <c r="I112" s="1994" t="n">
        <v>0</v>
      </c>
      <c r="J112" s="1994" t="n">
        <v>0</v>
      </c>
    </row>
    <row r="113" ht="10.5" customHeight="1">
      <c r="B113" s="259" t="n"/>
      <c r="C113" s="259" t="n"/>
      <c r="D113" s="259" t="inlineStr">
        <is>
          <t>Trade &amp; Other</t>
        </is>
      </c>
      <c r="E113" s="259" t="n"/>
      <c r="F113" s="259" t="n"/>
      <c r="G113" s="1994" t="n">
        <v>0</v>
      </c>
      <c r="H113" s="1994" t="n">
        <v>0</v>
      </c>
      <c r="I113" s="1994" t="n">
        <v>0</v>
      </c>
      <c r="J113" s="1994" t="n">
        <v>0</v>
      </c>
    </row>
    <row r="114" ht="10.5" customHeight="1">
      <c r="B114" s="259" t="n"/>
      <c r="C114" s="259" t="n"/>
      <c r="D114" s="259" t="inlineStr">
        <is>
          <t>Related Party</t>
        </is>
      </c>
      <c r="E114" s="259" t="n"/>
      <c r="F114" s="259" t="n"/>
      <c r="G114" s="1994" t="n">
        <v>0</v>
      </c>
      <c r="H114" s="1994" t="n">
        <v>0</v>
      </c>
      <c r="I114" s="1994" t="n">
        <v>0</v>
      </c>
      <c r="J114" s="1994" t="n">
        <v>0</v>
      </c>
    </row>
    <row r="115" ht="10.5" customHeight="1">
      <c r="B115" s="259" t="n"/>
      <c r="C115" s="259" t="inlineStr">
        <is>
          <t>Notes Receivable, Current Portion</t>
        </is>
      </c>
      <c r="D115" s="259" t="n"/>
      <c r="E115" s="259" t="n"/>
      <c r="F115" s="259" t="n"/>
      <c r="G115" s="1994" t="n">
        <v>0</v>
      </c>
      <c r="H115" s="1994" t="n">
        <v>0</v>
      </c>
      <c r="I115" s="1994" t="n">
        <v>0</v>
      </c>
      <c r="J115" s="1994" t="n">
        <v>0</v>
      </c>
    </row>
    <row r="116" ht="10.5" customHeight="1">
      <c r="B116" s="259" t="n"/>
      <c r="C116" s="259" t="n"/>
      <c r="D116" s="259" t="inlineStr">
        <is>
          <t>Other</t>
        </is>
      </c>
      <c r="E116" s="259" t="n"/>
      <c r="F116" s="259" t="n"/>
      <c r="G116" s="1994" t="n">
        <v>0</v>
      </c>
      <c r="H116" s="1994" t="n">
        <v>0</v>
      </c>
      <c r="I116" s="1994" t="n">
        <v>0</v>
      </c>
      <c r="J116" s="1994" t="n">
        <v>0</v>
      </c>
    </row>
    <row r="117" ht="10.5" customHeight="1">
      <c r="B117" s="259" t="n"/>
      <c r="C117" s="259" t="n"/>
      <c r="D117" s="259" t="inlineStr">
        <is>
          <t>Related Party</t>
        </is>
      </c>
      <c r="E117" s="259" t="n"/>
      <c r="F117" s="259" t="n"/>
      <c r="G117" s="1994" t="n">
        <v>0</v>
      </c>
      <c r="H117" s="1994" t="n">
        <v>0</v>
      </c>
      <c r="I117" s="1994" t="n">
        <v>0</v>
      </c>
      <c r="J117" s="1994" t="n">
        <v>0</v>
      </c>
    </row>
    <row r="118" ht="10.5" customHeight="1">
      <c r="B118" s="259" t="n"/>
      <c r="C118" s="259" t="inlineStr">
        <is>
          <t>Inventories</t>
        </is>
      </c>
      <c r="D118" s="259" t="n"/>
      <c r="E118" s="259" t="n"/>
      <c r="F118" s="259" t="n"/>
      <c r="G118" s="1994" t="n">
        <v>0</v>
      </c>
      <c r="H118" s="1994" t="n">
        <v>0</v>
      </c>
      <c r="I118" s="1994" t="n">
        <v>0</v>
      </c>
      <c r="J118" s="1994" t="n">
        <v>0</v>
      </c>
    </row>
    <row r="119" ht="10.5" customHeight="1">
      <c r="B119" s="259" t="n"/>
      <c r="C119" s="259" t="inlineStr">
        <is>
          <t>Income Tax Receivable</t>
        </is>
      </c>
      <c r="D119" s="259" t="n"/>
      <c r="E119" s="259" t="n"/>
      <c r="F119" s="259" t="n"/>
      <c r="G119" s="1994" t="n">
        <v>0</v>
      </c>
      <c r="H119" s="1994" t="n">
        <v>0</v>
      </c>
      <c r="I119" s="1994" t="n">
        <v>0</v>
      </c>
      <c r="J119" s="1994" t="n">
        <v>0</v>
      </c>
    </row>
    <row r="120" ht="10.5" customHeight="1">
      <c r="B120" s="259" t="n"/>
      <c r="C120" s="259" t="inlineStr">
        <is>
          <t>Prepaid Expenses &amp; Other</t>
        </is>
      </c>
      <c r="D120" s="259" t="n"/>
      <c r="E120" s="259" t="n"/>
      <c r="F120" s="259" t="n"/>
      <c r="G120" s="1994" t="n">
        <v>0</v>
      </c>
      <c r="H120" s="1994" t="n">
        <v>0</v>
      </c>
      <c r="I120" s="1994" t="n">
        <v>0</v>
      </c>
      <c r="J120" s="1994" t="n">
        <v>0</v>
      </c>
    </row>
    <row r="121" ht="10.5" customHeight="1">
      <c r="B121" s="259" t="n"/>
      <c r="C121" s="259" t="inlineStr">
        <is>
          <t>Deferred Income Taxes</t>
        </is>
      </c>
      <c r="D121" s="259" t="n"/>
      <c r="E121" s="259" t="n"/>
      <c r="F121" s="259" t="n"/>
      <c r="G121" s="1994" t="n">
        <v>0</v>
      </c>
      <c r="H121" s="1994" t="n">
        <v>0</v>
      </c>
      <c r="I121" s="1994" t="n">
        <v>0</v>
      </c>
      <c r="J121" s="1994" t="n">
        <v>0</v>
      </c>
    </row>
    <row r="122" ht="10.5" customHeight="1">
      <c r="B122" s="247" t="inlineStr">
        <is>
          <t>Total Current Assets</t>
        </is>
      </c>
      <c r="C122" s="247" t="n"/>
      <c r="D122" s="247" t="n"/>
      <c r="E122" s="247" t="n"/>
      <c r="F122" s="247" t="n"/>
      <c r="G122" s="1996" t="n">
        <v>0</v>
      </c>
      <c r="H122" s="1996" t="n">
        <v>0</v>
      </c>
      <c r="I122" s="1996" t="n">
        <v>0</v>
      </c>
      <c r="J122" s="1996" t="n">
        <v>0</v>
      </c>
    </row>
    <row r="123" ht="10.5" customHeight="1">
      <c r="B123" s="259" t="n"/>
      <c r="C123" s="259" t="n"/>
      <c r="D123" s="259" t="n"/>
      <c r="E123" s="259" t="n"/>
      <c r="F123" s="259" t="n"/>
      <c r="G123" s="272" t="n"/>
      <c r="H123" s="272" t="n"/>
      <c r="I123" s="272" t="n"/>
      <c r="J123" s="272" t="n"/>
    </row>
    <row r="124" ht="10.5" customHeight="1">
      <c r="B124" s="432" t="inlineStr">
        <is>
          <t>Total Assets</t>
        </is>
      </c>
      <c r="C124" s="432" t="n"/>
      <c r="D124" s="432" t="n"/>
      <c r="E124" s="432" t="n"/>
      <c r="F124" s="259" t="n"/>
      <c r="G124" s="2494" t="n">
        <v>0</v>
      </c>
      <c r="H124" s="2494" t="n">
        <v>0</v>
      </c>
      <c r="I124" s="1999" t="n">
        <v>0</v>
      </c>
      <c r="J124" s="1999" t="n">
        <v>0</v>
      </c>
    </row>
    <row r="125" ht="10.5" customHeight="1">
      <c r="B125" s="259" t="n"/>
      <c r="C125" s="259" t="n"/>
      <c r="D125" s="259" t="n"/>
      <c r="E125" s="259" t="n"/>
      <c r="F125" s="259" t="n"/>
      <c r="G125" s="272" t="n"/>
      <c r="H125" s="272" t="n"/>
      <c r="I125" s="272" t="n"/>
      <c r="J125" s="272" t="n"/>
    </row>
    <row r="126" ht="10.5" customHeight="1">
      <c r="B126" s="432" t="inlineStr">
        <is>
          <t>Liabilities &amp; Equity</t>
        </is>
      </c>
      <c r="C126" s="259" t="n"/>
      <c r="D126" s="259" t="n"/>
      <c r="E126" s="259" t="n"/>
      <c r="F126" s="259" t="n"/>
      <c r="G126" s="272" t="n"/>
      <c r="H126" s="272" t="n"/>
      <c r="I126" s="272" t="n"/>
      <c r="J126" s="272" t="n"/>
    </row>
    <row r="127" ht="10.5" customHeight="1">
      <c r="B127" s="259" t="n"/>
      <c r="C127" s="259" t="inlineStr">
        <is>
          <t>Notes Payable</t>
        </is>
      </c>
      <c r="D127" s="259" t="n"/>
      <c r="E127" s="259" t="n"/>
      <c r="F127" s="259" t="n"/>
      <c r="G127" s="1994" t="n">
        <v>0</v>
      </c>
      <c r="H127" s="1994" t="n">
        <v>0</v>
      </c>
      <c r="I127" s="1994" t="n">
        <v>0</v>
      </c>
      <c r="J127" s="1994" t="n">
        <v>0</v>
      </c>
    </row>
    <row r="128" ht="10.5" customHeight="1">
      <c r="B128" s="259" t="n"/>
      <c r="C128" s="259" t="inlineStr">
        <is>
          <t>Current Installments of Long-Term Debt</t>
        </is>
      </c>
      <c r="D128" s="259" t="n"/>
      <c r="E128" s="259" t="n"/>
      <c r="F128" s="259" t="n"/>
      <c r="G128" s="1994" t="n">
        <v>0</v>
      </c>
      <c r="H128" s="1994" t="n">
        <v>0</v>
      </c>
      <c r="I128" s="1994" t="n">
        <v>0</v>
      </c>
      <c r="J128" s="1994" t="n">
        <v>0</v>
      </c>
    </row>
    <row r="129" ht="10.5" customHeight="1">
      <c r="B129" s="259" t="n"/>
      <c r="C129" s="259" t="inlineStr">
        <is>
          <t>Accounts Payable</t>
        </is>
      </c>
      <c r="D129" s="259" t="n"/>
      <c r="E129" s="259" t="n"/>
      <c r="F129" s="259" t="n"/>
      <c r="G129" s="1994" t="n">
        <v>0</v>
      </c>
      <c r="H129" s="1994" t="n">
        <v>0</v>
      </c>
      <c r="I129" s="1994" t="n">
        <v>0</v>
      </c>
      <c r="J129" s="1994" t="n">
        <v>0</v>
      </c>
    </row>
    <row r="130" ht="10.5" customHeight="1">
      <c r="B130" s="259" t="n"/>
      <c r="C130" s="259" t="inlineStr">
        <is>
          <t>Income Taxes Payable</t>
        </is>
      </c>
      <c r="D130" s="259" t="n"/>
      <c r="E130" s="259" t="n"/>
      <c r="F130" s="259" t="n"/>
      <c r="G130" s="1994" t="n">
        <v>0</v>
      </c>
      <c r="H130" s="1994" t="n">
        <v>0</v>
      </c>
      <c r="I130" s="1994" t="n">
        <v>0</v>
      </c>
      <c r="J130" s="1994" t="n">
        <v>0</v>
      </c>
    </row>
    <row r="131" ht="10.5" customHeight="1">
      <c r="B131" s="259" t="n"/>
      <c r="C131" s="259" t="inlineStr">
        <is>
          <t>Accrued Expenses</t>
        </is>
      </c>
      <c r="D131" s="259" t="n"/>
      <c r="E131" s="259" t="n"/>
      <c r="F131" s="259" t="n"/>
      <c r="G131" s="1994" t="n">
        <v>0</v>
      </c>
      <c r="H131" s="1994" t="n">
        <v>0</v>
      </c>
      <c r="I131" s="1994" t="n">
        <v>0</v>
      </c>
      <c r="J131" s="1994" t="n">
        <v>0</v>
      </c>
    </row>
    <row r="132" ht="10.5" customHeight="1">
      <c r="B132" s="259" t="n"/>
      <c r="C132" s="259" t="inlineStr">
        <is>
          <t>Taxes, Other than Income</t>
        </is>
      </c>
      <c r="D132" s="259" t="n"/>
      <c r="E132" s="259" t="n"/>
      <c r="F132" s="259" t="n"/>
      <c r="G132" s="1994" t="n">
        <v>0</v>
      </c>
      <c r="H132" s="1994" t="n">
        <v>0</v>
      </c>
      <c r="I132" s="1994" t="n">
        <v>0</v>
      </c>
      <c r="J132" s="1994" t="n">
        <v>0</v>
      </c>
    </row>
    <row r="133" ht="10.5" customHeight="1">
      <c r="B133" s="259" t="n"/>
      <c r="C133" s="259" t="inlineStr">
        <is>
          <t>Capital Leases</t>
        </is>
      </c>
      <c r="D133" s="259" t="n"/>
      <c r="E133" s="259" t="n"/>
      <c r="F133" s="259" t="n"/>
      <c r="G133" s="1994" t="n">
        <v>0</v>
      </c>
      <c r="H133" s="1994" t="n">
        <v>0</v>
      </c>
      <c r="I133" s="1994" t="n">
        <v>0</v>
      </c>
      <c r="J133" s="1994" t="n">
        <v>0</v>
      </c>
    </row>
    <row r="134" ht="10.5" customHeight="1">
      <c r="B134" s="259" t="n"/>
      <c r="C134" s="259" t="inlineStr">
        <is>
          <t>Other Current Liabilities</t>
        </is>
      </c>
      <c r="D134" s="259" t="n"/>
      <c r="E134" s="259" t="n"/>
      <c r="F134" s="259" t="n"/>
      <c r="G134" s="1994" t="n">
        <v>0</v>
      </c>
      <c r="H134" s="1994" t="n">
        <v>0</v>
      </c>
      <c r="I134" s="1994" t="n">
        <v>0</v>
      </c>
      <c r="J134" s="1994" t="n">
        <v>0</v>
      </c>
    </row>
    <row r="135" ht="10.5" customHeight="1">
      <c r="B135" s="259" t="n"/>
      <c r="C135" s="259" t="inlineStr">
        <is>
          <t>Deferred Revenue, Current</t>
        </is>
      </c>
      <c r="D135" s="259" t="n"/>
      <c r="E135" s="259" t="n"/>
      <c r="F135" s="259" t="n"/>
      <c r="G135" s="1994" t="n">
        <v>0</v>
      </c>
      <c r="H135" s="1994" t="n">
        <v>0</v>
      </c>
      <c r="I135" s="1994" t="n">
        <v>0</v>
      </c>
      <c r="J135" s="1994" t="n">
        <v>0</v>
      </c>
    </row>
    <row r="136" ht="10.5" customHeight="1">
      <c r="B136" s="276" t="inlineStr">
        <is>
          <t>Total Current Liabilities</t>
        </is>
      </c>
      <c r="C136" s="276" t="n"/>
      <c r="D136" s="276" t="n"/>
      <c r="E136" s="276" t="n"/>
      <c r="F136" s="276" t="n"/>
      <c r="G136" s="2001" t="n">
        <v>0</v>
      </c>
      <c r="H136" s="2001" t="n">
        <v>0</v>
      </c>
      <c r="I136" s="2001" t="n">
        <v>0</v>
      </c>
      <c r="J136" s="2001" t="n">
        <v>0</v>
      </c>
    </row>
    <row r="137" ht="10.5" customHeight="1">
      <c r="B137" s="259" t="n"/>
      <c r="C137" s="259" t="n"/>
      <c r="D137" s="259" t="n"/>
      <c r="E137" s="259" t="n"/>
      <c r="F137" s="259" t="n"/>
      <c r="G137" s="272" t="n"/>
      <c r="H137" s="272" t="n"/>
      <c r="I137" s="272" t="n"/>
      <c r="J137" s="272" t="n"/>
    </row>
    <row r="138" ht="10.5" customHeight="1">
      <c r="B138" s="432" t="inlineStr">
        <is>
          <t>Long-Term Liabilities</t>
        </is>
      </c>
      <c r="C138" s="259" t="n"/>
      <c r="D138" s="259" t="n"/>
      <c r="E138" s="259" t="n"/>
      <c r="F138" s="259" t="n"/>
      <c r="G138" s="272" t="n"/>
      <c r="H138" s="272" t="n"/>
      <c r="I138" s="272" t="n"/>
      <c r="J138" s="272" t="n"/>
    </row>
    <row r="139" ht="10.5" customHeight="1">
      <c r="B139" s="259" t="n"/>
      <c r="C139" s="259" t="inlineStr">
        <is>
          <t>Deferred Revenue, Noncurrent</t>
        </is>
      </c>
      <c r="D139" s="259" t="n"/>
      <c r="E139" s="259" t="n"/>
      <c r="F139" s="259" t="n"/>
      <c r="G139" s="1994" t="n">
        <v>0</v>
      </c>
      <c r="H139" s="1994" t="n">
        <v>0</v>
      </c>
      <c r="I139" s="1994" t="n">
        <v>0</v>
      </c>
      <c r="J139" s="1994" t="n">
        <v>0</v>
      </c>
    </row>
    <row r="140" ht="10.5" customHeight="1">
      <c r="B140" s="259" t="n"/>
      <c r="C140" s="259" t="inlineStr">
        <is>
          <t>Deferred Income Taxes</t>
        </is>
      </c>
      <c r="D140" s="259" t="n"/>
      <c r="E140" s="259" t="n"/>
      <c r="F140" s="259" t="n"/>
      <c r="G140" s="1994" t="n">
        <v>0</v>
      </c>
      <c r="H140" s="1994" t="n">
        <v>0</v>
      </c>
      <c r="I140" s="1994" t="n">
        <v>0</v>
      </c>
      <c r="J140" s="1994" t="n">
        <v>0</v>
      </c>
    </row>
    <row r="141" ht="10.5" customHeight="1">
      <c r="B141" s="259" t="n"/>
      <c r="C141" s="259" t="inlineStr">
        <is>
          <t>Other Long-Term Liabilities</t>
        </is>
      </c>
      <c r="D141" s="259" t="n"/>
      <c r="E141" s="259" t="n"/>
      <c r="F141" s="259" t="n"/>
      <c r="G141" s="1994" t="n">
        <v>0</v>
      </c>
      <c r="H141" s="1994" t="n">
        <v>0</v>
      </c>
      <c r="I141" s="1994" t="n">
        <v>0</v>
      </c>
      <c r="J141" s="1994" t="n">
        <v>0</v>
      </c>
    </row>
    <row r="142" ht="10.5" customHeight="1">
      <c r="B142" s="259" t="n"/>
      <c r="C142" s="259" t="inlineStr">
        <is>
          <t>Minority Interest</t>
        </is>
      </c>
      <c r="D142" s="259" t="n"/>
      <c r="E142" s="259" t="n"/>
      <c r="F142" s="259" t="n"/>
      <c r="G142" s="1994" t="n">
        <v>0</v>
      </c>
      <c r="H142" s="1994" t="n">
        <v>0</v>
      </c>
      <c r="I142" s="1994" t="n">
        <v>0</v>
      </c>
      <c r="J142" s="1994" t="n">
        <v>0</v>
      </c>
    </row>
    <row r="143" ht="10.5" customHeight="1">
      <c r="B143" s="259" t="n"/>
      <c r="C143" s="259" t="inlineStr">
        <is>
          <t>Long Term Debt, Noncurrent</t>
        </is>
      </c>
      <c r="D143" s="259" t="n"/>
      <c r="E143" s="259" t="n"/>
      <c r="F143" s="259" t="n"/>
      <c r="G143" s="1994" t="n">
        <v>0</v>
      </c>
      <c r="H143" s="1994" t="n">
        <v>0</v>
      </c>
      <c r="I143" s="1994" t="n">
        <v>0</v>
      </c>
      <c r="J143" s="1994" t="n">
        <v>0</v>
      </c>
    </row>
    <row r="144" ht="10.5" customHeight="1">
      <c r="B144" s="276" t="inlineStr">
        <is>
          <t>Total Long-Term Liabilities</t>
        </is>
      </c>
      <c r="C144" s="276" t="n"/>
      <c r="D144" s="276" t="n"/>
      <c r="E144" s="276" t="n"/>
      <c r="F144" s="276" t="n"/>
      <c r="G144" s="2001" t="n">
        <v>0</v>
      </c>
      <c r="H144" s="2001" t="n">
        <v>0</v>
      </c>
      <c r="I144" s="2001" t="n">
        <v>0</v>
      </c>
      <c r="J144" s="2001" t="n">
        <v>0</v>
      </c>
    </row>
    <row r="145" ht="10.5" customHeight="1">
      <c r="B145" s="259" t="n"/>
      <c r="C145" s="259" t="n"/>
      <c r="D145" s="259" t="n"/>
      <c r="E145" s="259" t="n"/>
      <c r="F145" s="259" t="n"/>
      <c r="G145" s="272" t="n"/>
      <c r="H145" s="272" t="n"/>
      <c r="I145" s="272" t="n"/>
      <c r="J145" s="272" t="n"/>
    </row>
    <row r="146" ht="10.5" customHeight="1">
      <c r="B146" s="432" t="inlineStr">
        <is>
          <t>Total Liabilities</t>
        </is>
      </c>
      <c r="C146" s="432" t="n"/>
      <c r="D146" s="432" t="n"/>
      <c r="E146" s="432" t="n"/>
      <c r="F146" s="259" t="n"/>
      <c r="G146" s="2495" t="n">
        <v>0</v>
      </c>
      <c r="H146" s="2495" t="n">
        <v>0</v>
      </c>
      <c r="I146" s="1999" t="n">
        <v>0</v>
      </c>
      <c r="J146" s="1999" t="n">
        <v>0</v>
      </c>
    </row>
    <row r="147" ht="10.5" customHeight="1">
      <c r="B147" s="259" t="n"/>
      <c r="C147" s="259" t="n"/>
      <c r="D147" s="259" t="n"/>
      <c r="E147" s="259" t="n"/>
      <c r="F147" s="259" t="n"/>
      <c r="G147" s="272" t="n"/>
      <c r="H147" s="272" t="n"/>
      <c r="I147" s="272" t="n"/>
      <c r="J147" s="272" t="n"/>
    </row>
    <row r="148" ht="10.5" customHeight="1">
      <c r="B148" s="432" t="inlineStr">
        <is>
          <t>Shareholders' Equity</t>
        </is>
      </c>
      <c r="C148" s="259" t="n"/>
      <c r="D148" s="259" t="n"/>
      <c r="E148" s="259" t="n"/>
      <c r="F148" s="259" t="n"/>
      <c r="G148" s="272" t="n"/>
      <c r="H148" s="272" t="n"/>
      <c r="I148" s="272" t="n"/>
      <c r="J148" s="272" t="n"/>
    </row>
    <row r="149" ht="10.5" customHeight="1">
      <c r="B149" s="259" t="n"/>
      <c r="C149" s="259" t="inlineStr">
        <is>
          <t>Preferred Stock</t>
        </is>
      </c>
      <c r="D149" s="259" t="n"/>
      <c r="E149" s="259" t="n"/>
      <c r="F149" s="259" t="n"/>
      <c r="G149" s="1994" t="n">
        <v>0</v>
      </c>
      <c r="H149" s="1994" t="n">
        <v>0</v>
      </c>
      <c r="I149" s="1994" t="n">
        <v>0</v>
      </c>
      <c r="J149" s="1994" t="n">
        <v>0</v>
      </c>
    </row>
    <row r="150" ht="10.5" customHeight="1">
      <c r="B150" s="259" t="n"/>
      <c r="C150" s="259" t="inlineStr">
        <is>
          <t xml:space="preserve">Common Stock </t>
        </is>
      </c>
      <c r="D150" s="259" t="n"/>
      <c r="E150" s="259" t="n"/>
      <c r="F150" s="259" t="n"/>
      <c r="G150" s="1994" t="n">
        <v>0</v>
      </c>
      <c r="H150" s="1994" t="n">
        <v>0</v>
      </c>
      <c r="I150" s="1994" t="n">
        <v>0</v>
      </c>
      <c r="J150" s="1994" t="n">
        <v>0</v>
      </c>
    </row>
    <row r="151" ht="10.5" customHeight="1">
      <c r="B151" s="259" t="n"/>
      <c r="C151" s="259" t="inlineStr">
        <is>
          <t>Treasury Stock</t>
        </is>
      </c>
      <c r="D151" s="259" t="n"/>
      <c r="E151" s="259" t="n"/>
      <c r="F151" s="259" t="n"/>
      <c r="G151" s="1994" t="n">
        <v>0</v>
      </c>
      <c r="H151" s="1994" t="n">
        <v>0</v>
      </c>
      <c r="I151" s="1994" t="n">
        <v>0</v>
      </c>
      <c r="J151" s="1994" t="n">
        <v>0</v>
      </c>
    </row>
    <row r="152" ht="10.5" customHeight="1">
      <c r="B152" s="259" t="n"/>
      <c r="C152" s="259" t="inlineStr">
        <is>
          <t>Additional Paid in Capital</t>
        </is>
      </c>
      <c r="D152" s="259" t="n"/>
      <c r="E152" s="259" t="n"/>
      <c r="F152" s="259" t="n"/>
      <c r="G152" s="1994" t="n">
        <v>0</v>
      </c>
      <c r="H152" s="1994" t="n">
        <v>0</v>
      </c>
      <c r="I152" s="1994" t="n">
        <v>0</v>
      </c>
      <c r="J152" s="1994" t="n">
        <v>0</v>
      </c>
    </row>
    <row r="153" ht="10.5" customHeight="1">
      <c r="B153" s="259" t="n"/>
      <c r="C153" s="259" t="inlineStr">
        <is>
          <t>Accumulated Other Comprehensive Income</t>
        </is>
      </c>
      <c r="D153" s="259" t="n"/>
      <c r="E153" s="259" t="n"/>
      <c r="F153" s="259" t="n"/>
      <c r="G153" s="1994" t="n">
        <v>0</v>
      </c>
      <c r="H153" s="1994" t="n">
        <v>0</v>
      </c>
      <c r="I153" s="1994" t="n">
        <v>0</v>
      </c>
      <c r="J153" s="1994" t="n">
        <v>0</v>
      </c>
    </row>
    <row r="154" ht="10.5" customHeight="1">
      <c r="B154" s="259" t="n"/>
      <c r="C154" s="259" t="inlineStr">
        <is>
          <t>Receivable from Shareholder</t>
        </is>
      </c>
      <c r="D154" s="259" t="n"/>
      <c r="E154" s="259" t="n"/>
      <c r="F154" s="259" t="n"/>
      <c r="G154" s="1994" t="n">
        <v>0</v>
      </c>
      <c r="H154" s="1994" t="n">
        <v>0</v>
      </c>
      <c r="I154" s="1994" t="n">
        <v>0</v>
      </c>
      <c r="J154" s="1994" t="n">
        <v>0</v>
      </c>
    </row>
    <row r="155" ht="10.5" customHeight="1">
      <c r="B155" s="259" t="n"/>
      <c r="C155" s="259" t="inlineStr">
        <is>
          <t>Retained Earnings</t>
        </is>
      </c>
      <c r="D155" s="259" t="n"/>
      <c r="E155" s="259" t="n"/>
      <c r="F155" s="259" t="n"/>
      <c r="G155" s="1994" t="n">
        <v>0</v>
      </c>
      <c r="H155" s="1994" t="n">
        <v>0</v>
      </c>
      <c r="I155" s="1994" t="n">
        <v>0</v>
      </c>
      <c r="J155" s="1994" t="n">
        <v>0</v>
      </c>
    </row>
    <row r="156" ht="10.5" customHeight="1">
      <c r="B156" s="276" t="inlineStr">
        <is>
          <t>Total Shareholders' Equity</t>
        </is>
      </c>
      <c r="C156" s="276" t="n"/>
      <c r="D156" s="276" t="n"/>
      <c r="E156" s="276" t="n"/>
      <c r="F156" s="276" t="n"/>
      <c r="G156" s="2001" t="n">
        <v>0</v>
      </c>
      <c r="H156" s="2001" t="n">
        <v>0</v>
      </c>
      <c r="I156" s="2001" t="n">
        <v>0</v>
      </c>
      <c r="J156" s="2001" t="n">
        <v>0</v>
      </c>
    </row>
    <row r="157" ht="10.5" customHeight="1">
      <c r="B157" s="259" t="n"/>
      <c r="C157" s="259" t="n"/>
      <c r="D157" s="259" t="n"/>
      <c r="E157" s="259" t="n"/>
      <c r="F157" s="259" t="n"/>
      <c r="G157" s="272" t="n"/>
      <c r="H157" s="272" t="n"/>
      <c r="I157" s="272" t="n"/>
      <c r="J157" s="272" t="n"/>
    </row>
    <row r="158" ht="10.5" customHeight="1">
      <c r="B158" s="432" t="inlineStr">
        <is>
          <t>Total Liabilities &amp; Equity</t>
        </is>
      </c>
      <c r="C158" s="432" t="n"/>
      <c r="D158" s="432" t="n"/>
      <c r="E158" s="432" t="n"/>
      <c r="F158" s="259" t="n"/>
      <c r="G158" s="2495" t="n">
        <v>0</v>
      </c>
      <c r="H158" s="2495" t="n">
        <v>0</v>
      </c>
      <c r="I158" s="1999" t="n">
        <v>0</v>
      </c>
      <c r="J158" s="1999" t="n">
        <v>0</v>
      </c>
    </row>
  </sheetData>
  <mergeCells count="1">
    <mergeCell ref="H1:J1"/>
  </mergeCells>
  <pageMargins left="0.7" right="0.7" top="0.75" bottom="0.75" header="0.3" footer="0.3"/>
</worksheet>
</file>

<file path=xl/worksheets/sheet38.xml><?xml version="1.0" encoding="utf-8"?>
<worksheet xmlns="http://schemas.openxmlformats.org/spreadsheetml/2006/main">
  <sheetPr codeName="Sheet96">
    <tabColor theme="6" tint="-0.249977111117893"/>
    <outlinePr summaryBelow="1" summaryRight="1"/>
    <pageSetUpPr fitToPage="1"/>
  </sheetPr>
  <dimension ref="A1:A1"/>
  <sheetViews>
    <sheetView zoomScaleNormal="100" zoomScaleSheetLayoutView="90" workbookViewId="0">
      <selection activeCell="C22" sqref="C22"/>
    </sheetView>
  </sheetViews>
  <sheetFormatPr baseColWidth="8" defaultColWidth="8.84375" defaultRowHeight="12.5"/>
  <cols>
    <col width="2.84375" customWidth="1" style="2" min="1" max="2"/>
    <col width="28.84375" customWidth="1" style="2" min="3" max="3"/>
    <col width="11.84375" customWidth="1" style="2" min="4" max="11"/>
    <col width="8.84375" customWidth="1" style="2" min="12" max="16384"/>
  </cols>
  <sheetData/>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39.xml><?xml version="1.0" encoding="utf-8"?>
<worksheet xmlns="http://schemas.openxmlformats.org/spreadsheetml/2006/main">
  <sheetPr>
    <tabColor theme="7"/>
    <outlinePr summaryBelow="1" summaryRight="1"/>
    <pageSetUpPr/>
  </sheetPr>
  <dimension ref="A2:G195"/>
  <sheetViews>
    <sheetView showGridLines="0" workbookViewId="0">
      <selection activeCell="E20" sqref="E20"/>
    </sheetView>
  </sheetViews>
  <sheetFormatPr baseColWidth="8" defaultColWidth="0" defaultRowHeight="11.5"/>
  <cols>
    <col width="16.53515625" bestFit="1" customWidth="1" style="63" min="1" max="1"/>
    <col width="12.53515625" bestFit="1" customWidth="1" style="63" min="2" max="2"/>
    <col width="12.84375" bestFit="1" customWidth="1" style="63" min="3" max="3"/>
    <col width="13.84375" bestFit="1" customWidth="1" style="63" min="4" max="4"/>
    <col width="12.3828125" bestFit="1" customWidth="1" style="63" min="5" max="5"/>
    <col width="8.53515625" bestFit="1" customWidth="1" style="63" min="6" max="6"/>
    <col width="14.3828125" bestFit="1" customWidth="1" style="63" min="7" max="7"/>
    <col width="8.69140625" customWidth="1" style="63" min="8" max="8"/>
    <col hidden="1" width="8.69140625" customWidth="1" style="63" min="9" max="16384"/>
  </cols>
  <sheetData>
    <row r="2">
      <c r="B2" s="1054" t="inlineStr">
        <is>
          <t xml:space="preserve">Last Updated: </t>
        </is>
      </c>
      <c r="C2" s="1055" t="n">
        <v>45296</v>
      </c>
    </row>
    <row r="4">
      <c r="A4" s="1056" t="inlineStr">
        <is>
          <t>Country</t>
        </is>
      </c>
      <c r="B4" s="1057" t="inlineStr">
        <is>
          <t>Adj. Default Spread</t>
        </is>
      </c>
      <c r="C4" s="1057" t="inlineStr">
        <is>
          <t>Equity Risk Premium</t>
        </is>
      </c>
      <c r="D4" s="1057" t="inlineStr">
        <is>
          <t>Country Risk Premium</t>
        </is>
      </c>
      <c r="E4" s="1057" t="inlineStr">
        <is>
          <t>Corporate Tax Rate</t>
        </is>
      </c>
      <c r="F4" s="1058" t="inlineStr">
        <is>
          <t>Moody's rating</t>
        </is>
      </c>
      <c r="G4" s="1057" t="inlineStr">
        <is>
          <t>Sovereign CDS Spread</t>
        </is>
      </c>
    </row>
    <row r="5">
      <c r="A5" s="1059" t="inlineStr">
        <is>
          <t>Abu Dhabi</t>
        </is>
      </c>
      <c r="B5" s="1060" t="n">
        <v>0.0054</v>
      </c>
      <c r="C5" s="1060" t="n">
        <v>0.0532</v>
      </c>
      <c r="D5" s="1060" t="n">
        <v>0.0072</v>
      </c>
      <c r="E5" s="1060" t="n">
        <v>0.15</v>
      </c>
      <c r="F5" s="1061" t="inlineStr">
        <is>
          <t>Aa2</t>
        </is>
      </c>
      <c r="G5" s="1060" t="n">
        <v>0.0075</v>
      </c>
    </row>
    <row r="6">
      <c r="A6" s="1059" t="inlineStr">
        <is>
          <t>Albania</t>
        </is>
      </c>
      <c r="B6" s="1060" t="n">
        <v>0.049</v>
      </c>
      <c r="C6" s="1060" t="n">
        <v>0.1118</v>
      </c>
      <c r="D6" s="1060" t="n">
        <v>0.0658</v>
      </c>
      <c r="E6" s="1060" t="n">
        <v>0.15</v>
      </c>
      <c r="F6" s="1061" t="inlineStr">
        <is>
          <t>B1</t>
        </is>
      </c>
      <c r="G6" s="1061" t="inlineStr">
        <is>
          <t>NA</t>
        </is>
      </c>
    </row>
    <row r="7">
      <c r="A7" s="1059" t="inlineStr">
        <is>
          <t>Algeria</t>
        </is>
      </c>
      <c r="B7" s="1060" t="n">
        <v>0.049</v>
      </c>
      <c r="C7" s="1060" t="n">
        <v>0.1118</v>
      </c>
      <c r="D7" s="1060" t="n">
        <v>0.0658</v>
      </c>
      <c r="E7" s="1060" t="n">
        <v>0.26</v>
      </c>
      <c r="F7" s="1061" t="inlineStr">
        <is>
          <t>NR</t>
        </is>
      </c>
      <c r="G7" s="1060" t="n">
        <v>0.017</v>
      </c>
    </row>
    <row r="8">
      <c r="A8" s="1059" t="inlineStr">
        <is>
          <t>Andorra (Principality of)</t>
        </is>
      </c>
      <c r="B8" s="1060" t="n">
        <v>0.0207</v>
      </c>
      <c r="C8" s="1060" t="n">
        <v>0.0738</v>
      </c>
      <c r="D8" s="1060" t="n">
        <v>0.0278</v>
      </c>
      <c r="E8" s="1060" t="n">
        <v>0.1898</v>
      </c>
      <c r="F8" s="1061" t="inlineStr">
        <is>
          <t>Baa2</t>
        </is>
      </c>
      <c r="G8" s="1061" t="inlineStr">
        <is>
          <t>NA</t>
        </is>
      </c>
    </row>
    <row r="9">
      <c r="A9" s="1059" t="inlineStr">
        <is>
          <t>Angola</t>
        </is>
      </c>
      <c r="B9" s="1060" t="n">
        <v>0.0708</v>
      </c>
      <c r="C9" s="1060" t="n">
        <v>0.1411</v>
      </c>
      <c r="D9" s="1060" t="n">
        <v>0.0951</v>
      </c>
      <c r="E9" s="1060" t="n">
        <v>0.25</v>
      </c>
      <c r="F9" s="1061" t="inlineStr">
        <is>
          <t>B3</t>
        </is>
      </c>
      <c r="G9" s="1060" t="n">
        <v>0.07820000000000001</v>
      </c>
    </row>
    <row r="10">
      <c r="A10" s="1059" t="inlineStr">
        <is>
          <t>Anguilla</t>
        </is>
      </c>
      <c r="B10" s="1060" t="n">
        <v>0.1054</v>
      </c>
      <c r="C10" s="1060" t="n">
        <v>0.1875</v>
      </c>
      <c r="D10" s="1060" t="n">
        <v>0.1875</v>
      </c>
      <c r="E10" s="1060" t="n">
        <v>0.2725</v>
      </c>
      <c r="F10" s="1061" t="inlineStr">
        <is>
          <t>NR</t>
        </is>
      </c>
      <c r="G10" s="1061" t="inlineStr">
        <is>
          <t>NA</t>
        </is>
      </c>
    </row>
    <row r="11">
      <c r="A11" s="1059" t="inlineStr">
        <is>
          <t>Antigua &amp; Barbuda</t>
        </is>
      </c>
      <c r="B11" s="1060" t="n">
        <v>0.1054</v>
      </c>
      <c r="C11" s="1060" t="n">
        <v>0.1875</v>
      </c>
      <c r="D11" s="1060" t="n">
        <v>0.1875</v>
      </c>
      <c r="E11" s="1060" t="n">
        <v>0.2725</v>
      </c>
      <c r="F11" s="1061" t="inlineStr">
        <is>
          <t>NR</t>
        </is>
      </c>
      <c r="G11" s="1061" t="inlineStr">
        <is>
          <t>NA</t>
        </is>
      </c>
    </row>
    <row r="12">
      <c r="A12" s="1059" t="inlineStr">
        <is>
          <t>Argentina</t>
        </is>
      </c>
      <c r="B12" s="1060" t="n">
        <v>0.1307</v>
      </c>
      <c r="C12" s="1060" t="n">
        <v>0.2215</v>
      </c>
      <c r="D12" s="1060" t="n">
        <v>0.1755</v>
      </c>
      <c r="E12" s="1060" t="n">
        <v>0.35</v>
      </c>
      <c r="F12" s="1061" t="inlineStr">
        <is>
          <t>Ca</t>
        </is>
      </c>
      <c r="G12" s="1060" t="n">
        <v>0.4619</v>
      </c>
    </row>
    <row r="13">
      <c r="A13" s="1059" t="inlineStr">
        <is>
          <t>Armenia</t>
        </is>
      </c>
      <c r="B13" s="1060" t="n">
        <v>0.0392</v>
      </c>
      <c r="C13" s="1060" t="n">
        <v>0.09859999999999999</v>
      </c>
      <c r="D13" s="1060" t="n">
        <v>0.0526</v>
      </c>
      <c r="E13" s="1060" t="n">
        <v>0.18</v>
      </c>
      <c r="F13" s="1061" t="inlineStr">
        <is>
          <t>Ba3</t>
        </is>
      </c>
      <c r="G13" s="1061" t="inlineStr">
        <is>
          <t>NA</t>
        </is>
      </c>
    </row>
    <row r="14">
      <c r="A14" s="1059" t="inlineStr">
        <is>
          <t>Aruba</t>
        </is>
      </c>
      <c r="B14" s="1060" t="n">
        <v>0.0207</v>
      </c>
      <c r="C14" s="1060" t="n">
        <v>0.0738</v>
      </c>
      <c r="D14" s="1060" t="n">
        <v>0.0278</v>
      </c>
      <c r="E14" s="1060" t="n">
        <v>0.25</v>
      </c>
      <c r="F14" s="1061" t="inlineStr">
        <is>
          <t>Baa2</t>
        </is>
      </c>
      <c r="G14" s="1061" t="inlineStr">
        <is>
          <t>NA</t>
        </is>
      </c>
    </row>
    <row r="15">
      <c r="A15" s="1059" t="inlineStr">
        <is>
          <t>Australia</t>
        </is>
      </c>
      <c r="B15" s="1060" t="n">
        <v>0</v>
      </c>
      <c r="C15" s="1060" t="n">
        <v>0.046</v>
      </c>
      <c r="D15" s="1060" t="n">
        <v>0</v>
      </c>
      <c r="E15" s="1060" t="n">
        <v>0.3</v>
      </c>
      <c r="F15" s="1061" t="inlineStr">
        <is>
          <t>Aaa</t>
        </is>
      </c>
      <c r="G15" s="1060" t="n">
        <v>0.0026</v>
      </c>
    </row>
    <row r="16">
      <c r="A16" s="1059" t="inlineStr">
        <is>
          <t>Austria</t>
        </is>
      </c>
      <c r="B16" s="1060" t="n">
        <v>0.0044</v>
      </c>
      <c r="C16" s="1060" t="n">
        <v>0.0518</v>
      </c>
      <c r="D16" s="1060" t="n">
        <v>0.0058</v>
      </c>
      <c r="E16" s="1060" t="n">
        <v>0.24</v>
      </c>
      <c r="F16" s="1061" t="inlineStr">
        <is>
          <t>Aa1</t>
        </is>
      </c>
      <c r="G16" s="1060" t="n">
        <v>0.0027</v>
      </c>
    </row>
    <row r="17">
      <c r="A17" s="1059" t="inlineStr">
        <is>
          <t>Azerbaijan</t>
        </is>
      </c>
      <c r="B17" s="1060" t="n">
        <v>0.0273</v>
      </c>
      <c r="C17" s="1060" t="n">
        <v>0.08260000000000001</v>
      </c>
      <c r="D17" s="1060" t="n">
        <v>0.0366</v>
      </c>
      <c r="E17" s="1060" t="n">
        <v>0.2</v>
      </c>
      <c r="F17" s="1061" t="inlineStr">
        <is>
          <t>Ba1</t>
        </is>
      </c>
      <c r="G17" s="1061" t="inlineStr">
        <is>
          <t>NA</t>
        </is>
      </c>
    </row>
    <row r="18">
      <c r="A18" s="1059" t="inlineStr">
        <is>
          <t>Bahamas</t>
        </is>
      </c>
      <c r="B18" s="1060" t="n">
        <v>0.049</v>
      </c>
      <c r="C18" s="1060" t="n">
        <v>0.1118</v>
      </c>
      <c r="D18" s="1060" t="n">
        <v>0.0658</v>
      </c>
      <c r="E18" s="1060" t="n">
        <v>0</v>
      </c>
      <c r="F18" s="1061" t="inlineStr">
        <is>
          <t>B1</t>
        </is>
      </c>
      <c r="G18" s="1061" t="inlineStr">
        <is>
          <t>NA</t>
        </is>
      </c>
    </row>
    <row r="19">
      <c r="A19" s="1059" t="inlineStr">
        <is>
          <t>Bahrain</t>
        </is>
      </c>
      <c r="B19" s="1060" t="n">
        <v>0.0599</v>
      </c>
      <c r="C19" s="1060" t="n">
        <v>0.1264</v>
      </c>
      <c r="D19" s="1060" t="n">
        <v>0.0804</v>
      </c>
      <c r="E19" s="1060" t="n">
        <v>0</v>
      </c>
      <c r="F19" s="1061" t="inlineStr">
        <is>
          <t>B2</t>
        </is>
      </c>
      <c r="G19" s="1060" t="n">
        <v>0.0274</v>
      </c>
    </row>
    <row r="20">
      <c r="A20" s="1059" t="inlineStr">
        <is>
          <t>Bangladesh</t>
        </is>
      </c>
      <c r="B20" s="1060" t="n">
        <v>0.049</v>
      </c>
      <c r="C20" s="1060" t="n">
        <v>0.1118</v>
      </c>
      <c r="D20" s="1060" t="n">
        <v>0.0658</v>
      </c>
      <c r="E20" s="1060" t="n">
        <v>0.3</v>
      </c>
      <c r="F20" s="1061" t="inlineStr">
        <is>
          <t>B1</t>
        </is>
      </c>
      <c r="G20" s="1061" t="inlineStr">
        <is>
          <t>NA</t>
        </is>
      </c>
    </row>
    <row r="21">
      <c r="A21" s="1059" t="inlineStr">
        <is>
          <t>Barbados</t>
        </is>
      </c>
      <c r="B21" s="1060" t="n">
        <v>0.0708</v>
      </c>
      <c r="C21" s="1060" t="n">
        <v>0.1411</v>
      </c>
      <c r="D21" s="1060" t="n">
        <v>0.0951</v>
      </c>
      <c r="E21" s="1060" t="n">
        <v>0.055</v>
      </c>
      <c r="F21" s="1061" t="inlineStr">
        <is>
          <t>B3</t>
        </is>
      </c>
      <c r="G21" s="1061" t="inlineStr">
        <is>
          <t>NA</t>
        </is>
      </c>
    </row>
    <row r="22">
      <c r="A22" s="1059" t="inlineStr">
        <is>
          <t>Belarus</t>
        </is>
      </c>
      <c r="B22" s="1060" t="n">
        <v>0.175</v>
      </c>
      <c r="C22" s="1060" t="n">
        <v>0.2809</v>
      </c>
      <c r="D22" s="1060" t="n">
        <v>0.2349</v>
      </c>
      <c r="E22" s="1060" t="n">
        <v>0.18</v>
      </c>
      <c r="F22" s="1061" t="inlineStr">
        <is>
          <t>C</t>
        </is>
      </c>
      <c r="G22" s="1061" t="inlineStr">
        <is>
          <t>NA</t>
        </is>
      </c>
    </row>
    <row r="23">
      <c r="A23" s="1059" t="inlineStr">
        <is>
          <t>Belgium</t>
        </is>
      </c>
      <c r="B23" s="1060" t="n">
        <v>0.0065</v>
      </c>
      <c r="C23" s="1060" t="n">
        <v>0.0548</v>
      </c>
      <c r="D23" s="1060" t="n">
        <v>0.008800000000000001</v>
      </c>
      <c r="E23" s="1060" t="n">
        <v>0.25</v>
      </c>
      <c r="F23" s="1061" t="inlineStr">
        <is>
          <t>Aa3</t>
        </is>
      </c>
      <c r="G23" s="1060" t="n">
        <v>0.0033</v>
      </c>
    </row>
    <row r="24">
      <c r="A24" s="1059" t="inlineStr">
        <is>
          <t>Belize</t>
        </is>
      </c>
      <c r="B24" s="1060" t="n">
        <v>0.09810000000000001</v>
      </c>
      <c r="C24" s="1060" t="n">
        <v>0.1777</v>
      </c>
      <c r="D24" s="1060" t="n">
        <v>0.1317</v>
      </c>
      <c r="E24" s="1060" t="n">
        <v>0.2853</v>
      </c>
      <c r="F24" s="1061" t="inlineStr">
        <is>
          <t>Caa2</t>
        </is>
      </c>
      <c r="G24" s="1061" t="inlineStr">
        <is>
          <t>NA</t>
        </is>
      </c>
    </row>
    <row r="25">
      <c r="A25" s="1059" t="inlineStr">
        <is>
          <t>Benin</t>
        </is>
      </c>
      <c r="B25" s="1060" t="n">
        <v>0.049</v>
      </c>
      <c r="C25" s="1060" t="n">
        <v>0.1118</v>
      </c>
      <c r="D25" s="1060" t="n">
        <v>0.0658</v>
      </c>
      <c r="E25" s="1060" t="n">
        <v>0.3</v>
      </c>
      <c r="F25" s="1061" t="inlineStr">
        <is>
          <t>B1</t>
        </is>
      </c>
      <c r="G25" s="1061" t="inlineStr">
        <is>
          <t>NA</t>
        </is>
      </c>
    </row>
    <row r="26" ht="10.5" customHeight="1">
      <c r="A26" s="1059" t="inlineStr">
        <is>
          <t>Bermuda</t>
        </is>
      </c>
      <c r="B26" s="1060" t="n">
        <v>0.0092</v>
      </c>
      <c r="C26" s="1060" t="n">
        <v>0.0584</v>
      </c>
      <c r="D26" s="1060" t="n">
        <v>0.0124</v>
      </c>
      <c r="E26" s="1060" t="n">
        <v>0</v>
      </c>
      <c r="F26" s="1061" t="inlineStr">
        <is>
          <t>A2</t>
        </is>
      </c>
      <c r="G26" s="1061" t="inlineStr">
        <is>
          <t>NA</t>
        </is>
      </c>
    </row>
    <row r="27" ht="10.5" customHeight="1">
      <c r="A27" s="1059" t="inlineStr">
        <is>
          <t>Bolivia</t>
        </is>
      </c>
      <c r="B27" s="1060" t="n">
        <v>0.08169999999999999</v>
      </c>
      <c r="C27" s="1060" t="n">
        <v>0.1557</v>
      </c>
      <c r="D27" s="1060" t="n">
        <v>0.1097</v>
      </c>
      <c r="E27" s="1060" t="n">
        <v>0.25</v>
      </c>
      <c r="F27" s="1061" t="inlineStr">
        <is>
          <t>Caa1</t>
        </is>
      </c>
      <c r="G27" s="1061" t="inlineStr">
        <is>
          <t>NA</t>
        </is>
      </c>
    </row>
    <row r="28" ht="10.5" customHeight="1">
      <c r="A28" s="1059" t="inlineStr">
        <is>
          <t>Bosnia and Herzegovina</t>
        </is>
      </c>
      <c r="B28" s="1060" t="n">
        <v>0.0708</v>
      </c>
      <c r="C28" s="1060" t="n">
        <v>0.1411</v>
      </c>
      <c r="D28" s="1060" t="n">
        <v>0.0951</v>
      </c>
      <c r="E28" s="1060" t="n">
        <v>0.1</v>
      </c>
      <c r="F28" s="1061" t="inlineStr">
        <is>
          <t>B3</t>
        </is>
      </c>
      <c r="G28" s="1061" t="inlineStr">
        <is>
          <t>NA</t>
        </is>
      </c>
    </row>
    <row r="29" ht="10.5" customHeight="1">
      <c r="A29" s="1059" t="inlineStr">
        <is>
          <t>Botswana</t>
        </is>
      </c>
      <c r="B29" s="1060" t="n">
        <v>0.0131</v>
      </c>
      <c r="C29" s="1060" t="n">
        <v>0.0635</v>
      </c>
      <c r="D29" s="1060" t="n">
        <v>0.0175</v>
      </c>
      <c r="E29" s="1060" t="n">
        <v>0.22</v>
      </c>
      <c r="F29" s="1061" t="inlineStr">
        <is>
          <t>A3</t>
        </is>
      </c>
      <c r="G29" s="1061" t="inlineStr">
        <is>
          <t>NA</t>
        </is>
      </c>
    </row>
    <row r="30" ht="10.5" customHeight="1">
      <c r="A30" s="1059" t="inlineStr">
        <is>
          <t>Brazil</t>
        </is>
      </c>
      <c r="B30" s="1060" t="n">
        <v>0.0328</v>
      </c>
      <c r="C30" s="1060" t="n">
        <v>0.09</v>
      </c>
      <c r="D30" s="1060" t="n">
        <v>0.044</v>
      </c>
      <c r="E30" s="1060" t="n">
        <v>0.34</v>
      </c>
      <c r="F30" s="1061" t="inlineStr">
        <is>
          <t>Ba2</t>
        </is>
      </c>
      <c r="G30" s="1060" t="n">
        <v>0.0239</v>
      </c>
    </row>
    <row r="31" ht="10.5" customHeight="1">
      <c r="A31" s="1059" t="inlineStr">
        <is>
          <t>British Virgin Islands</t>
        </is>
      </c>
      <c r="B31" s="1060" t="n">
        <v>0.0328</v>
      </c>
      <c r="C31" s="1060" t="n">
        <v>0.09</v>
      </c>
      <c r="D31" s="1060" t="n">
        <v>0.044</v>
      </c>
      <c r="E31" s="1060" t="n">
        <v>0.34</v>
      </c>
      <c r="F31" s="1061" t="inlineStr">
        <is>
          <t>Ba2</t>
        </is>
      </c>
      <c r="G31" s="1061" t="inlineStr">
        <is>
          <t>NA</t>
        </is>
      </c>
    </row>
    <row r="32" ht="10.5" customHeight="1">
      <c r="A32" s="1059" t="inlineStr">
        <is>
          <t>Brunei</t>
        </is>
      </c>
      <c r="B32" s="1060" t="n">
        <v>0.0065</v>
      </c>
      <c r="C32" s="1060" t="n">
        <v>0.0548</v>
      </c>
      <c r="D32" s="1060" t="n">
        <v>0.008800000000000001</v>
      </c>
      <c r="E32" s="1060" t="n">
        <v>0.185</v>
      </c>
      <c r="F32" s="1061" t="inlineStr">
        <is>
          <t>NR</t>
        </is>
      </c>
      <c r="G32" s="1061" t="inlineStr">
        <is>
          <t>NA</t>
        </is>
      </c>
    </row>
    <row r="33" ht="10.5" customHeight="1">
      <c r="A33" s="1059" t="inlineStr">
        <is>
          <t>Bulgaria</t>
        </is>
      </c>
      <c r="B33" s="1060" t="n">
        <v>0.0174</v>
      </c>
      <c r="C33" s="1060" t="n">
        <v>0.0694</v>
      </c>
      <c r="D33" s="1060" t="n">
        <v>0.0234</v>
      </c>
      <c r="E33" s="1060" t="n">
        <v>0.1</v>
      </c>
      <c r="F33" s="1061" t="inlineStr">
        <is>
          <t>Baa1</t>
        </is>
      </c>
      <c r="G33" s="1060" t="n">
        <v>0.0147</v>
      </c>
    </row>
    <row r="34" ht="10.5" customHeight="1">
      <c r="A34" s="1059" t="inlineStr">
        <is>
          <t>Burkina Faso</t>
        </is>
      </c>
      <c r="B34" s="1060" t="n">
        <v>0.08169999999999999</v>
      </c>
      <c r="C34" s="1060" t="n">
        <v>0.1557</v>
      </c>
      <c r="D34" s="1060" t="n">
        <v>0.1097</v>
      </c>
      <c r="E34" s="1060" t="n">
        <v>0.28</v>
      </c>
      <c r="F34" s="1061" t="inlineStr">
        <is>
          <t>Caa1</t>
        </is>
      </c>
      <c r="G34" s="1061" t="inlineStr">
        <is>
          <t>NA</t>
        </is>
      </c>
    </row>
    <row r="35" ht="10.5" customHeight="1">
      <c r="A35" s="1059" t="inlineStr">
        <is>
          <t>Cambodia</t>
        </is>
      </c>
      <c r="B35" s="1060" t="n">
        <v>0.0599</v>
      </c>
      <c r="C35" s="1060" t="n">
        <v>0.1264</v>
      </c>
      <c r="D35" s="1060" t="n">
        <v>0.0804</v>
      </c>
      <c r="E35" s="1060" t="n">
        <v>0.2</v>
      </c>
      <c r="F35" s="1061" t="inlineStr">
        <is>
          <t>B2</t>
        </is>
      </c>
      <c r="G35" s="1061" t="inlineStr">
        <is>
          <t>NA</t>
        </is>
      </c>
    </row>
    <row r="36" ht="10.5" customHeight="1">
      <c r="A36" s="1059" t="inlineStr">
        <is>
          <t>Cameroon</t>
        </is>
      </c>
      <c r="B36" s="1060" t="n">
        <v>0.08169999999999999</v>
      </c>
      <c r="C36" s="1060" t="n">
        <v>0.1557</v>
      </c>
      <c r="D36" s="1060" t="n">
        <v>0.1097</v>
      </c>
      <c r="E36" s="1060" t="n">
        <v>0.33</v>
      </c>
      <c r="F36" s="1061" t="inlineStr">
        <is>
          <t>Caa1</t>
        </is>
      </c>
      <c r="G36" s="1060" t="n">
        <v>0.0914</v>
      </c>
    </row>
    <row r="37" ht="10.5" customHeight="1">
      <c r="A37" s="1059" t="inlineStr">
        <is>
          <t>Canada</t>
        </is>
      </c>
      <c r="B37" s="1060" t="n">
        <v>0</v>
      </c>
      <c r="C37" s="1060" t="n">
        <v>0.046</v>
      </c>
      <c r="D37" s="1060" t="n">
        <v>0</v>
      </c>
      <c r="E37" s="1060" t="n">
        <v>0.265</v>
      </c>
      <c r="F37" s="1061" t="inlineStr">
        <is>
          <t>Aaa</t>
        </is>
      </c>
      <c r="G37" s="1060" t="n">
        <v>0.0044</v>
      </c>
    </row>
    <row r="38" ht="10.5" customHeight="1">
      <c r="A38" s="1059" t="inlineStr">
        <is>
          <t>Cape Verde</t>
        </is>
      </c>
      <c r="B38" s="1060" t="n">
        <v>0.0708</v>
      </c>
      <c r="C38" s="1060" t="n">
        <v>0.1411</v>
      </c>
      <c r="D38" s="1060" t="n">
        <v>0.0951</v>
      </c>
      <c r="E38" s="1060" t="n">
        <v>0</v>
      </c>
      <c r="F38" s="1061" t="inlineStr">
        <is>
          <t>B3</t>
        </is>
      </c>
      <c r="G38" s="1061" t="inlineStr">
        <is>
          <t>NA</t>
        </is>
      </c>
    </row>
    <row r="39" ht="10.5" customHeight="1">
      <c r="A39" s="1059" t="inlineStr">
        <is>
          <t>Cayman Islands</t>
        </is>
      </c>
      <c r="B39" s="1060" t="n">
        <v>0.0065</v>
      </c>
      <c r="C39" s="1060" t="n">
        <v>0.0548</v>
      </c>
      <c r="D39" s="1060" t="n">
        <v>0.008800000000000001</v>
      </c>
      <c r="E39" s="1060" t="n">
        <v>0</v>
      </c>
      <c r="F39" s="1061" t="inlineStr">
        <is>
          <t>Aa3</t>
        </is>
      </c>
      <c r="G39" s="1061" t="inlineStr">
        <is>
          <t>NA</t>
        </is>
      </c>
    </row>
    <row r="40" ht="10.5" customHeight="1">
      <c r="A40" s="1059" t="inlineStr">
        <is>
          <t>Channel Islands</t>
        </is>
      </c>
      <c r="B40" s="1060" t="n">
        <v>0.009599999999999999</v>
      </c>
      <c r="C40" s="1060" t="n">
        <v>0.0589</v>
      </c>
      <c r="D40" s="1060" t="n">
        <v>0.0589</v>
      </c>
      <c r="E40" s="1060" t="n">
        <v>0.2471</v>
      </c>
      <c r="F40" s="1061" t="inlineStr">
        <is>
          <t>NR</t>
        </is>
      </c>
      <c r="G40" s="1061" t="inlineStr">
        <is>
          <t>NA</t>
        </is>
      </c>
    </row>
    <row r="41" ht="10.5" customHeight="1">
      <c r="A41" s="1059" t="inlineStr">
        <is>
          <t>Chile</t>
        </is>
      </c>
      <c r="B41" s="1060" t="n">
        <v>0.0092</v>
      </c>
      <c r="C41" s="1060" t="n">
        <v>0.0584</v>
      </c>
      <c r="D41" s="1060" t="n">
        <v>0.0124</v>
      </c>
      <c r="E41" s="1060" t="n">
        <v>0.27</v>
      </c>
      <c r="F41" s="1061" t="inlineStr">
        <is>
          <t>A2</t>
        </is>
      </c>
      <c r="G41" s="1060" t="n">
        <v>0.0115</v>
      </c>
    </row>
    <row r="42" ht="10.5" customHeight="1">
      <c r="A42" s="1059" t="inlineStr">
        <is>
          <t>China</t>
        </is>
      </c>
      <c r="B42" s="1060" t="n">
        <v>0.0077</v>
      </c>
      <c r="C42" s="1060" t="n">
        <v>0.0563</v>
      </c>
      <c r="D42" s="1060" t="n">
        <v>0.0103</v>
      </c>
      <c r="E42" s="1060" t="n">
        <v>0.25</v>
      </c>
      <c r="F42" s="1061" t="inlineStr">
        <is>
          <t>A1</t>
        </is>
      </c>
      <c r="G42" s="1060" t="n">
        <v>0.009900000000000001</v>
      </c>
    </row>
    <row r="43" ht="10.5" customHeight="1">
      <c r="A43" s="1059" t="inlineStr">
        <is>
          <t>Colombia</t>
        </is>
      </c>
      <c r="B43" s="1060" t="n">
        <v>0.0207</v>
      </c>
      <c r="C43" s="1060" t="n">
        <v>0.0738</v>
      </c>
      <c r="D43" s="1060" t="n">
        <v>0.0278</v>
      </c>
      <c r="E43" s="1060" t="n">
        <v>0.35</v>
      </c>
      <c r="F43" s="1061" t="inlineStr">
        <is>
          <t>Baa2</t>
        </is>
      </c>
      <c r="G43" s="1060" t="n">
        <v>0.0274</v>
      </c>
    </row>
    <row r="44" ht="10.5" customHeight="1">
      <c r="A44" s="1059" t="inlineStr">
        <is>
          <t>Congo (Democratic Republic</t>
        </is>
      </c>
      <c r="B44" s="1060" t="n">
        <v>0.0708</v>
      </c>
      <c r="C44" s="1060" t="n">
        <v>0.1411</v>
      </c>
      <c r="D44" s="1060" t="n">
        <v>0.0951</v>
      </c>
      <c r="E44" s="1060" t="n">
        <v>0.3</v>
      </c>
      <c r="F44" s="1061" t="inlineStr">
        <is>
          <t>B3</t>
        </is>
      </c>
      <c r="G44" s="1061" t="inlineStr">
        <is>
          <t>NA</t>
        </is>
      </c>
    </row>
    <row r="45" ht="10.5" customHeight="1">
      <c r="A45" s="1059" t="inlineStr">
        <is>
          <t>Congo (Republic of)</t>
        </is>
      </c>
      <c r="B45" s="1060" t="n">
        <v>0.09810000000000001</v>
      </c>
      <c r="C45" s="1060" t="n">
        <v>0.1777</v>
      </c>
      <c r="D45" s="1060" t="n">
        <v>0.1317</v>
      </c>
      <c r="E45" s="1060" t="n">
        <v>0.28</v>
      </c>
      <c r="F45" s="1061" t="inlineStr">
        <is>
          <t>Caa2</t>
        </is>
      </c>
      <c r="G45" s="1061" t="inlineStr">
        <is>
          <t>NA</t>
        </is>
      </c>
    </row>
    <row r="46" ht="10.5" customHeight="1">
      <c r="A46" s="1059" t="inlineStr">
        <is>
          <t>Cook Islands</t>
        </is>
      </c>
      <c r="B46" s="1060" t="n">
        <v>0.049</v>
      </c>
      <c r="C46" s="1060" t="n">
        <v>0.1118</v>
      </c>
      <c r="D46" s="1060" t="n">
        <v>0.0658</v>
      </c>
      <c r="E46" s="1060" t="n">
        <v>0.2974</v>
      </c>
      <c r="F46" s="1061" t="inlineStr">
        <is>
          <t>B1</t>
        </is>
      </c>
      <c r="G46" s="1061" t="inlineStr">
        <is>
          <t>NA</t>
        </is>
      </c>
    </row>
    <row r="47" ht="10.5" customHeight="1">
      <c r="A47" s="1059" t="inlineStr">
        <is>
          <t>Costa Rica</t>
        </is>
      </c>
      <c r="B47" s="1060" t="n">
        <v>0.049</v>
      </c>
      <c r="C47" s="1060" t="n">
        <v>0.1118</v>
      </c>
      <c r="D47" s="1060" t="n">
        <v>0.0658</v>
      </c>
      <c r="E47" s="1060" t="n">
        <v>0.3</v>
      </c>
      <c r="F47" s="1061" t="inlineStr">
        <is>
          <t>B1</t>
        </is>
      </c>
      <c r="G47" s="1060" t="n">
        <v>0.0311</v>
      </c>
    </row>
    <row r="48" ht="10.5" customHeight="1">
      <c r="A48" s="1059" t="inlineStr">
        <is>
          <t>Croatia</t>
        </is>
      </c>
      <c r="B48" s="1060" t="n">
        <v>0.0207</v>
      </c>
      <c r="C48" s="1060" t="n">
        <v>0.0738</v>
      </c>
      <c r="D48" s="1060" t="n">
        <v>0.0278</v>
      </c>
      <c r="E48" s="1060" t="n">
        <v>0.18</v>
      </c>
      <c r="F48" s="1061" t="inlineStr">
        <is>
          <t>Baa2</t>
        </is>
      </c>
      <c r="G48" s="1060" t="n">
        <v>0.0134</v>
      </c>
    </row>
    <row r="49" ht="10.5" customHeight="1">
      <c r="A49" s="1059" t="inlineStr">
        <is>
          <t>Cuba</t>
        </is>
      </c>
      <c r="B49" s="1060" t="n">
        <v>0.1307</v>
      </c>
      <c r="C49" s="1060" t="n">
        <v>0.2215</v>
      </c>
      <c r="D49" s="1060" t="n">
        <v>0.1755</v>
      </c>
      <c r="E49" s="1060" t="n">
        <v>0.2853</v>
      </c>
      <c r="F49" s="1061" t="inlineStr">
        <is>
          <t>Ca</t>
        </is>
      </c>
      <c r="G49" s="1061" t="inlineStr">
        <is>
          <t>NA</t>
        </is>
      </c>
    </row>
    <row r="50" ht="10.5" customHeight="1">
      <c r="A50" s="1062" t="inlineStr">
        <is>
          <t>Curaçao</t>
        </is>
      </c>
      <c r="B50" s="1060" t="n">
        <v>0.0207</v>
      </c>
      <c r="C50" s="1060" t="n">
        <v>0.0738</v>
      </c>
      <c r="D50" s="1060" t="n">
        <v>0.0278</v>
      </c>
      <c r="E50" s="1060" t="n">
        <v>0.22</v>
      </c>
      <c r="F50" s="1061" t="inlineStr">
        <is>
          <t>Baa2</t>
        </is>
      </c>
      <c r="G50" s="1061" t="inlineStr">
        <is>
          <t>NA</t>
        </is>
      </c>
    </row>
    <row r="51" ht="10.5" customHeight="1">
      <c r="A51" s="1059" t="inlineStr">
        <is>
          <t>Cyprus</t>
        </is>
      </c>
      <c r="B51" s="1060" t="n">
        <v>0.0207</v>
      </c>
      <c r="C51" s="1060" t="n">
        <v>0.0738</v>
      </c>
      <c r="D51" s="1060" t="n">
        <v>0.0278</v>
      </c>
      <c r="E51" s="1060" t="n">
        <v>0.125</v>
      </c>
      <c r="F51" s="1061" t="inlineStr">
        <is>
          <t>Baa2</t>
        </is>
      </c>
      <c r="G51" s="1060" t="n">
        <v>0.0111</v>
      </c>
    </row>
    <row r="52" ht="10.5" customHeight="1">
      <c r="A52" s="1059" t="inlineStr">
        <is>
          <t>Czech Republic</t>
        </is>
      </c>
      <c r="B52" s="1060" t="n">
        <v>0.0065</v>
      </c>
      <c r="C52" s="1060" t="n">
        <v>0.0548</v>
      </c>
      <c r="D52" s="1060" t="n">
        <v>0.008800000000000001</v>
      </c>
      <c r="E52" s="1060" t="n">
        <v>0.19</v>
      </c>
      <c r="F52" s="1061" t="inlineStr">
        <is>
          <t>Aa3</t>
        </is>
      </c>
      <c r="G52" s="1060" t="n">
        <v>0.0056</v>
      </c>
    </row>
    <row r="53" ht="10.5" customHeight="1">
      <c r="A53" s="1059" t="inlineStr">
        <is>
          <t>Denmark</t>
        </is>
      </c>
      <c r="B53" s="1060" t="n">
        <v>0</v>
      </c>
      <c r="C53" s="1060" t="n">
        <v>0.046</v>
      </c>
      <c r="D53" s="1060" t="n">
        <v>0</v>
      </c>
      <c r="E53" s="1060" t="n">
        <v>0.22</v>
      </c>
      <c r="F53" s="1061" t="inlineStr">
        <is>
          <t>Aaa</t>
        </is>
      </c>
      <c r="G53" s="1060" t="n">
        <v>0.0024</v>
      </c>
    </row>
    <row r="54" ht="10.5" customHeight="1">
      <c r="A54" s="1059" t="inlineStr">
        <is>
          <t>Dominican Republic</t>
        </is>
      </c>
      <c r="B54" s="1060" t="n">
        <v>0.0392</v>
      </c>
      <c r="C54" s="1060" t="n">
        <v>0.09859999999999999</v>
      </c>
      <c r="D54" s="1060" t="n">
        <v>0.0526</v>
      </c>
      <c r="E54" s="1060" t="n">
        <v>0.27</v>
      </c>
      <c r="F54" s="1061" t="inlineStr">
        <is>
          <t>Ba3</t>
        </is>
      </c>
      <c r="G54" s="1061" t="inlineStr">
        <is>
          <t>NA</t>
        </is>
      </c>
    </row>
    <row r="55" ht="10.5" customHeight="1">
      <c r="A55" s="1059" t="inlineStr">
        <is>
          <t>Ecuador</t>
        </is>
      </c>
      <c r="B55" s="1060" t="n">
        <v>0.109</v>
      </c>
      <c r="C55" s="1060" t="n">
        <v>0.1923</v>
      </c>
      <c r="D55" s="1060" t="n">
        <v>0.1463</v>
      </c>
      <c r="E55" s="1060" t="n">
        <v>0.25</v>
      </c>
      <c r="F55" s="1061" t="inlineStr">
        <is>
          <t>Caa3</t>
        </is>
      </c>
      <c r="G55" s="1060" t="n">
        <v>0.5274</v>
      </c>
    </row>
    <row r="56" ht="10.5" customHeight="1">
      <c r="A56" s="1059" t="inlineStr">
        <is>
          <t>Egypt</t>
        </is>
      </c>
      <c r="B56" s="1060" t="n">
        <v>0.08169999999999999</v>
      </c>
      <c r="C56" s="1060" t="n">
        <v>0.1557</v>
      </c>
      <c r="D56" s="1060" t="n">
        <v>0.1097</v>
      </c>
      <c r="E56" s="1060" t="n">
        <v>0.225</v>
      </c>
      <c r="F56" s="1061" t="inlineStr">
        <is>
          <t>Caa1</t>
        </is>
      </c>
      <c r="G56" s="1060" t="n">
        <v>0.1013</v>
      </c>
    </row>
    <row r="57" ht="10.5" customHeight="1">
      <c r="A57" s="1059" t="inlineStr">
        <is>
          <t>El Salvador</t>
        </is>
      </c>
      <c r="B57" s="1060" t="n">
        <v>0.109</v>
      </c>
      <c r="C57" s="1060" t="n">
        <v>0.1923</v>
      </c>
      <c r="D57" s="1060" t="n">
        <v>0.1463</v>
      </c>
      <c r="E57" s="1060" t="n">
        <v>0.3</v>
      </c>
      <c r="F57" s="1061" t="inlineStr">
        <is>
          <t>Caa3</t>
        </is>
      </c>
      <c r="G57" s="1060" t="n">
        <v>0.08400000000000001</v>
      </c>
    </row>
    <row r="58" ht="10.5" customHeight="1">
      <c r="A58" s="1059" t="inlineStr">
        <is>
          <t>Estonia</t>
        </is>
      </c>
      <c r="B58" s="1060" t="n">
        <v>0.0077</v>
      </c>
      <c r="C58" s="1060" t="n">
        <v>0.0563</v>
      </c>
      <c r="D58" s="1060" t="n">
        <v>0.0103</v>
      </c>
      <c r="E58" s="1060" t="n">
        <v>0.2</v>
      </c>
      <c r="F58" s="1061" t="inlineStr">
        <is>
          <t>A1</t>
        </is>
      </c>
      <c r="G58" s="1060" t="n">
        <v>0.006</v>
      </c>
    </row>
    <row r="59" ht="10.5" customHeight="1">
      <c r="A59" s="1059" t="inlineStr">
        <is>
          <t>Ethiopia</t>
        </is>
      </c>
      <c r="B59" s="1060" t="n">
        <v>0.09810000000000001</v>
      </c>
      <c r="C59" s="1060" t="n">
        <v>0.1777</v>
      </c>
      <c r="D59" s="1060" t="n">
        <v>0.1317</v>
      </c>
      <c r="E59" s="1060" t="n">
        <v>0.3</v>
      </c>
      <c r="F59" s="1061" t="inlineStr">
        <is>
          <t>Caa2</t>
        </is>
      </c>
      <c r="G59" s="1060" t="n">
        <v>0.3231</v>
      </c>
    </row>
    <row r="60" ht="10.5" customHeight="1">
      <c r="A60" s="1059" t="inlineStr">
        <is>
          <t>Falkland Islands</t>
        </is>
      </c>
      <c r="B60" s="1060" t="n">
        <v>0.0429</v>
      </c>
      <c r="C60" s="1060" t="n">
        <v>0.1036</v>
      </c>
      <c r="D60" s="1060" t="n">
        <v>0.1036</v>
      </c>
      <c r="E60" s="1060" t="n">
        <v>0.316</v>
      </c>
      <c r="F60" s="1061" t="inlineStr">
        <is>
          <t>NR</t>
        </is>
      </c>
      <c r="G60" s="1061" t="inlineStr">
        <is>
          <t>NA</t>
        </is>
      </c>
    </row>
    <row r="61" ht="10.5" customHeight="1">
      <c r="A61" s="1059" t="inlineStr">
        <is>
          <t>Fiji</t>
        </is>
      </c>
      <c r="B61" s="1060" t="n">
        <v>0.049</v>
      </c>
      <c r="C61" s="1060" t="n">
        <v>0.1118</v>
      </c>
      <c r="D61" s="1060" t="n">
        <v>0.0658</v>
      </c>
      <c r="E61" s="1060" t="n">
        <v>0.2</v>
      </c>
      <c r="F61" s="1061" t="inlineStr">
        <is>
          <t>B1</t>
        </is>
      </c>
      <c r="G61" s="1061" t="inlineStr">
        <is>
          <t>NA</t>
        </is>
      </c>
    </row>
    <row r="62" ht="10.5" customHeight="1">
      <c r="A62" s="1059" t="inlineStr">
        <is>
          <t>Finland</t>
        </is>
      </c>
      <c r="B62" s="1060" t="n">
        <v>0.0044</v>
      </c>
      <c r="C62" s="1060" t="n">
        <v>0.0518</v>
      </c>
      <c r="D62" s="1060" t="n">
        <v>0.0058</v>
      </c>
      <c r="E62" s="1060" t="n">
        <v>0.2</v>
      </c>
      <c r="F62" s="1061" t="inlineStr">
        <is>
          <t>Aa1</t>
        </is>
      </c>
      <c r="G62" s="1060" t="n">
        <v>0.0034</v>
      </c>
    </row>
    <row r="63" ht="10.5" customHeight="1">
      <c r="A63" s="1059" t="inlineStr">
        <is>
          <t>France</t>
        </is>
      </c>
      <c r="B63" s="1060" t="n">
        <v>0.0054</v>
      </c>
      <c r="C63" s="1060" t="n">
        <v>0.0532</v>
      </c>
      <c r="D63" s="1060" t="n">
        <v>0.0072</v>
      </c>
      <c r="E63" s="1060" t="n">
        <v>0.25</v>
      </c>
      <c r="F63" s="1061" t="inlineStr">
        <is>
          <t>Aa2</t>
        </is>
      </c>
      <c r="G63" s="1060" t="n">
        <v>0.0043</v>
      </c>
    </row>
    <row r="64" ht="10.5" customHeight="1">
      <c r="A64" s="1059" t="inlineStr">
        <is>
          <t>French Guiana</t>
        </is>
      </c>
      <c r="B64" s="1060" t="n">
        <v>0.0429</v>
      </c>
      <c r="C64" s="1060" t="n">
        <v>0.1036</v>
      </c>
      <c r="D64" s="1060" t="n">
        <v>0.1036</v>
      </c>
      <c r="E64" s="1060" t="n">
        <v>0.316</v>
      </c>
      <c r="F64" s="1061" t="inlineStr">
        <is>
          <t>NR</t>
        </is>
      </c>
      <c r="G64" s="1061" t="inlineStr">
        <is>
          <t>NA</t>
        </is>
      </c>
    </row>
    <row r="65" ht="10.5" customHeight="1">
      <c r="A65" s="1059" t="inlineStr">
        <is>
          <t>Gabon</t>
        </is>
      </c>
      <c r="B65" s="1060" t="n">
        <v>0.08169999999999999</v>
      </c>
      <c r="C65" s="1060" t="n">
        <v>0.1557</v>
      </c>
      <c r="D65" s="1060" t="n">
        <v>0.1097</v>
      </c>
      <c r="E65" s="1060" t="n">
        <v>0.3</v>
      </c>
      <c r="F65" s="1061" t="inlineStr">
        <is>
          <t>Caa1</t>
        </is>
      </c>
      <c r="G65" s="1060" t="n">
        <v>0.06850000000000001</v>
      </c>
    </row>
    <row r="66" ht="10.5" customHeight="1">
      <c r="A66" s="1059" t="inlineStr">
        <is>
          <t>Gambia</t>
        </is>
      </c>
      <c r="B66" s="1060" t="n">
        <v>0.049</v>
      </c>
      <c r="C66" s="1060" t="n">
        <v>0.1118</v>
      </c>
      <c r="D66" s="1060" t="n">
        <v>0.0658</v>
      </c>
      <c r="E66" s="1060" t="n">
        <v>0.31</v>
      </c>
      <c r="F66" s="1061" t="inlineStr">
        <is>
          <t>NR</t>
        </is>
      </c>
      <c r="G66" s="1061" t="inlineStr">
        <is>
          <t>NA</t>
        </is>
      </c>
    </row>
    <row r="67" ht="10.5" customHeight="1">
      <c r="A67" s="1059" t="inlineStr">
        <is>
          <t>Georgia</t>
        </is>
      </c>
      <c r="B67" s="1060" t="n">
        <v>0.0328</v>
      </c>
      <c r="C67" s="1060" t="n">
        <v>0.09</v>
      </c>
      <c r="D67" s="1060" t="n">
        <v>0.044</v>
      </c>
      <c r="E67" s="1060" t="n">
        <v>0.15</v>
      </c>
      <c r="F67" s="1061" t="inlineStr">
        <is>
          <t>Ba2</t>
        </is>
      </c>
      <c r="G67" s="1061" t="inlineStr">
        <is>
          <t>NA</t>
        </is>
      </c>
    </row>
    <row r="68" ht="10.5" customHeight="1">
      <c r="A68" s="1059" t="inlineStr">
        <is>
          <t>Germany</t>
        </is>
      </c>
      <c r="B68" s="1060" t="n">
        <v>0</v>
      </c>
      <c r="C68" s="1060" t="n">
        <v>0.046</v>
      </c>
      <c r="D68" s="1060" t="n">
        <v>0</v>
      </c>
      <c r="E68" s="1060" t="n">
        <v>0.3</v>
      </c>
      <c r="F68" s="1061" t="inlineStr">
        <is>
          <t>Aaa</t>
        </is>
      </c>
      <c r="G68" s="1060" t="n">
        <v>0.0029</v>
      </c>
    </row>
    <row r="69" ht="10.5" customHeight="1">
      <c r="A69" s="1059" t="inlineStr">
        <is>
          <t>Ghana</t>
        </is>
      </c>
      <c r="B69" s="1060" t="n">
        <v>0.109</v>
      </c>
      <c r="C69" s="1060" t="n">
        <v>0.1923</v>
      </c>
      <c r="D69" s="1060" t="n">
        <v>0.1463</v>
      </c>
      <c r="E69" s="1060" t="n">
        <v>0.25</v>
      </c>
      <c r="F69" s="1061" t="inlineStr">
        <is>
          <t>Caa3</t>
        </is>
      </c>
      <c r="G69" s="1061" t="inlineStr">
        <is>
          <t>NA</t>
        </is>
      </c>
    </row>
    <row r="70" ht="10.5" customHeight="1">
      <c r="A70" s="1059" t="inlineStr">
        <is>
          <t>Gibraltar</t>
        </is>
      </c>
      <c r="B70" s="1060" t="n">
        <v>0.009599999999999999</v>
      </c>
      <c r="C70" s="1060" t="n">
        <v>0.0589</v>
      </c>
      <c r="D70" s="1060" t="n">
        <v>0.0589</v>
      </c>
      <c r="E70" s="1060" t="n">
        <v>0.2471</v>
      </c>
      <c r="F70" s="1061" t="inlineStr">
        <is>
          <t>NR</t>
        </is>
      </c>
      <c r="G70" s="1061" t="inlineStr">
        <is>
          <t>NA</t>
        </is>
      </c>
    </row>
    <row r="71" ht="10.5" customHeight="1">
      <c r="A71" s="1059" t="inlineStr">
        <is>
          <t>Greece</t>
        </is>
      </c>
      <c r="B71" s="1060" t="n">
        <v>0.0273</v>
      </c>
      <c r="C71" s="1060" t="n">
        <v>0.08260000000000001</v>
      </c>
      <c r="D71" s="1060" t="n">
        <v>0.0366</v>
      </c>
      <c r="E71" s="1060" t="n">
        <v>0.22</v>
      </c>
      <c r="F71" s="1061" t="inlineStr">
        <is>
          <t>Ba1</t>
        </is>
      </c>
      <c r="G71" s="1060" t="n">
        <v>0.0128</v>
      </c>
    </row>
    <row r="72" ht="10.5" customHeight="1">
      <c r="A72" s="1059" t="inlineStr">
        <is>
          <t>Greenland</t>
        </is>
      </c>
      <c r="B72" s="1060" t="n">
        <v>0</v>
      </c>
      <c r="C72" s="1061" t="inlineStr">
        <is>
          <t>NA</t>
        </is>
      </c>
      <c r="D72" s="1061" t="inlineStr">
        <is>
          <t>NA</t>
        </is>
      </c>
      <c r="E72" s="1060" t="n">
        <v>0</v>
      </c>
      <c r="F72" s="1061" t="inlineStr">
        <is>
          <t>NR</t>
        </is>
      </c>
      <c r="G72" s="1061" t="inlineStr">
        <is>
          <t>NA</t>
        </is>
      </c>
    </row>
    <row r="73" ht="10.5" customHeight="1">
      <c r="A73" s="1059" t="inlineStr">
        <is>
          <t>Guatemala</t>
        </is>
      </c>
      <c r="B73" s="1060" t="n">
        <v>0.0273</v>
      </c>
      <c r="C73" s="1060" t="n">
        <v>0.08260000000000001</v>
      </c>
      <c r="D73" s="1060" t="n">
        <v>0.0366</v>
      </c>
      <c r="E73" s="1060" t="n">
        <v>0.25</v>
      </c>
      <c r="F73" s="1061" t="inlineStr">
        <is>
          <t>Ba1</t>
        </is>
      </c>
      <c r="G73" s="1061" t="inlineStr">
        <is>
          <t>NA</t>
        </is>
      </c>
    </row>
    <row r="74" ht="10.5" customHeight="1">
      <c r="A74" s="1059" t="inlineStr">
        <is>
          <t>Guernsey (States of)</t>
        </is>
      </c>
      <c r="B74" s="1060" t="n">
        <v>0.0077</v>
      </c>
      <c r="C74" s="1060" t="n">
        <v>0.0563</v>
      </c>
      <c r="D74" s="1060" t="n">
        <v>0.0103</v>
      </c>
      <c r="E74" s="1060" t="n">
        <v>0</v>
      </c>
      <c r="F74" s="1061" t="inlineStr">
        <is>
          <t>A1</t>
        </is>
      </c>
      <c r="G74" s="1061" t="inlineStr">
        <is>
          <t>NA</t>
        </is>
      </c>
    </row>
    <row r="75" ht="10.5" customHeight="1">
      <c r="A75" s="1059" t="inlineStr">
        <is>
          <t>Guinea</t>
        </is>
      </c>
      <c r="B75" s="1060" t="n">
        <v>0.09810000000000001</v>
      </c>
      <c r="C75" s="1060" t="n">
        <v>0.1777</v>
      </c>
      <c r="D75" s="1060" t="n">
        <v>0.1317</v>
      </c>
      <c r="E75" s="1060" t="n">
        <v>0.2915</v>
      </c>
      <c r="F75" s="1061" t="inlineStr">
        <is>
          <t>NR</t>
        </is>
      </c>
      <c r="G75" s="1061" t="inlineStr">
        <is>
          <t>NA</t>
        </is>
      </c>
    </row>
    <row r="76" ht="10.5" customHeight="1">
      <c r="A76" s="1059" t="inlineStr">
        <is>
          <t>Guinea-Bissau</t>
        </is>
      </c>
      <c r="B76" s="1060" t="n">
        <v>0.0599</v>
      </c>
      <c r="C76" s="1060" t="n">
        <v>0.1264</v>
      </c>
      <c r="D76" s="1060" t="n">
        <v>0.0804</v>
      </c>
      <c r="E76" s="1060" t="n">
        <v>0.2915</v>
      </c>
      <c r="F76" s="1061" t="inlineStr">
        <is>
          <t>NR</t>
        </is>
      </c>
      <c r="G76" s="1061" t="inlineStr">
        <is>
          <t>NA</t>
        </is>
      </c>
    </row>
    <row r="77" ht="10.5" customHeight="1">
      <c r="A77" s="1059" t="inlineStr">
        <is>
          <t>Guyana</t>
        </is>
      </c>
      <c r="B77" s="1060" t="n">
        <v>0.0174</v>
      </c>
      <c r="C77" s="1060" t="n">
        <v>0.0694</v>
      </c>
      <c r="D77" s="1060" t="n">
        <v>0.0234</v>
      </c>
      <c r="E77" s="1060" t="n">
        <v>0.1864</v>
      </c>
      <c r="F77" s="1061" t="inlineStr">
        <is>
          <t>NR</t>
        </is>
      </c>
      <c r="G77" s="1061" t="inlineStr">
        <is>
          <t>NA</t>
        </is>
      </c>
    </row>
    <row r="78" ht="10.5" customHeight="1">
      <c r="A78" s="1059" t="inlineStr">
        <is>
          <t>Haiti</t>
        </is>
      </c>
      <c r="B78" s="1060" t="n">
        <v>0.109</v>
      </c>
      <c r="C78" s="1060" t="n">
        <v>0.1923</v>
      </c>
      <c r="D78" s="1060" t="n">
        <v>0.1463</v>
      </c>
      <c r="E78" s="1060" t="n">
        <v>0.1864</v>
      </c>
      <c r="F78" s="1061" t="inlineStr">
        <is>
          <t>NR</t>
        </is>
      </c>
      <c r="G78" s="1061" t="inlineStr">
        <is>
          <t>NA</t>
        </is>
      </c>
    </row>
    <row r="79" ht="10.5" customHeight="1">
      <c r="A79" s="1059" t="inlineStr">
        <is>
          <t>Honduras</t>
        </is>
      </c>
      <c r="B79" s="1060" t="n">
        <v>0.049</v>
      </c>
      <c r="C79" s="1060" t="n">
        <v>0.1118</v>
      </c>
      <c r="D79" s="1060" t="n">
        <v>0.0658</v>
      </c>
      <c r="E79" s="1060" t="n">
        <v>0.25</v>
      </c>
      <c r="F79" s="1061" t="inlineStr">
        <is>
          <t>B1</t>
        </is>
      </c>
      <c r="G79" s="1061" t="inlineStr">
        <is>
          <t>NA</t>
        </is>
      </c>
    </row>
    <row r="80" ht="10.5" customHeight="1">
      <c r="A80" s="1059" t="inlineStr">
        <is>
          <t>Hong Kong</t>
        </is>
      </c>
      <c r="B80" s="1060" t="n">
        <v>0.0065</v>
      </c>
      <c r="C80" s="1060" t="n">
        <v>0.0548</v>
      </c>
      <c r="D80" s="1060" t="n">
        <v>0.008800000000000001</v>
      </c>
      <c r="E80" s="1060" t="n">
        <v>0.165</v>
      </c>
      <c r="F80" s="1061" t="inlineStr">
        <is>
          <t>Aa3</t>
        </is>
      </c>
      <c r="G80" s="1060" t="n">
        <v>0.006</v>
      </c>
    </row>
    <row r="81" ht="10.5" customHeight="1">
      <c r="A81" s="1059" t="inlineStr">
        <is>
          <t>Hungary</t>
        </is>
      </c>
      <c r="B81" s="1060" t="n">
        <v>0.0207</v>
      </c>
      <c r="C81" s="1060" t="n">
        <v>0.0738</v>
      </c>
      <c r="D81" s="1060" t="n">
        <v>0.0278</v>
      </c>
      <c r="E81" s="1060" t="n">
        <v>0.09</v>
      </c>
      <c r="F81" s="1061" t="inlineStr">
        <is>
          <t>Baa2</t>
        </is>
      </c>
      <c r="G81" s="1060" t="n">
        <v>0.0195</v>
      </c>
    </row>
    <row r="82" ht="10.5" customHeight="1">
      <c r="A82" s="1059" t="inlineStr">
        <is>
          <t>Iceland</t>
        </is>
      </c>
      <c r="B82" s="1060" t="n">
        <v>0.0092</v>
      </c>
      <c r="C82" s="1060" t="n">
        <v>0.0584</v>
      </c>
      <c r="D82" s="1060" t="n">
        <v>0.0124</v>
      </c>
      <c r="E82" s="1060" t="n">
        <v>0.2</v>
      </c>
      <c r="F82" s="1061" t="inlineStr">
        <is>
          <t>A2</t>
        </is>
      </c>
      <c r="G82" s="1060" t="n">
        <v>0.008800000000000001</v>
      </c>
    </row>
    <row r="83" ht="10.5" customHeight="1">
      <c r="A83" s="1059" t="inlineStr">
        <is>
          <t>India</t>
        </is>
      </c>
      <c r="B83" s="1060" t="n">
        <v>0.0239</v>
      </c>
      <c r="C83" s="1060" t="n">
        <v>0.0781</v>
      </c>
      <c r="D83" s="1060" t="n">
        <v>0.0321</v>
      </c>
      <c r="E83" s="1060" t="n">
        <v>0.3</v>
      </c>
      <c r="F83" s="1061" t="inlineStr">
        <is>
          <t>Baa3</t>
        </is>
      </c>
      <c r="G83" s="1060" t="n">
        <v>0.009900000000000001</v>
      </c>
    </row>
    <row r="84" ht="10.5" customHeight="1">
      <c r="A84" s="1059" t="inlineStr">
        <is>
          <t>Indonesia</t>
        </is>
      </c>
      <c r="B84" s="1060" t="n">
        <v>0.0207</v>
      </c>
      <c r="C84" s="1060" t="n">
        <v>0.0738</v>
      </c>
      <c r="D84" s="1060" t="n">
        <v>0.0278</v>
      </c>
      <c r="E84" s="1060" t="n">
        <v>0.22</v>
      </c>
      <c r="F84" s="1061" t="inlineStr">
        <is>
          <t>Baa2</t>
        </is>
      </c>
      <c r="G84" s="1060" t="n">
        <v>0.0132</v>
      </c>
    </row>
    <row r="85" ht="10.5" customHeight="1">
      <c r="A85" s="1059" t="inlineStr">
        <is>
          <t>Iran</t>
        </is>
      </c>
      <c r="B85" s="1060" t="n">
        <v>0.0708</v>
      </c>
      <c r="C85" s="1060" t="n">
        <v>0.1411</v>
      </c>
      <c r="D85" s="1060" t="n">
        <v>0.0951</v>
      </c>
      <c r="E85" s="1060" t="n">
        <v>0.2023</v>
      </c>
      <c r="F85" s="1061" t="inlineStr">
        <is>
          <t>NR</t>
        </is>
      </c>
      <c r="G85" s="1061" t="inlineStr">
        <is>
          <t>NA</t>
        </is>
      </c>
    </row>
    <row r="86" ht="10.5" customHeight="1">
      <c r="A86" s="1059" t="inlineStr">
        <is>
          <t>Iraq</t>
        </is>
      </c>
      <c r="B86" s="1060" t="n">
        <v>0.08169999999999999</v>
      </c>
      <c r="C86" s="1060" t="n">
        <v>0.1557</v>
      </c>
      <c r="D86" s="1060" t="n">
        <v>0.1097</v>
      </c>
      <c r="E86" s="1060" t="n">
        <v>0.15</v>
      </c>
      <c r="F86" s="1061" t="inlineStr">
        <is>
          <t>Caa1</t>
        </is>
      </c>
      <c r="G86" s="1060" t="n">
        <v>0.0514</v>
      </c>
    </row>
    <row r="87" ht="10.5" customHeight="1">
      <c r="A87" s="1059" t="inlineStr">
        <is>
          <t>Ireland</t>
        </is>
      </c>
      <c r="B87" s="1060" t="n">
        <v>0.0065</v>
      </c>
      <c r="C87" s="1060" t="n">
        <v>0.0548</v>
      </c>
      <c r="D87" s="1060" t="n">
        <v>0.008800000000000001</v>
      </c>
      <c r="E87" s="1060" t="n">
        <v>0.125</v>
      </c>
      <c r="F87" s="1061" t="inlineStr">
        <is>
          <t>Aa3</t>
        </is>
      </c>
      <c r="G87" s="1060" t="n">
        <v>0.0041</v>
      </c>
    </row>
    <row r="88" ht="10.5" customHeight="1">
      <c r="A88" s="1059" t="inlineStr">
        <is>
          <t>Isle of Man</t>
        </is>
      </c>
      <c r="B88" s="1060" t="n">
        <v>0.0065</v>
      </c>
      <c r="C88" s="1060" t="n">
        <v>0.0548</v>
      </c>
      <c r="D88" s="1060" t="n">
        <v>0.008800000000000001</v>
      </c>
      <c r="E88" s="1060" t="n">
        <v>0</v>
      </c>
      <c r="F88" s="1061" t="inlineStr">
        <is>
          <t>Aa3</t>
        </is>
      </c>
      <c r="G88" s="1061" t="inlineStr">
        <is>
          <t>NA</t>
        </is>
      </c>
    </row>
    <row r="89" ht="10.5" customHeight="1">
      <c r="A89" s="1059" t="inlineStr">
        <is>
          <t>Israel</t>
        </is>
      </c>
      <c r="B89" s="1060" t="n">
        <v>0.0077</v>
      </c>
      <c r="C89" s="1060" t="n">
        <v>0.0563</v>
      </c>
      <c r="D89" s="1060" t="n">
        <v>0.0103</v>
      </c>
      <c r="E89" s="1060" t="n">
        <v>0.23</v>
      </c>
      <c r="F89" s="1061" t="inlineStr">
        <is>
          <t>A1</t>
        </is>
      </c>
      <c r="G89" s="1060" t="n">
        <v>0.0157</v>
      </c>
    </row>
    <row r="90" ht="10.5" customHeight="1">
      <c r="A90" s="1059" t="inlineStr">
        <is>
          <t>Italy</t>
        </is>
      </c>
      <c r="B90" s="1060" t="n">
        <v>0.0239</v>
      </c>
      <c r="C90" s="1060" t="n">
        <v>0.0781</v>
      </c>
      <c r="D90" s="1060" t="n">
        <v>0.0321</v>
      </c>
      <c r="E90" s="1060" t="n">
        <v>0.24</v>
      </c>
      <c r="F90" s="1061" t="inlineStr">
        <is>
          <t>Baa3</t>
        </is>
      </c>
      <c r="G90" s="1060" t="n">
        <v>0.0134</v>
      </c>
    </row>
    <row r="91" ht="10.5" customHeight="1">
      <c r="A91" s="1059" t="inlineStr">
        <is>
          <t>Ivory Coast</t>
        </is>
      </c>
      <c r="B91" s="1060" t="n">
        <v>0.0392</v>
      </c>
      <c r="C91" s="1060" t="n">
        <v>0.09859999999999999</v>
      </c>
      <c r="D91" s="1060" t="n">
        <v>0.0526</v>
      </c>
      <c r="E91" s="1060" t="n">
        <v>0.25</v>
      </c>
      <c r="F91" s="1061" t="inlineStr">
        <is>
          <t>Ba3</t>
        </is>
      </c>
      <c r="G91" s="1061" t="inlineStr">
        <is>
          <t>NA</t>
        </is>
      </c>
    </row>
    <row r="92" ht="10.5" customHeight="1">
      <c r="A92" s="1059" t="inlineStr">
        <is>
          <t>Jamaica</t>
        </is>
      </c>
      <c r="B92" s="1060" t="n">
        <v>0.049</v>
      </c>
      <c r="C92" s="1060" t="n">
        <v>0.1118</v>
      </c>
      <c r="D92" s="1060" t="n">
        <v>0.0658</v>
      </c>
      <c r="E92" s="1060" t="n">
        <v>0.25</v>
      </c>
      <c r="F92" s="1061" t="inlineStr">
        <is>
          <t>B1</t>
        </is>
      </c>
      <c r="G92" s="1061" t="inlineStr">
        <is>
          <t>NA</t>
        </is>
      </c>
    </row>
    <row r="93" ht="10.5" customHeight="1">
      <c r="A93" s="1059" t="inlineStr">
        <is>
          <t>Japan</t>
        </is>
      </c>
      <c r="B93" s="1060" t="n">
        <v>0.0077</v>
      </c>
      <c r="C93" s="1060" t="n">
        <v>0.0563</v>
      </c>
      <c r="D93" s="1060" t="n">
        <v>0.0103</v>
      </c>
      <c r="E93" s="1060" t="n">
        <v>0.3062</v>
      </c>
      <c r="F93" s="1061" t="inlineStr">
        <is>
          <t>A1</t>
        </is>
      </c>
      <c r="G93" s="1060" t="n">
        <v>0.0043</v>
      </c>
    </row>
    <row r="94" ht="10.5" customHeight="1">
      <c r="A94" s="1059" t="inlineStr">
        <is>
          <t>Jersey (States of)</t>
        </is>
      </c>
      <c r="B94" s="1060" t="n">
        <v>0.0065</v>
      </c>
      <c r="C94" s="1060" t="n">
        <v>0.0548</v>
      </c>
      <c r="D94" s="1060" t="n">
        <v>0.008800000000000001</v>
      </c>
      <c r="E94" s="1060" t="n">
        <v>0</v>
      </c>
      <c r="F94" s="1061" t="inlineStr">
        <is>
          <t>Aa3</t>
        </is>
      </c>
      <c r="G94" s="1061" t="inlineStr">
        <is>
          <t>NA</t>
        </is>
      </c>
    </row>
    <row r="95" ht="10.5" customHeight="1">
      <c r="A95" s="1059" t="inlineStr">
        <is>
          <t>Jordan</t>
        </is>
      </c>
      <c r="B95" s="1060" t="n">
        <v>0.049</v>
      </c>
      <c r="C95" s="1060" t="n">
        <v>0.1118</v>
      </c>
      <c r="D95" s="1060" t="n">
        <v>0.0658</v>
      </c>
      <c r="E95" s="1060" t="n">
        <v>0.2</v>
      </c>
      <c r="F95" s="1061" t="inlineStr">
        <is>
          <t>B1</t>
        </is>
      </c>
      <c r="G95" s="1061" t="inlineStr">
        <is>
          <t>NA</t>
        </is>
      </c>
    </row>
    <row r="96" ht="10.5" customHeight="1">
      <c r="A96" s="1059" t="inlineStr">
        <is>
          <t>Kazakhstan</t>
        </is>
      </c>
      <c r="B96" s="1060" t="n">
        <v>0.0207</v>
      </c>
      <c r="C96" s="1060" t="n">
        <v>0.0738</v>
      </c>
      <c r="D96" s="1060" t="n">
        <v>0.0278</v>
      </c>
      <c r="E96" s="1060" t="n">
        <v>0.2</v>
      </c>
      <c r="F96" s="1061" t="inlineStr">
        <is>
          <t>Baa2</t>
        </is>
      </c>
      <c r="G96" s="1060" t="n">
        <v>0.0176</v>
      </c>
    </row>
    <row r="97" ht="10.5" customHeight="1">
      <c r="A97" s="1059" t="inlineStr">
        <is>
          <t>Kenya</t>
        </is>
      </c>
      <c r="B97" s="1060" t="n">
        <v>0.0708</v>
      </c>
      <c r="C97" s="1060" t="n">
        <v>0.1411</v>
      </c>
      <c r="D97" s="1060" t="n">
        <v>0.0951</v>
      </c>
      <c r="E97" s="1060" t="n">
        <v>0.3</v>
      </c>
      <c r="F97" s="1061" t="inlineStr">
        <is>
          <t>B3</t>
        </is>
      </c>
      <c r="G97" s="1060" t="n">
        <v>0.0704</v>
      </c>
    </row>
    <row r="98" ht="10.5" customHeight="1">
      <c r="A98" s="1059" t="inlineStr">
        <is>
          <t>Korea, D.P.R.</t>
        </is>
      </c>
      <c r="B98" s="1060" t="n">
        <v>0.175</v>
      </c>
      <c r="C98" s="1060" t="n">
        <v>0.2809</v>
      </c>
      <c r="D98" s="1060" t="n">
        <v>0.2349</v>
      </c>
      <c r="E98" s="1060" t="n">
        <v>0.231</v>
      </c>
      <c r="F98" s="1061" t="inlineStr">
        <is>
          <t>NR</t>
        </is>
      </c>
      <c r="G98" s="1061" t="inlineStr">
        <is>
          <t>NA</t>
        </is>
      </c>
    </row>
    <row r="99" ht="10.5" customHeight="1">
      <c r="A99" s="1059" t="inlineStr">
        <is>
          <t>Kuwait</t>
        </is>
      </c>
      <c r="B99" s="1060" t="n">
        <v>0.0077</v>
      </c>
      <c r="C99" s="1060" t="n">
        <v>0.0563</v>
      </c>
      <c r="D99" s="1060" t="n">
        <v>0.0103</v>
      </c>
      <c r="E99" s="1060" t="n">
        <v>0.15</v>
      </c>
      <c r="F99" s="1061" t="inlineStr">
        <is>
          <t>A1</t>
        </is>
      </c>
      <c r="G99" s="1060" t="n">
        <v>0.0083</v>
      </c>
    </row>
    <row r="100" ht="10.5" customHeight="1">
      <c r="A100" s="1059" t="inlineStr">
        <is>
          <t>Kyrgyzstan</t>
        </is>
      </c>
      <c r="B100" s="1060" t="n">
        <v>0.0708</v>
      </c>
      <c r="C100" s="1060" t="n">
        <v>0.1411</v>
      </c>
      <c r="D100" s="1060" t="n">
        <v>0.0951</v>
      </c>
      <c r="E100" s="1060" t="n">
        <v>0.1</v>
      </c>
      <c r="F100" s="1061" t="inlineStr">
        <is>
          <t>B3</t>
        </is>
      </c>
      <c r="G100" s="1061" t="inlineStr">
        <is>
          <t>NA</t>
        </is>
      </c>
    </row>
    <row r="101" ht="10.5" customHeight="1">
      <c r="A101" s="1059" t="inlineStr">
        <is>
          <t>Laos</t>
        </is>
      </c>
      <c r="B101" s="1060" t="n">
        <v>0.109</v>
      </c>
      <c r="C101" s="1060" t="n">
        <v>0.1923</v>
      </c>
      <c r="D101" s="1060" t="n">
        <v>0.1463</v>
      </c>
      <c r="E101" s="1060" t="n">
        <v>0.2686</v>
      </c>
      <c r="F101" s="1061" t="inlineStr">
        <is>
          <t>Caa3</t>
        </is>
      </c>
      <c r="G101" s="1061" t="inlineStr">
        <is>
          <t>NA</t>
        </is>
      </c>
    </row>
    <row r="102" ht="10.5" customHeight="1">
      <c r="A102" s="1059" t="inlineStr">
        <is>
          <t>Latvia</t>
        </is>
      </c>
      <c r="B102" s="1060" t="n">
        <v>0.0131</v>
      </c>
      <c r="C102" s="1060" t="n">
        <v>0.0635</v>
      </c>
      <c r="D102" s="1060" t="n">
        <v>0.0175</v>
      </c>
      <c r="E102" s="1060" t="n">
        <v>0.2</v>
      </c>
      <c r="F102" s="1061" t="inlineStr">
        <is>
          <t>A3</t>
        </is>
      </c>
      <c r="G102" s="1060" t="n">
        <v>0.0094</v>
      </c>
    </row>
    <row r="103" ht="10.5" customHeight="1">
      <c r="A103" s="1059" t="inlineStr">
        <is>
          <t>Lebanon</t>
        </is>
      </c>
      <c r="B103" s="1060" t="n">
        <v>0.175</v>
      </c>
      <c r="C103" s="1060" t="n">
        <v>0.2809</v>
      </c>
      <c r="D103" s="1060" t="n">
        <v>0.2349</v>
      </c>
      <c r="E103" s="1060" t="n">
        <v>0.17</v>
      </c>
      <c r="F103" s="1061" t="inlineStr">
        <is>
          <t>C</t>
        </is>
      </c>
      <c r="G103" s="1061" t="inlineStr">
        <is>
          <t>NA</t>
        </is>
      </c>
    </row>
    <row r="104" ht="10.5" customHeight="1">
      <c r="A104" s="1059" t="inlineStr">
        <is>
          <t>Liberia</t>
        </is>
      </c>
      <c r="B104" s="1060" t="n">
        <v>0.1307</v>
      </c>
      <c r="C104" s="1060" t="n">
        <v>0.2215</v>
      </c>
      <c r="D104" s="1060" t="n">
        <v>0.1755</v>
      </c>
      <c r="E104" s="1060" t="n">
        <v>0.2915</v>
      </c>
      <c r="F104" s="1061" t="inlineStr">
        <is>
          <t>NR</t>
        </is>
      </c>
      <c r="G104" s="1061" t="inlineStr">
        <is>
          <t>NA</t>
        </is>
      </c>
    </row>
    <row r="105" ht="10.5" customHeight="1">
      <c r="A105" s="1059" t="inlineStr">
        <is>
          <t>Libya</t>
        </is>
      </c>
      <c r="B105" s="1060" t="n">
        <v>0.0207</v>
      </c>
      <c r="C105" s="1060" t="n">
        <v>0.0738</v>
      </c>
      <c r="D105" s="1060" t="n">
        <v>0.0278</v>
      </c>
      <c r="E105" s="1060" t="n">
        <v>0.2</v>
      </c>
      <c r="F105" s="1061" t="inlineStr">
        <is>
          <t>NR</t>
        </is>
      </c>
      <c r="G105" s="1061" t="inlineStr">
        <is>
          <t>NA</t>
        </is>
      </c>
    </row>
    <row r="106" ht="10.5" customHeight="1">
      <c r="A106" s="1059" t="inlineStr">
        <is>
          <t>Liechtenstein</t>
        </is>
      </c>
      <c r="B106" s="1060" t="n">
        <v>0</v>
      </c>
      <c r="C106" s="1060" t="n">
        <v>0.046</v>
      </c>
      <c r="D106" s="1060" t="n">
        <v>0</v>
      </c>
      <c r="E106" s="1060" t="n">
        <v>0.125</v>
      </c>
      <c r="F106" s="1061" t="inlineStr">
        <is>
          <t>Aaa</t>
        </is>
      </c>
      <c r="G106" s="1061" t="inlineStr">
        <is>
          <t>NA</t>
        </is>
      </c>
    </row>
    <row r="107" ht="10.5" customHeight="1">
      <c r="A107" s="1059" t="inlineStr">
        <is>
          <t>Lithuania</t>
        </is>
      </c>
      <c r="B107" s="1060" t="n">
        <v>0.0092</v>
      </c>
      <c r="C107" s="1060" t="n">
        <v>0.0584</v>
      </c>
      <c r="D107" s="1060" t="n">
        <v>0.0124</v>
      </c>
      <c r="E107" s="1060" t="n">
        <v>0.15</v>
      </c>
      <c r="F107" s="1061" t="inlineStr">
        <is>
          <t>A2</t>
        </is>
      </c>
      <c r="G107" s="1060" t="n">
        <v>0.008999999999999999</v>
      </c>
    </row>
    <row r="108" ht="10.5" customHeight="1">
      <c r="A108" s="1059" t="inlineStr">
        <is>
          <t>Luxembourg</t>
        </is>
      </c>
      <c r="B108" s="1060" t="n">
        <v>0</v>
      </c>
      <c r="C108" s="1060" t="n">
        <v>0.046</v>
      </c>
      <c r="D108" s="1060" t="n">
        <v>0</v>
      </c>
      <c r="E108" s="1060" t="n">
        <v>0.2494</v>
      </c>
      <c r="F108" s="1061" t="inlineStr">
        <is>
          <t>Aaa</t>
        </is>
      </c>
      <c r="G108" s="1061" t="inlineStr">
        <is>
          <t>NA</t>
        </is>
      </c>
    </row>
    <row r="109" ht="10.5" customHeight="1">
      <c r="A109" s="1059" t="inlineStr">
        <is>
          <t>Macau</t>
        </is>
      </c>
      <c r="B109" s="1060" t="n">
        <v>0.0065</v>
      </c>
      <c r="C109" s="1060" t="n">
        <v>0.0548</v>
      </c>
      <c r="D109" s="1060" t="n">
        <v>0.008800000000000001</v>
      </c>
      <c r="E109" s="1060" t="n">
        <v>0.2686</v>
      </c>
      <c r="F109" s="1061" t="inlineStr">
        <is>
          <t>Aa3</t>
        </is>
      </c>
      <c r="G109" s="1061" t="inlineStr">
        <is>
          <t>NA</t>
        </is>
      </c>
    </row>
    <row r="110" ht="10.5" customHeight="1">
      <c r="A110" s="1059" t="inlineStr">
        <is>
          <t>Macedonia</t>
        </is>
      </c>
      <c r="B110" s="1060" t="n">
        <v>0.0392</v>
      </c>
      <c r="C110" s="1060" t="n">
        <v>0.09859999999999999</v>
      </c>
      <c r="D110" s="1060" t="n">
        <v>0.0526</v>
      </c>
      <c r="E110" s="1060" t="n">
        <v>0.1</v>
      </c>
      <c r="F110" s="1061" t="inlineStr">
        <is>
          <t>Ba3</t>
        </is>
      </c>
      <c r="G110" s="1061" t="inlineStr">
        <is>
          <t>NA</t>
        </is>
      </c>
    </row>
    <row r="111" ht="10.5" customHeight="1">
      <c r="A111" s="1059" t="inlineStr">
        <is>
          <t>Madagascar</t>
        </is>
      </c>
      <c r="B111" s="1060" t="n">
        <v>0.0708</v>
      </c>
      <c r="C111" s="1060" t="n">
        <v>0.1411</v>
      </c>
      <c r="D111" s="1060" t="n">
        <v>0.0951</v>
      </c>
      <c r="E111" s="1060" t="n">
        <v>0.2</v>
      </c>
      <c r="F111" s="1061" t="inlineStr">
        <is>
          <t>NR</t>
        </is>
      </c>
      <c r="G111" s="1061" t="inlineStr">
        <is>
          <t>NA</t>
        </is>
      </c>
    </row>
    <row r="112" ht="10.5" customHeight="1">
      <c r="A112" s="1059" t="inlineStr">
        <is>
          <t>Malawi</t>
        </is>
      </c>
      <c r="B112" s="1060" t="n">
        <v>0.1307</v>
      </c>
      <c r="C112" s="1060" t="n">
        <v>0.2215</v>
      </c>
      <c r="D112" s="1060" t="n">
        <v>0.1755</v>
      </c>
      <c r="E112" s="1060" t="n">
        <v>0.3</v>
      </c>
      <c r="F112" s="1061" t="inlineStr">
        <is>
          <t>NR</t>
        </is>
      </c>
      <c r="G112" s="1061" t="inlineStr">
        <is>
          <t>NA</t>
        </is>
      </c>
    </row>
    <row r="113" ht="10.5" customHeight="1">
      <c r="A113" s="1059" t="inlineStr">
        <is>
          <t>Malaysia</t>
        </is>
      </c>
      <c r="B113" s="1060" t="n">
        <v>0.0131</v>
      </c>
      <c r="C113" s="1060" t="n">
        <v>0.0635</v>
      </c>
      <c r="D113" s="1060" t="n">
        <v>0.0175</v>
      </c>
      <c r="E113" s="1060" t="n">
        <v>0.24</v>
      </c>
      <c r="F113" s="1061" t="inlineStr">
        <is>
          <t>A3</t>
        </is>
      </c>
      <c r="G113" s="1060" t="n">
        <v>0.0086</v>
      </c>
    </row>
    <row r="114" ht="10.5" customHeight="1">
      <c r="A114" s="1059" t="inlineStr">
        <is>
          <t>Maldives</t>
        </is>
      </c>
      <c r="B114" s="1060" t="n">
        <v>0.08169999999999999</v>
      </c>
      <c r="C114" s="1060" t="n">
        <v>0.1557</v>
      </c>
      <c r="D114" s="1060" t="n">
        <v>0.1097</v>
      </c>
      <c r="E114" s="1060" t="n">
        <v>0.2686</v>
      </c>
      <c r="F114" s="1061" t="inlineStr">
        <is>
          <t>Caa1</t>
        </is>
      </c>
      <c r="G114" s="1061" t="inlineStr">
        <is>
          <t>NA</t>
        </is>
      </c>
    </row>
    <row r="115" ht="10.5" customHeight="1">
      <c r="A115" s="1059" t="inlineStr">
        <is>
          <t>Mali</t>
        </is>
      </c>
      <c r="B115" s="1060" t="n">
        <v>0.09810000000000001</v>
      </c>
      <c r="C115" s="1060" t="n">
        <v>0.1777</v>
      </c>
      <c r="D115" s="1060" t="n">
        <v>0.1317</v>
      </c>
      <c r="E115" s="1060" t="n">
        <v>0.2686</v>
      </c>
      <c r="F115" s="1061" t="inlineStr">
        <is>
          <t>Caa2</t>
        </is>
      </c>
      <c r="G115" s="1061" t="inlineStr">
        <is>
          <t>NA</t>
        </is>
      </c>
    </row>
    <row r="116" ht="10.5" customHeight="1">
      <c r="A116" s="1059" t="inlineStr">
        <is>
          <t>Malta</t>
        </is>
      </c>
      <c r="B116" s="1060" t="n">
        <v>0.0092</v>
      </c>
      <c r="C116" s="1060" t="n">
        <v>0.0584</v>
      </c>
      <c r="D116" s="1060" t="n">
        <v>0.0124</v>
      </c>
      <c r="E116" s="1060" t="n">
        <v>0.35</v>
      </c>
      <c r="F116" s="1061" t="inlineStr">
        <is>
          <t>A2</t>
        </is>
      </c>
      <c r="G116" s="1061" t="inlineStr">
        <is>
          <t>NA</t>
        </is>
      </c>
    </row>
    <row r="117" ht="10.5" customHeight="1">
      <c r="A117" s="1059" t="inlineStr">
        <is>
          <t>Martinique</t>
        </is>
      </c>
      <c r="B117" s="1060" t="n">
        <v>0</v>
      </c>
      <c r="C117" s="1061" t="inlineStr">
        <is>
          <t>NA</t>
        </is>
      </c>
      <c r="D117" s="1061" t="inlineStr">
        <is>
          <t>NA</t>
        </is>
      </c>
      <c r="E117" s="1060" t="n">
        <v>0</v>
      </c>
      <c r="F117" s="1061" t="inlineStr">
        <is>
          <t>NR</t>
        </is>
      </c>
      <c r="G117" s="1061" t="inlineStr">
        <is>
          <t>NA</t>
        </is>
      </c>
    </row>
    <row r="118" ht="10.5" customHeight="1">
      <c r="A118" s="1059" t="inlineStr">
        <is>
          <t>Mauritius</t>
        </is>
      </c>
      <c r="B118" s="1060" t="n">
        <v>0.0239</v>
      </c>
      <c r="C118" s="1060" t="n">
        <v>0.0781</v>
      </c>
      <c r="D118" s="1060" t="n">
        <v>0.0321</v>
      </c>
      <c r="E118" s="1060" t="n">
        <v>0.15</v>
      </c>
      <c r="F118" s="1061" t="inlineStr">
        <is>
          <t>Baa3</t>
        </is>
      </c>
      <c r="G118" s="1061" t="inlineStr">
        <is>
          <t>NA</t>
        </is>
      </c>
    </row>
    <row r="119" ht="10.5" customHeight="1">
      <c r="A119" s="1059" t="inlineStr">
        <is>
          <t>Mexico</t>
        </is>
      </c>
      <c r="B119" s="1060" t="n">
        <v>0.0207</v>
      </c>
      <c r="C119" s="1060" t="n">
        <v>0.0738</v>
      </c>
      <c r="D119" s="1060" t="n">
        <v>0.0278</v>
      </c>
      <c r="E119" s="1060" t="n">
        <v>0.3</v>
      </c>
      <c r="F119" s="1061" t="inlineStr">
        <is>
          <t>Baa2</t>
        </is>
      </c>
      <c r="G119" s="1060" t="n">
        <v>0.0168</v>
      </c>
    </row>
    <row r="120" ht="10.5" customHeight="1">
      <c r="A120" s="1059" t="inlineStr">
        <is>
          <t>Monaco</t>
        </is>
      </c>
      <c r="B120" s="1060" t="n">
        <v>0.009599999999999999</v>
      </c>
      <c r="C120" s="1060" t="n">
        <v>0.0589</v>
      </c>
      <c r="D120" s="1060" t="n">
        <v>0.0589</v>
      </c>
      <c r="E120" s="1060" t="n">
        <v>0.2471</v>
      </c>
      <c r="F120" s="1061" t="inlineStr">
        <is>
          <t>NR</t>
        </is>
      </c>
      <c r="G120" s="1061" t="inlineStr">
        <is>
          <t>NA</t>
        </is>
      </c>
    </row>
    <row r="121" ht="10.5" customHeight="1">
      <c r="A121" s="1059" t="inlineStr">
        <is>
          <t>Moldova</t>
        </is>
      </c>
      <c r="B121" s="1060" t="n">
        <v>0.0708</v>
      </c>
      <c r="C121" s="1060" t="n">
        <v>0.1411</v>
      </c>
      <c r="D121" s="1060" t="n">
        <v>0.0951</v>
      </c>
      <c r="E121" s="1060" t="n">
        <v>0.12</v>
      </c>
      <c r="F121" s="1061" t="inlineStr">
        <is>
          <t>B3</t>
        </is>
      </c>
      <c r="G121" s="1061" t="inlineStr">
        <is>
          <t>NA</t>
        </is>
      </c>
    </row>
    <row r="122" ht="10.5" customHeight="1">
      <c r="A122" s="1059" t="inlineStr">
        <is>
          <t>Mongolia</t>
        </is>
      </c>
      <c r="B122" s="1060" t="n">
        <v>0.0708</v>
      </c>
      <c r="C122" s="1060" t="n">
        <v>0.1411</v>
      </c>
      <c r="D122" s="1060" t="n">
        <v>0.0951</v>
      </c>
      <c r="E122" s="1060" t="n">
        <v>0.25</v>
      </c>
      <c r="F122" s="1061" t="inlineStr">
        <is>
          <t>B3</t>
        </is>
      </c>
      <c r="G122" s="1060" t="n">
        <v>0.0402</v>
      </c>
    </row>
    <row r="123" ht="10.5" customHeight="1">
      <c r="A123" s="1059" t="inlineStr">
        <is>
          <t>Montenegro</t>
        </is>
      </c>
      <c r="B123" s="1060" t="n">
        <v>0.049</v>
      </c>
      <c r="C123" s="1060" t="n">
        <v>0.1118</v>
      </c>
      <c r="D123" s="1060" t="n">
        <v>0.0658</v>
      </c>
      <c r="E123" s="1060" t="n">
        <v>0.15</v>
      </c>
      <c r="F123" s="1061" t="inlineStr">
        <is>
          <t>B1</t>
        </is>
      </c>
      <c r="G123" s="1061" t="inlineStr">
        <is>
          <t>NA</t>
        </is>
      </c>
    </row>
    <row r="124" ht="10.5" customHeight="1">
      <c r="A124" s="1059" t="inlineStr">
        <is>
          <t>Montserrat</t>
        </is>
      </c>
      <c r="B124" s="1060" t="n">
        <v>0.0239</v>
      </c>
      <c r="C124" s="1060" t="n">
        <v>0.0781</v>
      </c>
      <c r="D124" s="1060" t="n">
        <v>0.0321</v>
      </c>
      <c r="E124" s="1060" t="n">
        <v>0.2853</v>
      </c>
      <c r="F124" s="1061" t="inlineStr">
        <is>
          <t>Baa3</t>
        </is>
      </c>
      <c r="G124" s="1061" t="inlineStr">
        <is>
          <t>NA</t>
        </is>
      </c>
    </row>
    <row r="125" ht="10.5" customHeight="1">
      <c r="A125" s="1059" t="inlineStr">
        <is>
          <t>Morocco</t>
        </is>
      </c>
      <c r="B125" s="1060" t="n">
        <v>0.0273</v>
      </c>
      <c r="C125" s="1060" t="n">
        <v>0.08260000000000001</v>
      </c>
      <c r="D125" s="1060" t="n">
        <v>0.0366</v>
      </c>
      <c r="E125" s="1060" t="n">
        <v>0.32</v>
      </c>
      <c r="F125" s="1061" t="inlineStr">
        <is>
          <t>Ba1</t>
        </is>
      </c>
      <c r="G125" s="1060" t="n">
        <v>0.019</v>
      </c>
    </row>
    <row r="126" ht="10.5" customHeight="1">
      <c r="A126" s="1059" t="inlineStr">
        <is>
          <t>Mozambique</t>
        </is>
      </c>
      <c r="B126" s="1060" t="n">
        <v>0.09810000000000001</v>
      </c>
      <c r="C126" s="1060" t="n">
        <v>0.1777</v>
      </c>
      <c r="D126" s="1060" t="n">
        <v>0.1317</v>
      </c>
      <c r="E126" s="1060" t="n">
        <v>0.32</v>
      </c>
      <c r="F126" s="1061" t="inlineStr">
        <is>
          <t>Caa2</t>
        </is>
      </c>
      <c r="G126" s="1061" t="inlineStr">
        <is>
          <t>NA</t>
        </is>
      </c>
    </row>
    <row r="127" ht="10.5" customHeight="1">
      <c r="A127" s="1059" t="inlineStr">
        <is>
          <t>Myanmar</t>
        </is>
      </c>
      <c r="B127" s="1060" t="n">
        <v>0.109</v>
      </c>
      <c r="C127" s="1060" t="n">
        <v>0.1923</v>
      </c>
      <c r="D127" s="1060" t="n">
        <v>0.1463</v>
      </c>
      <c r="E127" s="1060" t="n">
        <v>0.25</v>
      </c>
      <c r="F127" s="1061" t="inlineStr">
        <is>
          <t>NR</t>
        </is>
      </c>
      <c r="G127" s="1061" t="inlineStr">
        <is>
          <t>NA</t>
        </is>
      </c>
    </row>
    <row r="128" ht="10.5" customHeight="1">
      <c r="A128" s="1059" t="inlineStr">
        <is>
          <t>Namibia</t>
        </is>
      </c>
      <c r="B128" s="1060" t="n">
        <v>0.049</v>
      </c>
      <c r="C128" s="1060" t="n">
        <v>0.1118</v>
      </c>
      <c r="D128" s="1060" t="n">
        <v>0.0658</v>
      </c>
      <c r="E128" s="1060" t="n">
        <v>0.32</v>
      </c>
      <c r="F128" s="1061" t="inlineStr">
        <is>
          <t>B1</t>
        </is>
      </c>
      <c r="G128" s="1060" t="n">
        <v>0.021</v>
      </c>
    </row>
    <row r="129" ht="10.5" customHeight="1">
      <c r="A129" s="1059" t="inlineStr">
        <is>
          <t>Netherlands</t>
        </is>
      </c>
      <c r="B129" s="1060" t="n">
        <v>0</v>
      </c>
      <c r="C129" s="1060" t="n">
        <v>0.046</v>
      </c>
      <c r="D129" s="1060" t="n">
        <v>0</v>
      </c>
      <c r="E129" s="1060" t="n">
        <v>0.258</v>
      </c>
      <c r="F129" s="1061" t="inlineStr">
        <is>
          <t>Aaa</t>
        </is>
      </c>
      <c r="G129" s="1060" t="n">
        <v>0.0024</v>
      </c>
    </row>
    <row r="130" ht="10.5" customHeight="1">
      <c r="A130" s="1059" t="inlineStr">
        <is>
          <t>Netherlands Antilles</t>
        </is>
      </c>
      <c r="B130" s="1060" t="n">
        <v>0.1054</v>
      </c>
      <c r="C130" s="1060" t="n">
        <v>0.1875</v>
      </c>
      <c r="D130" s="1060" t="n">
        <v>0.1875</v>
      </c>
      <c r="E130" s="1060" t="n">
        <v>0.2725</v>
      </c>
      <c r="F130" s="1061" t="inlineStr">
        <is>
          <t>NR</t>
        </is>
      </c>
      <c r="G130" s="1061" t="inlineStr">
        <is>
          <t>NA</t>
        </is>
      </c>
    </row>
    <row r="131" ht="10.5" customHeight="1">
      <c r="A131" s="1059" t="inlineStr">
        <is>
          <t>New Zealand</t>
        </is>
      </c>
      <c r="B131" s="1060" t="n">
        <v>0</v>
      </c>
      <c r="C131" s="1060" t="n">
        <v>0.046</v>
      </c>
      <c r="D131" s="1060" t="n">
        <v>0</v>
      </c>
      <c r="E131" s="1060" t="n">
        <v>0.28</v>
      </c>
      <c r="F131" s="1061" t="inlineStr">
        <is>
          <t>Aaa</t>
        </is>
      </c>
      <c r="G131" s="1060" t="n">
        <v>0.0029</v>
      </c>
    </row>
    <row r="132" ht="10.5" customHeight="1">
      <c r="A132" s="1059" t="inlineStr">
        <is>
          <t>Nicaragua</t>
        </is>
      </c>
      <c r="B132" s="1060" t="n">
        <v>0.0708</v>
      </c>
      <c r="C132" s="1060" t="n">
        <v>0.1411</v>
      </c>
      <c r="D132" s="1060" t="n">
        <v>0.0951</v>
      </c>
      <c r="E132" s="1060" t="n">
        <v>0.3</v>
      </c>
      <c r="F132" s="1061" t="inlineStr">
        <is>
          <t>B3</t>
        </is>
      </c>
      <c r="G132" s="1060" t="n">
        <v>0.0489</v>
      </c>
    </row>
    <row r="133" ht="10.5" customHeight="1">
      <c r="A133" s="1059" t="inlineStr">
        <is>
          <t>Niger</t>
        </is>
      </c>
      <c r="B133" s="1060" t="n">
        <v>0.09810000000000001</v>
      </c>
      <c r="C133" s="1060" t="n">
        <v>0.1777</v>
      </c>
      <c r="D133" s="1060" t="n">
        <v>0.1317</v>
      </c>
      <c r="E133" s="1060" t="n">
        <v>0.2686</v>
      </c>
      <c r="F133" s="1061" t="inlineStr">
        <is>
          <t>Caa2</t>
        </is>
      </c>
      <c r="G133" s="1061" t="inlineStr">
        <is>
          <t>NA</t>
        </is>
      </c>
    </row>
    <row r="134" ht="10.5" customHeight="1">
      <c r="A134" s="1059" t="inlineStr">
        <is>
          <t>Nigeria</t>
        </is>
      </c>
      <c r="B134" s="1060" t="n">
        <v>0.08169999999999999</v>
      </c>
      <c r="C134" s="1060" t="n">
        <v>0.1557</v>
      </c>
      <c r="D134" s="1060" t="n">
        <v>0.1097</v>
      </c>
      <c r="E134" s="1060" t="n">
        <v>0.3</v>
      </c>
      <c r="F134" s="1061" t="inlineStr">
        <is>
          <t>Caa1</t>
        </is>
      </c>
      <c r="G134" s="1060" t="n">
        <v>0.0644</v>
      </c>
    </row>
    <row r="135" ht="10.5" customHeight="1">
      <c r="A135" s="1059" t="inlineStr">
        <is>
          <t>Norway</t>
        </is>
      </c>
      <c r="B135" s="1060" t="n">
        <v>0</v>
      </c>
      <c r="C135" s="1060" t="n">
        <v>0.046</v>
      </c>
      <c r="D135" s="1060" t="n">
        <v>0</v>
      </c>
      <c r="E135" s="1060" t="n">
        <v>0.22</v>
      </c>
      <c r="F135" s="1061" t="inlineStr">
        <is>
          <t>Aaa</t>
        </is>
      </c>
      <c r="G135" s="1060" t="n">
        <v>0.0024</v>
      </c>
    </row>
    <row r="136" ht="10.5" customHeight="1">
      <c r="A136" s="1059" t="inlineStr">
        <is>
          <t>Oman</t>
        </is>
      </c>
      <c r="B136" s="1060" t="n">
        <v>0.0273</v>
      </c>
      <c r="C136" s="1060" t="n">
        <v>0.08260000000000001</v>
      </c>
      <c r="D136" s="1060" t="n">
        <v>0.0366</v>
      </c>
      <c r="E136" s="1060" t="n">
        <v>0.15</v>
      </c>
      <c r="F136" s="1061" t="inlineStr">
        <is>
          <t>Ba1</t>
        </is>
      </c>
      <c r="G136" s="1060" t="n">
        <v>0.0192</v>
      </c>
    </row>
    <row r="137" ht="10.5" customHeight="1">
      <c r="A137" s="1059" t="inlineStr">
        <is>
          <t>Pakistan</t>
        </is>
      </c>
      <c r="B137" s="1060" t="n">
        <v>0.109</v>
      </c>
      <c r="C137" s="1060" t="n">
        <v>0.1923</v>
      </c>
      <c r="D137" s="1060" t="n">
        <v>0.1463</v>
      </c>
      <c r="E137" s="1060" t="n">
        <v>0.29</v>
      </c>
      <c r="F137" s="1061" t="inlineStr">
        <is>
          <t>Caa3</t>
        </is>
      </c>
      <c r="G137" s="1060" t="n">
        <v>0.4104</v>
      </c>
    </row>
    <row r="138" ht="10.5" customHeight="1">
      <c r="A138" s="1059" t="inlineStr">
        <is>
          <t>Palestinian Authority</t>
        </is>
      </c>
      <c r="B138" s="1060" t="n">
        <v>0.0161</v>
      </c>
      <c r="C138" s="1060" t="n">
        <v>0.06759999999999999</v>
      </c>
      <c r="D138" s="1060" t="n">
        <v>0.06759999999999999</v>
      </c>
      <c r="E138" s="1060" t="n">
        <v>0.1876</v>
      </c>
      <c r="F138" s="1061" t="inlineStr">
        <is>
          <t>NR</t>
        </is>
      </c>
      <c r="G138" s="1061" t="inlineStr">
        <is>
          <t>NA</t>
        </is>
      </c>
    </row>
    <row r="139" ht="10.5" customHeight="1">
      <c r="A139" s="1059" t="inlineStr">
        <is>
          <t>Panama</t>
        </is>
      </c>
      <c r="B139" s="1060" t="n">
        <v>0.0207</v>
      </c>
      <c r="C139" s="1060" t="n">
        <v>0.0738</v>
      </c>
      <c r="D139" s="1060" t="n">
        <v>0.0278</v>
      </c>
      <c r="E139" s="1060" t="n">
        <v>0.25</v>
      </c>
      <c r="F139" s="1061" t="inlineStr">
        <is>
          <t>Baa2</t>
        </is>
      </c>
      <c r="G139" s="1060" t="n">
        <v>0.0231</v>
      </c>
    </row>
    <row r="140" ht="10.5" customHeight="1">
      <c r="A140" s="1059" t="inlineStr">
        <is>
          <t>Papua New Guinea</t>
        </is>
      </c>
      <c r="B140" s="1060" t="n">
        <v>0.0599</v>
      </c>
      <c r="C140" s="1060" t="n">
        <v>0.1264</v>
      </c>
      <c r="D140" s="1060" t="n">
        <v>0.0804</v>
      </c>
      <c r="E140" s="1060" t="n">
        <v>0.3</v>
      </c>
      <c r="F140" s="1061" t="inlineStr">
        <is>
          <t>B2</t>
        </is>
      </c>
      <c r="G140" s="1061" t="inlineStr">
        <is>
          <t>NA</t>
        </is>
      </c>
    </row>
    <row r="141" ht="10.5" customHeight="1">
      <c r="A141" s="1059" t="inlineStr">
        <is>
          <t>Paraguay</t>
        </is>
      </c>
      <c r="B141" s="1060" t="n">
        <v>0.0273</v>
      </c>
      <c r="C141" s="1060" t="n">
        <v>0.08260000000000001</v>
      </c>
      <c r="D141" s="1060" t="n">
        <v>0.0366</v>
      </c>
      <c r="E141" s="1060" t="n">
        <v>0.1</v>
      </c>
      <c r="F141" s="1061" t="inlineStr">
        <is>
          <t>Ba1</t>
        </is>
      </c>
      <c r="G141" s="1061" t="inlineStr">
        <is>
          <t>NA</t>
        </is>
      </c>
    </row>
    <row r="142" ht="10.5" customHeight="1">
      <c r="A142" s="1059" t="inlineStr">
        <is>
          <t>Peru</t>
        </is>
      </c>
      <c r="B142" s="1060" t="n">
        <v>0.0174</v>
      </c>
      <c r="C142" s="1060" t="n">
        <v>0.0694</v>
      </c>
      <c r="D142" s="1060" t="n">
        <v>0.0234</v>
      </c>
      <c r="E142" s="1060" t="n">
        <v>0.295</v>
      </c>
      <c r="F142" s="1061" t="inlineStr">
        <is>
          <t>Baa1</t>
        </is>
      </c>
      <c r="G142" s="1060" t="n">
        <v>0.0137</v>
      </c>
    </row>
    <row r="143" ht="10.5" customHeight="1">
      <c r="A143" s="1059" t="inlineStr">
        <is>
          <t>Philippines</t>
        </is>
      </c>
      <c r="B143" s="1060" t="n">
        <v>0.0207</v>
      </c>
      <c r="C143" s="1060" t="n">
        <v>0.0738</v>
      </c>
      <c r="D143" s="1060" t="n">
        <v>0.0278</v>
      </c>
      <c r="E143" s="1060" t="n">
        <v>0.25</v>
      </c>
      <c r="F143" s="1061" t="inlineStr">
        <is>
          <t>Baa2</t>
        </is>
      </c>
      <c r="G143" s="1060" t="n">
        <v>0.0118</v>
      </c>
    </row>
    <row r="144" ht="10.5" customHeight="1">
      <c r="A144" s="1059" t="inlineStr">
        <is>
          <t>Poland</t>
        </is>
      </c>
      <c r="B144" s="1060" t="n">
        <v>0.0092</v>
      </c>
      <c r="C144" s="1060" t="n">
        <v>0.0584</v>
      </c>
      <c r="D144" s="1060" t="n">
        <v>0.0124</v>
      </c>
      <c r="E144" s="1060" t="n">
        <v>0.19</v>
      </c>
      <c r="F144" s="1061" t="inlineStr">
        <is>
          <t>A2</t>
        </is>
      </c>
      <c r="G144" s="1060" t="n">
        <v>0.0106</v>
      </c>
    </row>
    <row r="145" ht="10.5" customHeight="1">
      <c r="A145" s="1059" t="inlineStr">
        <is>
          <t>Portugal</t>
        </is>
      </c>
      <c r="B145" s="1060" t="n">
        <v>0.0131</v>
      </c>
      <c r="C145" s="1060" t="n">
        <v>0.0635</v>
      </c>
      <c r="D145" s="1060" t="n">
        <v>0.0175</v>
      </c>
      <c r="E145" s="1060" t="n">
        <v>0.21</v>
      </c>
      <c r="F145" s="1061" t="inlineStr">
        <is>
          <t>A3</t>
        </is>
      </c>
      <c r="G145" s="1060" t="n">
        <v>0.0075</v>
      </c>
    </row>
    <row r="146" ht="10.5" customHeight="1">
      <c r="A146" s="1059" t="inlineStr">
        <is>
          <t>Qatar</t>
        </is>
      </c>
      <c r="B146" s="1060" t="n">
        <v>0.0065</v>
      </c>
      <c r="C146" s="1060" t="n">
        <v>0.0548</v>
      </c>
      <c r="D146" s="1060" t="n">
        <v>0.008800000000000001</v>
      </c>
      <c r="E146" s="1060" t="n">
        <v>0.1</v>
      </c>
      <c r="F146" s="1061" t="inlineStr">
        <is>
          <t>Aa3</t>
        </is>
      </c>
      <c r="G146" s="1060" t="n">
        <v>0.0083</v>
      </c>
    </row>
    <row r="147" ht="10.5" customHeight="1">
      <c r="A147" s="1059" t="inlineStr">
        <is>
          <t>Ras Al Khaimah (Emirate of)</t>
        </is>
      </c>
      <c r="B147" s="1060" t="n">
        <v>0.0131</v>
      </c>
      <c r="C147" s="1060" t="n">
        <v>0.0635</v>
      </c>
      <c r="D147" s="1060" t="n">
        <v>0.0175</v>
      </c>
      <c r="E147" s="1060" t="n">
        <v>0</v>
      </c>
      <c r="F147" s="1061" t="inlineStr">
        <is>
          <t>A3</t>
        </is>
      </c>
      <c r="G147" s="1061" t="inlineStr">
        <is>
          <t>NA</t>
        </is>
      </c>
    </row>
    <row r="148" ht="10.5" customHeight="1">
      <c r="A148" s="1059" t="inlineStr">
        <is>
          <t>Reunion</t>
        </is>
      </c>
      <c r="B148" s="1060" t="n">
        <v>0.0125</v>
      </c>
      <c r="C148" s="1060" t="n">
        <v>0.06279999999999999</v>
      </c>
      <c r="D148" s="1060" t="n">
        <v>0.06279999999999999</v>
      </c>
      <c r="E148" s="1060" t="n">
        <v>0.2576</v>
      </c>
      <c r="F148" s="1061" t="inlineStr">
        <is>
          <t>NR</t>
        </is>
      </c>
      <c r="G148" s="1061" t="inlineStr">
        <is>
          <t>NA</t>
        </is>
      </c>
    </row>
    <row r="149" ht="10.5" customHeight="1">
      <c r="A149" s="1059" t="inlineStr">
        <is>
          <t>Romania</t>
        </is>
      </c>
      <c r="B149" s="1060" t="n">
        <v>0.0239</v>
      </c>
      <c r="C149" s="1060" t="n">
        <v>0.0781</v>
      </c>
      <c r="D149" s="1060" t="n">
        <v>0.0321</v>
      </c>
      <c r="E149" s="1060" t="n">
        <v>0.16</v>
      </c>
      <c r="F149" s="1061" t="inlineStr">
        <is>
          <t>Baa3</t>
        </is>
      </c>
      <c r="G149" s="1060" t="n">
        <v>0.0231</v>
      </c>
    </row>
    <row r="150" ht="10.5" customHeight="1">
      <c r="A150" s="1059" t="inlineStr">
        <is>
          <t>Russia</t>
        </is>
      </c>
      <c r="B150" s="1060" t="n">
        <v>0.049</v>
      </c>
      <c r="C150" s="1060" t="n">
        <v>0.1118</v>
      </c>
      <c r="D150" s="1060" t="n">
        <v>0.0658</v>
      </c>
      <c r="E150" s="1060" t="n">
        <v>0.25</v>
      </c>
      <c r="F150" s="1061" t="inlineStr">
        <is>
          <t>NR</t>
        </is>
      </c>
      <c r="G150" s="1061" t="inlineStr">
        <is>
          <t>NA</t>
        </is>
      </c>
    </row>
    <row r="151" ht="10.5" customHeight="1">
      <c r="A151" s="1059" t="inlineStr">
        <is>
          <t>Rwanda</t>
        </is>
      </c>
      <c r="B151" s="1060" t="n">
        <v>0.0599</v>
      </c>
      <c r="C151" s="1060" t="n">
        <v>0.1264</v>
      </c>
      <c r="D151" s="1060" t="n">
        <v>0.0804</v>
      </c>
      <c r="E151" s="1060" t="n">
        <v>0.3</v>
      </c>
      <c r="F151" s="1061" t="inlineStr">
        <is>
          <t>B2</t>
        </is>
      </c>
      <c r="G151" s="1060" t="n">
        <v>0.0553</v>
      </c>
    </row>
    <row r="152" ht="10.5" customHeight="1">
      <c r="A152" s="1059" t="inlineStr">
        <is>
          <t>Saint Lucia</t>
        </is>
      </c>
      <c r="B152" s="1060" t="n">
        <v>0.1054</v>
      </c>
      <c r="C152" s="1060" t="n">
        <v>0.1875</v>
      </c>
      <c r="D152" s="1060" t="n">
        <v>0.1875</v>
      </c>
      <c r="E152" s="1060" t="n">
        <v>0.2725</v>
      </c>
      <c r="F152" s="1061" t="inlineStr">
        <is>
          <t>NR</t>
        </is>
      </c>
      <c r="G152" s="1061" t="inlineStr">
        <is>
          <t>NA</t>
        </is>
      </c>
    </row>
    <row r="153" ht="10.5" customHeight="1">
      <c r="A153" s="1059" t="inlineStr">
        <is>
          <t>Saudi Arabia</t>
        </is>
      </c>
      <c r="B153" s="1060" t="n">
        <v>0.0077</v>
      </c>
      <c r="C153" s="1060" t="n">
        <v>0.0563</v>
      </c>
      <c r="D153" s="1060" t="n">
        <v>0.0103</v>
      </c>
      <c r="E153" s="1060" t="n">
        <v>0.2</v>
      </c>
      <c r="F153" s="1061" t="inlineStr">
        <is>
          <t>A1</t>
        </is>
      </c>
      <c r="G153" s="1060" t="n">
        <v>0.008500000000000001</v>
      </c>
    </row>
    <row r="154" ht="10.5" customHeight="1">
      <c r="A154" s="1059" t="inlineStr">
        <is>
          <t>Senegal</t>
        </is>
      </c>
      <c r="B154" s="1060" t="n">
        <v>0.0392</v>
      </c>
      <c r="C154" s="1060" t="n">
        <v>0.09859999999999999</v>
      </c>
      <c r="D154" s="1060" t="n">
        <v>0.0526</v>
      </c>
      <c r="E154" s="1060" t="n">
        <v>0.3</v>
      </c>
      <c r="F154" s="1061" t="inlineStr">
        <is>
          <t>Ba3</t>
        </is>
      </c>
      <c r="G154" s="1060" t="n">
        <v>0.0689</v>
      </c>
    </row>
    <row r="155" ht="10.5" customHeight="1">
      <c r="A155" s="1059" t="inlineStr">
        <is>
          <t>Serbia</t>
        </is>
      </c>
      <c r="B155" s="1060" t="n">
        <v>0.0328</v>
      </c>
      <c r="C155" s="1060" t="n">
        <v>0.09</v>
      </c>
      <c r="D155" s="1060" t="n">
        <v>0.044</v>
      </c>
      <c r="E155" s="1060" t="n">
        <v>0.15</v>
      </c>
      <c r="F155" s="1061" t="inlineStr">
        <is>
          <t>Ba2</t>
        </is>
      </c>
      <c r="G155" s="1060" t="n">
        <v>0.0286</v>
      </c>
    </row>
    <row r="156" ht="10.5" customHeight="1">
      <c r="A156" s="1059" t="inlineStr">
        <is>
          <t>Sharjah</t>
        </is>
      </c>
      <c r="B156" s="1060" t="n">
        <v>0.0273</v>
      </c>
      <c r="C156" s="1060" t="n">
        <v>0.08260000000000001</v>
      </c>
      <c r="D156" s="1060" t="n">
        <v>0.0366</v>
      </c>
      <c r="E156" s="1060" t="n">
        <v>0</v>
      </c>
      <c r="F156" s="1061" t="inlineStr">
        <is>
          <t>Ba1</t>
        </is>
      </c>
      <c r="G156" s="1061" t="inlineStr">
        <is>
          <t>NA</t>
        </is>
      </c>
    </row>
    <row r="157" ht="10.5" customHeight="1">
      <c r="A157" s="1059" t="inlineStr">
        <is>
          <t>Sierra Leone</t>
        </is>
      </c>
      <c r="B157" s="1060" t="n">
        <v>0.109</v>
      </c>
      <c r="C157" s="1060" t="n">
        <v>0.1923</v>
      </c>
      <c r="D157" s="1060" t="n">
        <v>0.1463</v>
      </c>
      <c r="E157" s="1060" t="n">
        <v>0.3</v>
      </c>
      <c r="F157" s="1061" t="inlineStr">
        <is>
          <t>NR</t>
        </is>
      </c>
      <c r="G157" s="1061" t="inlineStr">
        <is>
          <t>NA</t>
        </is>
      </c>
    </row>
    <row r="158" ht="10.5" customHeight="1">
      <c r="A158" s="1059" t="inlineStr">
        <is>
          <t>Singapore</t>
        </is>
      </c>
      <c r="B158" s="1060" t="n">
        <v>0</v>
      </c>
      <c r="C158" s="1060" t="n">
        <v>0.046</v>
      </c>
      <c r="D158" s="1060" t="n">
        <v>0</v>
      </c>
      <c r="E158" s="1060" t="n">
        <v>0.17</v>
      </c>
      <c r="F158" s="1061" t="inlineStr">
        <is>
          <t>Aaa</t>
        </is>
      </c>
      <c r="G158" s="1061" t="inlineStr">
        <is>
          <t>NA</t>
        </is>
      </c>
    </row>
    <row r="159" ht="10.5" customHeight="1">
      <c r="A159" s="1059" t="inlineStr">
        <is>
          <t>Slovakia</t>
        </is>
      </c>
      <c r="B159" s="1060" t="n">
        <v>0.0092</v>
      </c>
      <c r="C159" s="1060" t="n">
        <v>0.0584</v>
      </c>
      <c r="D159" s="1060" t="n">
        <v>0.0124</v>
      </c>
      <c r="E159" s="1060" t="n">
        <v>0.21</v>
      </c>
      <c r="F159" s="1061" t="inlineStr">
        <is>
          <t>A2</t>
        </is>
      </c>
      <c r="G159" s="1060" t="n">
        <v>0.006</v>
      </c>
    </row>
    <row r="160" ht="10.5" customHeight="1">
      <c r="A160" s="1059" t="inlineStr">
        <is>
          <t>Slovenia</t>
        </is>
      </c>
      <c r="B160" s="1060" t="n">
        <v>0.0131</v>
      </c>
      <c r="C160" s="1060" t="n">
        <v>0.0635</v>
      </c>
      <c r="D160" s="1060" t="n">
        <v>0.0175</v>
      </c>
      <c r="E160" s="1060" t="n">
        <v>0.19</v>
      </c>
      <c r="F160" s="1061" t="inlineStr">
        <is>
          <t>A3</t>
        </is>
      </c>
      <c r="G160" s="1060" t="n">
        <v>0.0076</v>
      </c>
    </row>
    <row r="161" ht="10.5" customHeight="1">
      <c r="A161" s="1059" t="inlineStr">
        <is>
          <t>Solomon Islands</t>
        </is>
      </c>
      <c r="B161" s="1060" t="n">
        <v>0.08169999999999999</v>
      </c>
      <c r="C161" s="1060" t="n">
        <v>0.1557</v>
      </c>
      <c r="D161" s="1060" t="n">
        <v>0.1097</v>
      </c>
      <c r="E161" s="1060" t="n">
        <v>0.3</v>
      </c>
      <c r="F161" s="1061" t="inlineStr">
        <is>
          <t>Caa1</t>
        </is>
      </c>
      <c r="G161" s="1061" t="inlineStr">
        <is>
          <t>NA</t>
        </is>
      </c>
    </row>
    <row r="162" ht="10.5" customHeight="1">
      <c r="A162" s="1059" t="inlineStr">
        <is>
          <t>Somalia</t>
        </is>
      </c>
      <c r="B162" s="1060" t="n">
        <v>0.1307</v>
      </c>
      <c r="C162" s="1060" t="n">
        <v>0.2215</v>
      </c>
      <c r="D162" s="1060" t="n">
        <v>0.1755</v>
      </c>
      <c r="E162" s="1060" t="n">
        <v>0.2915</v>
      </c>
      <c r="F162" s="1061" t="inlineStr">
        <is>
          <t>NR</t>
        </is>
      </c>
      <c r="G162" s="1061" t="inlineStr">
        <is>
          <t>NA</t>
        </is>
      </c>
    </row>
    <row r="163" ht="10.5" customHeight="1">
      <c r="A163" s="1059" t="inlineStr">
        <is>
          <t>South Africa</t>
        </is>
      </c>
      <c r="B163" s="1060" t="n">
        <v>0.0328</v>
      </c>
      <c r="C163" s="1060" t="n">
        <v>0.09</v>
      </c>
      <c r="D163" s="1060" t="n">
        <v>0.044</v>
      </c>
      <c r="E163" s="1060" t="n">
        <v>0.27</v>
      </c>
      <c r="F163" s="1061" t="inlineStr">
        <is>
          <t>Ba2</t>
        </is>
      </c>
      <c r="G163" s="1060" t="n">
        <v>0.0316</v>
      </c>
    </row>
    <row r="164" ht="10.5" customHeight="1">
      <c r="A164" s="1059" t="inlineStr">
        <is>
          <t>South Korea</t>
        </is>
      </c>
      <c r="B164" s="1060" t="n">
        <v>0.0054</v>
      </c>
      <c r="C164" s="1060" t="n">
        <v>0.0532</v>
      </c>
      <c r="D164" s="1060" t="n">
        <v>0.0072</v>
      </c>
      <c r="E164" s="1060" t="n">
        <v>0.25</v>
      </c>
      <c r="F164" s="1061" t="inlineStr">
        <is>
          <t>Aa2</t>
        </is>
      </c>
      <c r="G164" s="1061" t="inlineStr">
        <is>
          <t>NA</t>
        </is>
      </c>
    </row>
    <row r="165" ht="10.5" customHeight="1">
      <c r="A165" s="1059" t="inlineStr">
        <is>
          <t>Spain</t>
        </is>
      </c>
      <c r="B165" s="1060" t="n">
        <v>0.0174</v>
      </c>
      <c r="C165" s="1060" t="n">
        <v>0.0694</v>
      </c>
      <c r="D165" s="1060" t="n">
        <v>0.0234</v>
      </c>
      <c r="E165" s="1060" t="n">
        <v>0.25</v>
      </c>
      <c r="F165" s="1061" t="inlineStr">
        <is>
          <t>Baa1</t>
        </is>
      </c>
      <c r="G165" s="1060" t="n">
        <v>0.0078</v>
      </c>
    </row>
    <row r="166" ht="10.5" customHeight="1">
      <c r="A166" s="1059" t="inlineStr">
        <is>
          <t>Sri Lanka</t>
        </is>
      </c>
      <c r="B166" s="1060" t="n">
        <v>0.1307</v>
      </c>
      <c r="C166" s="1060" t="n">
        <v>0.2215</v>
      </c>
      <c r="D166" s="1060" t="n">
        <v>0.1755</v>
      </c>
      <c r="E166" s="1060" t="n">
        <v>0.24</v>
      </c>
      <c r="F166" s="1061" t="inlineStr">
        <is>
          <t>Ca</t>
        </is>
      </c>
      <c r="G166" s="1060" t="n">
        <v>0.5936</v>
      </c>
    </row>
    <row r="167" ht="10.5" customHeight="1">
      <c r="A167" s="1059" t="inlineStr">
        <is>
          <t>St. Maarten</t>
        </is>
      </c>
      <c r="B167" s="1060" t="n">
        <v>0.0328</v>
      </c>
      <c r="C167" s="1060" t="n">
        <v>0.09</v>
      </c>
      <c r="D167" s="1060" t="n">
        <v>0.044</v>
      </c>
      <c r="E167" s="1060" t="n">
        <v>0.2853</v>
      </c>
      <c r="F167" s="1061" t="inlineStr">
        <is>
          <t>Ba2</t>
        </is>
      </c>
      <c r="G167" s="1061" t="inlineStr">
        <is>
          <t>NA</t>
        </is>
      </c>
    </row>
    <row r="168" ht="10.5" customHeight="1">
      <c r="A168" s="1059" t="inlineStr">
        <is>
          <t>St. Vincent &amp; the Grenadines</t>
        </is>
      </c>
      <c r="B168" s="1060" t="n">
        <v>0.0708</v>
      </c>
      <c r="C168" s="1060" t="n">
        <v>0.1411</v>
      </c>
      <c r="D168" s="1060" t="n">
        <v>0.0951</v>
      </c>
      <c r="E168" s="1060" t="n">
        <v>0.2853</v>
      </c>
      <c r="F168" s="1061" t="inlineStr">
        <is>
          <t>B3</t>
        </is>
      </c>
      <c r="G168" s="1061" t="inlineStr">
        <is>
          <t>NA</t>
        </is>
      </c>
    </row>
    <row r="169" ht="10.5" customHeight="1">
      <c r="A169" s="1059" t="inlineStr">
        <is>
          <t>Sudan</t>
        </is>
      </c>
      <c r="B169" s="1060" t="n">
        <v>0.175</v>
      </c>
      <c r="C169" s="1060" t="n">
        <v>0.2809</v>
      </c>
      <c r="D169" s="1060" t="n">
        <v>0.2349</v>
      </c>
      <c r="E169" s="1060" t="n">
        <v>0.35</v>
      </c>
      <c r="F169" s="1061" t="inlineStr">
        <is>
          <t>NR</t>
        </is>
      </c>
      <c r="G169" s="1061" t="inlineStr">
        <is>
          <t>NA</t>
        </is>
      </c>
    </row>
    <row r="170" ht="10.5" customHeight="1">
      <c r="A170" s="1059" t="inlineStr">
        <is>
          <t>Suriname</t>
        </is>
      </c>
      <c r="B170" s="1060" t="n">
        <v>0.109</v>
      </c>
      <c r="C170" s="1060" t="n">
        <v>0.1923</v>
      </c>
      <c r="D170" s="1060" t="n">
        <v>0.1463</v>
      </c>
      <c r="E170" s="1060" t="n">
        <v>0.36</v>
      </c>
      <c r="F170" s="1061" t="inlineStr">
        <is>
          <t>Caa3</t>
        </is>
      </c>
      <c r="G170" s="1061" t="inlineStr">
        <is>
          <t>NA</t>
        </is>
      </c>
    </row>
    <row r="171" ht="10.5" customHeight="1">
      <c r="A171" s="1059" t="inlineStr">
        <is>
          <t>Swaziland</t>
        </is>
      </c>
      <c r="B171" s="1060" t="n">
        <v>0.0708</v>
      </c>
      <c r="C171" s="1060" t="n">
        <v>0.1411</v>
      </c>
      <c r="D171" s="1060" t="n">
        <v>0.0951</v>
      </c>
      <c r="E171" s="1060" t="n">
        <v>0.275</v>
      </c>
      <c r="F171" s="1061" t="inlineStr">
        <is>
          <t>B3</t>
        </is>
      </c>
      <c r="G171" s="1061" t="inlineStr">
        <is>
          <t>NA</t>
        </is>
      </c>
    </row>
    <row r="172" ht="10.5" customHeight="1">
      <c r="A172" s="1059" t="inlineStr">
        <is>
          <t>Sweden</t>
        </is>
      </c>
      <c r="B172" s="1060" t="n">
        <v>0</v>
      </c>
      <c r="C172" s="1060" t="n">
        <v>0.046</v>
      </c>
      <c r="D172" s="1060" t="n">
        <v>0</v>
      </c>
      <c r="E172" s="1060" t="n">
        <v>0.206</v>
      </c>
      <c r="F172" s="1061" t="inlineStr">
        <is>
          <t>Aaa</t>
        </is>
      </c>
      <c r="G172" s="1060" t="n">
        <v>0.0028</v>
      </c>
    </row>
    <row r="173" ht="10.5" customHeight="1">
      <c r="A173" s="1059" t="inlineStr">
        <is>
          <t>Switzerland</t>
        </is>
      </c>
      <c r="B173" s="1060" t="n">
        <v>0</v>
      </c>
      <c r="C173" s="1060" t="n">
        <v>0.046</v>
      </c>
      <c r="D173" s="1060" t="n">
        <v>0</v>
      </c>
      <c r="E173" s="1060" t="n">
        <v>0.146</v>
      </c>
      <c r="F173" s="1061" t="inlineStr">
        <is>
          <t>Aaa</t>
        </is>
      </c>
      <c r="G173" s="1060" t="n">
        <v>0.0022</v>
      </c>
    </row>
    <row r="174" ht="10.5" customHeight="1">
      <c r="A174" s="1059" t="inlineStr">
        <is>
          <t>Syria</t>
        </is>
      </c>
      <c r="B174" s="1060" t="n">
        <v>0.175</v>
      </c>
      <c r="C174" s="1060" t="n">
        <v>0.2809</v>
      </c>
      <c r="D174" s="1060" t="n">
        <v>0.2349</v>
      </c>
      <c r="E174" s="1060" t="n">
        <v>0.28</v>
      </c>
      <c r="F174" s="1061" t="inlineStr">
        <is>
          <t>NR</t>
        </is>
      </c>
      <c r="G174" s="1061" t="inlineStr">
        <is>
          <t>NA</t>
        </is>
      </c>
    </row>
    <row r="175" ht="10.5" customHeight="1">
      <c r="A175" s="1059" t="inlineStr">
        <is>
          <t>Taiwan</t>
        </is>
      </c>
      <c r="B175" s="1060" t="n">
        <v>0.0065</v>
      </c>
      <c r="C175" s="1060" t="n">
        <v>0.0548</v>
      </c>
      <c r="D175" s="1060" t="n">
        <v>0.008800000000000001</v>
      </c>
      <c r="E175" s="1060" t="n">
        <v>0.2</v>
      </c>
      <c r="F175" s="1061" t="inlineStr">
        <is>
          <t>Aa3</t>
        </is>
      </c>
      <c r="G175" s="1061" t="inlineStr">
        <is>
          <t>NA</t>
        </is>
      </c>
    </row>
    <row r="176" ht="10.5" customHeight="1">
      <c r="A176" s="1059" t="inlineStr">
        <is>
          <t>Tajikistan</t>
        </is>
      </c>
      <c r="B176" s="1060" t="n">
        <v>0.0708</v>
      </c>
      <c r="C176" s="1060" t="n">
        <v>0.1411</v>
      </c>
      <c r="D176" s="1060" t="n">
        <v>0.0951</v>
      </c>
      <c r="E176" s="1060" t="n">
        <v>0.18</v>
      </c>
      <c r="F176" s="1061" t="inlineStr">
        <is>
          <t>B3</t>
        </is>
      </c>
      <c r="G176" s="1061" t="inlineStr">
        <is>
          <t>NA</t>
        </is>
      </c>
    </row>
    <row r="177" ht="10.5" customHeight="1">
      <c r="A177" s="1059" t="inlineStr">
        <is>
          <t>Tanzania</t>
        </is>
      </c>
      <c r="B177" s="1060" t="n">
        <v>0.0599</v>
      </c>
      <c r="C177" s="1060" t="n">
        <v>0.1264</v>
      </c>
      <c r="D177" s="1060" t="n">
        <v>0.0804</v>
      </c>
      <c r="E177" s="1060" t="n">
        <v>0.3</v>
      </c>
      <c r="F177" s="1061" t="inlineStr">
        <is>
          <t>B2</t>
        </is>
      </c>
      <c r="G177" s="1061" t="inlineStr">
        <is>
          <t>NA</t>
        </is>
      </c>
    </row>
    <row r="178" ht="10.5" customHeight="1">
      <c r="A178" s="1059" t="inlineStr">
        <is>
          <t>Thailand</t>
        </is>
      </c>
      <c r="B178" s="1060" t="n">
        <v>0.0174</v>
      </c>
      <c r="C178" s="1060" t="n">
        <v>0.0694</v>
      </c>
      <c r="D178" s="1060" t="n">
        <v>0.0234</v>
      </c>
      <c r="E178" s="1060" t="n">
        <v>0.2</v>
      </c>
      <c r="F178" s="1061" t="inlineStr">
        <is>
          <t>Baa1</t>
        </is>
      </c>
      <c r="G178" s="1060" t="n">
        <v>0.0065</v>
      </c>
    </row>
    <row r="179" ht="10.5" customHeight="1">
      <c r="A179" s="1059" t="inlineStr">
        <is>
          <t>Togo</t>
        </is>
      </c>
      <c r="B179" s="1060" t="n">
        <v>0.0708</v>
      </c>
      <c r="C179" s="1060" t="n">
        <v>0.1411</v>
      </c>
      <c r="D179" s="1060" t="n">
        <v>0.0951</v>
      </c>
      <c r="E179" s="1060" t="n">
        <v>0.2686</v>
      </c>
      <c r="F179" s="1061" t="inlineStr">
        <is>
          <t>B3</t>
        </is>
      </c>
      <c r="G179" s="1061" t="inlineStr">
        <is>
          <t>NA</t>
        </is>
      </c>
    </row>
    <row r="180" ht="10.5" customHeight="1">
      <c r="A180" s="1059" t="inlineStr">
        <is>
          <t>Trinidad &amp;' Tobago</t>
        </is>
      </c>
      <c r="B180" s="1060" t="n">
        <v>0.0328</v>
      </c>
      <c r="C180" s="1060" t="n">
        <v>0.09</v>
      </c>
      <c r="D180" s="1060" t="n">
        <v>0.044</v>
      </c>
      <c r="E180" s="1060" t="n">
        <v>0.3</v>
      </c>
      <c r="F180" s="1061" t="inlineStr">
        <is>
          <t>Ba2</t>
        </is>
      </c>
      <c r="G180" s="1061" t="inlineStr">
        <is>
          <t>NA</t>
        </is>
      </c>
    </row>
    <row r="181" ht="10.5" customHeight="1">
      <c r="A181" s="1059" t="inlineStr">
        <is>
          <t>Tunisia</t>
        </is>
      </c>
      <c r="B181" s="1060" t="n">
        <v>0.09810000000000001</v>
      </c>
      <c r="C181" s="1060" t="n">
        <v>0.1777</v>
      </c>
      <c r="D181" s="1060" t="n">
        <v>0.1317</v>
      </c>
      <c r="E181" s="1060" t="n">
        <v>0.15</v>
      </c>
      <c r="F181" s="1061" t="inlineStr">
        <is>
          <t>Caa2</t>
        </is>
      </c>
      <c r="G181" s="1060" t="n">
        <v>0.0978</v>
      </c>
    </row>
    <row r="182" ht="10.5" customHeight="1">
      <c r="A182" s="1059" t="inlineStr">
        <is>
          <t>Turkey</t>
        </is>
      </c>
      <c r="B182" s="1060" t="n">
        <v>0.0708</v>
      </c>
      <c r="C182" s="1060" t="n">
        <v>0.1411</v>
      </c>
      <c r="D182" s="1060" t="n">
        <v>0.0951</v>
      </c>
      <c r="E182" s="1060" t="n">
        <v>0.25</v>
      </c>
      <c r="F182" s="1061" t="inlineStr">
        <is>
          <t>B3</t>
        </is>
      </c>
      <c r="G182" s="1060" t="n">
        <v>0.0386</v>
      </c>
    </row>
    <row r="183" ht="10.5" customHeight="1">
      <c r="A183" s="1062" t="inlineStr">
        <is>
          <t>Turks &amp; Caicos Islands</t>
        </is>
      </c>
      <c r="B183" s="1060" t="n">
        <v>0.0174</v>
      </c>
      <c r="C183" s="1060" t="n">
        <v>0.0694</v>
      </c>
      <c r="D183" s="1060" t="n">
        <v>0.0234</v>
      </c>
      <c r="E183" s="1060" t="n">
        <v>0</v>
      </c>
      <c r="F183" s="1061" t="inlineStr">
        <is>
          <t>Baa1</t>
        </is>
      </c>
      <c r="G183" s="1061" t="inlineStr">
        <is>
          <t>NA</t>
        </is>
      </c>
    </row>
    <row r="184" ht="10.5" customHeight="1">
      <c r="A184" s="1059" t="inlineStr">
        <is>
          <t>Uganda</t>
        </is>
      </c>
      <c r="B184" s="1060" t="n">
        <v>0.0599</v>
      </c>
      <c r="C184" s="1060" t="n">
        <v>0.1264</v>
      </c>
      <c r="D184" s="1060" t="n">
        <v>0.0804</v>
      </c>
      <c r="E184" s="1060" t="n">
        <v>0.3</v>
      </c>
      <c r="F184" s="1061" t="inlineStr">
        <is>
          <t>B2</t>
        </is>
      </c>
      <c r="G184" s="1061" t="inlineStr">
        <is>
          <t>NA</t>
        </is>
      </c>
    </row>
    <row r="185" ht="10.5" customHeight="1">
      <c r="A185" s="1059" t="inlineStr">
        <is>
          <t>Ukraine</t>
        </is>
      </c>
      <c r="B185" s="1060" t="n">
        <v>0.1307</v>
      </c>
      <c r="C185" s="1060" t="n">
        <v>0.2215</v>
      </c>
      <c r="D185" s="1060" t="n">
        <v>0.1755</v>
      </c>
      <c r="E185" s="1060" t="n">
        <v>0.18</v>
      </c>
      <c r="F185" s="1061" t="inlineStr">
        <is>
          <t>Ca</t>
        </is>
      </c>
      <c r="G185" s="1061" t="inlineStr">
        <is>
          <t>NA</t>
        </is>
      </c>
    </row>
    <row r="186" ht="10.5" customHeight="1">
      <c r="A186" s="1059" t="inlineStr">
        <is>
          <t>United Arab Emirates</t>
        </is>
      </c>
      <c r="B186" s="1060" t="n">
        <v>0.0054</v>
      </c>
      <c r="C186" s="1060" t="n">
        <v>0.0532</v>
      </c>
      <c r="D186" s="1060" t="n">
        <v>0.0072</v>
      </c>
      <c r="E186" s="1060" t="n">
        <v>0.25</v>
      </c>
      <c r="F186" s="1061" t="inlineStr">
        <is>
          <t>Aa2</t>
        </is>
      </c>
      <c r="G186" s="1061" t="inlineStr">
        <is>
          <t>NA</t>
        </is>
      </c>
    </row>
    <row r="187" ht="10.5" customHeight="1">
      <c r="A187" s="1059" t="inlineStr">
        <is>
          <t>United Kingdom</t>
        </is>
      </c>
      <c r="B187" s="1060" t="n">
        <v>0.0065</v>
      </c>
      <c r="C187" s="1060" t="n">
        <v>0.0548</v>
      </c>
      <c r="D187" s="1060" t="n">
        <v>0.008800000000000001</v>
      </c>
      <c r="E187" s="1060" t="n">
        <v>0.25</v>
      </c>
      <c r="F187" s="1061" t="inlineStr">
        <is>
          <t>Aa3</t>
        </is>
      </c>
      <c r="G187" s="1060" t="n">
        <v>0.0051</v>
      </c>
    </row>
    <row r="188" ht="10.5" customHeight="1">
      <c r="A188" s="1059" t="inlineStr">
        <is>
          <t>United States</t>
        </is>
      </c>
      <c r="B188" s="1060" t="n">
        <v>0</v>
      </c>
      <c r="C188" s="1060" t="n">
        <v>0.046</v>
      </c>
      <c r="D188" s="1060" t="n">
        <v>0</v>
      </c>
      <c r="E188" s="1060" t="n">
        <v>0.25</v>
      </c>
      <c r="F188" s="1061" t="inlineStr">
        <is>
          <t>Aaa</t>
        </is>
      </c>
      <c r="G188" s="1060" t="n">
        <v>0.0058</v>
      </c>
    </row>
    <row r="189" ht="10.5" customHeight="1">
      <c r="A189" s="1059" t="inlineStr">
        <is>
          <t>Uruguay</t>
        </is>
      </c>
      <c r="B189" s="1060" t="n">
        <v>0.0207</v>
      </c>
      <c r="C189" s="1060" t="n">
        <v>0.0738</v>
      </c>
      <c r="D189" s="1060" t="n">
        <v>0.0278</v>
      </c>
      <c r="E189" s="1060" t="n">
        <v>0.25</v>
      </c>
      <c r="F189" s="1061" t="inlineStr">
        <is>
          <t>Baa2</t>
        </is>
      </c>
      <c r="G189" s="1060" t="n">
        <v>0.0114</v>
      </c>
    </row>
    <row r="190" ht="10.5" customHeight="1">
      <c r="A190" s="1059" t="inlineStr">
        <is>
          <t>Uzbekistan</t>
        </is>
      </c>
      <c r="B190" s="1060" t="n">
        <v>0.0392</v>
      </c>
      <c r="C190" s="1060" t="n">
        <v>0.09859999999999999</v>
      </c>
      <c r="D190" s="1060" t="n">
        <v>0.0526</v>
      </c>
      <c r="E190" s="1060" t="n">
        <v>0.15</v>
      </c>
      <c r="F190" s="1061" t="inlineStr">
        <is>
          <t>Ba3</t>
        </is>
      </c>
      <c r="G190" s="1061" t="inlineStr">
        <is>
          <t>NA</t>
        </is>
      </c>
    </row>
    <row r="191" ht="10.5" customHeight="1">
      <c r="A191" s="1059" t="inlineStr">
        <is>
          <t>Venezuela</t>
        </is>
      </c>
      <c r="B191" s="1060" t="n">
        <v>0.175</v>
      </c>
      <c r="C191" s="1060" t="n">
        <v>0.2809</v>
      </c>
      <c r="D191" s="1060" t="n">
        <v>0.2349</v>
      </c>
      <c r="E191" s="1060" t="n">
        <v>0.34</v>
      </c>
      <c r="F191" s="1061" t="inlineStr">
        <is>
          <t>C</t>
        </is>
      </c>
      <c r="G191" s="1060" t="n">
        <v>0.1125</v>
      </c>
    </row>
    <row r="192" ht="10.5" customHeight="1">
      <c r="A192" s="1059" t="inlineStr">
        <is>
          <t>Vietnam</t>
        </is>
      </c>
      <c r="B192" s="1060" t="n">
        <v>0.0328</v>
      </c>
      <c r="C192" s="1060" t="n">
        <v>0.09</v>
      </c>
      <c r="D192" s="1060" t="n">
        <v>0.044</v>
      </c>
      <c r="E192" s="1060" t="n">
        <v>0.2</v>
      </c>
      <c r="F192" s="1061" t="inlineStr">
        <is>
          <t>Ba2</t>
        </is>
      </c>
      <c r="G192" s="1060" t="n">
        <v>0.0184</v>
      </c>
    </row>
    <row r="193" ht="10.5" customHeight="1">
      <c r="A193" s="1059" t="inlineStr">
        <is>
          <t>Yemen</t>
        </is>
      </c>
      <c r="B193" s="1060" t="n">
        <v>0.109</v>
      </c>
      <c r="C193" s="1060" t="n">
        <v>0.1923</v>
      </c>
      <c r="D193" s="1060" t="n">
        <v>0.1463</v>
      </c>
      <c r="E193" s="1060" t="n">
        <v>0.2</v>
      </c>
      <c r="F193" s="1061" t="inlineStr">
        <is>
          <t>NR</t>
        </is>
      </c>
      <c r="G193" s="1061" t="inlineStr">
        <is>
          <t>NA</t>
        </is>
      </c>
    </row>
    <row r="194" ht="10.5" customHeight="1">
      <c r="A194" s="1059" t="inlineStr">
        <is>
          <t>Zambia</t>
        </is>
      </c>
      <c r="B194" s="1060" t="n">
        <v>0.109</v>
      </c>
      <c r="C194" s="1060" t="n">
        <v>0.1923</v>
      </c>
      <c r="D194" s="1060" t="n">
        <v>0.1463</v>
      </c>
      <c r="E194" s="1060" t="n">
        <v>0.35</v>
      </c>
      <c r="F194" s="1061" t="inlineStr">
        <is>
          <t>Caa3</t>
        </is>
      </c>
      <c r="G194" s="1061" t="inlineStr">
        <is>
          <t>NA</t>
        </is>
      </c>
    </row>
    <row r="195" ht="10.5" customHeight="1">
      <c r="A195" s="1059" t="inlineStr">
        <is>
          <t>Zimbabwe</t>
        </is>
      </c>
      <c r="B195" s="1060" t="n">
        <v>0.09810000000000001</v>
      </c>
      <c r="C195" s="1060" t="n">
        <v>0.1777</v>
      </c>
      <c r="D195" s="1060" t="n">
        <v>0.1317</v>
      </c>
      <c r="E195" s="1060" t="n">
        <v>0.25</v>
      </c>
      <c r="F195" s="1061" t="inlineStr">
        <is>
          <t>NR</t>
        </is>
      </c>
      <c r="G195" s="1061" t="inlineStr">
        <is>
          <t>NA</t>
        </is>
      </c>
    </row>
  </sheetData>
  <pageMargins left="0.7" right="0.7" top="0.75" bottom="0.75" header="0.3" footer="0.3"/>
</worksheet>
</file>

<file path=xl/worksheets/sheet40.xml><?xml version="1.0" encoding="utf-8"?>
<worksheet xmlns="http://schemas.openxmlformats.org/spreadsheetml/2006/main">
  <sheetPr>
    <tabColor theme="7"/>
    <outlinePr summaryBelow="1" summaryRight="1"/>
    <pageSetUpPr/>
  </sheetPr>
  <dimension ref="A2:K98"/>
  <sheetViews>
    <sheetView showGridLines="0" topLeftCell="A76" zoomScale="67" workbookViewId="0">
      <selection activeCell="A3" sqref="A3"/>
    </sheetView>
  </sheetViews>
  <sheetFormatPr baseColWidth="8" defaultColWidth="0" defaultRowHeight="15.5"/>
  <cols>
    <col width="28.23046875" bestFit="1" customWidth="1" min="1" max="1"/>
    <col width="8.15234375" bestFit="1" customWidth="1" min="2" max="2"/>
    <col width="5.84375" bestFit="1" customWidth="1" min="3" max="3"/>
    <col width="7.07421875" bestFit="1" customWidth="1" min="4" max="4"/>
    <col width="8.921875" bestFit="1" customWidth="1" min="5" max="5"/>
    <col width="9" bestFit="1" customWidth="1" min="6" max="6"/>
    <col width="13.23046875" customWidth="1" min="7" max="7"/>
    <col width="10.3828125" customWidth="1" min="8" max="8"/>
    <col width="16.07421875" customWidth="1" min="9" max="9"/>
    <col width="10.84375" customWidth="1" min="10" max="10"/>
    <col width="19.15234375" customWidth="1" min="11" max="11"/>
    <col width="8.69140625" customWidth="1" min="12" max="12"/>
    <col hidden="1" width="8.69140625" customWidth="1" min="13" max="16384"/>
  </cols>
  <sheetData>
    <row r="2" ht="54.5" customFormat="1" customHeight="1" s="1270">
      <c r="A2" s="1271" t="inlineStr">
        <is>
          <t>Industry Name</t>
        </is>
      </c>
      <c r="B2" s="1271" t="inlineStr">
        <is>
          <t>Number of firms</t>
        </is>
      </c>
      <c r="C2" s="1271" t="inlineStr">
        <is>
          <t xml:space="preserve">Beta </t>
        </is>
      </c>
      <c r="D2" s="1271" t="inlineStr">
        <is>
          <t>D/E Ratio</t>
        </is>
      </c>
      <c r="E2" s="1271" t="inlineStr">
        <is>
          <t>Effective Tax rate</t>
        </is>
      </c>
      <c r="F2" s="1271" t="inlineStr">
        <is>
          <t>Unlevered beta</t>
        </is>
      </c>
      <c r="G2" s="1271" t="inlineStr">
        <is>
          <t>Cash/Firm value</t>
        </is>
      </c>
      <c r="H2" s="1271" t="inlineStr">
        <is>
          <t>Unlevered beta corrected for cash</t>
        </is>
      </c>
      <c r="I2" s="1271" t="inlineStr">
        <is>
          <t>HiLo Risk</t>
        </is>
      </c>
      <c r="J2" s="1271" t="inlineStr">
        <is>
          <t>Standard deviation of equity</t>
        </is>
      </c>
      <c r="K2" s="1271" t="inlineStr">
        <is>
          <t>Standard deviation in operating income (last 10 years)</t>
        </is>
      </c>
    </row>
    <row r="3">
      <c r="A3" s="1264" t="inlineStr">
        <is>
          <t>Advertising</t>
        </is>
      </c>
      <c r="B3" s="1265" t="n">
        <v>57</v>
      </c>
      <c r="C3" s="1265" t="n">
        <v>1.37</v>
      </c>
      <c r="D3" s="1266" t="n">
        <v>0.3376</v>
      </c>
      <c r="E3" s="1266" t="n">
        <v>0.0544</v>
      </c>
      <c r="F3" s="1265" t="n">
        <v>1.1</v>
      </c>
      <c r="G3" s="1266" t="n">
        <v>0.0725</v>
      </c>
      <c r="H3" s="1265" t="n">
        <v>1.18</v>
      </c>
      <c r="I3" s="1265" t="n">
        <v>0.6204</v>
      </c>
      <c r="J3" s="1266" t="n">
        <v>0.5641</v>
      </c>
      <c r="K3" s="1266" t="n">
        <v>0.1494</v>
      </c>
    </row>
    <row r="4">
      <c r="A4" s="1267" t="inlineStr">
        <is>
          <t>Aerospace/Defense</t>
        </is>
      </c>
      <c r="B4" s="1268" t="n">
        <v>70</v>
      </c>
      <c r="C4" s="1268" t="n">
        <v>1.08</v>
      </c>
      <c r="D4" s="1269" t="n">
        <v>0.2546</v>
      </c>
      <c r="E4" s="1269" t="n">
        <v>0.0728</v>
      </c>
      <c r="F4" s="1268" t="n">
        <v>0.9</v>
      </c>
      <c r="G4" s="1269" t="n">
        <v>0.029</v>
      </c>
      <c r="H4" s="1268" t="n">
        <v>0.93</v>
      </c>
      <c r="I4" s="1268" t="n">
        <v>0.4584</v>
      </c>
      <c r="J4" s="1269" t="n">
        <v>0.364</v>
      </c>
      <c r="K4" s="1269" t="n">
        <v>0.195</v>
      </c>
    </row>
    <row r="5">
      <c r="A5" s="1264" t="inlineStr">
        <is>
          <t>Air Transport</t>
        </is>
      </c>
      <c r="B5" s="1265" t="n">
        <v>25</v>
      </c>
      <c r="C5" s="1265" t="n">
        <v>1.27</v>
      </c>
      <c r="D5" s="1266" t="n">
        <v>1.6215</v>
      </c>
      <c r="E5" s="1266" t="n">
        <v>0.0862</v>
      </c>
      <c r="F5" s="1265" t="n">
        <v>0.57</v>
      </c>
      <c r="G5" s="1266" t="n">
        <v>0.1071</v>
      </c>
      <c r="H5" s="1265" t="n">
        <v>0.64</v>
      </c>
      <c r="I5" s="1265" t="n">
        <v>0.5221</v>
      </c>
      <c r="J5" s="1266" t="n">
        <v>0.4465</v>
      </c>
      <c r="K5" s="1266" t="n">
        <v>2.153</v>
      </c>
    </row>
    <row r="6">
      <c r="A6" s="1267" t="inlineStr">
        <is>
          <t>Apparel</t>
        </is>
      </c>
      <c r="B6" s="1268" t="n">
        <v>38</v>
      </c>
      <c r="C6" s="1268" t="n">
        <v>1.19</v>
      </c>
      <c r="D6" s="1269" t="n">
        <v>0.4876</v>
      </c>
      <c r="E6" s="1269" t="n">
        <v>0.1019</v>
      </c>
      <c r="F6" s="1268" t="n">
        <v>0.87</v>
      </c>
      <c r="G6" s="1269" t="n">
        <v>0.0589</v>
      </c>
      <c r="H6" s="1268" t="n">
        <v>0.93</v>
      </c>
      <c r="I6" s="1268" t="n">
        <v>0.4816</v>
      </c>
      <c r="J6" s="1269" t="n">
        <v>0.3704</v>
      </c>
      <c r="K6" s="1269" t="n">
        <v>0.2404</v>
      </c>
    </row>
    <row r="7">
      <c r="A7" s="1264" t="inlineStr">
        <is>
          <t>Auto &amp; Truck</t>
        </is>
      </c>
      <c r="B7" s="1265" t="n">
        <v>34</v>
      </c>
      <c r="C7" s="1265" t="n">
        <v>1.52</v>
      </c>
      <c r="D7" s="1266" t="n">
        <v>0.3102</v>
      </c>
      <c r="E7" s="1266" t="n">
        <v>0.0312</v>
      </c>
      <c r="F7" s="1265" t="n">
        <v>1.24</v>
      </c>
      <c r="G7" s="1266" t="n">
        <v>0.0529</v>
      </c>
      <c r="H7" s="1265" t="n">
        <v>1.3</v>
      </c>
      <c r="I7" s="1265" t="n">
        <v>0.7081</v>
      </c>
      <c r="J7" s="1266" t="n">
        <v>0.597</v>
      </c>
      <c r="K7" s="1266" t="n">
        <v>0.481</v>
      </c>
    </row>
    <row r="8">
      <c r="A8" s="1267" t="inlineStr">
        <is>
          <t>Auto Parts</t>
        </is>
      </c>
      <c r="B8" s="1268" t="n">
        <v>39</v>
      </c>
      <c r="C8" s="1268" t="n">
        <v>1.34</v>
      </c>
      <c r="D8" s="1269" t="n">
        <v>0.3844</v>
      </c>
      <c r="E8" s="1269" t="n">
        <v>0.1462</v>
      </c>
      <c r="F8" s="1268" t="n">
        <v>1.04</v>
      </c>
      <c r="G8" s="1269" t="n">
        <v>0.0692</v>
      </c>
      <c r="H8" s="1268" t="n">
        <v>1.12</v>
      </c>
      <c r="I8" s="1268" t="n">
        <v>0.4652</v>
      </c>
      <c r="J8" s="1269" t="n">
        <v>0.3707</v>
      </c>
      <c r="K8" s="1269" t="n">
        <v>0.2099</v>
      </c>
    </row>
    <row r="9">
      <c r="A9" s="1264" t="inlineStr">
        <is>
          <t>Bank (Money Center)</t>
        </is>
      </c>
      <c r="B9" s="1265" t="n">
        <v>15</v>
      </c>
      <c r="C9" s="1265" t="n">
        <v>1.06</v>
      </c>
      <c r="D9" s="1266" t="n">
        <v>2.1616</v>
      </c>
      <c r="E9" s="1266" t="n">
        <v>0.1769</v>
      </c>
      <c r="F9" s="1265" t="n">
        <v>0.4</v>
      </c>
      <c r="G9" s="1266" t="n">
        <v>0.3713</v>
      </c>
      <c r="H9" s="1265" t="n">
        <v>0.64</v>
      </c>
      <c r="I9" s="1265" t="n">
        <v>0.3109</v>
      </c>
      <c r="J9" s="1266" t="n">
        <v>0.2251</v>
      </c>
      <c r="K9" s="1265" t="inlineStr">
        <is>
          <t>NA</t>
        </is>
      </c>
    </row>
    <row r="10">
      <c r="A10" s="1267" t="inlineStr">
        <is>
          <t>Banks (Regional)</t>
        </is>
      </c>
      <c r="B10" s="1268" t="n">
        <v>625</v>
      </c>
      <c r="C10" s="1268" t="n">
        <v>0.46</v>
      </c>
      <c r="D10" s="1269" t="n">
        <v>1.0195</v>
      </c>
      <c r="E10" s="1269" t="n">
        <v>0.1769</v>
      </c>
      <c r="F10" s="1268" t="n">
        <v>0.26</v>
      </c>
      <c r="G10" s="1269" t="n">
        <v>0.2161</v>
      </c>
      <c r="H10" s="1268" t="n">
        <v>0.33</v>
      </c>
      <c r="I10" s="1268" t="n">
        <v>0.2398</v>
      </c>
      <c r="J10" s="1269" t="n">
        <v>0.1868</v>
      </c>
      <c r="K10" s="1269" t="n">
        <v>0.7566000000000001</v>
      </c>
    </row>
    <row r="11">
      <c r="A11" s="1264" t="inlineStr">
        <is>
          <t>Beverage (Alcoholic)</t>
        </is>
      </c>
      <c r="B11" s="1265" t="n">
        <v>19</v>
      </c>
      <c r="C11" s="1265" t="n">
        <v>1.13</v>
      </c>
      <c r="D11" s="1266" t="n">
        <v>0.2446</v>
      </c>
      <c r="E11" s="1266" t="n">
        <v>0.1042</v>
      </c>
      <c r="F11" s="1265" t="n">
        <v>0.96</v>
      </c>
      <c r="G11" s="1266" t="n">
        <v>0.0143</v>
      </c>
      <c r="H11" s="1265" t="n">
        <v>0.97</v>
      </c>
      <c r="I11" s="1265" t="n">
        <v>0.527</v>
      </c>
      <c r="J11" s="1266" t="n">
        <v>0.497</v>
      </c>
      <c r="K11" s="1266" t="n">
        <v>0.2687</v>
      </c>
    </row>
    <row r="12">
      <c r="A12" s="1267" t="inlineStr">
        <is>
          <t>Beverage (Soft)</t>
        </is>
      </c>
      <c r="B12" s="1268" t="n">
        <v>29</v>
      </c>
      <c r="C12" s="1268" t="n">
        <v>0.76</v>
      </c>
      <c r="D12" s="1269" t="n">
        <v>0.1712</v>
      </c>
      <c r="E12" s="1269" t="n">
        <v>0.0668</v>
      </c>
      <c r="F12" s="1268" t="n">
        <v>0.68</v>
      </c>
      <c r="G12" s="1269" t="n">
        <v>0.0351</v>
      </c>
      <c r="H12" s="1268" t="n">
        <v>0.7</v>
      </c>
      <c r="I12" s="1268" t="n">
        <v>0.5619</v>
      </c>
      <c r="J12" s="1269" t="n">
        <v>0.4296</v>
      </c>
      <c r="K12" s="1269" t="n">
        <v>0.1139</v>
      </c>
    </row>
    <row r="13">
      <c r="A13" s="1264" t="inlineStr">
        <is>
          <t>Broadcasting</t>
        </is>
      </c>
      <c r="B13" s="1265" t="n">
        <v>22</v>
      </c>
      <c r="C13" s="1265" t="n">
        <v>1.06</v>
      </c>
      <c r="D13" s="1266" t="n">
        <v>1.764</v>
      </c>
      <c r="E13" s="1266" t="n">
        <v>0.0785</v>
      </c>
      <c r="F13" s="1265" t="n">
        <v>0.46</v>
      </c>
      <c r="G13" s="1266" t="n">
        <v>0.0862</v>
      </c>
      <c r="H13" s="1265" t="n">
        <v>0.5</v>
      </c>
      <c r="I13" s="1265" t="n">
        <v>0.5134</v>
      </c>
      <c r="J13" s="1266" t="n">
        <v>0.3846</v>
      </c>
      <c r="K13" s="1266" t="n">
        <v>0.2965</v>
      </c>
    </row>
    <row r="14">
      <c r="A14" s="1267" t="inlineStr">
        <is>
          <t>Brokerage &amp; Investment Banking</t>
        </is>
      </c>
      <c r="B14" s="1268" t="n">
        <v>27</v>
      </c>
      <c r="C14" s="1268" t="n">
        <v>1.12</v>
      </c>
      <c r="D14" s="1269" t="n">
        <v>2.2606</v>
      </c>
      <c r="E14" s="1269" t="n">
        <v>0.1684</v>
      </c>
      <c r="F14" s="1268" t="n">
        <v>0.42</v>
      </c>
      <c r="G14" s="1269" t="n">
        <v>0.2454</v>
      </c>
      <c r="H14" s="1268" t="n">
        <v>0.55</v>
      </c>
      <c r="I14" s="1268" t="n">
        <v>0.3272</v>
      </c>
      <c r="J14" s="1269" t="n">
        <v>0.2521</v>
      </c>
      <c r="K14" s="1269" t="n">
        <v>0.4589</v>
      </c>
    </row>
    <row r="15">
      <c r="A15" s="1264" t="inlineStr">
        <is>
          <t>Building Materials</t>
        </is>
      </c>
      <c r="B15" s="1265" t="n">
        <v>44</v>
      </c>
      <c r="C15" s="1265" t="n">
        <v>1.32</v>
      </c>
      <c r="D15" s="1266" t="n">
        <v>0.1815</v>
      </c>
      <c r="E15" s="1266" t="n">
        <v>0.1994</v>
      </c>
      <c r="F15" s="1265" t="n">
        <v>1.16</v>
      </c>
      <c r="G15" s="1266" t="n">
        <v>0.0406</v>
      </c>
      <c r="H15" s="1265" t="n">
        <v>1.21</v>
      </c>
      <c r="I15" s="1265" t="n">
        <v>0.3866</v>
      </c>
      <c r="J15" s="1266" t="n">
        <v>0.2872</v>
      </c>
      <c r="K15" s="1266" t="n">
        <v>0.5215</v>
      </c>
    </row>
    <row r="16">
      <c r="A16" s="1267" t="inlineStr">
        <is>
          <t>Business &amp; Consumer Services</t>
        </is>
      </c>
      <c r="B16" s="1268" t="n">
        <v>162</v>
      </c>
      <c r="C16" s="1268" t="n">
        <v>1.02</v>
      </c>
      <c r="D16" s="1269" t="n">
        <v>0.1794</v>
      </c>
      <c r="E16" s="1269" t="n">
        <v>0.1084</v>
      </c>
      <c r="F16" s="1268" t="n">
        <v>0.9</v>
      </c>
      <c r="G16" s="1269" t="n">
        <v>0.0309</v>
      </c>
      <c r="H16" s="1268" t="n">
        <v>0.93</v>
      </c>
      <c r="I16" s="1268" t="n">
        <v>0.4878</v>
      </c>
      <c r="J16" s="1269" t="n">
        <v>0.4129</v>
      </c>
      <c r="K16" s="1269" t="n">
        <v>0.2355</v>
      </c>
    </row>
    <row r="17">
      <c r="A17" s="1264" t="inlineStr">
        <is>
          <t>Cable TV</t>
        </is>
      </c>
      <c r="B17" s="1265" t="n">
        <v>10</v>
      </c>
      <c r="C17" s="1265" t="n">
        <v>1.28</v>
      </c>
      <c r="D17" s="1266" t="n">
        <v>1.0172</v>
      </c>
      <c r="E17" s="1266" t="n">
        <v>0.2372</v>
      </c>
      <c r="F17" s="1265" t="n">
        <v>0.72</v>
      </c>
      <c r="G17" s="1266" t="n">
        <v>0.0154</v>
      </c>
      <c r="H17" s="1265" t="n">
        <v>0.74</v>
      </c>
      <c r="I17" s="1265" t="n">
        <v>0.4199</v>
      </c>
      <c r="J17" s="1266" t="n">
        <v>0.3301</v>
      </c>
      <c r="K17" s="1266" t="n">
        <v>0.2725</v>
      </c>
    </row>
    <row r="18">
      <c r="A18" s="1267" t="inlineStr">
        <is>
          <t>Chemical (Basic)</t>
        </is>
      </c>
      <c r="B18" s="1268" t="n">
        <v>32</v>
      </c>
      <c r="C18" s="1268" t="n">
        <v>1.1</v>
      </c>
      <c r="D18" s="1269" t="n">
        <v>0.4568</v>
      </c>
      <c r="E18" s="1269" t="n">
        <v>0.0893</v>
      </c>
      <c r="F18" s="1268" t="n">
        <v>0.82</v>
      </c>
      <c r="G18" s="1269" t="n">
        <v>0.0665</v>
      </c>
      <c r="H18" s="1268" t="n">
        <v>0.87</v>
      </c>
      <c r="I18" s="1268" t="n">
        <v>0.4855</v>
      </c>
      <c r="J18" s="1269" t="n">
        <v>0.3892</v>
      </c>
      <c r="K18" s="1269" t="n">
        <v>0.4082</v>
      </c>
    </row>
    <row r="19">
      <c r="A19" s="1264" t="inlineStr">
        <is>
          <t>Chemical (Diversified)</t>
        </is>
      </c>
      <c r="B19" s="1265" t="n">
        <v>4</v>
      </c>
      <c r="C19" s="1265" t="n">
        <v>1.13</v>
      </c>
      <c r="D19" s="1266" t="n">
        <v>0.6953</v>
      </c>
      <c r="E19" s="1266" t="n">
        <v>0.1489</v>
      </c>
      <c r="F19" s="1265" t="n">
        <v>0.74</v>
      </c>
      <c r="G19" s="1266" t="n">
        <v>0.0843</v>
      </c>
      <c r="H19" s="1265" t="n">
        <v>0.8100000000000001</v>
      </c>
      <c r="I19" s="1265" t="n">
        <v>0.3012</v>
      </c>
      <c r="J19" s="1266" t="n">
        <v>0.3724</v>
      </c>
      <c r="K19" s="1266" t="n">
        <v>0.3491</v>
      </c>
    </row>
    <row r="20">
      <c r="A20" s="1267" t="inlineStr">
        <is>
          <t>Chemical (Specialty)</t>
        </is>
      </c>
      <c r="B20" s="1268" t="n">
        <v>68</v>
      </c>
      <c r="C20" s="1268" t="n">
        <v>1.09</v>
      </c>
      <c r="D20" s="1269" t="n">
        <v>0.2682</v>
      </c>
      <c r="E20" s="1269" t="n">
        <v>0.104</v>
      </c>
      <c r="F20" s="1268" t="n">
        <v>0.91</v>
      </c>
      <c r="G20" s="1269" t="n">
        <v>0.035</v>
      </c>
      <c r="H20" s="1268" t="n">
        <v>0.9399999999999999</v>
      </c>
      <c r="I20" s="1268" t="n">
        <v>0.4443</v>
      </c>
      <c r="J20" s="1269" t="n">
        <v>0.366</v>
      </c>
      <c r="K20" s="1269" t="n">
        <v>0.186</v>
      </c>
    </row>
    <row r="21">
      <c r="A21" s="1264" t="inlineStr">
        <is>
          <t>Coal &amp; Related Energy</t>
        </is>
      </c>
      <c r="B21" s="1265" t="n">
        <v>18</v>
      </c>
      <c r="C21" s="1265" t="n">
        <v>1.27</v>
      </c>
      <c r="D21" s="1266" t="n">
        <v>0.2254</v>
      </c>
      <c r="E21" s="1266" t="n">
        <v>0.0262</v>
      </c>
      <c r="F21" s="1265" t="n">
        <v>1.09</v>
      </c>
      <c r="G21" s="1266" t="n">
        <v>0.1253</v>
      </c>
      <c r="H21" s="1265" t="n">
        <v>1.24</v>
      </c>
      <c r="I21" s="1265" t="n">
        <v>0.5084</v>
      </c>
      <c r="J21" s="1266" t="n">
        <v>0.5569</v>
      </c>
      <c r="K21" s="1266" t="n">
        <v>4.1549</v>
      </c>
    </row>
    <row r="22">
      <c r="A22" s="1267" t="inlineStr">
        <is>
          <t>Computer Services</t>
        </is>
      </c>
      <c r="B22" s="1268" t="n">
        <v>72</v>
      </c>
      <c r="C22" s="1268" t="n">
        <v>1</v>
      </c>
      <c r="D22" s="1269" t="n">
        <v>0.2914</v>
      </c>
      <c r="E22" s="1269" t="n">
        <v>0.07779999999999999</v>
      </c>
      <c r="F22" s="1268" t="n">
        <v>0.82</v>
      </c>
      <c r="G22" s="1269" t="n">
        <v>0.0469</v>
      </c>
      <c r="H22" s="1268" t="n">
        <v>0.86</v>
      </c>
      <c r="I22" s="1268" t="n">
        <v>0.575</v>
      </c>
      <c r="J22" s="1269" t="n">
        <v>0.4961</v>
      </c>
      <c r="K22" s="1269" t="n">
        <v>0.2548</v>
      </c>
    </row>
    <row r="23">
      <c r="A23" s="1264" t="inlineStr">
        <is>
          <t>Computers/Peripherals</t>
        </is>
      </c>
      <c r="B23" s="1265" t="n">
        <v>36</v>
      </c>
      <c r="C23" s="1265" t="n">
        <v>1.13</v>
      </c>
      <c r="D23" s="1266" t="n">
        <v>0.0609</v>
      </c>
      <c r="E23" s="1266" t="n">
        <v>0.0867</v>
      </c>
      <c r="F23" s="1265" t="n">
        <v>1.08</v>
      </c>
      <c r="G23" s="1266" t="n">
        <v>0.0154</v>
      </c>
      <c r="H23" s="1265" t="n">
        <v>1.1</v>
      </c>
      <c r="I23" s="1265" t="n">
        <v>0.439</v>
      </c>
      <c r="J23" s="1266" t="n">
        <v>0.389</v>
      </c>
      <c r="K23" s="1266" t="n">
        <v>0.2908</v>
      </c>
    </row>
    <row r="24">
      <c r="A24" s="1267" t="inlineStr">
        <is>
          <t>Construction Supplies</t>
        </is>
      </c>
      <c r="B24" s="1268" t="n">
        <v>45</v>
      </c>
      <c r="C24" s="1268" t="n">
        <v>1.13</v>
      </c>
      <c r="D24" s="1269" t="n">
        <v>0.247</v>
      </c>
      <c r="E24" s="1269" t="n">
        <v>0.1491</v>
      </c>
      <c r="F24" s="1268" t="n">
        <v>0.95</v>
      </c>
      <c r="G24" s="1269" t="n">
        <v>0.0394</v>
      </c>
      <c r="H24" s="1268" t="n">
        <v>0.99</v>
      </c>
      <c r="I24" s="1268" t="n">
        <v>0.3977</v>
      </c>
      <c r="J24" s="1269" t="n">
        <v>0.3783</v>
      </c>
      <c r="K24" s="1269" t="n">
        <v>0.2396</v>
      </c>
    </row>
    <row r="25">
      <c r="A25" s="1264" t="inlineStr">
        <is>
          <t>Diversified</t>
        </is>
      </c>
      <c r="B25" s="1265" t="n">
        <v>23</v>
      </c>
      <c r="C25" s="1265" t="n">
        <v>1.19</v>
      </c>
      <c r="D25" s="1266" t="n">
        <v>0.1915</v>
      </c>
      <c r="E25" s="1266" t="n">
        <v>0.0525</v>
      </c>
      <c r="F25" s="1265" t="n">
        <v>1.04</v>
      </c>
      <c r="G25" s="1266" t="n">
        <v>0.0436</v>
      </c>
      <c r="H25" s="1265" t="n">
        <v>1.09</v>
      </c>
      <c r="I25" s="1265" t="n">
        <v>0.5455</v>
      </c>
      <c r="J25" s="1266" t="n">
        <v>0.5225</v>
      </c>
      <c r="K25" s="1266" t="n">
        <v>0.667</v>
      </c>
    </row>
    <row r="26">
      <c r="A26" s="1267" t="inlineStr">
        <is>
          <t>Drugs (Biotechnology)</t>
        </is>
      </c>
      <c r="B26" s="1268" t="n">
        <v>572</v>
      </c>
      <c r="C26" s="1268" t="n">
        <v>1.12</v>
      </c>
      <c r="D26" s="1269" t="n">
        <v>0.1639</v>
      </c>
      <c r="E26" s="1269" t="n">
        <v>0.0081</v>
      </c>
      <c r="F26" s="1268" t="n">
        <v>1</v>
      </c>
      <c r="G26" s="1269" t="n">
        <v>0.0815</v>
      </c>
      <c r="H26" s="1268" t="n">
        <v>1.09</v>
      </c>
      <c r="I26" s="1268" t="n">
        <v>0.6317</v>
      </c>
      <c r="J26" s="1269" t="n">
        <v>0.6198</v>
      </c>
      <c r="K26" s="1269" t="n">
        <v>0.2724</v>
      </c>
    </row>
    <row r="27">
      <c r="A27" s="1264" t="inlineStr">
        <is>
          <t>Drugs (Pharmaceutical)</t>
        </is>
      </c>
      <c r="B27" s="1265" t="n">
        <v>245</v>
      </c>
      <c r="C27" s="1265" t="n">
        <v>1.03</v>
      </c>
      <c r="D27" s="1266" t="n">
        <v>0.1605</v>
      </c>
      <c r="E27" s="1266" t="n">
        <v>0.0289</v>
      </c>
      <c r="F27" s="1265" t="n">
        <v>0.92</v>
      </c>
      <c r="G27" s="1266" t="n">
        <v>0.029</v>
      </c>
      <c r="H27" s="1265" t="n">
        <v>0.9399999999999999</v>
      </c>
      <c r="I27" s="1265" t="n">
        <v>0.6616</v>
      </c>
      <c r="J27" s="1266" t="n">
        <v>0.653</v>
      </c>
      <c r="K27" s="1266" t="n">
        <v>0.2908</v>
      </c>
    </row>
    <row r="28">
      <c r="A28" s="1267" t="inlineStr">
        <is>
          <t>Education</t>
        </is>
      </c>
      <c r="B28" s="1268" t="n">
        <v>31</v>
      </c>
      <c r="C28" s="1268" t="n">
        <v>1.23</v>
      </c>
      <c r="D28" s="1269" t="n">
        <v>0.1959</v>
      </c>
      <c r="E28" s="1269" t="n">
        <v>0.1115</v>
      </c>
      <c r="F28" s="1268" t="n">
        <v>1.07</v>
      </c>
      <c r="G28" s="1269" t="n">
        <v>0.06850000000000001</v>
      </c>
      <c r="H28" s="1268" t="n">
        <v>1.15</v>
      </c>
      <c r="I28" s="1268" t="n">
        <v>0.5404</v>
      </c>
      <c r="J28" s="1269" t="n">
        <v>0.4378</v>
      </c>
      <c r="K28" s="1269" t="n">
        <v>0.1718</v>
      </c>
    </row>
    <row r="29">
      <c r="A29" s="1264" t="inlineStr">
        <is>
          <t>Electrical Equipment</t>
        </is>
      </c>
      <c r="B29" s="1265" t="n">
        <v>103</v>
      </c>
      <c r="C29" s="1265" t="n">
        <v>1.24</v>
      </c>
      <c r="D29" s="1266" t="n">
        <v>0.2139</v>
      </c>
      <c r="E29" s="1266" t="n">
        <v>0.0566</v>
      </c>
      <c r="F29" s="1265" t="n">
        <v>1.07</v>
      </c>
      <c r="G29" s="1266" t="n">
        <v>0.06660000000000001</v>
      </c>
      <c r="H29" s="1265" t="n">
        <v>1.15</v>
      </c>
      <c r="I29" s="1265" t="n">
        <v>0.62</v>
      </c>
      <c r="J29" s="1266" t="n">
        <v>0.5442</v>
      </c>
      <c r="K29" s="1266" t="n">
        <v>0.167</v>
      </c>
    </row>
    <row r="30">
      <c r="A30" s="1267" t="inlineStr">
        <is>
          <t>Electronics (Consumer &amp; Office)</t>
        </is>
      </c>
      <c r="B30" s="1268" t="n">
        <v>13</v>
      </c>
      <c r="C30" s="1268" t="n">
        <v>1.3</v>
      </c>
      <c r="D30" s="1269" t="n">
        <v>0.1832</v>
      </c>
      <c r="E30" s="1269" t="n">
        <v>0.0731</v>
      </c>
      <c r="F30" s="1268" t="n">
        <v>1.14</v>
      </c>
      <c r="G30" s="1269" t="n">
        <v>0.1261</v>
      </c>
      <c r="H30" s="1268" t="n">
        <v>1.3</v>
      </c>
      <c r="I30" s="1268" t="n">
        <v>0.5283</v>
      </c>
      <c r="J30" s="1269" t="n">
        <v>0.3942</v>
      </c>
      <c r="K30" s="1269" t="n">
        <v>2.6707</v>
      </c>
    </row>
    <row r="31">
      <c r="A31" s="1264" t="inlineStr">
        <is>
          <t>Electronics (General)</t>
        </is>
      </c>
      <c r="B31" s="1265" t="n">
        <v>129</v>
      </c>
      <c r="C31" s="1265" t="n">
        <v>0.93</v>
      </c>
      <c r="D31" s="1266" t="n">
        <v>0.172</v>
      </c>
      <c r="E31" s="1266" t="n">
        <v>0.08169999999999999</v>
      </c>
      <c r="F31" s="1265" t="n">
        <v>0.83</v>
      </c>
      <c r="G31" s="1266" t="n">
        <v>0.0569</v>
      </c>
      <c r="H31" s="1265" t="n">
        <v>0.88</v>
      </c>
      <c r="I31" s="1265" t="n">
        <v>0.487</v>
      </c>
      <c r="J31" s="1266" t="n">
        <v>0.4294</v>
      </c>
      <c r="K31" s="1266" t="n">
        <v>0.2854</v>
      </c>
    </row>
    <row r="32">
      <c r="A32" s="1267" t="inlineStr">
        <is>
          <t>Engineering/Construction</t>
        </is>
      </c>
      <c r="B32" s="1268" t="n">
        <v>43</v>
      </c>
      <c r="C32" s="1268" t="n">
        <v>0.96</v>
      </c>
      <c r="D32" s="1269" t="n">
        <v>0.262</v>
      </c>
      <c r="E32" s="1269" t="n">
        <v>0.1427</v>
      </c>
      <c r="F32" s="1268" t="n">
        <v>0.8</v>
      </c>
      <c r="G32" s="1269" t="n">
        <v>0.0495</v>
      </c>
      <c r="H32" s="1268" t="n">
        <v>0.84</v>
      </c>
      <c r="I32" s="1268" t="n">
        <v>0.4221</v>
      </c>
      <c r="J32" s="1269" t="n">
        <v>0.3368</v>
      </c>
      <c r="K32" s="1269" t="n">
        <v>0.09370000000000001</v>
      </c>
    </row>
    <row r="33">
      <c r="A33" s="1264" t="inlineStr">
        <is>
          <t>Entertainment</t>
        </is>
      </c>
      <c r="B33" s="1265" t="n">
        <v>98</v>
      </c>
      <c r="C33" s="1265" t="n">
        <v>0.99</v>
      </c>
      <c r="D33" s="1266" t="n">
        <v>0.2875</v>
      </c>
      <c r="E33" s="1266" t="n">
        <v>0.0325</v>
      </c>
      <c r="F33" s="1265" t="n">
        <v>0.82</v>
      </c>
      <c r="G33" s="1266" t="n">
        <v>0.0549</v>
      </c>
      <c r="H33" s="1265" t="n">
        <v>0.87</v>
      </c>
      <c r="I33" s="1265" t="n">
        <v>0.6153999999999999</v>
      </c>
      <c r="J33" s="1266" t="n">
        <v>0.6119</v>
      </c>
      <c r="K33" s="1266" t="n">
        <v>0.3069</v>
      </c>
    </row>
    <row r="34">
      <c r="A34" s="1267" t="inlineStr">
        <is>
          <t>Environmental &amp; Waste Services</t>
        </is>
      </c>
      <c r="B34" s="1268" t="n">
        <v>57</v>
      </c>
      <c r="C34" s="1268" t="n">
        <v>0.91</v>
      </c>
      <c r="D34" s="1269" t="n">
        <v>0.2195</v>
      </c>
      <c r="E34" s="1269" t="n">
        <v>0.0542</v>
      </c>
      <c r="F34" s="1268" t="n">
        <v>0.78</v>
      </c>
      <c r="G34" s="1269" t="n">
        <v>0.008800000000000001</v>
      </c>
      <c r="H34" s="1268" t="n">
        <v>0.79</v>
      </c>
      <c r="I34" s="1268" t="n">
        <v>0.5505</v>
      </c>
      <c r="J34" s="1269" t="n">
        <v>0.4607</v>
      </c>
      <c r="K34" s="1269" t="n">
        <v>0.2351</v>
      </c>
    </row>
    <row r="35">
      <c r="A35" s="1264" t="inlineStr">
        <is>
          <t>Farming/Agriculture</t>
        </is>
      </c>
      <c r="B35" s="1265" t="n">
        <v>42</v>
      </c>
      <c r="C35" s="1265" t="n">
        <v>0.99</v>
      </c>
      <c r="D35" s="1266" t="n">
        <v>0.453</v>
      </c>
      <c r="E35" s="1266" t="n">
        <v>0.0668</v>
      </c>
      <c r="F35" s="1265" t="n">
        <v>0.74</v>
      </c>
      <c r="G35" s="1266" t="n">
        <v>0.0378</v>
      </c>
      <c r="H35" s="1265" t="n">
        <v>0.77</v>
      </c>
      <c r="I35" s="1265" t="n">
        <v>0.579</v>
      </c>
      <c r="J35" s="1266" t="n">
        <v>0.5414</v>
      </c>
      <c r="K35" s="1266" t="n">
        <v>0.4141</v>
      </c>
    </row>
    <row r="36">
      <c r="A36" s="1267" t="inlineStr">
        <is>
          <t>Financial Svcs. (Non-bank &amp; Insuran</t>
        </is>
      </c>
      <c r="B36" s="1268" t="n">
        <v>172</v>
      </c>
      <c r="C36" s="1268" t="n">
        <v>1.14</v>
      </c>
      <c r="D36" s="1269" t="n">
        <v>3.5406</v>
      </c>
      <c r="E36" s="1269" t="n">
        <v>0.1107</v>
      </c>
      <c r="F36" s="1268" t="n">
        <v>0.31</v>
      </c>
      <c r="G36" s="1269" t="n">
        <v>0.0284</v>
      </c>
      <c r="H36" s="1268" t="n">
        <v>0.32</v>
      </c>
      <c r="I36" s="1268" t="n">
        <v>0.4189</v>
      </c>
      <c r="J36" s="1269" t="n">
        <v>0.3866</v>
      </c>
      <c r="K36" s="1269" t="n">
        <v>0.4091</v>
      </c>
    </row>
    <row r="37">
      <c r="A37" s="1264" t="inlineStr">
        <is>
          <t>Food Processing</t>
        </is>
      </c>
      <c r="B37" s="1265" t="n">
        <v>82</v>
      </c>
      <c r="C37" s="1265" t="n">
        <v>0.61</v>
      </c>
      <c r="D37" s="1266" t="n">
        <v>0.337</v>
      </c>
      <c r="E37" s="1266" t="n">
        <v>0.0829</v>
      </c>
      <c r="F37" s="1265" t="n">
        <v>0.48</v>
      </c>
      <c r="G37" s="1266" t="n">
        <v>0.025</v>
      </c>
      <c r="H37" s="1265" t="n">
        <v>0.5</v>
      </c>
      <c r="I37" s="1265" t="n">
        <v>0.4722</v>
      </c>
      <c r="J37" s="1266" t="n">
        <v>0.3651</v>
      </c>
      <c r="K37" s="1266" t="n">
        <v>0.1341</v>
      </c>
    </row>
    <row r="38">
      <c r="A38" s="1267" t="inlineStr">
        <is>
          <t>Food Wholesalers</t>
        </is>
      </c>
      <c r="B38" s="1268" t="n">
        <v>14</v>
      </c>
      <c r="C38" s="1268" t="n">
        <v>0.97</v>
      </c>
      <c r="D38" s="1269" t="n">
        <v>0.4463</v>
      </c>
      <c r="E38" s="1269" t="n">
        <v>0.159</v>
      </c>
      <c r="F38" s="1268" t="n">
        <v>0.72</v>
      </c>
      <c r="G38" s="1269" t="n">
        <v>0.0157</v>
      </c>
      <c r="H38" s="1268" t="n">
        <v>0.74</v>
      </c>
      <c r="I38" s="1268" t="n">
        <v>0.4094</v>
      </c>
      <c r="J38" s="1269" t="n">
        <v>0.273</v>
      </c>
      <c r="K38" s="1269" t="n">
        <v>0.2949</v>
      </c>
    </row>
    <row r="39">
      <c r="A39" s="1264" t="inlineStr">
        <is>
          <t>Furn/Home Furnishings</t>
        </is>
      </c>
      <c r="B39" s="1265" t="n">
        <v>31</v>
      </c>
      <c r="C39" s="1265" t="n">
        <v>1.11</v>
      </c>
      <c r="D39" s="1266" t="n">
        <v>0.4755</v>
      </c>
      <c r="E39" s="1266" t="n">
        <v>0.1394</v>
      </c>
      <c r="F39" s="1265" t="n">
        <v>0.82</v>
      </c>
      <c r="G39" s="1266" t="n">
        <v>0.0524</v>
      </c>
      <c r="H39" s="1265" t="n">
        <v>0.86</v>
      </c>
      <c r="I39" s="1265" t="n">
        <v>0.4512</v>
      </c>
      <c r="J39" s="1266" t="n">
        <v>0.4665</v>
      </c>
      <c r="K39" s="1266" t="n">
        <v>0.2342</v>
      </c>
    </row>
    <row r="40">
      <c r="A40" s="1267" t="inlineStr">
        <is>
          <t>Green &amp; Renewable Energy</t>
        </is>
      </c>
      <c r="B40" s="1268" t="n">
        <v>17</v>
      </c>
      <c r="C40" s="1268" t="n">
        <v>1.11</v>
      </c>
      <c r="D40" s="1269" t="n">
        <v>1.4141</v>
      </c>
      <c r="E40" s="1269" t="n">
        <v>0.0439</v>
      </c>
      <c r="F40" s="1268" t="n">
        <v>0.54</v>
      </c>
      <c r="G40" s="1269" t="n">
        <v>0.0342</v>
      </c>
      <c r="H40" s="1268" t="n">
        <v>0.5600000000000001</v>
      </c>
      <c r="I40" s="1268" t="n">
        <v>0.6005</v>
      </c>
      <c r="J40" s="1269" t="n">
        <v>0.5734</v>
      </c>
      <c r="K40" s="1269" t="n">
        <v>0.4986</v>
      </c>
    </row>
    <row r="41">
      <c r="A41" s="1264" t="inlineStr">
        <is>
          <t>Healthcare Products</t>
        </is>
      </c>
      <c r="B41" s="1265" t="n">
        <v>230</v>
      </c>
      <c r="C41" s="1265" t="n">
        <v>1.06</v>
      </c>
      <c r="D41" s="1266" t="n">
        <v>0.1266</v>
      </c>
      <c r="E41" s="1266" t="n">
        <v>0.0481</v>
      </c>
      <c r="F41" s="1265" t="n">
        <v>0.97</v>
      </c>
      <c r="G41" s="1266" t="n">
        <v>0.0353</v>
      </c>
      <c r="H41" s="1265" t="n">
        <v>1.01</v>
      </c>
      <c r="I41" s="1265" t="n">
        <v>0.573</v>
      </c>
      <c r="J41" s="1266" t="n">
        <v>0.5221</v>
      </c>
      <c r="K41" s="1266" t="n">
        <v>0.3296</v>
      </c>
    </row>
    <row r="42">
      <c r="A42" s="1267" t="inlineStr">
        <is>
          <t>Healthcare Support Services</t>
        </is>
      </c>
      <c r="B42" s="1268" t="n">
        <v>119</v>
      </c>
      <c r="C42" s="1268" t="n">
        <v>1.03</v>
      </c>
      <c r="D42" s="1269" t="n">
        <v>0.2686</v>
      </c>
      <c r="E42" s="1269" t="n">
        <v>0.0808</v>
      </c>
      <c r="F42" s="1268" t="n">
        <v>0.86</v>
      </c>
      <c r="G42" s="1269" t="n">
        <v>0.08599999999999999</v>
      </c>
      <c r="H42" s="1268" t="n">
        <v>0.9399999999999999</v>
      </c>
      <c r="I42" s="1268" t="n">
        <v>0.5223</v>
      </c>
      <c r="J42" s="1269" t="n">
        <v>0.4953</v>
      </c>
      <c r="K42" s="1269" t="n">
        <v>0.2695</v>
      </c>
    </row>
    <row r="43">
      <c r="A43" s="1264" t="inlineStr">
        <is>
          <t>Heathcare Information and Technol</t>
        </is>
      </c>
      <c r="B43" s="1265" t="n">
        <v>128</v>
      </c>
      <c r="C43" s="1265" t="n">
        <v>1.27</v>
      </c>
      <c r="D43" s="1266" t="n">
        <v>0.1607</v>
      </c>
      <c r="E43" s="1266" t="n">
        <v>0.0311</v>
      </c>
      <c r="F43" s="1265" t="n">
        <v>1.14</v>
      </c>
      <c r="G43" s="1266" t="n">
        <v>0.042</v>
      </c>
      <c r="H43" s="1265" t="n">
        <v>1.19</v>
      </c>
      <c r="I43" s="1265" t="n">
        <v>0.5607</v>
      </c>
      <c r="J43" s="1266" t="n">
        <v>0.5415</v>
      </c>
      <c r="K43" s="1266" t="n">
        <v>0.5083</v>
      </c>
    </row>
    <row r="44">
      <c r="A44" s="1267" t="inlineStr">
        <is>
          <t>Homebuilding</t>
        </is>
      </c>
      <c r="B44" s="1268" t="n">
        <v>32</v>
      </c>
      <c r="C44" s="1268" t="n">
        <v>1.37</v>
      </c>
      <c r="D44" s="1269" t="n">
        <v>0.1642</v>
      </c>
      <c r="E44" s="1269" t="n">
        <v>0.1722</v>
      </c>
      <c r="F44" s="1268" t="n">
        <v>1.22</v>
      </c>
      <c r="G44" s="1269" t="n">
        <v>0.0992</v>
      </c>
      <c r="H44" s="1268" t="n">
        <v>1.35</v>
      </c>
      <c r="I44" s="1268" t="n">
        <v>0.4785</v>
      </c>
      <c r="J44" s="1269" t="n">
        <v>0.3231</v>
      </c>
      <c r="K44" s="1269" t="n">
        <v>0.7583</v>
      </c>
    </row>
    <row r="45">
      <c r="A45" s="1264" t="inlineStr">
        <is>
          <t>Hospitals/Healthcare Facilities</t>
        </is>
      </c>
      <c r="B45" s="1265" t="n">
        <v>32</v>
      </c>
      <c r="C45" s="1265" t="n">
        <v>0.88</v>
      </c>
      <c r="D45" s="1266" t="n">
        <v>0.7974</v>
      </c>
      <c r="E45" s="1266" t="n">
        <v>0.06859999999999999</v>
      </c>
      <c r="F45" s="1265" t="n">
        <v>0.55</v>
      </c>
      <c r="G45" s="1266" t="n">
        <v>0.0171</v>
      </c>
      <c r="H45" s="1265" t="n">
        <v>0.5600000000000001</v>
      </c>
      <c r="I45" s="1265" t="n">
        <v>0.5809</v>
      </c>
      <c r="J45" s="1266" t="n">
        <v>0.4633</v>
      </c>
      <c r="K45" s="1266" t="n">
        <v>0.1704</v>
      </c>
    </row>
    <row r="46">
      <c r="A46" s="1267" t="inlineStr">
        <is>
          <t>Hotel/Gaming</t>
        </is>
      </c>
      <c r="B46" s="1268" t="n">
        <v>68</v>
      </c>
      <c r="C46" s="1268" t="n">
        <v>1.34</v>
      </c>
      <c r="D46" s="1269" t="n">
        <v>0.4867</v>
      </c>
      <c r="E46" s="1269" t="n">
        <v>0.0863</v>
      </c>
      <c r="F46" s="1268" t="n">
        <v>0.98</v>
      </c>
      <c r="G46" s="1269" t="n">
        <v>0.0611</v>
      </c>
      <c r="H46" s="1268" t="n">
        <v>1.05</v>
      </c>
      <c r="I46" s="1268" t="n">
        <v>0.4554</v>
      </c>
      <c r="J46" s="1269" t="n">
        <v>0.408</v>
      </c>
      <c r="K46" s="1269" t="n">
        <v>1.0449</v>
      </c>
    </row>
    <row r="47">
      <c r="A47" s="1264" t="inlineStr">
        <is>
          <t>Household Products</t>
        </is>
      </c>
      <c r="B47" s="1265" t="n">
        <v>93</v>
      </c>
      <c r="C47" s="1265" t="n">
        <v>0.84</v>
      </c>
      <c r="D47" s="1266" t="n">
        <v>0.1656</v>
      </c>
      <c r="E47" s="1266" t="n">
        <v>0.08210000000000001</v>
      </c>
      <c r="F47" s="1265" t="n">
        <v>0.75</v>
      </c>
      <c r="G47" s="1266" t="n">
        <v>0.0293</v>
      </c>
      <c r="H47" s="1265" t="n">
        <v>0.77</v>
      </c>
      <c r="I47" s="1265" t="n">
        <v>0.5665</v>
      </c>
      <c r="J47" s="1266" t="n">
        <v>0.5112</v>
      </c>
      <c r="K47" s="1266" t="n">
        <v>0.1151</v>
      </c>
    </row>
    <row r="48">
      <c r="A48" s="1267" t="inlineStr">
        <is>
          <t>Information Services</t>
        </is>
      </c>
      <c r="B48" s="1268" t="n">
        <v>18</v>
      </c>
      <c r="C48" s="1268" t="n">
        <v>0.93</v>
      </c>
      <c r="D48" s="1269" t="n">
        <v>0.3567</v>
      </c>
      <c r="E48" s="1269" t="n">
        <v>0.1579</v>
      </c>
      <c r="F48" s="1268" t="n">
        <v>0.73</v>
      </c>
      <c r="G48" s="1269" t="n">
        <v>0.0493</v>
      </c>
      <c r="H48" s="1268" t="n">
        <v>0.77</v>
      </c>
      <c r="I48" s="1268" t="n">
        <v>0.4433</v>
      </c>
      <c r="J48" s="1269" t="n">
        <v>0.3383</v>
      </c>
      <c r="K48" s="1269" t="n">
        <v>0.4518</v>
      </c>
    </row>
    <row r="49">
      <c r="A49" s="1264" t="inlineStr">
        <is>
          <t>Insurance (General)</t>
        </is>
      </c>
      <c r="B49" s="1265" t="n">
        <v>21</v>
      </c>
      <c r="C49" s="1265" t="n">
        <v>1.03</v>
      </c>
      <c r="D49" s="1266" t="n">
        <v>0.2593</v>
      </c>
      <c r="E49" s="1266" t="n">
        <v>0.1369</v>
      </c>
      <c r="F49" s="1265" t="n">
        <v>0.86</v>
      </c>
      <c r="G49" s="1266" t="n">
        <v>0.0332</v>
      </c>
      <c r="H49" s="1265" t="n">
        <v>0.89</v>
      </c>
      <c r="I49" s="1265" t="n">
        <v>0.41</v>
      </c>
      <c r="J49" s="1266" t="n">
        <v>0.4038</v>
      </c>
      <c r="K49" s="1266" t="n">
        <v>0.4845</v>
      </c>
    </row>
    <row r="50">
      <c r="A50" s="1267" t="inlineStr">
        <is>
          <t>Insurance (Life)</t>
        </is>
      </c>
      <c r="B50" s="1268" t="n">
        <v>23</v>
      </c>
      <c r="C50" s="1268" t="n">
        <v>0.77</v>
      </c>
      <c r="D50" s="1269" t="n">
        <v>0.9225</v>
      </c>
      <c r="E50" s="1269" t="n">
        <v>0.1018</v>
      </c>
      <c r="F50" s="1268" t="n">
        <v>0.45</v>
      </c>
      <c r="G50" s="1269" t="n">
        <v>0.1616</v>
      </c>
      <c r="H50" s="1268" t="n">
        <v>0.54</v>
      </c>
      <c r="I50" s="1268" t="n">
        <v>0.3132</v>
      </c>
      <c r="J50" s="1269" t="n">
        <v>0.3085</v>
      </c>
      <c r="K50" s="1269" t="n">
        <v>0.2309</v>
      </c>
    </row>
    <row r="51">
      <c r="A51" s="1264" t="inlineStr">
        <is>
          <t>Insurance (Prop/Cas.)</t>
        </is>
      </c>
      <c r="B51" s="1265" t="n">
        <v>50</v>
      </c>
      <c r="C51" s="1265" t="n">
        <v>0.74</v>
      </c>
      <c r="D51" s="1266" t="n">
        <v>0.1938</v>
      </c>
      <c r="E51" s="1266" t="n">
        <v>0.1242</v>
      </c>
      <c r="F51" s="1265" t="n">
        <v>0.64</v>
      </c>
      <c r="G51" s="1266" t="n">
        <v>0.0447</v>
      </c>
      <c r="H51" s="1265" t="n">
        <v>0.68</v>
      </c>
      <c r="I51" s="1265" t="n">
        <v>0.2954</v>
      </c>
      <c r="J51" s="1266" t="n">
        <v>0.274</v>
      </c>
      <c r="K51" s="1266" t="n">
        <v>0.298</v>
      </c>
    </row>
    <row r="52">
      <c r="A52" s="1267" t="inlineStr">
        <is>
          <t>Investments &amp; Asset Management</t>
        </is>
      </c>
      <c r="B52" s="1268" t="n">
        <v>334</v>
      </c>
      <c r="C52" s="1268" t="n">
        <v>0.46</v>
      </c>
      <c r="D52" s="1269" t="n">
        <v>0.4034</v>
      </c>
      <c r="E52" s="1269" t="n">
        <v>0.1133</v>
      </c>
      <c r="F52" s="1268" t="n">
        <v>0.35</v>
      </c>
      <c r="G52" s="1269" t="n">
        <v>0.1033</v>
      </c>
      <c r="H52" s="1268" t="n">
        <v>0.39</v>
      </c>
      <c r="I52" s="1268" t="n">
        <v>0.2313</v>
      </c>
      <c r="J52" s="1269" t="n">
        <v>0.1515</v>
      </c>
      <c r="K52" s="1269" t="n">
        <v>0.2334</v>
      </c>
    </row>
    <row r="53">
      <c r="A53" s="1264" t="inlineStr">
        <is>
          <t>Machinery</t>
        </is>
      </c>
      <c r="B53" s="1265" t="n">
        <v>103</v>
      </c>
      <c r="C53" s="1265" t="n">
        <v>1.03</v>
      </c>
      <c r="D53" s="1266" t="n">
        <v>0.1686</v>
      </c>
      <c r="E53" s="1266" t="n">
        <v>0.1173</v>
      </c>
      <c r="F53" s="1265" t="n">
        <v>0.91</v>
      </c>
      <c r="G53" s="1266" t="n">
        <v>0.0285</v>
      </c>
      <c r="H53" s="1265" t="n">
        <v>0.9399999999999999</v>
      </c>
      <c r="I53" s="1265" t="n">
        <v>0.4315</v>
      </c>
      <c r="J53" s="1266" t="n">
        <v>0.3344</v>
      </c>
      <c r="K53" s="1266" t="n">
        <v>0.1851</v>
      </c>
    </row>
    <row r="54">
      <c r="A54" s="1267" t="inlineStr">
        <is>
          <t>Metals &amp; Mining</t>
        </is>
      </c>
      <c r="B54" s="1268" t="n">
        <v>68</v>
      </c>
      <c r="C54" s="1268" t="n">
        <v>0.96</v>
      </c>
      <c r="D54" s="1269" t="n">
        <v>0.1582</v>
      </c>
      <c r="E54" s="1269" t="n">
        <v>0.02</v>
      </c>
      <c r="F54" s="1268" t="n">
        <v>0.86</v>
      </c>
      <c r="G54" s="1269" t="n">
        <v>0.0567</v>
      </c>
      <c r="H54" s="1268" t="n">
        <v>0.91</v>
      </c>
      <c r="I54" s="1268" t="n">
        <v>0.6448</v>
      </c>
      <c r="J54" s="1269" t="n">
        <v>0.6056</v>
      </c>
      <c r="K54" s="1269" t="n">
        <v>0.5471</v>
      </c>
    </row>
    <row r="55">
      <c r="A55" s="1264" t="inlineStr">
        <is>
          <t>Office Equipment &amp; Services</t>
        </is>
      </c>
      <c r="B55" s="1265" t="n">
        <v>17</v>
      </c>
      <c r="C55" s="1265" t="n">
        <v>1.14</v>
      </c>
      <c r="D55" s="1266" t="n">
        <v>0.5256999999999999</v>
      </c>
      <c r="E55" s="1266" t="n">
        <v>0.1712</v>
      </c>
      <c r="F55" s="1265" t="n">
        <v>0.82</v>
      </c>
      <c r="G55" s="1266" t="n">
        <v>0.06759999999999999</v>
      </c>
      <c r="H55" s="1265" t="n">
        <v>0.88</v>
      </c>
      <c r="I55" s="1265" t="n">
        <v>0.4386</v>
      </c>
      <c r="J55" s="1266" t="n">
        <v>0.3028</v>
      </c>
      <c r="K55" s="1266" t="n">
        <v>0.1763</v>
      </c>
    </row>
    <row r="56">
      <c r="A56" s="1267" t="inlineStr">
        <is>
          <t>Oil/Gas (Integrated)</t>
        </is>
      </c>
      <c r="B56" s="1268" t="n">
        <v>4</v>
      </c>
      <c r="C56" s="1268" t="n">
        <v>0.67</v>
      </c>
      <c r="D56" s="1269" t="n">
        <v>0.125</v>
      </c>
      <c r="E56" s="1269" t="n">
        <v>0.2118</v>
      </c>
      <c r="F56" s="1268" t="n">
        <v>0.61</v>
      </c>
      <c r="G56" s="1269" t="n">
        <v>0.048</v>
      </c>
      <c r="H56" s="1268" t="n">
        <v>0.64</v>
      </c>
      <c r="I56" s="1268" t="n">
        <v>0.1559</v>
      </c>
      <c r="J56" s="1269" t="n">
        <v>0.2644</v>
      </c>
      <c r="K56" s="1269" t="n">
        <v>1.0782</v>
      </c>
    </row>
    <row r="57">
      <c r="A57" s="1264" t="inlineStr">
        <is>
          <t>Oil/Gas (Production and Exploratio</t>
        </is>
      </c>
      <c r="B57" s="1265" t="n">
        <v>166</v>
      </c>
      <c r="C57" s="1265" t="n">
        <v>0.93</v>
      </c>
      <c r="D57" s="1266" t="n">
        <v>0.2328</v>
      </c>
      <c r="E57" s="1266" t="n">
        <v>0.0561</v>
      </c>
      <c r="F57" s="1265" t="n">
        <v>0.79</v>
      </c>
      <c r="G57" s="1266" t="n">
        <v>0.0362</v>
      </c>
      <c r="H57" s="1265" t="n">
        <v>0.82</v>
      </c>
      <c r="I57" s="1265" t="n">
        <v>0.5028</v>
      </c>
      <c r="J57" s="1266" t="n">
        <v>0.4631</v>
      </c>
      <c r="K57" s="1266" t="n">
        <v>2.0846</v>
      </c>
    </row>
    <row r="58">
      <c r="A58" s="1267" t="inlineStr">
        <is>
          <t>Oil/Gas Distribution</t>
        </is>
      </c>
      <c r="B58" s="1268" t="n">
        <v>24</v>
      </c>
      <c r="C58" s="1268" t="n">
        <v>0.79</v>
      </c>
      <c r="D58" s="1269" t="n">
        <v>0.7022</v>
      </c>
      <c r="E58" s="1269" t="n">
        <v>0.0925</v>
      </c>
      <c r="F58" s="1268" t="n">
        <v>0.52</v>
      </c>
      <c r="G58" s="1269" t="n">
        <v>0.0211</v>
      </c>
      <c r="H58" s="1268" t="n">
        <v>0.53</v>
      </c>
      <c r="I58" s="1268" t="n">
        <v>0.3581</v>
      </c>
      <c r="J58" s="1269" t="n">
        <v>0.3255</v>
      </c>
      <c r="K58" s="1269" t="n">
        <v>0.3882</v>
      </c>
    </row>
    <row r="59">
      <c r="A59" s="1264" t="inlineStr">
        <is>
          <t>Oilfield Svcs/Equip.</t>
        </is>
      </c>
      <c r="B59" s="1265" t="n">
        <v>100</v>
      </c>
      <c r="C59" s="1265" t="n">
        <v>0.98</v>
      </c>
      <c r="D59" s="1266" t="n">
        <v>0.3214</v>
      </c>
      <c r="E59" s="1266" t="n">
        <v>0.1088</v>
      </c>
      <c r="F59" s="1265" t="n">
        <v>0.79</v>
      </c>
      <c r="G59" s="1266" t="n">
        <v>0.0746</v>
      </c>
      <c r="H59" s="1265" t="n">
        <v>0.85</v>
      </c>
      <c r="I59" s="1265" t="n">
        <v>0.4776</v>
      </c>
      <c r="J59" s="1266" t="n">
        <v>0.4373</v>
      </c>
      <c r="K59" s="1266" t="n">
        <v>0.805</v>
      </c>
    </row>
    <row r="60">
      <c r="A60" s="1267" t="inlineStr">
        <is>
          <t>Packaging &amp; Container</t>
        </is>
      </c>
      <c r="B60" s="1268" t="n">
        <v>22</v>
      </c>
      <c r="C60" s="1268" t="n">
        <v>1.13</v>
      </c>
      <c r="D60" s="1269" t="n">
        <v>0.6126</v>
      </c>
      <c r="E60" s="1269" t="n">
        <v>0.1812</v>
      </c>
      <c r="F60" s="1268" t="n">
        <v>0.78</v>
      </c>
      <c r="G60" s="1269" t="n">
        <v>0.0381</v>
      </c>
      <c r="H60" s="1268" t="n">
        <v>0.8100000000000001</v>
      </c>
      <c r="I60" s="1268" t="n">
        <v>0.2851</v>
      </c>
      <c r="J60" s="1269" t="n">
        <v>0.2624</v>
      </c>
      <c r="K60" s="1269" t="n">
        <v>0.1244</v>
      </c>
    </row>
    <row r="61">
      <c r="A61" s="1264" t="inlineStr">
        <is>
          <t>Paper/Forest Products</t>
        </is>
      </c>
      <c r="B61" s="1265" t="n">
        <v>7</v>
      </c>
      <c r="C61" s="1265" t="n">
        <v>1.94</v>
      </c>
      <c r="D61" s="1266" t="n">
        <v>0.3737</v>
      </c>
      <c r="E61" s="1266" t="n">
        <v>0.1291</v>
      </c>
      <c r="F61" s="1265" t="n">
        <v>1.51</v>
      </c>
      <c r="G61" s="1266" t="n">
        <v>0.048</v>
      </c>
      <c r="H61" s="1265" t="n">
        <v>1.59</v>
      </c>
      <c r="I61" s="1265" t="n">
        <v>0.4489</v>
      </c>
      <c r="J61" s="1266" t="n">
        <v>0.4304</v>
      </c>
      <c r="K61" s="1266" t="n">
        <v>0.8296</v>
      </c>
    </row>
    <row r="62">
      <c r="A62" s="1267" t="inlineStr">
        <is>
          <t>Power</t>
        </is>
      </c>
      <c r="B62" s="1268" t="n">
        <v>50</v>
      </c>
      <c r="C62" s="1268" t="n">
        <v>0.65</v>
      </c>
      <c r="D62" s="1269" t="n">
        <v>0.9292</v>
      </c>
      <c r="E62" s="1269" t="n">
        <v>0.1369</v>
      </c>
      <c r="F62" s="1268" t="n">
        <v>0.38</v>
      </c>
      <c r="G62" s="1269" t="n">
        <v>0.0131</v>
      </c>
      <c r="H62" s="1268" t="n">
        <v>0.39</v>
      </c>
      <c r="I62" s="1268" t="n">
        <v>0.2732</v>
      </c>
      <c r="J62" s="1269" t="n">
        <v>0.2039</v>
      </c>
      <c r="K62" s="1269" t="n">
        <v>0.0589</v>
      </c>
    </row>
    <row r="63">
      <c r="A63" s="1264" t="inlineStr">
        <is>
          <t>Precious Metals</t>
        </is>
      </c>
      <c r="B63" s="1265" t="n">
        <v>61</v>
      </c>
      <c r="C63" s="1265" t="n">
        <v>0.87</v>
      </c>
      <c r="D63" s="1266" t="n">
        <v>0.1521</v>
      </c>
      <c r="E63" s="1266" t="n">
        <v>0.0198</v>
      </c>
      <c r="F63" s="1265" t="n">
        <v>0.78</v>
      </c>
      <c r="G63" s="1266" t="n">
        <v>0.0603</v>
      </c>
      <c r="H63" s="1265" t="n">
        <v>0.83</v>
      </c>
      <c r="I63" s="1265" t="n">
        <v>0.6278</v>
      </c>
      <c r="J63" s="1266" t="n">
        <v>0.6361</v>
      </c>
      <c r="K63" s="1266" t="n">
        <v>0.5684</v>
      </c>
    </row>
    <row r="64">
      <c r="A64" s="1267" t="inlineStr">
        <is>
          <t>Publishing &amp; Newspapers</t>
        </is>
      </c>
      <c r="B64" s="1268" t="n">
        <v>21</v>
      </c>
      <c r="C64" s="1268" t="n">
        <v>0.96</v>
      </c>
      <c r="D64" s="1269" t="n">
        <v>0.3248</v>
      </c>
      <c r="E64" s="1269" t="n">
        <v>0.1001</v>
      </c>
      <c r="F64" s="1268" t="n">
        <v>0.77</v>
      </c>
      <c r="G64" s="1269" t="n">
        <v>0.0609</v>
      </c>
      <c r="H64" s="1268" t="n">
        <v>0.82</v>
      </c>
      <c r="I64" s="1268" t="n">
        <v>0.3761</v>
      </c>
      <c r="J64" s="1269" t="n">
        <v>0.382</v>
      </c>
      <c r="K64" s="1269" t="n">
        <v>0.1247</v>
      </c>
    </row>
    <row r="65">
      <c r="A65" s="1264" t="inlineStr">
        <is>
          <t>R.E.I.T.</t>
        </is>
      </c>
      <c r="B65" s="1265" t="n">
        <v>193</v>
      </c>
      <c r="C65" s="1265" t="n">
        <v>1.03</v>
      </c>
      <c r="D65" s="1266" t="n">
        <v>0.7904</v>
      </c>
      <c r="E65" s="1266" t="n">
        <v>0.0195</v>
      </c>
      <c r="F65" s="1265" t="n">
        <v>0.65</v>
      </c>
      <c r="G65" s="1266" t="n">
        <v>0.0188</v>
      </c>
      <c r="H65" s="1265" t="n">
        <v>0.66</v>
      </c>
      <c r="I65" s="1265" t="n">
        <v>0.2785</v>
      </c>
      <c r="J65" s="1266" t="n">
        <v>0.2372</v>
      </c>
      <c r="K65" s="1266" t="n">
        <v>0.2242</v>
      </c>
    </row>
    <row r="66">
      <c r="A66" s="1267" t="inlineStr">
        <is>
          <t>Real Estate (Development)</t>
        </is>
      </c>
      <c r="B66" s="1268" t="n">
        <v>17</v>
      </c>
      <c r="C66" s="1268" t="n">
        <v>0.67</v>
      </c>
      <c r="D66" s="1269" t="n">
        <v>0.9409999999999999</v>
      </c>
      <c r="E66" s="1269" t="n">
        <v>0.0145</v>
      </c>
      <c r="F66" s="1268" t="n">
        <v>0.39</v>
      </c>
      <c r="G66" s="1269" t="n">
        <v>0.0915</v>
      </c>
      <c r="H66" s="1268" t="n">
        <v>0.43</v>
      </c>
      <c r="I66" s="1268" t="n">
        <v>0.5888</v>
      </c>
      <c r="J66" s="1269" t="n">
        <v>0.3424</v>
      </c>
      <c r="K66" s="1269" t="n">
        <v>0.7628</v>
      </c>
    </row>
    <row r="67">
      <c r="A67" s="1264" t="inlineStr">
        <is>
          <t>Real Estate (General/Diversified)</t>
        </is>
      </c>
      <c r="B67" s="1265" t="n">
        <v>11</v>
      </c>
      <c r="C67" s="1265" t="n">
        <v>0.5600000000000001</v>
      </c>
      <c r="D67" s="1266" t="n">
        <v>0.3188</v>
      </c>
      <c r="E67" s="1266" t="n">
        <v>0.1321</v>
      </c>
      <c r="F67" s="1265" t="n">
        <v>0.45</v>
      </c>
      <c r="G67" s="1266" t="n">
        <v>0.1126</v>
      </c>
      <c r="H67" s="1265" t="n">
        <v>0.51</v>
      </c>
      <c r="I67" s="1265" t="n">
        <v>0.3477</v>
      </c>
      <c r="J67" s="1266" t="n">
        <v>0.3591</v>
      </c>
      <c r="K67" s="1266" t="n">
        <v>0.9873</v>
      </c>
    </row>
    <row r="68">
      <c r="A68" s="1267" t="inlineStr">
        <is>
          <t>Real Estate (Operations &amp; Services)</t>
        </is>
      </c>
      <c r="B68" s="1268" t="n">
        <v>60</v>
      </c>
      <c r="C68" s="1268" t="n">
        <v>1.08</v>
      </c>
      <c r="D68" s="1269" t="n">
        <v>0.4457</v>
      </c>
      <c r="E68" s="1269" t="n">
        <v>0.0429</v>
      </c>
      <c r="F68" s="1268" t="n">
        <v>0.8100000000000001</v>
      </c>
      <c r="G68" s="1269" t="n">
        <v>0.083</v>
      </c>
      <c r="H68" s="1268" t="n">
        <v>0.88</v>
      </c>
      <c r="I68" s="1268" t="n">
        <v>0.4821</v>
      </c>
      <c r="J68" s="1269" t="n">
        <v>0.4419</v>
      </c>
      <c r="K68" s="1269" t="n">
        <v>0.9942</v>
      </c>
    </row>
    <row r="69">
      <c r="A69" s="1264" t="inlineStr">
        <is>
          <t>Recreation</t>
        </is>
      </c>
      <c r="B69" s="1265" t="n">
        <v>55</v>
      </c>
      <c r="C69" s="1265" t="n">
        <v>1.17</v>
      </c>
      <c r="D69" s="1266" t="n">
        <v>0.5857</v>
      </c>
      <c r="E69" s="1266" t="n">
        <v>0.08260000000000001</v>
      </c>
      <c r="F69" s="1265" t="n">
        <v>0.8100000000000001</v>
      </c>
      <c r="G69" s="1266" t="n">
        <v>0.0413</v>
      </c>
      <c r="H69" s="1265" t="n">
        <v>0.85</v>
      </c>
      <c r="I69" s="1265" t="n">
        <v>0.5084</v>
      </c>
      <c r="J69" s="1266" t="n">
        <v>0.443</v>
      </c>
      <c r="K69" s="1266" t="n">
        <v>0.2403</v>
      </c>
    </row>
    <row r="70">
      <c r="A70" s="1267" t="inlineStr">
        <is>
          <t>Reinsurance</t>
        </is>
      </c>
      <c r="B70" s="1268" t="n">
        <v>1</v>
      </c>
      <c r="C70" s="1268" t="n">
        <v>0.66</v>
      </c>
      <c r="D70" s="1269" t="n">
        <v>0.4254</v>
      </c>
      <c r="E70" s="1269" t="n">
        <v>0.2295</v>
      </c>
      <c r="F70" s="1268" t="n">
        <v>0.5</v>
      </c>
      <c r="G70" s="1269" t="n">
        <v>0.1856</v>
      </c>
      <c r="H70" s="1268" t="n">
        <v>0.61</v>
      </c>
      <c r="I70" s="1268" t="n">
        <v>0.1702</v>
      </c>
      <c r="J70" s="1269" t="n">
        <v>0.1709</v>
      </c>
      <c r="K70" s="1269" t="n">
        <v>0.2178</v>
      </c>
    </row>
    <row r="71">
      <c r="A71" s="1264" t="inlineStr">
        <is>
          <t>Restaurant/Dining</t>
        </is>
      </c>
      <c r="B71" s="1265" t="n">
        <v>64</v>
      </c>
      <c r="C71" s="1265" t="n">
        <v>1.19</v>
      </c>
      <c r="D71" s="1266" t="n">
        <v>0.2573</v>
      </c>
      <c r="E71" s="1266" t="n">
        <v>0.1141</v>
      </c>
      <c r="F71" s="1265" t="n">
        <v>1</v>
      </c>
      <c r="G71" s="1266" t="n">
        <v>0.0224</v>
      </c>
      <c r="H71" s="1265" t="n">
        <v>1.02</v>
      </c>
      <c r="I71" s="1265" t="n">
        <v>0.4028</v>
      </c>
      <c r="J71" s="1266" t="n">
        <v>0.3537</v>
      </c>
      <c r="K71" s="1266" t="n">
        <v>0.1664</v>
      </c>
    </row>
    <row r="72">
      <c r="A72" s="1267" t="inlineStr">
        <is>
          <t>Retail (Automotive)</t>
        </is>
      </c>
      <c r="B72" s="1268" t="n">
        <v>30</v>
      </c>
      <c r="C72" s="1268" t="n">
        <v>1.49</v>
      </c>
      <c r="D72" s="1269" t="n">
        <v>0.5750999999999999</v>
      </c>
      <c r="E72" s="1269" t="n">
        <v>0.135</v>
      </c>
      <c r="F72" s="1268" t="n">
        <v>1.04</v>
      </c>
      <c r="G72" s="1269" t="n">
        <v>0.0138</v>
      </c>
      <c r="H72" s="1268" t="n">
        <v>1.06</v>
      </c>
      <c r="I72" s="1268" t="n">
        <v>0.4974</v>
      </c>
      <c r="J72" s="1269" t="n">
        <v>0.4679</v>
      </c>
      <c r="K72" s="1269" t="n">
        <v>0.325</v>
      </c>
    </row>
    <row r="73">
      <c r="A73" s="1264" t="inlineStr">
        <is>
          <t>Retail (Building Supply)</t>
        </is>
      </c>
      <c r="B73" s="1265" t="n">
        <v>16</v>
      </c>
      <c r="C73" s="1265" t="n">
        <v>1.94</v>
      </c>
      <c r="D73" s="1266" t="n">
        <v>0.1992</v>
      </c>
      <c r="E73" s="1266" t="n">
        <v>0.1259</v>
      </c>
      <c r="F73" s="1265" t="n">
        <v>1.69</v>
      </c>
      <c r="G73" s="1266" t="n">
        <v>0.0105</v>
      </c>
      <c r="H73" s="1265" t="n">
        <v>1.7</v>
      </c>
      <c r="I73" s="1265" t="n">
        <v>0.4087</v>
      </c>
      <c r="J73" s="1266" t="n">
        <v>0.4521</v>
      </c>
      <c r="K73" s="1266" t="n">
        <v>0.3575</v>
      </c>
    </row>
    <row r="74">
      <c r="A74" s="1267" t="inlineStr">
        <is>
          <t>Retail (Distributors)</t>
        </is>
      </c>
      <c r="B74" s="1268" t="n">
        <v>62</v>
      </c>
      <c r="C74" s="1268" t="n">
        <v>1.11</v>
      </c>
      <c r="D74" s="1269" t="n">
        <v>0.3229</v>
      </c>
      <c r="E74" s="1269" t="n">
        <v>0.1576</v>
      </c>
      <c r="F74" s="1268" t="n">
        <v>0.89</v>
      </c>
      <c r="G74" s="1269" t="n">
        <v>0.0208</v>
      </c>
      <c r="H74" s="1268" t="n">
        <v>0.91</v>
      </c>
      <c r="I74" s="1268" t="n">
        <v>0.4378</v>
      </c>
      <c r="J74" s="1269" t="n">
        <v>0.3774</v>
      </c>
      <c r="K74" s="1269" t="n">
        <v>0.3636</v>
      </c>
    </row>
    <row r="75">
      <c r="A75" s="1264" t="inlineStr">
        <is>
          <t>Retail (General)</t>
        </is>
      </c>
      <c r="B75" s="1265" t="n">
        <v>26</v>
      </c>
      <c r="C75" s="1265" t="n">
        <v>1.25</v>
      </c>
      <c r="D75" s="1266" t="n">
        <v>0.1342</v>
      </c>
      <c r="E75" s="1266" t="n">
        <v>0.1458</v>
      </c>
      <c r="F75" s="1265" t="n">
        <v>1.13</v>
      </c>
      <c r="G75" s="1266" t="n">
        <v>0.0328</v>
      </c>
      <c r="H75" s="1265" t="n">
        <v>1.17</v>
      </c>
      <c r="I75" s="1265" t="n">
        <v>0.4185</v>
      </c>
      <c r="J75" s="1266" t="n">
        <v>0.3828</v>
      </c>
      <c r="K75" s="1266" t="n">
        <v>0.2176</v>
      </c>
    </row>
    <row r="76">
      <c r="A76" s="1267" t="inlineStr">
        <is>
          <t>Retail (Grocery and Food)</t>
        </is>
      </c>
      <c r="B76" s="1268" t="n">
        <v>14</v>
      </c>
      <c r="C76" s="1268" t="n">
        <v>0.49</v>
      </c>
      <c r="D76" s="1269" t="n">
        <v>0.5584</v>
      </c>
      <c r="E76" s="1269" t="n">
        <v>0.1688</v>
      </c>
      <c r="F76" s="1268" t="n">
        <v>0.35</v>
      </c>
      <c r="G76" s="1269" t="n">
        <v>0.0462</v>
      </c>
      <c r="H76" s="1268" t="n">
        <v>0.36</v>
      </c>
      <c r="I76" s="1268" t="n">
        <v>0.3786</v>
      </c>
      <c r="J76" s="1269" t="n">
        <v>0.2565</v>
      </c>
      <c r="K76" s="1269" t="n">
        <v>0.3508</v>
      </c>
    </row>
    <row r="77">
      <c r="A77" s="1264" t="inlineStr">
        <is>
          <t>Retail (REITs)</t>
        </is>
      </c>
      <c r="B77" s="1265" t="n">
        <v>28</v>
      </c>
      <c r="C77" s="1265" t="n">
        <v>1.12</v>
      </c>
      <c r="D77" s="1266" t="n">
        <v>0.5884</v>
      </c>
      <c r="E77" s="1266" t="n">
        <v>0.0253</v>
      </c>
      <c r="F77" s="1265" t="n">
        <v>0.78</v>
      </c>
      <c r="G77" s="1266" t="n">
        <v>0.0114</v>
      </c>
      <c r="H77" s="1265" t="n">
        <v>0.79</v>
      </c>
      <c r="I77" s="1265" t="n">
        <v>0.234</v>
      </c>
      <c r="J77" s="1266" t="n">
        <v>0.2072</v>
      </c>
      <c r="K77" s="1266" t="n">
        <v>0.1163</v>
      </c>
    </row>
    <row r="78">
      <c r="A78" s="1267" t="inlineStr">
        <is>
          <t>Retail (Special Lines)</t>
        </is>
      </c>
      <c r="B78" s="1268" t="n">
        <v>105</v>
      </c>
      <c r="C78" s="1268" t="n">
        <v>1.18</v>
      </c>
      <c r="D78" s="1269" t="n">
        <v>0.3615</v>
      </c>
      <c r="E78" s="1269" t="n">
        <v>0.0953</v>
      </c>
      <c r="F78" s="1268" t="n">
        <v>0.93</v>
      </c>
      <c r="G78" s="1269" t="n">
        <v>0.0449</v>
      </c>
      <c r="H78" s="1268" t="n">
        <v>0.97</v>
      </c>
      <c r="I78" s="1268" t="n">
        <v>0.5098</v>
      </c>
      <c r="J78" s="1269" t="n">
        <v>0.4401</v>
      </c>
      <c r="K78" s="1269" t="n">
        <v>0.2161</v>
      </c>
    </row>
    <row r="79">
      <c r="A79" s="1264" t="inlineStr">
        <is>
          <t>Rubber&amp; Tires</t>
        </is>
      </c>
      <c r="B79" s="1265" t="n">
        <v>3</v>
      </c>
      <c r="C79" s="1265" t="n">
        <v>0.67</v>
      </c>
      <c r="D79" s="1266" t="n">
        <v>2.3528</v>
      </c>
      <c r="E79" s="1266" t="n">
        <v>0</v>
      </c>
      <c r="F79" s="1265" t="n">
        <v>0.24</v>
      </c>
      <c r="G79" s="1266" t="n">
        <v>0.07290000000000001</v>
      </c>
      <c r="H79" s="1265" t="n">
        <v>0.26</v>
      </c>
      <c r="I79" s="1265" t="n">
        <v>0.3449</v>
      </c>
      <c r="J79" s="1266" t="n">
        <v>0.4077</v>
      </c>
      <c r="K79" s="1266" t="n">
        <v>0.5282</v>
      </c>
    </row>
    <row r="80">
      <c r="A80" s="1267" t="inlineStr">
        <is>
          <t>Semiconductor</t>
        </is>
      </c>
      <c r="B80" s="1268" t="n">
        <v>63</v>
      </c>
      <c r="C80" s="1268" t="n">
        <v>1.5</v>
      </c>
      <c r="D80" s="1269" t="n">
        <v>0.0605</v>
      </c>
      <c r="E80" s="1269" t="n">
        <v>0.0489</v>
      </c>
      <c r="F80" s="1268" t="n">
        <v>1.43</v>
      </c>
      <c r="G80" s="1269" t="n">
        <v>0.0204</v>
      </c>
      <c r="H80" s="1268" t="n">
        <v>1.46</v>
      </c>
      <c r="I80" s="1268" t="n">
        <v>0.4535</v>
      </c>
      <c r="J80" s="1269" t="n">
        <v>0.4147</v>
      </c>
      <c r="K80" s="1269" t="n">
        <v>0.3493</v>
      </c>
    </row>
    <row r="81">
      <c r="A81" s="1264" t="inlineStr">
        <is>
          <t>Semiconductor Equip</t>
        </is>
      </c>
      <c r="B81" s="1265" t="n">
        <v>30</v>
      </c>
      <c r="C81" s="1265" t="n">
        <v>1.53</v>
      </c>
      <c r="D81" s="1266" t="n">
        <v>0.07779999999999999</v>
      </c>
      <c r="E81" s="1266" t="n">
        <v>0.1214</v>
      </c>
      <c r="F81" s="1265" t="n">
        <v>1.44</v>
      </c>
      <c r="G81" s="1266" t="n">
        <v>0.0424</v>
      </c>
      <c r="H81" s="1265" t="n">
        <v>1.51</v>
      </c>
      <c r="I81" s="1265" t="n">
        <v>0.3766</v>
      </c>
      <c r="J81" s="1266" t="n">
        <v>0.3704</v>
      </c>
      <c r="K81" s="1266" t="n">
        <v>0.6707</v>
      </c>
    </row>
    <row r="82">
      <c r="A82" s="1267" t="inlineStr">
        <is>
          <t>Shipbuilding &amp; Marine</t>
        </is>
      </c>
      <c r="B82" s="1268" t="n">
        <v>8</v>
      </c>
      <c r="C82" s="1268" t="n">
        <v>0.8100000000000001</v>
      </c>
      <c r="D82" s="1269" t="n">
        <v>0.2977</v>
      </c>
      <c r="E82" s="1269" t="n">
        <v>0.0674</v>
      </c>
      <c r="F82" s="1268" t="n">
        <v>0.66</v>
      </c>
      <c r="G82" s="1269" t="n">
        <v>0.0346</v>
      </c>
      <c r="H82" s="1268" t="n">
        <v>0.6899999999999999</v>
      </c>
      <c r="I82" s="1268" t="n">
        <v>0.3448</v>
      </c>
      <c r="J82" s="1269" t="n">
        <v>0.4507</v>
      </c>
      <c r="K82" s="1269" t="n">
        <v>0.9144</v>
      </c>
    </row>
    <row r="83">
      <c r="A83" s="1264" t="inlineStr">
        <is>
          <t>Shoe</t>
        </is>
      </c>
      <c r="B83" s="1265" t="n">
        <v>13</v>
      </c>
      <c r="C83" s="1265" t="n">
        <v>1.29</v>
      </c>
      <c r="D83" s="1266" t="n">
        <v>0.0871</v>
      </c>
      <c r="E83" s="1266" t="n">
        <v>0.1131</v>
      </c>
      <c r="F83" s="1265" t="n">
        <v>1.21</v>
      </c>
      <c r="G83" s="1266" t="n">
        <v>0.0477</v>
      </c>
      <c r="H83" s="1265" t="n">
        <v>1.27</v>
      </c>
      <c r="I83" s="1265" t="n">
        <v>0.4673</v>
      </c>
      <c r="J83" s="1266" t="n">
        <v>0.3628</v>
      </c>
      <c r="K83" s="1266" t="n">
        <v>0.2818</v>
      </c>
    </row>
    <row r="84">
      <c r="A84" s="1267" t="inlineStr">
        <is>
          <t>Software (Entertainment)</t>
        </is>
      </c>
      <c r="B84" s="1268" t="n">
        <v>84</v>
      </c>
      <c r="C84" s="1268" t="n">
        <v>1.11</v>
      </c>
      <c r="D84" s="1269" t="n">
        <v>0.0315</v>
      </c>
      <c r="E84" s="1269" t="n">
        <v>0.0511</v>
      </c>
      <c r="F84" s="1268" t="n">
        <v>1.08</v>
      </c>
      <c r="G84" s="1269" t="n">
        <v>0.0278</v>
      </c>
      <c r="H84" s="1268" t="n">
        <v>1.11</v>
      </c>
      <c r="I84" s="1268" t="n">
        <v>0.6102</v>
      </c>
      <c r="J84" s="1269" t="n">
        <v>0.5279</v>
      </c>
      <c r="K84" s="1269" t="n">
        <v>0.6214</v>
      </c>
    </row>
    <row r="85">
      <c r="A85" s="1264" t="inlineStr">
        <is>
          <t>Software (Internet)</t>
        </is>
      </c>
      <c r="B85" s="1265" t="n">
        <v>35</v>
      </c>
      <c r="C85" s="1265" t="n">
        <v>1.62</v>
      </c>
      <c r="D85" s="1266" t="n">
        <v>0.1198</v>
      </c>
      <c r="E85" s="1266" t="n">
        <v>0.0261</v>
      </c>
      <c r="F85" s="1265" t="n">
        <v>1.48</v>
      </c>
      <c r="G85" s="1266" t="n">
        <v>0.0191</v>
      </c>
      <c r="H85" s="1265" t="n">
        <v>1.51</v>
      </c>
      <c r="I85" s="1265" t="n">
        <v>0.5394</v>
      </c>
      <c r="J85" s="1266" t="n">
        <v>0.6522</v>
      </c>
      <c r="K85" s="1266" t="n">
        <v>3.7409</v>
      </c>
    </row>
    <row r="86">
      <c r="A86" s="1267" t="inlineStr">
        <is>
          <t>Software (System &amp; Application)</t>
        </is>
      </c>
      <c r="B86" s="1268" t="n">
        <v>351</v>
      </c>
      <c r="C86" s="1268" t="n">
        <v>1.29</v>
      </c>
      <c r="D86" s="1269" t="n">
        <v>0.062</v>
      </c>
      <c r="E86" s="1269" t="n">
        <v>0.0419</v>
      </c>
      <c r="F86" s="1268" t="n">
        <v>1.24</v>
      </c>
      <c r="G86" s="1269" t="n">
        <v>0.0283</v>
      </c>
      <c r="H86" s="1268" t="n">
        <v>1.27</v>
      </c>
      <c r="I86" s="1268" t="n">
        <v>0.5848</v>
      </c>
      <c r="J86" s="1269" t="n">
        <v>0.5209</v>
      </c>
      <c r="K86" s="1269" t="n">
        <v>0.3593</v>
      </c>
    </row>
    <row r="87">
      <c r="A87" s="1264" t="inlineStr">
        <is>
          <t>Steel</t>
        </is>
      </c>
      <c r="B87" s="1265" t="n">
        <v>29</v>
      </c>
      <c r="C87" s="1265" t="n">
        <v>1.13</v>
      </c>
      <c r="D87" s="1266" t="n">
        <v>0.2018</v>
      </c>
      <c r="E87" s="1266" t="n">
        <v>0.1572</v>
      </c>
      <c r="F87" s="1265" t="n">
        <v>0.98</v>
      </c>
      <c r="G87" s="1266" t="n">
        <v>0.0921</v>
      </c>
      <c r="H87" s="1265" t="n">
        <v>1.08</v>
      </c>
      <c r="I87" s="1265" t="n">
        <v>0.362</v>
      </c>
      <c r="J87" s="1266" t="n">
        <v>0.381</v>
      </c>
      <c r="K87" s="1266" t="n">
        <v>1.1545</v>
      </c>
    </row>
    <row r="88">
      <c r="A88" s="1267" t="inlineStr">
        <is>
          <t>Telecom (Wireless)</t>
        </is>
      </c>
      <c r="B88" s="1268" t="n">
        <v>13</v>
      </c>
      <c r="C88" s="1268" t="n">
        <v>1.09</v>
      </c>
      <c r="D88" s="1269" t="n">
        <v>0.6415999999999999</v>
      </c>
      <c r="E88" s="1269" t="n">
        <v>0.0956</v>
      </c>
      <c r="F88" s="1268" t="n">
        <v>0.73</v>
      </c>
      <c r="G88" s="1269" t="n">
        <v>0.0177</v>
      </c>
      <c r="H88" s="1268" t="n">
        <v>0.75</v>
      </c>
      <c r="I88" s="1268" t="n">
        <v>0.6313</v>
      </c>
      <c r="J88" s="1269" t="n">
        <v>0.6031</v>
      </c>
      <c r="K88" s="1269" t="n">
        <v>0.708</v>
      </c>
    </row>
    <row r="89">
      <c r="A89" s="1264" t="inlineStr">
        <is>
          <t>Telecom. Equipment</t>
        </is>
      </c>
      <c r="B89" s="1265" t="n">
        <v>66</v>
      </c>
      <c r="C89" s="1265" t="n">
        <v>1.08</v>
      </c>
      <c r="D89" s="1266" t="n">
        <v>0.1141</v>
      </c>
      <c r="E89" s="1266" t="n">
        <v>0.062</v>
      </c>
      <c r="F89" s="1265" t="n">
        <v>1</v>
      </c>
      <c r="G89" s="1266" t="n">
        <v>0.0481</v>
      </c>
      <c r="H89" s="1265" t="n">
        <v>1.05</v>
      </c>
      <c r="I89" s="1265" t="n">
        <v>0.5647</v>
      </c>
      <c r="J89" s="1266" t="n">
        <v>0.4662</v>
      </c>
      <c r="K89" s="1266" t="n">
        <v>0.1185</v>
      </c>
    </row>
    <row r="90">
      <c r="A90" s="1267" t="inlineStr">
        <is>
          <t>Telecom. Services</t>
        </is>
      </c>
      <c r="B90" s="1268" t="n">
        <v>42</v>
      </c>
      <c r="C90" s="1268" t="n">
        <v>0.78</v>
      </c>
      <c r="D90" s="1269" t="n">
        <v>1.2491</v>
      </c>
      <c r="E90" s="1269" t="n">
        <v>0.06619999999999999</v>
      </c>
      <c r="F90" s="1268" t="n">
        <v>0.41</v>
      </c>
      <c r="G90" s="1269" t="n">
        <v>0.0219</v>
      </c>
      <c r="H90" s="1268" t="n">
        <v>0.41</v>
      </c>
      <c r="I90" s="1268" t="n">
        <v>0.5662</v>
      </c>
      <c r="J90" s="1269" t="n">
        <v>0.5042</v>
      </c>
      <c r="K90" s="1269" t="n">
        <v>0.1496</v>
      </c>
    </row>
    <row r="91">
      <c r="A91" s="1264" t="inlineStr">
        <is>
          <t>Tobacco</t>
        </is>
      </c>
      <c r="B91" s="1265" t="n">
        <v>16</v>
      </c>
      <c r="C91" s="1265" t="n">
        <v>1.22</v>
      </c>
      <c r="D91" s="1266" t="n">
        <v>0.349</v>
      </c>
      <c r="E91" s="1266" t="n">
        <v>0.09950000000000001</v>
      </c>
      <c r="F91" s="1265" t="n">
        <v>0.97</v>
      </c>
      <c r="G91" s="1266" t="n">
        <v>0.0178</v>
      </c>
      <c r="H91" s="1265" t="n">
        <v>0.99</v>
      </c>
      <c r="I91" s="1265" t="n">
        <v>0.5792</v>
      </c>
      <c r="J91" s="1266" t="n">
        <v>0.48</v>
      </c>
      <c r="K91" s="1266" t="n">
        <v>0.0873</v>
      </c>
    </row>
    <row r="92">
      <c r="A92" s="1267" t="inlineStr">
        <is>
          <t>Transportation</t>
        </is>
      </c>
      <c r="B92" s="1268" t="n">
        <v>36</v>
      </c>
      <c r="C92" s="1268" t="n">
        <v>1.26</v>
      </c>
      <c r="D92" s="1269" t="n">
        <v>0.3358</v>
      </c>
      <c r="E92" s="1269" t="n">
        <v>0.0653</v>
      </c>
      <c r="F92" s="1268" t="n">
        <v>1.01</v>
      </c>
      <c r="G92" s="1269" t="n">
        <v>0.0394</v>
      </c>
      <c r="H92" s="1268" t="n">
        <v>1.05</v>
      </c>
      <c r="I92" s="1268" t="n">
        <v>0.6204</v>
      </c>
      <c r="J92" s="1269" t="n">
        <v>0.5312</v>
      </c>
      <c r="K92" s="1269" t="n">
        <v>0.5508999999999999</v>
      </c>
    </row>
    <row r="93">
      <c r="A93" s="1264" t="inlineStr">
        <is>
          <t>Transportation (Railroads)</t>
        </is>
      </c>
      <c r="B93" s="1265" t="n">
        <v>4</v>
      </c>
      <c r="C93" s="1265" t="n">
        <v>1.02</v>
      </c>
      <c r="D93" s="1266" t="n">
        <v>0.2681</v>
      </c>
      <c r="E93" s="1266" t="n">
        <v>0.1728</v>
      </c>
      <c r="F93" s="1265" t="n">
        <v>0.85</v>
      </c>
      <c r="G93" s="1266" t="n">
        <v>0.0106</v>
      </c>
      <c r="H93" s="1265" t="n">
        <v>0.86</v>
      </c>
      <c r="I93" s="1265" t="n">
        <v>0.1868</v>
      </c>
      <c r="J93" s="1266" t="n">
        <v>0.2228</v>
      </c>
      <c r="K93" s="1266" t="n">
        <v>0.1349</v>
      </c>
    </row>
    <row r="94">
      <c r="A94" s="1267" t="inlineStr">
        <is>
          <t>Trucking</t>
        </is>
      </c>
      <c r="B94" s="1268" t="n">
        <v>22</v>
      </c>
      <c r="C94" s="1268" t="n">
        <v>1.15</v>
      </c>
      <c r="D94" s="1269" t="n">
        <v>0.1995</v>
      </c>
      <c r="E94" s="1269" t="n">
        <v>0.2021</v>
      </c>
      <c r="F94" s="1268" t="n">
        <v>1</v>
      </c>
      <c r="G94" s="1269" t="n">
        <v>0.0294</v>
      </c>
      <c r="H94" s="1268" t="n">
        <v>1.03</v>
      </c>
      <c r="I94" s="1268" t="n">
        <v>0.343</v>
      </c>
      <c r="J94" s="1269" t="n">
        <v>0.2833</v>
      </c>
      <c r="K94" s="1269" t="n">
        <v>0.4222</v>
      </c>
    </row>
    <row r="95">
      <c r="A95" s="1264" t="inlineStr">
        <is>
          <t>Utility (General)</t>
        </is>
      </c>
      <c r="B95" s="1265" t="n">
        <v>14</v>
      </c>
      <c r="C95" s="1265" t="n">
        <v>0.58</v>
      </c>
      <c r="D95" s="1266" t="n">
        <v>0.8484</v>
      </c>
      <c r="E95" s="1266" t="n">
        <v>0.1405</v>
      </c>
      <c r="F95" s="1265" t="n">
        <v>0.35</v>
      </c>
      <c r="G95" s="1266" t="n">
        <v>0.0058</v>
      </c>
      <c r="H95" s="1265" t="n">
        <v>0.36</v>
      </c>
      <c r="I95" s="1265" t="n">
        <v>0.1505</v>
      </c>
      <c r="J95" s="1266" t="n">
        <v>0.1493</v>
      </c>
      <c r="K95" s="1266" t="n">
        <v>0.0983</v>
      </c>
    </row>
    <row r="96">
      <c r="A96" s="1267" t="inlineStr">
        <is>
          <t>Utility (Water)</t>
        </is>
      </c>
      <c r="B96" s="1268" t="n">
        <v>13</v>
      </c>
      <c r="C96" s="1268" t="n">
        <v>0.71</v>
      </c>
      <c r="D96" s="1269" t="n">
        <v>0.5089</v>
      </c>
      <c r="E96" s="1269" t="n">
        <v>0.1109</v>
      </c>
      <c r="F96" s="1268" t="n">
        <v>0.52</v>
      </c>
      <c r="G96" s="1269" t="n">
        <v>0.0107</v>
      </c>
      <c r="H96" s="1268" t="n">
        <v>0.52</v>
      </c>
      <c r="I96" s="1268" t="n">
        <v>0.2951</v>
      </c>
      <c r="J96" s="1269" t="n">
        <v>0.4203</v>
      </c>
      <c r="K96" s="1269" t="n">
        <v>0.1508</v>
      </c>
    </row>
    <row r="97">
      <c r="A97" s="1264" t="inlineStr">
        <is>
          <t>Grand Total</t>
        </is>
      </c>
      <c r="B97" s="1265" t="n">
        <v>6481</v>
      </c>
      <c r="C97" s="1265" t="n">
        <v>1</v>
      </c>
      <c r="D97" s="1266" t="n">
        <v>0.4642</v>
      </c>
      <c r="E97" s="1266" t="n">
        <v>0.0835</v>
      </c>
      <c r="F97" s="1265" t="n">
        <v>0.74</v>
      </c>
      <c r="G97" s="1266" t="n">
        <v>0.0613</v>
      </c>
      <c r="H97" s="1265" t="n">
        <v>0.79</v>
      </c>
      <c r="I97" s="1265" t="n">
        <v>0.4722</v>
      </c>
      <c r="J97" s="1266" t="n">
        <v>0.4203</v>
      </c>
      <c r="K97" s="1266" t="n">
        <v>0.2307</v>
      </c>
    </row>
    <row r="98">
      <c r="A98" s="1267" t="inlineStr">
        <is>
          <t>Total Market (without financials)</t>
        </is>
      </c>
      <c r="B98" s="1268" t="n">
        <v>5214</v>
      </c>
      <c r="C98" s="1268" t="n">
        <v>1.1</v>
      </c>
      <c r="D98" s="1269" t="n">
        <v>0.226</v>
      </c>
      <c r="E98" s="1269" t="n">
        <v>0.068</v>
      </c>
      <c r="F98" s="1268" t="n">
        <v>0.9399999999999999</v>
      </c>
      <c r="G98" s="1269" t="n">
        <v>0.0348</v>
      </c>
      <c r="H98" s="1268" t="n">
        <v>0.97</v>
      </c>
      <c r="I98" s="1268" t="n">
        <v>0.5211</v>
      </c>
      <c r="J98" s="1269" t="n">
        <v>0.47</v>
      </c>
      <c r="K98" s="1269" t="n">
        <v>0.2316</v>
      </c>
    </row>
  </sheetData>
  <pageMargins left="0.7" right="0.7" top="0.75" bottom="0.75" header="0.3" footer="0.3"/>
</worksheet>
</file>

<file path=xl/worksheets/sheet41.xml><?xml version="1.0" encoding="utf-8"?>
<worksheet xmlns="http://schemas.openxmlformats.org/spreadsheetml/2006/main">
  <sheetPr codeName="Sheet83">
    <tabColor theme="7"/>
    <outlinePr summaryBelow="1" summaryRight="1"/>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baseColWidth="8" defaultColWidth="8.84375" defaultRowHeight="16"/>
  <cols>
    <col width="3.15234375" customWidth="1" style="1071" min="1" max="2"/>
    <col width="2.84375" customWidth="1" style="1071" min="3" max="3"/>
    <col width="31.84375" customWidth="1" style="1071" min="4" max="4"/>
    <col width="16.921875" customWidth="1" style="1071" min="5" max="5"/>
    <col hidden="1" outlineLevel="1" width="15.84375" customWidth="1" style="1071" min="6" max="7"/>
    <col hidden="1" outlineLevel="1" collapsed="1" width="14.84375" customWidth="1" style="1071" min="8" max="8"/>
    <col hidden="1" outlineLevel="1" width="0.84375" customWidth="1" style="1071" min="9" max="9"/>
    <col hidden="1" outlineLevel="1" width="15.84375" customWidth="1" style="1071" min="10" max="11"/>
    <col hidden="1" outlineLevel="1" collapsed="1" width="15.84375" customWidth="1" style="1071" min="12" max="12"/>
    <col hidden="1" outlineLevel="1" width="0.84375" customWidth="1" style="1071" min="13" max="13"/>
    <col hidden="1" outlineLevel="1" width="15.84375" customWidth="1" style="1071" min="14" max="15"/>
    <col hidden="1" outlineLevel="1" collapsed="1" width="15.84375" customWidth="1" style="1071" min="16" max="16"/>
    <col hidden="1" outlineLevel="1" width="0.84375" customWidth="1" style="1071" min="17" max="17"/>
    <col hidden="1" outlineLevel="1" width="15.84375" customWidth="1" style="1071" min="18" max="19"/>
    <col hidden="1" outlineLevel="1" collapsed="1" width="15.84375" customWidth="1" style="1071" min="20" max="20"/>
    <col hidden="1" outlineLevel="1" width="0.84375" customWidth="1" style="1071" min="21" max="21"/>
    <col hidden="1" outlineLevel="1" width="15.84375" customWidth="1" style="1071" min="22" max="23"/>
    <col hidden="1" outlineLevel="1" collapsed="1" width="15.84375" customWidth="1" style="1071" min="24" max="24"/>
    <col hidden="1" outlineLevel="1" width="0.84375" customWidth="1" style="1071" min="25" max="25"/>
    <col hidden="1" outlineLevel="1" width="15.84375" customWidth="1" style="1071" min="26" max="27"/>
    <col hidden="1" outlineLevel="1" collapsed="1" width="15.84375" customWidth="1" style="1071" min="28" max="28"/>
    <col hidden="1" outlineLevel="1" width="0.84375" customWidth="1" style="1071" min="29" max="29"/>
    <col hidden="1" outlineLevel="1" width="15.84375" customWidth="1" style="1071" min="30" max="31"/>
    <col hidden="1" outlineLevel="1" collapsed="1" width="15.84375" customWidth="1" style="1071" min="32" max="32"/>
    <col hidden="1" outlineLevel="1" width="0.84375" customWidth="1" style="1071" min="33" max="33"/>
    <col hidden="1" outlineLevel="1" width="15.84375" customWidth="1" style="1071" min="34" max="35"/>
    <col hidden="1" outlineLevel="1" collapsed="1" width="15.84375" customWidth="1" style="1071" min="36" max="36"/>
    <col hidden="1" outlineLevel="1" width="0.84375" customWidth="1" style="1071" min="37" max="37"/>
    <col hidden="1" outlineLevel="1" width="15.84375" customWidth="1" style="1071" min="38" max="39"/>
    <col hidden="1" outlineLevel="1" collapsed="1" width="15.84375" customWidth="1" style="1071" min="40" max="40"/>
    <col hidden="1" outlineLevel="1" width="0.84375" customWidth="1" style="1071" min="41" max="41"/>
    <col hidden="1" outlineLevel="1" width="15.84375" customWidth="1" style="1071" min="42" max="43"/>
    <col hidden="1" outlineLevel="1" collapsed="1" width="15.84375" customWidth="1" style="1071" min="44" max="44"/>
    <col hidden="1" outlineLevel="1" width="0.84375" customWidth="1" style="1071" min="45" max="45"/>
    <col hidden="1" outlineLevel="1" width="15.84375" customWidth="1" style="1071" min="46" max="47"/>
    <col hidden="1" outlineLevel="1" collapsed="1" width="15.84375" customWidth="1" style="1071" min="48" max="48"/>
    <col hidden="1" outlineLevel="1" width="0.84375" customWidth="1" style="1071" min="49" max="49"/>
    <col hidden="1" outlineLevel="1" width="15.84375" customWidth="1" style="1071" min="50" max="51"/>
    <col hidden="1" outlineLevel="1" collapsed="1" width="15.84375" customWidth="1" style="1071" min="52" max="52"/>
    <col hidden="1" outlineLevel="1" width="0.84375" customWidth="1" style="1071" min="53" max="53"/>
    <col hidden="1" outlineLevel="1" width="15.84375" customWidth="1" style="1071" min="54" max="55"/>
    <col hidden="1" outlineLevel="1" collapsed="1" width="15.84375" customWidth="1" style="1071" min="56" max="56"/>
    <col hidden="1" outlineLevel="1" width="0.84375" customWidth="1" style="1071" min="57" max="57"/>
    <col hidden="1" outlineLevel="1" width="15.84375" customWidth="1" style="1071" min="58" max="59"/>
    <col hidden="1" outlineLevel="1" collapsed="1" width="15.84375" customWidth="1" style="1071" min="60" max="60"/>
    <col hidden="1" outlineLevel="1" width="3.53515625" customWidth="1" style="1071" min="61" max="61"/>
    <col hidden="1" outlineLevel="1" width="15.84375" customWidth="1" style="1071" min="62" max="63"/>
    <col hidden="1" outlineLevel="1" collapsed="1" width="15.84375" customWidth="1" style="1071" min="64" max="64"/>
    <col hidden="1" outlineLevel="1" width="3.4609375" customWidth="1" style="1071" min="65" max="65"/>
    <col hidden="1" outlineLevel="1" width="12.3828125" customWidth="1" style="1071" min="66" max="67"/>
    <col hidden="1" outlineLevel="1" width="12.921875" customWidth="1" style="1071" min="68" max="68"/>
    <col hidden="1" outlineLevel="1" width="12.4609375" customWidth="1" style="1071" min="69" max="71"/>
    <col collapsed="1" width="12.3828125" customWidth="1" style="1071" min="72" max="72"/>
    <col width="12.3828125" customWidth="1" style="1071" min="73" max="73"/>
    <col width="12.921875" customWidth="1" style="1071" min="74" max="74"/>
    <col width="12.4609375" customWidth="1" style="1071" min="75" max="81"/>
    <col width="8.84375" customWidth="1" style="1071" min="82" max="16384"/>
  </cols>
  <sheetData>
    <row r="1" ht="21" customFormat="1" customHeight="1" s="1067">
      <c r="B1" s="1064" t="n"/>
      <c r="C1" s="1064" t="n"/>
      <c r="D1" s="1064" t="n"/>
      <c r="E1" s="1064" t="n"/>
      <c r="F1" s="1065" t="n"/>
      <c r="G1" s="1065" t="n"/>
      <c r="H1" s="1065" t="n">
        <v>2004</v>
      </c>
      <c r="I1" s="1065" t="n"/>
      <c r="J1" s="1065" t="n"/>
      <c r="K1" s="1065" t="n"/>
      <c r="L1" s="1065">
        <f>H1+1</f>
        <v/>
      </c>
      <c r="M1" s="1065" t="n"/>
      <c r="N1" s="1065" t="n"/>
      <c r="O1" s="1065" t="n"/>
      <c r="P1" s="1065">
        <f>L1+1</f>
        <v/>
      </c>
      <c r="Q1" s="1065" t="n"/>
      <c r="R1" s="1065" t="n"/>
      <c r="S1" s="1065" t="n"/>
      <c r="T1" s="1065">
        <f>P1+1</f>
        <v/>
      </c>
      <c r="U1" s="1065" t="n"/>
      <c r="V1" s="1065" t="n"/>
      <c r="W1" s="1065" t="n"/>
      <c r="X1" s="1065">
        <f>T1+1</f>
        <v/>
      </c>
      <c r="Y1" s="1065" t="n"/>
      <c r="Z1" s="1065" t="n"/>
      <c r="AA1" s="1065" t="n"/>
      <c r="AB1" s="1065">
        <f>X1+1</f>
        <v/>
      </c>
      <c r="AC1" s="1065" t="n"/>
      <c r="AD1" s="1065" t="n"/>
      <c r="AE1" s="1065" t="n"/>
      <c r="AF1" s="1065">
        <f>AB1+1</f>
        <v/>
      </c>
      <c r="AG1" s="1065" t="n"/>
      <c r="AH1" s="1065" t="n"/>
      <c r="AI1" s="1065" t="n"/>
      <c r="AJ1" s="1065">
        <f>AF1+1</f>
        <v/>
      </c>
      <c r="AK1" s="1065" t="n"/>
      <c r="AL1" s="1065" t="n"/>
      <c r="AM1" s="1065" t="n"/>
      <c r="AN1" s="1065">
        <f>AJ1+1</f>
        <v/>
      </c>
      <c r="AO1" s="1065" t="n"/>
      <c r="AP1" s="1065" t="n"/>
      <c r="AQ1" s="1065" t="n"/>
      <c r="AR1" s="1065">
        <f>AN1+1</f>
        <v/>
      </c>
      <c r="AS1" s="1065" t="n"/>
      <c r="AT1" s="1065" t="n"/>
      <c r="AU1" s="1065" t="n"/>
      <c r="AV1" s="1065">
        <f>AR1+1</f>
        <v/>
      </c>
      <c r="AW1" s="1065" t="n"/>
      <c r="AX1" s="1065" t="n"/>
      <c r="AY1" s="1065" t="n"/>
      <c r="AZ1" s="1065">
        <f>AV1+1</f>
        <v/>
      </c>
      <c r="BA1" s="1065" t="n"/>
      <c r="BB1" s="1065" t="n"/>
      <c r="BC1" s="1065" t="n"/>
      <c r="BD1" s="1065">
        <f>AZ1+1</f>
        <v/>
      </c>
      <c r="BE1" s="1065" t="n"/>
      <c r="BF1" s="1065" t="n"/>
      <c r="BG1" s="1065" t="n"/>
      <c r="BH1" s="1065">
        <f>BD1+1</f>
        <v/>
      </c>
      <c r="BI1" s="1066" t="n"/>
      <c r="BJ1" s="1065" t="n"/>
      <c r="BK1" s="1065" t="n"/>
      <c r="BL1" s="1065">
        <f>BH1+1</f>
        <v/>
      </c>
      <c r="BM1" s="1066" t="n"/>
      <c r="BN1" s="1064" t="n"/>
      <c r="BO1" s="1064" t="n"/>
      <c r="BP1" s="1066" t="n">
        <v>2019</v>
      </c>
      <c r="BS1" s="1066" t="n">
        <v>2020</v>
      </c>
      <c r="BT1" s="1064" t="n"/>
      <c r="BU1" s="1064" t="n"/>
      <c r="BV1" s="1066" t="n">
        <v>2019</v>
      </c>
      <c r="BW1" s="1066" t="n"/>
      <c r="BX1" s="1066" t="n"/>
      <c r="BY1" s="1066" t="n"/>
      <c r="BZ1" s="1066" t="n"/>
      <c r="CA1" s="1066" t="n"/>
      <c r="CB1" s="1066" t="n"/>
      <c r="CC1" s="1066" t="n"/>
    </row>
    <row r="2" ht="15.65" customFormat="1" customHeight="1" s="1069">
      <c r="B2" s="1068" t="n"/>
      <c r="C2" s="1068" t="n"/>
      <c r="D2" s="1068" t="n"/>
      <c r="E2" s="1068" t="n"/>
      <c r="F2" s="1068" t="n"/>
      <c r="G2" s="1068" t="n"/>
      <c r="H2" s="1068" t="n"/>
      <c r="I2" s="1068" t="n"/>
      <c r="J2" s="1068" t="n"/>
      <c r="K2" s="1068" t="n"/>
      <c r="L2" s="1068" t="n"/>
      <c r="M2" s="1068" t="n"/>
      <c r="N2" s="1068" t="n"/>
      <c r="O2" s="1068" t="n"/>
      <c r="P2" s="1068" t="n"/>
      <c r="Q2" s="1068" t="n"/>
      <c r="R2" s="1068" t="n"/>
      <c r="S2" s="1068" t="n"/>
      <c r="T2" s="1068" t="n"/>
      <c r="U2" s="1068" t="n"/>
      <c r="V2" s="1068" t="n"/>
      <c r="W2" s="1068" t="n"/>
      <c r="X2" s="1068" t="n"/>
      <c r="Y2" s="1068" t="n"/>
      <c r="Z2" s="1068" t="n"/>
      <c r="AA2" s="1068" t="n"/>
      <c r="AB2" s="1068" t="n"/>
      <c r="AC2" s="1068" t="n"/>
      <c r="AD2" s="1068" t="n"/>
      <c r="AE2" s="1068" t="n"/>
      <c r="AF2" s="1068" t="n"/>
      <c r="AG2" s="1068" t="n"/>
      <c r="AH2" s="1068" t="n"/>
      <c r="AI2" s="1068" t="n"/>
      <c r="AJ2" s="1068" t="n"/>
      <c r="AK2" s="1068" t="n"/>
      <c r="AL2" s="1068" t="n"/>
      <c r="AM2" s="1068" t="n"/>
      <c r="AN2" s="1068" t="n"/>
      <c r="AO2" s="1068" t="n"/>
      <c r="AP2" s="1068" t="n"/>
      <c r="AQ2" s="1068" t="n"/>
      <c r="AR2" s="1068" t="n"/>
      <c r="AS2" s="1068" t="n"/>
      <c r="AT2" s="1068" t="n"/>
      <c r="AU2" s="1068" t="n"/>
      <c r="AV2" s="1068" t="n"/>
      <c r="AW2" s="1068" t="n"/>
      <c r="AX2" s="1068" t="n"/>
      <c r="AY2" s="1068" t="n"/>
      <c r="AZ2" s="1068" t="n"/>
      <c r="BA2" s="1068" t="n"/>
      <c r="BB2" s="1068" t="n"/>
      <c r="BC2" s="1068" t="n"/>
      <c r="BD2" s="1068" t="n"/>
      <c r="BE2" s="1068" t="n"/>
      <c r="BF2" s="1068" t="n"/>
      <c r="BG2" s="1068" t="n"/>
      <c r="BH2" s="1068" t="n"/>
      <c r="BJ2" s="1068" t="n"/>
      <c r="BK2" s="1068" t="n"/>
      <c r="BL2" s="1068" t="n"/>
    </row>
    <row r="3" ht="17.5" customHeight="1">
      <c r="C3" s="1128" t="n"/>
      <c r="D3" s="1128" t="n"/>
      <c r="E3" s="1128" t="n"/>
      <c r="F3" s="1126" t="inlineStr">
        <is>
          <t>2004 (1)</t>
        </is>
      </c>
      <c r="G3" s="1127" t="n"/>
      <c r="H3" s="1127" t="n"/>
      <c r="I3" s="1128" t="n"/>
      <c r="J3" s="1126" t="inlineStr">
        <is>
          <t>2005 (1)</t>
        </is>
      </c>
      <c r="K3" s="1127" t="n"/>
      <c r="L3" s="1127" t="n"/>
      <c r="M3" s="1128" t="n"/>
      <c r="N3" s="1126" t="inlineStr">
        <is>
          <t>2006 (1)</t>
        </is>
      </c>
      <c r="O3" s="1127" t="n"/>
      <c r="P3" s="1127" t="n"/>
      <c r="Q3" s="1128" t="n"/>
      <c r="R3" s="1126" t="inlineStr">
        <is>
          <t>2007 (1)</t>
        </is>
      </c>
      <c r="S3" s="1127" t="n"/>
      <c r="T3" s="1127" t="n"/>
      <c r="U3" s="1128" t="n"/>
      <c r="V3" s="1126" t="inlineStr">
        <is>
          <t>2008 (2)</t>
        </is>
      </c>
      <c r="W3" s="1127" t="n"/>
      <c r="X3" s="1127" t="n"/>
      <c r="Y3" s="1128" t="n"/>
      <c r="Z3" s="1126" t="inlineStr">
        <is>
          <t>2009 (3)</t>
        </is>
      </c>
      <c r="AA3" s="1127" t="n"/>
      <c r="AB3" s="1127" t="n"/>
      <c r="AC3" s="1128" t="n"/>
      <c r="AD3" s="1126" t="inlineStr">
        <is>
          <t>2010 (4)</t>
        </is>
      </c>
      <c r="AE3" s="1127" t="n"/>
      <c r="AF3" s="1127" t="n"/>
      <c r="AG3" s="1128" t="n"/>
      <c r="AH3" s="1126" t="inlineStr">
        <is>
          <t>2011 (5)</t>
        </is>
      </c>
      <c r="AI3" s="1127" t="n"/>
      <c r="AJ3" s="1127" t="n"/>
      <c r="AK3" s="1127" t="n"/>
      <c r="AL3" s="1126" t="inlineStr">
        <is>
          <t>2012 (6)</t>
        </is>
      </c>
      <c r="AM3" s="1127" t="n"/>
      <c r="AN3" s="1127" t="n"/>
      <c r="AO3" s="1128" t="n"/>
      <c r="AP3" s="1126" t="inlineStr">
        <is>
          <t>2013 (7)</t>
        </is>
      </c>
      <c r="AQ3" s="1127" t="n"/>
      <c r="AR3" s="1127" t="n"/>
      <c r="AS3" s="1129" t="n"/>
      <c r="AT3" s="1126" t="inlineStr">
        <is>
          <t>2014 (1)</t>
        </is>
      </c>
      <c r="AU3" s="1127" t="n"/>
      <c r="AV3" s="1127" t="n"/>
      <c r="AW3" s="1129" t="n"/>
      <c r="AX3" s="1126" t="inlineStr">
        <is>
          <t>2015 (1)</t>
        </is>
      </c>
      <c r="AY3" s="1127" t="n"/>
      <c r="AZ3" s="1127" t="n"/>
      <c r="BA3" s="1128" t="n"/>
      <c r="BB3" s="1126" t="inlineStr">
        <is>
          <t>2016 (1)</t>
        </is>
      </c>
      <c r="BC3" s="1127" t="n"/>
      <c r="BD3" s="1127" t="n"/>
      <c r="BE3" s="1128" t="n"/>
      <c r="BF3" s="1126" t="inlineStr">
        <is>
          <t>2017 (1)</t>
        </is>
      </c>
      <c r="BG3" s="1127" t="n"/>
      <c r="BH3" s="1127" t="n"/>
      <c r="BI3" s="1128" t="n"/>
      <c r="BJ3" s="1126" t="inlineStr">
        <is>
          <t>2018 (1)</t>
        </is>
      </c>
      <c r="BK3" s="1127" t="n"/>
      <c r="BL3" s="1127" t="n"/>
      <c r="BM3" s="1128" t="n"/>
      <c r="BN3" s="1126" t="inlineStr">
        <is>
          <t>2019 (1)</t>
        </is>
      </c>
      <c r="BO3" s="1127" t="n"/>
      <c r="BP3" s="1127" t="n"/>
      <c r="BQ3" s="1853" t="inlineStr">
        <is>
          <t>December 2022</t>
        </is>
      </c>
      <c r="BT3" s="1853" t="inlineStr">
        <is>
          <t>December 2023</t>
        </is>
      </c>
      <c r="BW3" s="1127" t="n"/>
      <c r="BX3" s="1127" t="n"/>
      <c r="BY3" s="1127" t="n"/>
      <c r="BZ3" s="1127" t="n"/>
      <c r="CA3" s="1127" t="n"/>
      <c r="CB3" s="1127" t="n"/>
      <c r="CC3" s="1127" t="n"/>
    </row>
    <row r="4" ht="17.5" customHeight="1">
      <c r="C4" s="1128" t="n"/>
      <c r="D4" s="1128" t="n"/>
      <c r="E4" s="1128" t="n"/>
      <c r="F4" s="1127" t="inlineStr">
        <is>
          <t>Market Capitalization of</t>
        </is>
      </c>
      <c r="G4" s="1127" t="n"/>
      <c r="H4" s="1131" t="inlineStr">
        <is>
          <t>Size Premium (Return</t>
        </is>
      </c>
      <c r="I4" s="1128" t="n"/>
      <c r="J4" s="1127" t="inlineStr">
        <is>
          <t>Market Capitalization of</t>
        </is>
      </c>
      <c r="K4" s="1127" t="n"/>
      <c r="L4" s="1131" t="inlineStr">
        <is>
          <t>Size Premium (Return</t>
        </is>
      </c>
      <c r="M4" s="1128" t="n"/>
      <c r="N4" s="1127" t="inlineStr">
        <is>
          <t>Market Capitalization of</t>
        </is>
      </c>
      <c r="O4" s="1127" t="n"/>
      <c r="P4" s="1131" t="inlineStr">
        <is>
          <t>Size Premium (Return</t>
        </is>
      </c>
      <c r="Q4" s="1128" t="n"/>
      <c r="R4" s="1127" t="inlineStr">
        <is>
          <t>Market Capitalization of</t>
        </is>
      </c>
      <c r="S4" s="1127" t="n"/>
      <c r="T4" s="1131" t="inlineStr">
        <is>
          <t>Size Premium (Return</t>
        </is>
      </c>
      <c r="U4" s="1128" t="n"/>
      <c r="V4" s="1127" t="inlineStr">
        <is>
          <t>Market Capitalization of</t>
        </is>
      </c>
      <c r="W4" s="1127" t="n"/>
      <c r="X4" s="1131" t="inlineStr">
        <is>
          <t>Size Premium (Return</t>
        </is>
      </c>
      <c r="Y4" s="1128" t="n"/>
      <c r="Z4" s="1127" t="inlineStr">
        <is>
          <t>Market Capitalization of</t>
        </is>
      </c>
      <c r="AA4" s="1127" t="n"/>
      <c r="AB4" s="1131" t="inlineStr">
        <is>
          <t>Size Premium (Return</t>
        </is>
      </c>
      <c r="AC4" s="1128" t="n"/>
      <c r="AD4" s="1127" t="inlineStr">
        <is>
          <t>Market Capitalization of</t>
        </is>
      </c>
      <c r="AE4" s="1127" t="n"/>
      <c r="AF4" s="1131" t="inlineStr">
        <is>
          <t>Size Premium (Return</t>
        </is>
      </c>
      <c r="AG4" s="1128" t="n"/>
      <c r="AH4" s="1127" t="inlineStr">
        <is>
          <t>Market Capitalization of</t>
        </is>
      </c>
      <c r="AI4" s="1127" t="n"/>
      <c r="AJ4" s="1131" t="inlineStr">
        <is>
          <t>Size Premium (Return</t>
        </is>
      </c>
      <c r="AK4" s="1131" t="n"/>
      <c r="AL4" s="1127" t="inlineStr">
        <is>
          <t>Market Capitalization of</t>
        </is>
      </c>
      <c r="AM4" s="1127" t="n"/>
      <c r="AN4" s="1131" t="inlineStr">
        <is>
          <t>Size Premium (Return</t>
        </is>
      </c>
      <c r="AO4" s="1128" t="n"/>
      <c r="AP4" s="1127" t="inlineStr">
        <is>
          <t>Market Capitalization of</t>
        </is>
      </c>
      <c r="AQ4" s="1127" t="n"/>
      <c r="AR4" s="1131" t="inlineStr">
        <is>
          <t>Size Premium (Return</t>
        </is>
      </c>
      <c r="AS4" s="1131" t="n"/>
      <c r="AT4" s="1127" t="inlineStr">
        <is>
          <t>Market Capitalization of</t>
        </is>
      </c>
      <c r="AU4" s="1127" t="n"/>
      <c r="AV4" s="1131" t="inlineStr">
        <is>
          <t>Size Premium (Return</t>
        </is>
      </c>
      <c r="AW4" s="1131" t="n"/>
      <c r="AX4" s="1127" t="inlineStr">
        <is>
          <t>Market Capitalization of</t>
        </is>
      </c>
      <c r="AY4" s="1127" t="n"/>
      <c r="AZ4" s="1131" t="inlineStr">
        <is>
          <t>Size Premium (Return</t>
        </is>
      </c>
      <c r="BA4" s="1128" t="n"/>
      <c r="BB4" s="1127" t="inlineStr">
        <is>
          <t>Market Capitalization of</t>
        </is>
      </c>
      <c r="BC4" s="1127" t="n"/>
      <c r="BD4" s="1131" t="inlineStr">
        <is>
          <t>Size Premium (Return</t>
        </is>
      </c>
      <c r="BE4" s="1128" t="n"/>
      <c r="BF4" s="1127" t="inlineStr">
        <is>
          <t>Market Capitalization of</t>
        </is>
      </c>
      <c r="BG4" s="1127" t="n"/>
      <c r="BH4" s="1131" t="inlineStr">
        <is>
          <t>Size Premium (Return</t>
        </is>
      </c>
      <c r="BI4" s="1128" t="n"/>
      <c r="BJ4" s="1127" t="inlineStr">
        <is>
          <t>Market Capitalization of</t>
        </is>
      </c>
      <c r="BK4" s="1127" t="n"/>
      <c r="BL4" s="1131" t="inlineStr">
        <is>
          <t>Size Premium (Return</t>
        </is>
      </c>
      <c r="BM4" s="1128" t="n"/>
      <c r="BN4" s="1127" t="inlineStr">
        <is>
          <t>Market Capitalization of</t>
        </is>
      </c>
      <c r="BO4" s="1127" t="n"/>
      <c r="BP4" s="1131" t="inlineStr">
        <is>
          <t>Size Premium (Return</t>
        </is>
      </c>
      <c r="BQ4" s="1127" t="inlineStr">
        <is>
          <t>Market Capitalization of</t>
        </is>
      </c>
      <c r="BR4" s="1127" t="n"/>
      <c r="BS4" s="1131" t="inlineStr">
        <is>
          <t>Size Premium (Return</t>
        </is>
      </c>
      <c r="BT4" s="1127" t="inlineStr">
        <is>
          <t>Market Capitalization of</t>
        </is>
      </c>
      <c r="BU4" s="1127" t="n"/>
      <c r="BV4" s="1131" t="inlineStr">
        <is>
          <t>Size Premium (Return</t>
        </is>
      </c>
      <c r="BW4" s="1131" t="n"/>
      <c r="BX4" s="1131" t="n"/>
      <c r="BY4" s="1131" t="n"/>
      <c r="BZ4" s="1131" t="n"/>
      <c r="CA4" s="1131" t="n"/>
      <c r="CB4" s="1131" t="n"/>
      <c r="CC4" s="1131" t="n"/>
    </row>
    <row r="5" ht="17.5" customHeight="1">
      <c r="C5" s="1128" t="inlineStr">
        <is>
          <t>In USD Millions</t>
        </is>
      </c>
      <c r="D5" s="1128" t="n"/>
      <c r="E5" s="1128" t="n"/>
      <c r="F5" s="1127" t="inlineStr">
        <is>
          <t>Smallest Company</t>
        </is>
      </c>
      <c r="G5" s="1127" t="inlineStr">
        <is>
          <t>Largest Company</t>
        </is>
      </c>
      <c r="H5" s="1127" t="inlineStr">
        <is>
          <t>in Excess of CAPM)</t>
        </is>
      </c>
      <c r="I5" s="1128" t="n"/>
      <c r="J5" s="1127" t="inlineStr">
        <is>
          <t>Smallest Company</t>
        </is>
      </c>
      <c r="K5" s="1127" t="inlineStr">
        <is>
          <t>Largest Company</t>
        </is>
      </c>
      <c r="L5" s="1127" t="inlineStr">
        <is>
          <t>in Excess of CAPM)</t>
        </is>
      </c>
      <c r="M5" s="1128" t="n"/>
      <c r="N5" s="1127" t="inlineStr">
        <is>
          <t>Smallest Company</t>
        </is>
      </c>
      <c r="O5" s="1127" t="inlineStr">
        <is>
          <t>Largest Company</t>
        </is>
      </c>
      <c r="P5" s="1127" t="inlineStr">
        <is>
          <t>in Excess of CAPM)</t>
        </is>
      </c>
      <c r="Q5" s="1128" t="n"/>
      <c r="R5" s="1127" t="inlineStr">
        <is>
          <t>Smallest Company</t>
        </is>
      </c>
      <c r="S5" s="1127" t="inlineStr">
        <is>
          <t>Largest Company</t>
        </is>
      </c>
      <c r="T5" s="1127" t="inlineStr">
        <is>
          <t>in Excess of CAPM)</t>
        </is>
      </c>
      <c r="U5" s="1128" t="n"/>
      <c r="V5" s="1127" t="inlineStr">
        <is>
          <t>Smallest Company</t>
        </is>
      </c>
      <c r="W5" s="1127" t="inlineStr">
        <is>
          <t>Largest Company</t>
        </is>
      </c>
      <c r="X5" s="1127" t="inlineStr">
        <is>
          <t>in Excess of CAPM)</t>
        </is>
      </c>
      <c r="Y5" s="1128" t="n"/>
      <c r="Z5" s="1127" t="inlineStr">
        <is>
          <t>Smallest Company</t>
        </is>
      </c>
      <c r="AA5" s="1127" t="inlineStr">
        <is>
          <t>Largest Company</t>
        </is>
      </c>
      <c r="AB5" s="1127" t="inlineStr">
        <is>
          <t>in Excess of CAPM)</t>
        </is>
      </c>
      <c r="AC5" s="1128" t="n"/>
      <c r="AD5" s="1127" t="inlineStr">
        <is>
          <t>Smallest Company</t>
        </is>
      </c>
      <c r="AE5" s="1127" t="inlineStr">
        <is>
          <t>Largest Company</t>
        </is>
      </c>
      <c r="AF5" s="1127" t="inlineStr">
        <is>
          <t>in Excess of CAPM)</t>
        </is>
      </c>
      <c r="AG5" s="1128" t="n"/>
      <c r="AH5" s="1127" t="inlineStr">
        <is>
          <t>Smallest Company</t>
        </is>
      </c>
      <c r="AI5" s="1127" t="inlineStr">
        <is>
          <t>Largest Company</t>
        </is>
      </c>
      <c r="AJ5" s="1127" t="inlineStr">
        <is>
          <t>in Excess of CAPM)</t>
        </is>
      </c>
      <c r="AK5" s="1127" t="n"/>
      <c r="AL5" s="1127" t="inlineStr">
        <is>
          <t>Smallest Company</t>
        </is>
      </c>
      <c r="AM5" s="1127" t="inlineStr">
        <is>
          <t>Largest Company</t>
        </is>
      </c>
      <c r="AN5" s="1127" t="inlineStr">
        <is>
          <t>in Excess of CAPM)</t>
        </is>
      </c>
      <c r="AO5" s="1128" t="n"/>
      <c r="AP5" s="1127" t="inlineStr">
        <is>
          <t>Smallest Company</t>
        </is>
      </c>
      <c r="AQ5" s="1127" t="inlineStr">
        <is>
          <t>Largest Company</t>
        </is>
      </c>
      <c r="AR5" s="1132" t="inlineStr">
        <is>
          <t>in Excess of CAPM)</t>
        </is>
      </c>
      <c r="AS5" s="1129" t="n"/>
      <c r="AT5" s="1127" t="inlineStr">
        <is>
          <t>Smallest Company</t>
        </is>
      </c>
      <c r="AU5" s="1127" t="inlineStr">
        <is>
          <t>Largest Company</t>
        </is>
      </c>
      <c r="AV5" s="1132" t="inlineStr">
        <is>
          <t>in Excess of CAPM)</t>
        </is>
      </c>
      <c r="AW5" s="1129" t="n"/>
      <c r="AX5" s="1127" t="inlineStr">
        <is>
          <t>Smallest Company</t>
        </is>
      </c>
      <c r="AY5" s="1127" t="inlineStr">
        <is>
          <t>Largest Company</t>
        </is>
      </c>
      <c r="AZ5" s="1132" t="inlineStr">
        <is>
          <t>in Excess of CAPM)</t>
        </is>
      </c>
      <c r="BA5" s="1128" t="n"/>
      <c r="BB5" s="1127" t="inlineStr">
        <is>
          <t>Smallest Company</t>
        </is>
      </c>
      <c r="BC5" s="1127" t="inlineStr">
        <is>
          <t>Largest Company</t>
        </is>
      </c>
      <c r="BD5" s="1132" t="inlineStr">
        <is>
          <t>in Excess of CAPM)</t>
        </is>
      </c>
      <c r="BE5" s="1128" t="n"/>
      <c r="BF5" s="1127" t="inlineStr">
        <is>
          <t>Smallest Company</t>
        </is>
      </c>
      <c r="BG5" s="1127" t="inlineStr">
        <is>
          <t>Largest Company</t>
        </is>
      </c>
      <c r="BH5" s="1132" t="inlineStr">
        <is>
          <t>in Excess of CAPM)</t>
        </is>
      </c>
      <c r="BI5" s="1128" t="n"/>
      <c r="BJ5" s="1127" t="inlineStr">
        <is>
          <t>Smallest Company</t>
        </is>
      </c>
      <c r="BK5" s="1127" t="inlineStr">
        <is>
          <t>Largest Company</t>
        </is>
      </c>
      <c r="BL5" s="1132" t="inlineStr">
        <is>
          <t>in Excess of CAPM)</t>
        </is>
      </c>
      <c r="BM5" s="1128" t="n"/>
      <c r="BN5" s="1127" t="inlineStr">
        <is>
          <t>Smallest Company</t>
        </is>
      </c>
      <c r="BO5" s="1127" t="inlineStr">
        <is>
          <t>Largest Company</t>
        </is>
      </c>
      <c r="BP5" s="1132" t="inlineStr">
        <is>
          <t>in Excess of CAPM)</t>
        </is>
      </c>
      <c r="BQ5" s="1127" t="inlineStr">
        <is>
          <t>Smallest Company</t>
        </is>
      </c>
      <c r="BR5" s="1127" t="inlineStr">
        <is>
          <t>Largest Company</t>
        </is>
      </c>
      <c r="BS5" s="1132" t="inlineStr">
        <is>
          <t>in Excess of CAPM)</t>
        </is>
      </c>
      <c r="BT5" s="1127" t="inlineStr">
        <is>
          <t>Smallest Company</t>
        </is>
      </c>
      <c r="BU5" s="1127" t="inlineStr">
        <is>
          <t>Largest Company</t>
        </is>
      </c>
      <c r="BV5" s="1132" t="inlineStr">
        <is>
          <t>in Excess of CAPM)</t>
        </is>
      </c>
      <c r="BW5" s="1132" t="n"/>
      <c r="BX5" s="1132" t="n"/>
      <c r="BY5" s="1132" t="n"/>
      <c r="BZ5" s="1132" t="n"/>
      <c r="CA5" s="1132" t="n"/>
      <c r="CB5" s="1132" t="n"/>
      <c r="CC5" s="1132" t="n"/>
    </row>
    <row r="6">
      <c r="C6" s="1072" t="inlineStr">
        <is>
          <t>Decile</t>
        </is>
      </c>
      <c r="D6" s="1073" t="n"/>
      <c r="E6" s="1073" t="n"/>
      <c r="F6" s="1071" t="n"/>
      <c r="G6" s="1071" t="n"/>
      <c r="H6" s="1071" t="n"/>
      <c r="I6" s="1071" t="n"/>
      <c r="J6" s="1071" t="n"/>
      <c r="K6" s="1071" t="n"/>
      <c r="L6" s="1071" t="n"/>
      <c r="M6" s="1071" t="n"/>
      <c r="N6" s="1071" t="n"/>
      <c r="O6" s="1071" t="n"/>
      <c r="P6" s="1071" t="n"/>
      <c r="Q6" s="1071" t="n"/>
      <c r="R6" s="1071" t="n"/>
      <c r="S6" s="1071" t="n"/>
      <c r="T6" s="1071" t="n"/>
      <c r="U6" s="1071" t="n"/>
      <c r="V6" s="1071" t="n"/>
      <c r="W6" s="1071" t="n"/>
      <c r="X6" s="1071" t="n"/>
      <c r="Y6" s="1071" t="n"/>
      <c r="Z6" s="1071" t="n"/>
      <c r="AA6" s="1071" t="n"/>
      <c r="AB6" s="1071" t="n"/>
      <c r="AC6" s="1071" t="n"/>
      <c r="AD6" s="1071" t="n"/>
      <c r="AE6" s="1071" t="n"/>
      <c r="AF6" s="1071" t="n"/>
      <c r="AG6" s="1071" t="n"/>
      <c r="AH6" s="1071" t="n"/>
      <c r="AI6" s="1071" t="n"/>
      <c r="AJ6" s="1071" t="n"/>
      <c r="AK6" s="1071" t="n"/>
      <c r="AL6" s="1071" t="n"/>
      <c r="AM6" s="1071" t="n"/>
      <c r="AN6" s="1071" t="n"/>
      <c r="AO6" s="1071" t="n"/>
      <c r="AP6" s="1071" t="n"/>
      <c r="AQ6" s="1071" t="n"/>
      <c r="AR6" s="1071" t="n"/>
      <c r="AS6" s="1071" t="n"/>
      <c r="AT6" s="1071" t="n"/>
      <c r="AU6" s="1071" t="n"/>
      <c r="AV6" s="1071" t="n"/>
      <c r="AW6" s="1071" t="n"/>
      <c r="AX6" s="1071" t="n"/>
      <c r="AY6" s="1071" t="n"/>
      <c r="AZ6" s="1071" t="n"/>
      <c r="BA6" s="1071" t="n"/>
      <c r="BB6" s="1071" t="n"/>
      <c r="BC6" s="1071" t="n"/>
      <c r="BD6" s="1071" t="n"/>
      <c r="BE6" s="1071" t="n"/>
      <c r="BF6" s="1071" t="n"/>
      <c r="BG6" s="1071" t="n"/>
      <c r="BH6" s="1071" t="n"/>
      <c r="BI6" s="1071" t="n"/>
      <c r="BJ6" s="1071" t="n"/>
      <c r="BK6" s="1071" t="n"/>
      <c r="BL6" s="1071" t="n"/>
      <c r="BM6" s="1073" t="n"/>
      <c r="BN6" s="1073" t="n"/>
      <c r="BO6" s="1073" t="n"/>
      <c r="BP6" s="1073" t="n"/>
      <c r="BQ6" s="1073" t="n"/>
      <c r="BR6" s="1073" t="n"/>
      <c r="BS6" s="1073" t="n"/>
      <c r="BT6" s="1073" t="n"/>
      <c r="BU6" s="1073" t="n"/>
      <c r="BV6" s="1073" t="n"/>
      <c r="BW6" s="1071" t="n"/>
      <c r="BX6" s="1071" t="n"/>
      <c r="BY6" s="1071" t="n"/>
      <c r="BZ6" s="1071" t="n"/>
      <c r="CA6" s="1071" t="n"/>
      <c r="CB6" s="1071" t="n"/>
      <c r="CC6" s="1071" t="n"/>
    </row>
    <row r="7">
      <c r="C7" s="1071" t="n"/>
      <c r="D7" s="1074" t="inlineStr">
        <is>
          <t>3-5</t>
        </is>
      </c>
      <c r="E7" s="1074" t="n"/>
      <c r="F7" s="2496" t="n">
        <v>1167.04</v>
      </c>
      <c r="G7" s="2496" t="n">
        <v>4794.027</v>
      </c>
      <c r="H7" s="2497" t="n">
        <v>0.0091</v>
      </c>
      <c r="I7" s="1071" t="n"/>
      <c r="J7" s="2496" t="n">
        <v>1607.931</v>
      </c>
      <c r="K7" s="2496" t="n">
        <v>6241.953</v>
      </c>
      <c r="L7" s="2497" t="n">
        <v>0.0095</v>
      </c>
      <c r="M7" s="1071" t="n"/>
      <c r="N7" s="2496" t="n">
        <v>1729.364</v>
      </c>
      <c r="O7" s="2496" t="n">
        <v>7187.244</v>
      </c>
      <c r="P7" s="2497" t="n">
        <v>0.0102</v>
      </c>
      <c r="Q7" s="1071" t="n"/>
      <c r="R7" s="2496" t="n">
        <v>1947.24</v>
      </c>
      <c r="S7" s="2496" t="n">
        <v>7777.183</v>
      </c>
      <c r="T7" s="2497" t="n">
        <v>0.0097</v>
      </c>
      <c r="U7" s="1071" t="n"/>
      <c r="V7" s="2496" t="n">
        <v>2413.583</v>
      </c>
      <c r="W7" s="2496" t="n">
        <v>9206.713</v>
      </c>
      <c r="X7" s="2497" t="n">
        <v>0.0092</v>
      </c>
      <c r="Y7" s="1071" t="n"/>
      <c r="Z7" s="2496" t="n">
        <v>1849.95</v>
      </c>
      <c r="AA7" s="2496" t="n">
        <v>7360.271</v>
      </c>
      <c r="AB7" s="2497" t="n">
        <v>0.0094</v>
      </c>
      <c r="AC7" s="1071" t="n"/>
      <c r="AD7" s="2496" t="n">
        <v>1602.429</v>
      </c>
      <c r="AE7" s="2496" t="n">
        <v>5936.147</v>
      </c>
      <c r="AF7" s="2497" t="n">
        <v>0.0108</v>
      </c>
      <c r="AG7" s="1071" t="n"/>
      <c r="AH7" s="2496" t="n">
        <v>1778.756</v>
      </c>
      <c r="AI7" s="2496" t="n">
        <v>6793.876</v>
      </c>
      <c r="AJ7" s="2497" t="n">
        <v>0.012</v>
      </c>
      <c r="AK7" s="2498" t="n"/>
      <c r="AL7" s="2496" t="n">
        <v>1621.096</v>
      </c>
      <c r="AM7" s="2496" t="n">
        <v>6896.389</v>
      </c>
      <c r="AN7" s="2497" t="n">
        <v>0.0114</v>
      </c>
      <c r="AO7" s="1071" t="n"/>
      <c r="AP7" s="2496" t="n">
        <v>1912.24</v>
      </c>
      <c r="AQ7" s="2496" t="n">
        <v>7686.611</v>
      </c>
      <c r="AR7" s="2497" t="n">
        <v>0.0112</v>
      </c>
      <c r="AS7" s="2498" t="n"/>
      <c r="AT7" s="2499" t="n">
        <v>2432888</v>
      </c>
      <c r="AU7" s="2499" t="n">
        <v>9196480</v>
      </c>
      <c r="AV7" s="2498" t="n">
        <v>0.0114</v>
      </c>
      <c r="AW7" s="2498" t="n"/>
      <c r="AX7" s="2499">
        <f>AX16</f>
        <v/>
      </c>
      <c r="AY7" s="2499">
        <f>AY14</f>
        <v/>
      </c>
      <c r="AZ7" s="2498" t="n">
        <v>0.011</v>
      </c>
      <c r="BA7" s="1071" t="n"/>
      <c r="BB7" s="2499" t="n">
        <v>2090.566</v>
      </c>
      <c r="BC7" s="2499" t="n">
        <v>9611.187</v>
      </c>
      <c r="BD7" s="2498" t="n">
        <v>0.01</v>
      </c>
      <c r="BE7" s="1071" t="n"/>
      <c r="BF7" s="2499" t="n">
        <v>2392.689</v>
      </c>
      <c r="BG7" s="2499" t="n">
        <v>10711.194</v>
      </c>
      <c r="BH7" s="2498" t="n">
        <v>0.0102</v>
      </c>
      <c r="BI7" s="1071" t="n"/>
      <c r="BJ7" s="2499" t="n">
        <v>2763.719</v>
      </c>
      <c r="BK7" s="2499" t="n">
        <v>11978.971</v>
      </c>
      <c r="BL7" s="2498" t="n">
        <v>0.009599999999999999</v>
      </c>
      <c r="BM7" s="1071" t="n"/>
      <c r="BN7" s="2496" t="n">
        <v>2996.003</v>
      </c>
      <c r="BO7" s="2496" t="n">
        <v>13455.805</v>
      </c>
      <c r="BP7" s="2497" t="n">
        <v>0.0089</v>
      </c>
      <c r="BQ7" s="2496" t="n">
        <v>2365.425</v>
      </c>
      <c r="BR7" s="2496" t="n">
        <v>12323.854</v>
      </c>
      <c r="BS7" s="2497" t="n">
        <v>0.0062</v>
      </c>
      <c r="BT7" s="2496" t="n">
        <v>3011.224</v>
      </c>
      <c r="BU7" s="2496" t="n">
        <v>14820.048</v>
      </c>
      <c r="BV7" s="2497" t="n">
        <v>0.0066</v>
      </c>
      <c r="BW7" s="2497" t="n"/>
      <c r="BX7" s="2497" t="n"/>
      <c r="BY7" s="2497" t="n"/>
      <c r="BZ7" s="2497" t="n"/>
      <c r="CA7" s="2497" t="n"/>
      <c r="CB7" s="2497" t="n"/>
      <c r="CC7" s="2497" t="n"/>
    </row>
    <row r="8">
      <c r="C8" s="1071" t="n"/>
      <c r="D8" s="1074" t="inlineStr">
        <is>
          <t>6-8</t>
        </is>
      </c>
      <c r="E8" s="1074" t="n"/>
      <c r="F8" s="2500" t="n">
        <v>330.797</v>
      </c>
      <c r="G8" s="2500" t="n">
        <v>1166.799</v>
      </c>
      <c r="H8" s="2497" t="n">
        <v>0.017</v>
      </c>
      <c r="I8" s="1071" t="n"/>
      <c r="J8" s="2500" t="n">
        <v>506.41</v>
      </c>
      <c r="K8" s="2500" t="n">
        <v>1607.854</v>
      </c>
      <c r="L8" s="2497" t="n">
        <v>0.0181</v>
      </c>
      <c r="M8" s="1071" t="n"/>
      <c r="N8" s="2500" t="n">
        <v>587.2430000000001</v>
      </c>
      <c r="O8" s="2500" t="n">
        <v>1728.888</v>
      </c>
      <c r="P8" s="2497" t="n">
        <v>0.0181</v>
      </c>
      <c r="Q8" s="1071" t="n"/>
      <c r="R8" s="2500" t="n">
        <v>627.0170000000001</v>
      </c>
      <c r="S8" s="2500" t="n">
        <v>1946.588</v>
      </c>
      <c r="T8" s="2497" t="n">
        <v>0.0176</v>
      </c>
      <c r="U8" s="1071" t="n"/>
      <c r="V8" s="2500" t="n">
        <v>725.2670000000001</v>
      </c>
      <c r="W8" s="2500" t="n">
        <v>2411.794</v>
      </c>
      <c r="X8" s="2497" t="n">
        <v>0.0165</v>
      </c>
      <c r="Y8" s="1071" t="n"/>
      <c r="Z8" s="2500" t="n">
        <v>453.398</v>
      </c>
      <c r="AA8" s="2500" t="n">
        <v>1848.961</v>
      </c>
      <c r="AB8" s="2497" t="n">
        <v>0.0174</v>
      </c>
      <c r="AC8" s="1071" t="n"/>
      <c r="AD8" s="2500" t="n">
        <v>432.175</v>
      </c>
      <c r="AE8" s="2500" t="n">
        <v>1600.169</v>
      </c>
      <c r="AF8" s="2497" t="n">
        <v>0.0185</v>
      </c>
      <c r="AG8" s="1071" t="n"/>
      <c r="AH8" s="2500" t="n">
        <v>478.102</v>
      </c>
      <c r="AI8" s="2500" t="n">
        <v>1775.966</v>
      </c>
      <c r="AJ8" s="2497" t="n">
        <v>0.0198</v>
      </c>
      <c r="AK8" s="2498" t="n"/>
      <c r="AL8" s="2500" t="n">
        <v>422.999</v>
      </c>
      <c r="AM8" s="2500" t="n">
        <v>1620.86</v>
      </c>
      <c r="AN8" s="2497" t="n">
        <v>0.0188</v>
      </c>
      <c r="AO8" s="1071" t="n"/>
      <c r="AP8" s="2500" t="n">
        <v>514.4589999999999</v>
      </c>
      <c r="AQ8" s="2500" t="n">
        <v>1909.051</v>
      </c>
      <c r="AR8" s="2497" t="n">
        <v>0.0185</v>
      </c>
      <c r="AS8" s="2498" t="n"/>
      <c r="AT8" s="2501" t="n">
        <v>636747</v>
      </c>
      <c r="AU8" s="2501" t="n">
        <v>2431229</v>
      </c>
      <c r="AV8" s="2498" t="n">
        <v>0.0187</v>
      </c>
      <c r="AW8" s="2498" t="n"/>
      <c r="AX8" s="2501">
        <f>AX19</f>
        <v/>
      </c>
      <c r="AY8" s="2501">
        <f>AY17</f>
        <v/>
      </c>
      <c r="AZ8" s="2498" t="n">
        <v>0.0177</v>
      </c>
      <c r="BA8" s="1071" t="n"/>
      <c r="BB8" s="2501" t="n">
        <v>448.502</v>
      </c>
      <c r="BC8" s="2501" t="n">
        <v>2083.642</v>
      </c>
      <c r="BD8" s="2498" t="n">
        <v>0.017</v>
      </c>
      <c r="BE8" s="1071" t="n"/>
      <c r="BF8" s="2501" t="n">
        <v>569.279</v>
      </c>
      <c r="BG8" s="2501" t="n">
        <v>2390.899</v>
      </c>
      <c r="BH8" s="2498" t="n">
        <v>0.0175</v>
      </c>
      <c r="BI8" s="1071" t="n"/>
      <c r="BJ8" s="2501" t="n">
        <v>657.705</v>
      </c>
      <c r="BK8" s="2501" t="n">
        <v>2759.939</v>
      </c>
      <c r="BL8" s="2498" t="n">
        <v>0.0164</v>
      </c>
      <c r="BM8" s="1071" t="n"/>
      <c r="BN8" s="2500" t="n">
        <v>730.047</v>
      </c>
      <c r="BO8" s="2500" t="n">
        <v>2992.251</v>
      </c>
      <c r="BP8" s="2497" t="n">
        <v>0.0158</v>
      </c>
      <c r="BQ8" s="2500" t="n">
        <v>377.076</v>
      </c>
      <c r="BR8" s="2500" t="n">
        <v>2365.076</v>
      </c>
      <c r="BS8" s="2497" t="n">
        <v>0.0121</v>
      </c>
      <c r="BT8" s="2500" t="n">
        <v>555.88</v>
      </c>
      <c r="BU8" s="2500" t="n">
        <v>3010.806</v>
      </c>
      <c r="BV8" s="2497" t="n">
        <v>0.0124</v>
      </c>
      <c r="BW8" s="2497" t="n"/>
      <c r="BX8" s="2497" t="n"/>
      <c r="BY8" s="2497" t="n"/>
      <c r="BZ8" s="2497" t="n"/>
      <c r="CA8" s="2497" t="n"/>
      <c r="CB8" s="2497" t="n"/>
      <c r="CC8" s="2497" t="n"/>
    </row>
    <row r="9">
      <c r="C9" s="1071" t="n"/>
      <c r="D9" s="1074" t="inlineStr">
        <is>
          <t>9-10</t>
        </is>
      </c>
      <c r="E9" s="1074" t="n"/>
      <c r="F9" s="2500" t="n">
        <v>0.332</v>
      </c>
      <c r="G9" s="2500" t="n">
        <v>330.608</v>
      </c>
      <c r="H9" s="2497" t="n">
        <v>0.0401</v>
      </c>
      <c r="I9" s="1071" t="n"/>
      <c r="J9" s="2500" t="n">
        <v>1.393</v>
      </c>
      <c r="K9" s="2500" t="n">
        <v>505.437</v>
      </c>
      <c r="L9" s="2497" t="n">
        <v>0.0402</v>
      </c>
      <c r="M9" s="1071" t="n"/>
      <c r="N9" s="2500" t="n">
        <v>1.079</v>
      </c>
      <c r="O9" s="2500" t="n">
        <v>586.393</v>
      </c>
      <c r="P9" s="2497" t="n">
        <v>0.0395</v>
      </c>
      <c r="Q9" s="1071" t="n"/>
      <c r="R9" s="2500" t="n">
        <v>2.247</v>
      </c>
      <c r="S9" s="2500" t="n">
        <v>626.955</v>
      </c>
      <c r="T9" s="2497" t="n">
        <v>0.0388</v>
      </c>
      <c r="U9" s="1071" t="n"/>
      <c r="V9" s="2500" t="n">
        <v>1.922</v>
      </c>
      <c r="W9" s="2500" t="n">
        <v>723.258</v>
      </c>
      <c r="X9" s="2497" t="n">
        <v>0.0365</v>
      </c>
      <c r="Y9" s="1071" t="n"/>
      <c r="Z9" s="2500" t="n">
        <v>1.575</v>
      </c>
      <c r="AA9" s="2500" t="n">
        <v>453.254</v>
      </c>
      <c r="AB9" s="2497" t="n">
        <v>0.0374</v>
      </c>
      <c r="AC9" s="1071" t="n"/>
      <c r="AD9" s="2500" t="n">
        <v>1.007</v>
      </c>
      <c r="AE9" s="2500" t="n">
        <v>431.256</v>
      </c>
      <c r="AF9" s="2497" t="n">
        <v>0.0399</v>
      </c>
      <c r="AG9" s="1071" t="n"/>
      <c r="AH9" s="2500" t="n">
        <v>1.222</v>
      </c>
      <c r="AI9" s="2500" t="n">
        <v>477.539</v>
      </c>
      <c r="AJ9" s="2497" t="n">
        <v>0.0407</v>
      </c>
      <c r="AK9" s="2498" t="n"/>
      <c r="AL9" s="2500" t="n">
        <v>1.028</v>
      </c>
      <c r="AM9" s="2500" t="n">
        <v>422.811</v>
      </c>
      <c r="AN9" s="2497" t="n">
        <v>0.0389</v>
      </c>
      <c r="AO9" s="1071" t="n"/>
      <c r="AP9" s="2500" t="n">
        <v>1.139</v>
      </c>
      <c r="AQ9" s="2500" t="n">
        <v>514.2089999999999</v>
      </c>
      <c r="AR9" s="2497" t="n">
        <v>0.0381</v>
      </c>
      <c r="AS9" s="2498" t="n"/>
      <c r="AT9" s="2501" t="n">
        <v>2395</v>
      </c>
      <c r="AU9" s="2501" t="n">
        <v>632770</v>
      </c>
      <c r="AV9" s="2498" t="n">
        <v>0.0384</v>
      </c>
      <c r="AW9" s="2498" t="n"/>
      <c r="AX9" s="2501">
        <f>AX21</f>
        <v/>
      </c>
      <c r="AY9" s="2501">
        <f>AY20</f>
        <v/>
      </c>
      <c r="AZ9" s="2498" t="n">
        <v>0.0369</v>
      </c>
      <c r="BA9" s="1071" t="n"/>
      <c r="BB9" s="2501" t="n">
        <v>1.963</v>
      </c>
      <c r="BC9" s="2501" t="n">
        <v>448.079</v>
      </c>
      <c r="BD9" s="2498" t="n">
        <v>0.0358</v>
      </c>
      <c r="BE9" s="1071" t="n"/>
      <c r="BF9" s="2501" t="n">
        <v>2.516</v>
      </c>
      <c r="BG9" s="2501" t="n">
        <v>567.843</v>
      </c>
      <c r="BH9" s="2498" t="n">
        <v>0.0367</v>
      </c>
      <c r="BI9" s="1071" t="n"/>
      <c r="BJ9" s="2501" t="n">
        <v>2.531</v>
      </c>
      <c r="BK9" s="2501" t="n">
        <v>656.845</v>
      </c>
      <c r="BL9" s="2498" t="n">
        <v>0.0348</v>
      </c>
      <c r="BM9" s="1071" t="n"/>
      <c r="BN9" s="2500" t="n">
        <v>2.455</v>
      </c>
      <c r="BO9" s="2500" t="n">
        <v>727.843</v>
      </c>
      <c r="BP9" s="2497" t="n">
        <v>0.0339</v>
      </c>
      <c r="BQ9" s="2500" t="n">
        <v>2.015</v>
      </c>
      <c r="BR9" s="2500" t="n">
        <v>373.879</v>
      </c>
      <c r="BS9" s="2497" t="n">
        <v>0.0305</v>
      </c>
      <c r="BT9" s="2500" t="n">
        <v>1.576</v>
      </c>
      <c r="BU9" s="2500" t="n">
        <v>554.523</v>
      </c>
      <c r="BV9" s="2497" t="n">
        <v>0.0291</v>
      </c>
      <c r="BW9" s="2497" t="n"/>
      <c r="BX9" s="2497" t="n"/>
      <c r="BY9" s="2497" t="n"/>
      <c r="BZ9" s="2497" t="n"/>
      <c r="CA9" s="2497" t="n"/>
      <c r="CB9" s="2497" t="n"/>
      <c r="CC9" s="2497" t="n"/>
    </row>
    <row r="10">
      <c r="C10" s="1071" t="n"/>
      <c r="D10" s="1071" t="n"/>
      <c r="E10" s="1071" t="n"/>
      <c r="F10" s="2499" t="n"/>
      <c r="G10" s="2499" t="n"/>
      <c r="H10" s="2498" t="n"/>
      <c r="I10" s="1071" t="n"/>
      <c r="J10" s="2499" t="n"/>
      <c r="K10" s="2499" t="n"/>
      <c r="L10" s="2498" t="n"/>
      <c r="M10" s="1071" t="n"/>
      <c r="N10" s="2499" t="n"/>
      <c r="O10" s="2499" t="n"/>
      <c r="P10" s="2498" t="n"/>
      <c r="Q10" s="1071" t="n"/>
      <c r="R10" s="2499" t="n"/>
      <c r="S10" s="2499" t="n"/>
      <c r="T10" s="2498" t="n"/>
      <c r="U10" s="1071" t="n"/>
      <c r="V10" s="2499" t="n"/>
      <c r="W10" s="2499" t="n"/>
      <c r="X10" s="2498" t="n"/>
      <c r="Y10" s="1071" t="n"/>
      <c r="Z10" s="2499" t="n"/>
      <c r="AA10" s="2499" t="n"/>
      <c r="AB10" s="2498" t="n"/>
      <c r="AC10" s="1071" t="n"/>
      <c r="AD10" s="2499" t="n"/>
      <c r="AE10" s="2499" t="n"/>
      <c r="AF10" s="2498" t="n"/>
      <c r="AG10" s="1071" t="n"/>
      <c r="AH10" s="2499" t="n"/>
      <c r="AI10" s="2499" t="n"/>
      <c r="AJ10" s="2498" t="n"/>
      <c r="AK10" s="2498" t="n"/>
      <c r="AL10" s="2499" t="n"/>
      <c r="AM10" s="2499" t="n"/>
      <c r="AN10" s="2498" t="n"/>
      <c r="AO10" s="1071" t="n"/>
      <c r="AP10" s="2499" t="n"/>
      <c r="AQ10" s="2499" t="n"/>
      <c r="AR10" s="2498" t="n"/>
      <c r="AS10" s="2498" t="n"/>
      <c r="AT10" s="2499" t="n"/>
      <c r="AU10" s="2499" t="n"/>
      <c r="AV10" s="2498" t="n"/>
      <c r="AW10" s="2498" t="n"/>
      <c r="AX10" s="2499" t="n"/>
      <c r="AY10" s="2499" t="n"/>
      <c r="AZ10" s="2498" t="n"/>
      <c r="BA10" s="1071" t="n"/>
      <c r="BB10" s="2499" t="n"/>
      <c r="BC10" s="2499" t="n"/>
      <c r="BD10" s="2498" t="n"/>
      <c r="BE10" s="1071" t="n"/>
      <c r="BF10" s="2499" t="n"/>
      <c r="BG10" s="2499" t="n"/>
      <c r="BH10" s="2498" t="n"/>
      <c r="BI10" s="1071" t="n"/>
      <c r="BJ10" s="2499" t="n"/>
      <c r="BK10" s="2499" t="n"/>
      <c r="BL10" s="2498" t="n"/>
      <c r="BM10" s="1071" t="n"/>
      <c r="BN10" s="2499" t="n"/>
      <c r="BO10" s="2499" t="n"/>
      <c r="BP10" s="2498" t="n"/>
      <c r="BQ10" s="2499" t="n"/>
      <c r="BR10" s="2499" t="n"/>
      <c r="BS10" s="2498" t="n"/>
      <c r="BT10" s="2499" t="n"/>
      <c r="BU10" s="2499" t="n"/>
      <c r="BV10" s="2498" t="n"/>
      <c r="BW10" s="2498" t="n"/>
      <c r="BX10" s="2498" t="n"/>
      <c r="BY10" s="2498" t="n"/>
      <c r="BZ10" s="2498" t="n"/>
      <c r="CA10" s="2498" t="n"/>
      <c r="CB10" s="2498" t="n"/>
      <c r="CC10" s="2498" t="n"/>
    </row>
    <row r="11">
      <c r="C11" s="1081" t="inlineStr">
        <is>
          <t>Breakdown of Deciles 1-10</t>
        </is>
      </c>
      <c r="D11" s="1071" t="n"/>
      <c r="E11" s="1071" t="n"/>
      <c r="F11" s="2499" t="n"/>
      <c r="G11" s="2499" t="n"/>
      <c r="H11" s="2498" t="n"/>
      <c r="I11" s="1071" t="n"/>
      <c r="J11" s="2499" t="n"/>
      <c r="K11" s="2499" t="n"/>
      <c r="L11" s="2498" t="n"/>
      <c r="M11" s="1071" t="n"/>
      <c r="N11" s="2499" t="n"/>
      <c r="O11" s="2499" t="n"/>
      <c r="P11" s="2498" t="n"/>
      <c r="Q11" s="1071" t="n"/>
      <c r="R11" s="2499" t="n"/>
      <c r="S11" s="2499" t="n"/>
      <c r="T11" s="2498" t="n"/>
      <c r="U11" s="1071" t="n"/>
      <c r="V11" s="2499" t="n"/>
      <c r="W11" s="2499" t="n"/>
      <c r="X11" s="2498" t="n"/>
      <c r="Y11" s="1071" t="n"/>
      <c r="Z11" s="2499" t="n"/>
      <c r="AA11" s="2499" t="n"/>
      <c r="AB11" s="2498" t="n"/>
      <c r="AC11" s="1071" t="n"/>
      <c r="AD11" s="2499" t="n"/>
      <c r="AE11" s="2499" t="n"/>
      <c r="AF11" s="2498" t="n"/>
      <c r="AG11" s="1071" t="n"/>
      <c r="AH11" s="2499" t="n"/>
      <c r="AI11" s="2499" t="n"/>
      <c r="AJ11" s="2498" t="n"/>
      <c r="AK11" s="2498" t="n"/>
      <c r="AL11" s="2499" t="n"/>
      <c r="AM11" s="2499" t="n"/>
      <c r="AN11" s="2498" t="n"/>
      <c r="AO11" s="1071" t="n"/>
      <c r="AP11" s="2499" t="n"/>
      <c r="AQ11" s="2499" t="n"/>
      <c r="AR11" s="2498" t="n"/>
      <c r="AS11" s="2498" t="n"/>
      <c r="AT11" s="2499" t="n"/>
      <c r="AU11" s="2499" t="n"/>
      <c r="AV11" s="2498" t="n"/>
      <c r="AW11" s="2498" t="n"/>
      <c r="AX11" s="2499" t="n"/>
      <c r="AY11" s="2499" t="n"/>
      <c r="AZ11" s="2498" t="n"/>
      <c r="BA11" s="1071" t="n"/>
      <c r="BB11" s="2499" t="n"/>
      <c r="BC11" s="2499" t="n"/>
      <c r="BD11" s="2498" t="n"/>
      <c r="BE11" s="1071" t="n"/>
      <c r="BF11" s="2499" t="n"/>
      <c r="BG11" s="2499" t="n"/>
      <c r="BH11" s="2498" t="n"/>
      <c r="BI11" s="1071" t="n"/>
      <c r="BJ11" s="2499" t="n"/>
      <c r="BK11" s="2499" t="n"/>
      <c r="BL11" s="2498" t="n"/>
      <c r="BM11" s="1071" t="n"/>
      <c r="BN11" s="2499" t="n"/>
      <c r="BO11" s="2499" t="n"/>
      <c r="BP11" s="2498" t="n"/>
      <c r="BQ11" s="2499" t="n"/>
      <c r="BR11" s="2499" t="n"/>
      <c r="BS11" s="2498" t="n"/>
      <c r="BT11" s="2499" t="n"/>
      <c r="BU11" s="2499" t="n"/>
      <c r="BV11" s="2498" t="n"/>
      <c r="BW11" s="2498" t="n"/>
      <c r="BX11" s="2498" t="n"/>
      <c r="BY11" s="2498" t="n"/>
      <c r="BZ11" s="2498" t="n"/>
      <c r="CA11" s="2498" t="n"/>
      <c r="CB11" s="2498" t="n"/>
      <c r="CC11" s="2498" t="n"/>
    </row>
    <row r="12">
      <c r="C12" s="1071" t="n"/>
      <c r="D12" s="1074" t="inlineStr">
        <is>
          <t>1st</t>
        </is>
      </c>
      <c r="E12" s="1074" t="n"/>
      <c r="F12" s="2496" t="n">
        <v>11444.104</v>
      </c>
      <c r="G12" s="2496" t="n">
        <v>286638.305</v>
      </c>
      <c r="H12" s="1082" t="n">
        <v>-0.0034</v>
      </c>
      <c r="I12" s="1071" t="n"/>
      <c r="J12" s="2496" t="n">
        <v>14099.878</v>
      </c>
      <c r="K12" s="2496" t="n">
        <v>342087.219</v>
      </c>
      <c r="L12" s="1082" t="n">
        <v>-0.0037</v>
      </c>
      <c r="M12" s="1071" t="n"/>
      <c r="N12" s="2496" t="n">
        <v>16091.015</v>
      </c>
      <c r="O12" s="2496" t="n">
        <v>367495.144</v>
      </c>
      <c r="P12" s="1082" t="n">
        <v>-0.0037</v>
      </c>
      <c r="Q12" s="1071" t="n"/>
      <c r="R12" s="2496" t="n">
        <v>168480.63</v>
      </c>
      <c r="S12" s="2496" t="n">
        <v>371187.368</v>
      </c>
      <c r="T12" s="1082" t="n">
        <v>-0.0036</v>
      </c>
      <c r="U12" s="1071" t="n"/>
      <c r="V12" s="2496" t="n">
        <v>20386.369</v>
      </c>
      <c r="W12" s="2496" t="n">
        <v>472518.672</v>
      </c>
      <c r="X12" s="1082" t="n">
        <v>-0.0034</v>
      </c>
      <c r="Y12" s="1071" t="n"/>
      <c r="Z12" s="2496" t="n">
        <v>18627.54</v>
      </c>
      <c r="AA12" s="2496" t="n">
        <v>465651.938</v>
      </c>
      <c r="AB12" s="1082" t="n">
        <v>-0.0036</v>
      </c>
      <c r="AC12" s="1071" t="n"/>
      <c r="AD12" s="2496" t="n">
        <v>14692.016</v>
      </c>
      <c r="AE12" s="2496" t="n">
        <v>329725.255</v>
      </c>
      <c r="AF12" s="1082" t="n">
        <v>-0.0037</v>
      </c>
      <c r="AG12" s="1071" t="n"/>
      <c r="AH12" s="2496" t="n">
        <v>15273.943</v>
      </c>
      <c r="AI12" s="2496" t="n">
        <v>314622.574</v>
      </c>
      <c r="AJ12" s="1082" t="n">
        <v>-0.0038</v>
      </c>
      <c r="AK12" s="2498" t="n"/>
      <c r="AL12" s="2496" t="n">
        <v>15484.94</v>
      </c>
      <c r="AM12" s="2496" t="n">
        <v>354351.912</v>
      </c>
      <c r="AN12" s="1082" t="n">
        <v>-0.0038</v>
      </c>
      <c r="AO12" s="1071" t="n"/>
      <c r="AP12" s="2496" t="n">
        <v>17557.706</v>
      </c>
      <c r="AQ12" s="2496" t="n">
        <v>626550.334</v>
      </c>
      <c r="AR12" s="1082" t="n">
        <v>-0.0037</v>
      </c>
      <c r="AS12" s="2498" t="n"/>
      <c r="AT12" s="2499" t="n">
        <v>21753411</v>
      </c>
      <c r="AU12" s="2499" t="n">
        <v>428699798</v>
      </c>
      <c r="AV12" s="2498" t="n">
        <v>-0.0033</v>
      </c>
      <c r="AW12" s="2498" t="n"/>
      <c r="AX12" s="2499" t="n">
        <v>24428848</v>
      </c>
      <c r="AY12" s="2499" t="n">
        <v>591015721</v>
      </c>
      <c r="AZ12" s="2498" t="n">
        <v>-0.0032</v>
      </c>
      <c r="BA12" s="1071" t="n"/>
      <c r="BB12" s="2499" t="n">
        <v>22035.313</v>
      </c>
      <c r="BC12" s="2499" t="n">
        <v>629010.254</v>
      </c>
      <c r="BD12" s="2498" t="n">
        <v>-0.0036</v>
      </c>
      <c r="BE12" s="1071" t="n"/>
      <c r="BF12" s="2499" t="n">
        <v>24361.659</v>
      </c>
      <c r="BG12" s="2499" t="n">
        <v>609163.498</v>
      </c>
      <c r="BH12" s="2498" t="n">
        <v>-0.0035</v>
      </c>
      <c r="BI12" s="1071" t="n"/>
      <c r="BJ12" s="2499" t="n">
        <v>25142.834</v>
      </c>
      <c r="BK12" s="2499" t="n">
        <v>790050.073</v>
      </c>
      <c r="BL12" s="2498" t="n">
        <v>0</v>
      </c>
      <c r="BM12" s="1071" t="n"/>
      <c r="BN12" s="2496" t="n">
        <v>29428.909</v>
      </c>
      <c r="BO12" s="2496" t="n">
        <v>1073390.566</v>
      </c>
      <c r="BP12" s="1082" t="n">
        <v>-0.003</v>
      </c>
      <c r="BQ12" s="2502" t="n">
        <v>31549.077</v>
      </c>
      <c r="BR12" s="2496" t="n">
        <v>2203381.286</v>
      </c>
      <c r="BS12" s="1082" t="n">
        <v>-0.0026</v>
      </c>
      <c r="BT12" s="2496" t="n">
        <v>36942.976</v>
      </c>
      <c r="BU12" s="2496" t="n">
        <v>2662326.048</v>
      </c>
      <c r="BV12" s="1082" t="n">
        <v>-0.0005999999999999999</v>
      </c>
      <c r="BW12" s="1082" t="n"/>
      <c r="BX12" s="1082" t="n"/>
      <c r="BY12" s="1082" t="n"/>
      <c r="BZ12" s="1082" t="n"/>
      <c r="CA12" s="1082" t="n"/>
      <c r="CB12" s="1082" t="n"/>
      <c r="CC12" s="1082" t="n"/>
    </row>
    <row r="13">
      <c r="C13" s="1071" t="n"/>
      <c r="D13" s="1074" t="inlineStr">
        <is>
          <t>2nd</t>
        </is>
      </c>
      <c r="E13" s="1074" t="n"/>
      <c r="F13" s="2500" t="n">
        <v>4809.422</v>
      </c>
      <c r="G13" s="2500" t="n">
        <v>11366.767</v>
      </c>
      <c r="H13" s="1082" t="n">
        <v>0.005</v>
      </c>
      <c r="I13" s="1071" t="n"/>
      <c r="J13" s="2500" t="n">
        <v>6258.53</v>
      </c>
      <c r="K13" s="2500" t="n">
        <v>14096.886</v>
      </c>
      <c r="L13" s="1082" t="n">
        <v>0.006</v>
      </c>
      <c r="M13" s="1071" t="n"/>
      <c r="N13" s="2500" t="n">
        <v>7189.887</v>
      </c>
      <c r="O13" s="2500" t="n">
        <v>16016.45</v>
      </c>
      <c r="P13" s="1082" t="n">
        <v>0.0067</v>
      </c>
      <c r="Q13" s="1071" t="n"/>
      <c r="R13" s="2500" t="n">
        <v>7847.424</v>
      </c>
      <c r="S13" s="2500" t="n">
        <v>16820.566</v>
      </c>
      <c r="T13" s="1082" t="n">
        <v>0.0065</v>
      </c>
      <c r="U13" s="1071" t="n"/>
      <c r="V13" s="2500" t="n">
        <v>9274.049000000001</v>
      </c>
      <c r="W13" s="2500" t="n">
        <v>20234.526</v>
      </c>
      <c r="X13" s="1082" t="n">
        <v>0.0068</v>
      </c>
      <c r="Y13" s="1071" t="n"/>
      <c r="Z13" s="2500" t="n">
        <v>7434.806</v>
      </c>
      <c r="AA13" s="2500" t="n">
        <v>18503.467</v>
      </c>
      <c r="AB13" s="1082" t="n">
        <v>0.0062</v>
      </c>
      <c r="AC13" s="1071" t="n"/>
      <c r="AD13" s="2500" t="n">
        <v>5975.836</v>
      </c>
      <c r="AE13" s="2500" t="n">
        <v>14691.668</v>
      </c>
      <c r="AF13" s="1082" t="n">
        <v>0.0074</v>
      </c>
      <c r="AG13" s="1071" t="n"/>
      <c r="AH13" s="2500" t="n">
        <v>6895.258</v>
      </c>
      <c r="AI13" s="2500" t="n">
        <v>15079.529</v>
      </c>
      <c r="AJ13" s="1082" t="n">
        <v>0.0081</v>
      </c>
      <c r="AK13" s="2498" t="n"/>
      <c r="AL13" s="2500" t="n">
        <v>6927.557</v>
      </c>
      <c r="AM13" s="2500" t="n">
        <v>15408.314</v>
      </c>
      <c r="AN13" s="1082" t="n">
        <v>0.0078</v>
      </c>
      <c r="AO13" s="1071" t="n"/>
      <c r="AP13" s="2500" t="n">
        <v>7747.951</v>
      </c>
      <c r="AQ13" s="2500" t="n">
        <v>17541.302</v>
      </c>
      <c r="AR13" s="1082" t="n">
        <v>0.0076</v>
      </c>
      <c r="AS13" s="2498" t="n"/>
      <c r="AT13" s="2501" t="n">
        <v>9196656</v>
      </c>
      <c r="AU13" s="2501" t="n">
        <v>21739006</v>
      </c>
      <c r="AV13" s="2498" t="n">
        <v>0.008</v>
      </c>
      <c r="AW13" s="2498" t="n"/>
      <c r="AX13" s="2501" t="n">
        <v>10170746</v>
      </c>
      <c r="AY13" s="2501" t="n">
        <v>24272837</v>
      </c>
      <c r="AZ13" s="2498" t="n">
        <v>0.0065</v>
      </c>
      <c r="BA13" s="1071" t="n"/>
      <c r="BB13" s="2501" t="n">
        <v>9.618053</v>
      </c>
      <c r="BC13" s="2501" t="n">
        <v>21809.433</v>
      </c>
      <c r="BD13" s="2498" t="n">
        <v>0.0057</v>
      </c>
      <c r="BE13" s="1071" t="n"/>
      <c r="BF13" s="2501" t="n">
        <v>10784.101</v>
      </c>
      <c r="BG13" s="2501" t="n">
        <v>24233.747</v>
      </c>
      <c r="BH13" s="2498" t="n">
        <v>0.0061</v>
      </c>
      <c r="BI13" s="1071" t="n"/>
      <c r="BJ13" s="2501" t="n">
        <v>12067.589</v>
      </c>
      <c r="BK13" s="2501" t="n">
        <v>25096.258</v>
      </c>
      <c r="BL13" s="2498" t="n">
        <v>0.005600000000000001</v>
      </c>
      <c r="BM13" s="1071" t="n"/>
      <c r="BN13" s="2500" t="n">
        <v>13512.96</v>
      </c>
      <c r="BO13" s="2500" t="n">
        <v>29022.867</v>
      </c>
      <c r="BP13" s="1082" t="n">
        <v>0.0052</v>
      </c>
      <c r="BQ13" s="2502" t="n">
        <v>12372.885</v>
      </c>
      <c r="BR13" s="2500" t="n">
        <v>31316.513</v>
      </c>
      <c r="BS13" s="1082" t="n">
        <v>0.0045</v>
      </c>
      <c r="BT13" s="2500" t="n">
        <v>14910.719</v>
      </c>
      <c r="BU13" s="2500" t="n">
        <v>36391.113</v>
      </c>
      <c r="BV13" s="1082" t="n">
        <v>0.0046</v>
      </c>
      <c r="BW13" s="1082" t="n"/>
      <c r="BX13" s="1082" t="n"/>
      <c r="BY13" s="1082" t="n"/>
      <c r="BZ13" s="1082" t="n"/>
      <c r="CA13" s="1082" t="n"/>
      <c r="CB13" s="1082" t="n"/>
      <c r="CC13" s="1082" t="n"/>
    </row>
    <row r="14">
      <c r="C14" s="1071" t="n"/>
      <c r="D14" s="1074" t="inlineStr">
        <is>
          <t>3rd</t>
        </is>
      </c>
      <c r="E14" s="1074" t="n"/>
      <c r="F14" s="2500" t="n">
        <v>2592.978</v>
      </c>
      <c r="G14" s="2500" t="n">
        <v>4794.027</v>
      </c>
      <c r="H14" s="1082" t="n">
        <v>0.0067</v>
      </c>
      <c r="I14" s="1071" t="n"/>
      <c r="J14" s="2500" t="n">
        <v>3473.335</v>
      </c>
      <c r="K14" s="2500" t="n">
        <v>6241.953</v>
      </c>
      <c r="L14" s="1082" t="n">
        <v>0.0075</v>
      </c>
      <c r="M14" s="1071" t="n"/>
      <c r="N14" s="2500" t="n">
        <v>3968.998</v>
      </c>
      <c r="O14" s="2500" t="n">
        <v>7187.244</v>
      </c>
      <c r="P14" s="1082" t="n">
        <v>0.008500000000000001</v>
      </c>
      <c r="Q14" s="1071" t="n"/>
      <c r="R14" s="2500" t="n">
        <v>4098.254</v>
      </c>
      <c r="S14" s="2500" t="n">
        <v>7777.183</v>
      </c>
      <c r="T14" s="1082" t="n">
        <v>0.0081</v>
      </c>
      <c r="U14" s="1071" t="n"/>
      <c r="V14" s="2500" t="n">
        <v>5025.807</v>
      </c>
      <c r="W14" s="2500" t="n">
        <v>9206.713</v>
      </c>
      <c r="X14" s="1082" t="n">
        <v>0.0076</v>
      </c>
      <c r="Y14" s="1071" t="n"/>
      <c r="Z14" s="2500" t="n">
        <v>4229.323</v>
      </c>
      <c r="AA14" s="2500" t="n">
        <v>7360.271</v>
      </c>
      <c r="AB14" s="1082" t="n">
        <v>0.0074</v>
      </c>
      <c r="AC14" s="1071" t="n"/>
      <c r="AD14" s="2500" t="n">
        <v>3428.57</v>
      </c>
      <c r="AE14" s="2500" t="n">
        <v>5936.147</v>
      </c>
      <c r="AF14" s="1082" t="n">
        <v>0.008500000000000001</v>
      </c>
      <c r="AG14" s="1071" t="n"/>
      <c r="AH14" s="2500" t="n">
        <v>3714.445</v>
      </c>
      <c r="AI14" s="2500" t="n">
        <v>6793.876</v>
      </c>
      <c r="AJ14" s="1082" t="n">
        <v>0.0101</v>
      </c>
      <c r="AK14" s="2498" t="n"/>
      <c r="AL14" s="2500" t="n">
        <v>3596.535</v>
      </c>
      <c r="AM14" s="2500" t="n">
        <v>6896.389</v>
      </c>
      <c r="AN14" s="1082" t="n">
        <v>0.0094</v>
      </c>
      <c r="AO14" s="1071" t="n"/>
      <c r="AP14" s="2500" t="n">
        <v>4250.36</v>
      </c>
      <c r="AQ14" s="2500" t="n">
        <v>7686.611</v>
      </c>
      <c r="AR14" s="1082" t="n">
        <v>0.0092</v>
      </c>
      <c r="AS14" s="2498" t="n"/>
      <c r="AT14" s="2501" t="n">
        <v>5572648</v>
      </c>
      <c r="AU14" s="2501" t="n">
        <v>9196480</v>
      </c>
      <c r="AV14" s="2498" t="n">
        <v>0.009300000000000001</v>
      </c>
      <c r="AW14" s="2498" t="n"/>
      <c r="AX14" s="2501" t="n">
        <v>5864266</v>
      </c>
      <c r="AY14" s="2501" t="n">
        <v>10105622</v>
      </c>
      <c r="AZ14" s="2498" t="n">
        <v>0.0094</v>
      </c>
      <c r="BA14" s="1071" t="n"/>
      <c r="BB14" s="2501" t="n">
        <v>5205.841</v>
      </c>
      <c r="BC14" s="2501" t="n">
        <v>9611.187</v>
      </c>
      <c r="BD14" s="2498" t="n">
        <v>0.0086</v>
      </c>
      <c r="BE14" s="1071" t="n"/>
      <c r="BF14" s="2501" t="n">
        <v>5683.991</v>
      </c>
      <c r="BG14" s="2501" t="n">
        <v>10711.194</v>
      </c>
      <c r="BH14" s="2498" t="n">
        <v>0.0089</v>
      </c>
      <c r="BI14" s="1071" t="n"/>
      <c r="BJ14" s="2501" t="n">
        <v>6557.519</v>
      </c>
      <c r="BK14" s="2501" t="n">
        <v>11978.971</v>
      </c>
      <c r="BL14" s="2497" t="n">
        <v>0.008699999999999999</v>
      </c>
      <c r="BM14" s="1071" t="n"/>
      <c r="BN14" s="2500" t="n">
        <v>7275.967</v>
      </c>
      <c r="BO14" s="2500" t="n">
        <v>13455.802</v>
      </c>
      <c r="BP14" s="1082" t="n">
        <v>0.0081</v>
      </c>
      <c r="BQ14" s="2502" t="n">
        <v>5918981</v>
      </c>
      <c r="BR14" s="2500" t="n">
        <v>12323.854</v>
      </c>
      <c r="BS14" s="1082" t="n">
        <v>0.0057</v>
      </c>
      <c r="BT14" s="2500" t="n">
        <v>7493.607</v>
      </c>
      <c r="BU14" s="2500" t="n">
        <v>14820.048</v>
      </c>
      <c r="BV14" s="1082" t="n">
        <v>0.0061</v>
      </c>
      <c r="BW14" s="1082" t="n"/>
      <c r="BX14" s="1082" t="n"/>
      <c r="BY14" s="1082" t="n"/>
      <c r="BZ14" s="1082" t="n"/>
      <c r="CA14" s="1082" t="n"/>
      <c r="CB14" s="1082" t="n"/>
      <c r="CC14" s="1082" t="n"/>
    </row>
    <row r="15">
      <c r="C15" s="1071" t="n"/>
      <c r="D15" s="1074" t="inlineStr">
        <is>
          <t>4th</t>
        </is>
      </c>
      <c r="E15" s="1074" t="n"/>
      <c r="F15" s="2500" t="n">
        <v>1723.907</v>
      </c>
      <c r="G15" s="2500" t="n">
        <v>2585.984</v>
      </c>
      <c r="H15" s="1082" t="n">
        <v>0.0111</v>
      </c>
      <c r="I15" s="1071" t="n"/>
      <c r="J15" s="2500" t="n">
        <v>2234.146</v>
      </c>
      <c r="K15" s="2500" t="n">
        <v>3464.104</v>
      </c>
      <c r="L15" s="1082" t="n">
        <v>0.0107</v>
      </c>
      <c r="M15" s="1071" t="n"/>
      <c r="N15" s="2500" t="n">
        <v>2525.472</v>
      </c>
      <c r="O15" s="2500" t="n">
        <v>3961.425</v>
      </c>
      <c r="P15" s="1082" t="n">
        <v>0.011</v>
      </c>
      <c r="Q15" s="1071" t="n"/>
      <c r="R15" s="2500" t="n">
        <v>2861.655</v>
      </c>
      <c r="S15" s="2500" t="n">
        <v>4085.184</v>
      </c>
      <c r="T15" s="1082" t="n">
        <v>0.0103</v>
      </c>
      <c r="U15" s="1071" t="n"/>
      <c r="V15" s="2500" t="n">
        <v>3426.586</v>
      </c>
      <c r="W15" s="2500" t="n">
        <v>5012.577</v>
      </c>
      <c r="X15" s="1082" t="n">
        <v>0.009299999999999999</v>
      </c>
      <c r="Y15" s="1071" t="n"/>
      <c r="Z15" s="2500" t="n">
        <v>2785.698</v>
      </c>
      <c r="AA15" s="2500" t="n">
        <v>4225.152</v>
      </c>
      <c r="AB15" s="1082" t="n">
        <v>0.0097</v>
      </c>
      <c r="AC15" s="1071" t="n"/>
      <c r="AD15" s="2500" t="n">
        <v>2386.985</v>
      </c>
      <c r="AE15" s="2500" t="n">
        <v>3414.634</v>
      </c>
      <c r="AF15" s="1082" t="n">
        <v>0.0115</v>
      </c>
      <c r="AG15" s="1071" t="n"/>
      <c r="AH15" s="2500" t="n">
        <v>2512.137</v>
      </c>
      <c r="AI15" s="2500" t="n">
        <v>3710.985</v>
      </c>
      <c r="AJ15" s="1082" t="n">
        <v>0.012</v>
      </c>
      <c r="AK15" s="2498" t="n"/>
      <c r="AL15" s="2500" t="n">
        <v>2366.464</v>
      </c>
      <c r="AM15" s="2500" t="n">
        <v>3577.774</v>
      </c>
      <c r="AN15" s="1082" t="n">
        <v>0.0117</v>
      </c>
      <c r="AO15" s="1071" t="n"/>
      <c r="AP15" s="2500" t="n">
        <v>2772.831</v>
      </c>
      <c r="AQ15" s="2500" t="n">
        <v>4227.668</v>
      </c>
      <c r="AR15" s="1082" t="n">
        <v>0.0114</v>
      </c>
      <c r="AS15" s="2498" t="n"/>
      <c r="AT15" s="2501" t="n">
        <v>3581547</v>
      </c>
      <c r="AU15" s="2501" t="n">
        <v>5569840</v>
      </c>
      <c r="AV15" s="2498" t="n">
        <v>0.0119</v>
      </c>
      <c r="AW15" s="2498" t="n"/>
      <c r="AX15" s="2501" t="n">
        <v>3724624</v>
      </c>
      <c r="AY15" s="2501" t="n">
        <v>5844592</v>
      </c>
      <c r="AZ15" s="2498" t="n">
        <v>0.0105</v>
      </c>
      <c r="BA15" s="1071" t="n"/>
      <c r="BB15" s="2501" t="n">
        <v>3195.898</v>
      </c>
      <c r="BC15" s="2501" t="n">
        <v>5199.952</v>
      </c>
      <c r="BD15" s="2498" t="n">
        <v>0.009900000000000001</v>
      </c>
      <c r="BE15" s="1071" t="n"/>
      <c r="BF15" s="2501" t="n">
        <v>3520.566</v>
      </c>
      <c r="BG15" s="2501" t="n">
        <v>5676.716</v>
      </c>
      <c r="BH15" s="2498" t="n">
        <v>0.0098</v>
      </c>
      <c r="BI15" s="1071" t="n"/>
      <c r="BJ15" s="2501" t="n">
        <v>4097.96</v>
      </c>
      <c r="BK15" s="2501" t="n">
        <v>6545.548</v>
      </c>
      <c r="BL15" s="2497" t="n">
        <v>0.009000000000000001</v>
      </c>
      <c r="BM15" s="1071" t="n"/>
      <c r="BN15" s="2500" t="n">
        <v>4504.066</v>
      </c>
      <c r="BO15" s="2500" t="n">
        <v>7254.23</v>
      </c>
      <c r="BP15" s="1082" t="n">
        <v>0.008500000000000001</v>
      </c>
      <c r="BQ15" s="2502" t="n">
        <v>3770176</v>
      </c>
      <c r="BR15" s="2500" t="n">
        <v>5916.017</v>
      </c>
      <c r="BS15" s="1082" t="n">
        <v>0.0058</v>
      </c>
      <c r="BT15" s="2500" t="n">
        <v>4622.261</v>
      </c>
      <c r="BU15" s="2500" t="n">
        <v>7461.284</v>
      </c>
      <c r="BV15" s="1082" t="n">
        <v>0.0064</v>
      </c>
      <c r="BW15" s="1082" t="n"/>
      <c r="BX15" s="1082" t="n"/>
      <c r="BY15" s="1082" t="n"/>
      <c r="BZ15" s="1082" t="n"/>
      <c r="CA15" s="1082" t="n"/>
      <c r="CB15" s="1082" t="n"/>
      <c r="CC15" s="1082" t="n"/>
    </row>
    <row r="16">
      <c r="C16" s="1071" t="n"/>
      <c r="D16" s="1074" t="inlineStr">
        <is>
          <t>5th</t>
        </is>
      </c>
      <c r="E16" s="1074" t="n"/>
      <c r="F16" s="2500" t="n">
        <v>1167.04</v>
      </c>
      <c r="G16" s="2500" t="n">
        <v>1720.959</v>
      </c>
      <c r="H16" s="1082" t="n">
        <v>0.0136</v>
      </c>
      <c r="I16" s="1071" t="n"/>
      <c r="J16" s="2500" t="n">
        <v>1607.931</v>
      </c>
      <c r="K16" s="2500" t="n">
        <v>2231.707</v>
      </c>
      <c r="L16" s="1082" t="n">
        <v>0.0144</v>
      </c>
      <c r="M16" s="1071" t="n"/>
      <c r="N16" s="2500" t="n">
        <v>1729.364</v>
      </c>
      <c r="O16" s="2500" t="n">
        <v>2519.28</v>
      </c>
      <c r="P16" s="1082" t="n">
        <v>0.0149</v>
      </c>
      <c r="Q16" s="1071" t="n"/>
      <c r="R16" s="2500" t="n">
        <v>1947.24</v>
      </c>
      <c r="S16" s="2500" t="n">
        <v>2848.771</v>
      </c>
      <c r="T16" s="1082" t="n">
        <v>0.0145</v>
      </c>
      <c r="U16" s="1071" t="n"/>
      <c r="V16" s="2500" t="n">
        <v>2413.583</v>
      </c>
      <c r="W16" s="2500" t="n">
        <v>3422.743</v>
      </c>
      <c r="X16" s="1082" t="n">
        <v>0.0147</v>
      </c>
      <c r="Y16" s="1071" t="n"/>
      <c r="Z16" s="2500" t="n">
        <v>1849.95</v>
      </c>
      <c r="AA16" s="2500" t="n">
        <v>2785.538</v>
      </c>
      <c r="AB16" s="1082" t="n">
        <v>0.0154</v>
      </c>
      <c r="AC16" s="1071" t="n"/>
      <c r="AD16" s="2500" t="n">
        <v>1602.429</v>
      </c>
      <c r="AE16" s="2500" t="n">
        <v>2384.026</v>
      </c>
      <c r="AF16" s="1082" t="n">
        <v>0.0169</v>
      </c>
      <c r="AG16" s="1071" t="n"/>
      <c r="AH16" s="2500" t="n">
        <v>1778.756</v>
      </c>
      <c r="AI16" s="2500" t="n">
        <v>2509.152</v>
      </c>
      <c r="AJ16" s="1082" t="n">
        <v>0.0181</v>
      </c>
      <c r="AK16" s="2498" t="n"/>
      <c r="AL16" s="2500" t="n">
        <v>1621.096</v>
      </c>
      <c r="AM16" s="2500" t="n">
        <v>2362.532</v>
      </c>
      <c r="AN16" s="1082" t="n">
        <v>0.0174</v>
      </c>
      <c r="AO16" s="1071" t="n"/>
      <c r="AP16" s="2500" t="n">
        <v>1912.24</v>
      </c>
      <c r="AQ16" s="2500" t="n">
        <v>2759.391</v>
      </c>
      <c r="AR16" s="1082" t="n">
        <v>0.017</v>
      </c>
      <c r="AS16" s="2498" t="n"/>
      <c r="AT16" s="2501" t="n">
        <v>2432888</v>
      </c>
      <c r="AU16" s="2501" t="n">
        <v>3573079</v>
      </c>
      <c r="AV16" s="2498" t="n">
        <v>0.0172</v>
      </c>
      <c r="AW16" s="2498" t="n"/>
      <c r="AX16" s="2501" t="n">
        <v>2552441</v>
      </c>
      <c r="AY16" s="2501" t="n">
        <v>3724186</v>
      </c>
      <c r="AZ16" s="2498" t="n">
        <v>0.0165</v>
      </c>
      <c r="BA16" s="1071" t="n"/>
      <c r="BB16" s="2501" t="n">
        <v>2090.566</v>
      </c>
      <c r="BC16" s="2501" t="n">
        <v>3187.48</v>
      </c>
      <c r="BD16" s="2498" t="n">
        <v>0.0149</v>
      </c>
      <c r="BE16" s="1071" t="n"/>
      <c r="BF16" s="2501" t="n">
        <v>2392.689</v>
      </c>
      <c r="BG16" s="2501" t="n">
        <v>3512.913</v>
      </c>
      <c r="BH16" s="2498" t="n">
        <v>0.0151</v>
      </c>
      <c r="BI16" s="1071" t="n"/>
      <c r="BJ16" s="2501" t="n">
        <v>2763.719</v>
      </c>
      <c r="BK16" s="2501" t="n">
        <v>4091.971</v>
      </c>
      <c r="BL16" s="2497" t="n">
        <v>0.0138</v>
      </c>
      <c r="BM16" s="1071" t="n"/>
      <c r="BN16" s="2500" t="n">
        <v>2996.003</v>
      </c>
      <c r="BO16" s="2500" t="n">
        <v>4503.549</v>
      </c>
      <c r="BP16" s="1082" t="n">
        <v>0.0128</v>
      </c>
      <c r="BQ16" s="2502" t="n">
        <v>2365.425</v>
      </c>
      <c r="BR16" s="2500" t="n">
        <v>3769.877</v>
      </c>
      <c r="BS16" s="1082" t="n">
        <v>0.009299999999999999</v>
      </c>
      <c r="BT16" s="2500" t="n">
        <v>3011.224</v>
      </c>
      <c r="BU16" s="2500" t="n">
        <v>4621.785</v>
      </c>
      <c r="BV16" s="1082" t="n">
        <v>0.0095</v>
      </c>
      <c r="BW16" s="1082" t="n"/>
      <c r="BX16" s="1082" t="n"/>
      <c r="BY16" s="1082" t="n"/>
      <c r="BZ16" s="1082" t="n"/>
      <c r="CA16" s="1082" t="n"/>
      <c r="CB16" s="1082" t="n"/>
      <c r="CC16" s="1082" t="n"/>
    </row>
    <row r="17">
      <c r="C17" s="1071" t="n"/>
      <c r="D17" s="1074" t="inlineStr">
        <is>
          <t>6th</t>
        </is>
      </c>
      <c r="E17" s="1074" t="n"/>
      <c r="F17" s="2500" t="n">
        <v>797.302</v>
      </c>
      <c r="G17" s="2500" t="n">
        <v>1166.799</v>
      </c>
      <c r="H17" s="1082" t="n">
        <v>0.0159</v>
      </c>
      <c r="I17" s="1071" t="n"/>
      <c r="J17" s="2500" t="n">
        <v>1098.284</v>
      </c>
      <c r="K17" s="2500" t="n">
        <v>1607.854</v>
      </c>
      <c r="L17" s="1082" t="n">
        <v>0.0175</v>
      </c>
      <c r="M17" s="1071" t="n"/>
      <c r="N17" s="2500" t="n">
        <v>1282.276</v>
      </c>
      <c r="O17" s="2500" t="n">
        <v>1728.888</v>
      </c>
      <c r="P17" s="1082" t="n">
        <v>0.0173</v>
      </c>
      <c r="Q17" s="1071" t="n"/>
      <c r="R17" s="2500" t="n">
        <v>1379.267</v>
      </c>
      <c r="S17" s="2500" t="n">
        <v>1946.588</v>
      </c>
      <c r="T17" s="1082" t="n">
        <v>0.0167</v>
      </c>
      <c r="U17" s="1071" t="n"/>
      <c r="V17" s="2500" t="n">
        <v>1633.668</v>
      </c>
      <c r="W17" s="2500" t="n">
        <v>2411.794</v>
      </c>
      <c r="X17" s="1082" t="n">
        <v>0.016</v>
      </c>
      <c r="Y17" s="1071" t="n"/>
      <c r="Z17" s="2500" t="n">
        <v>1198.013</v>
      </c>
      <c r="AA17" s="2500" t="n">
        <v>1848.961</v>
      </c>
      <c r="AB17" s="1082" t="n">
        <v>0.0163</v>
      </c>
      <c r="AC17" s="1071" t="n"/>
      <c r="AD17" s="2500" t="n">
        <v>1063.333</v>
      </c>
      <c r="AE17" s="2500" t="n">
        <v>1600.169</v>
      </c>
      <c r="AF17" s="1082" t="n">
        <v>0.0173</v>
      </c>
      <c r="AG17" s="1071" t="n"/>
      <c r="AH17" s="2500" t="n">
        <v>1214.679</v>
      </c>
      <c r="AI17" s="2500" t="n">
        <v>1775.966</v>
      </c>
      <c r="AJ17" s="1082" t="n">
        <v>0.0182</v>
      </c>
      <c r="AK17" s="2498" t="n"/>
      <c r="AL17" s="2500" t="n">
        <v>1090.652</v>
      </c>
      <c r="AM17" s="2500" t="n">
        <v>1620.86</v>
      </c>
      <c r="AN17" s="1082" t="n">
        <v>0.0175</v>
      </c>
      <c r="AO17" s="1071" t="n"/>
      <c r="AP17" s="2500" t="n">
        <v>1346.619</v>
      </c>
      <c r="AQ17" s="2500" t="n">
        <v>1909.051</v>
      </c>
      <c r="AR17" s="1082" t="n">
        <v>0.0172</v>
      </c>
      <c r="AS17" s="2498" t="n"/>
      <c r="AT17" s="2501" t="n">
        <v>1622997</v>
      </c>
      <c r="AU17" s="2501" t="n">
        <v>2431229</v>
      </c>
      <c r="AV17" s="2498" t="n">
        <v>0.0175</v>
      </c>
      <c r="AW17" s="2498" t="n"/>
      <c r="AX17" s="2501" t="n">
        <v>1688895</v>
      </c>
      <c r="AY17" s="2501" t="n">
        <v>2542913</v>
      </c>
      <c r="AZ17" s="2498" t="n">
        <v>0.0163</v>
      </c>
      <c r="BA17" s="1071" t="n"/>
      <c r="BB17" s="2501" t="n">
        <v>1400.931</v>
      </c>
      <c r="BC17" s="2501" t="n">
        <v>2083.642</v>
      </c>
      <c r="BD17" s="2498" t="n">
        <v>0.0163</v>
      </c>
      <c r="BE17" s="1071" t="n"/>
      <c r="BF17" s="2501" t="n">
        <v>1571.193</v>
      </c>
      <c r="BG17" s="2501" t="n">
        <v>2390.899</v>
      </c>
      <c r="BH17" s="2498" t="n">
        <v>0.0166</v>
      </c>
      <c r="BI17" s="1071" t="n"/>
      <c r="BJ17" s="2501" t="n">
        <v>1815.68</v>
      </c>
      <c r="BK17" s="2501" t="n">
        <v>2759.939</v>
      </c>
      <c r="BL17" s="2497" t="n">
        <v>0.016</v>
      </c>
      <c r="BM17" s="1071" t="n"/>
      <c r="BN17" s="2500" t="n">
        <v>1961.831</v>
      </c>
      <c r="BO17" s="2500" t="n">
        <v>2992.251</v>
      </c>
      <c r="BP17" s="1082" t="n">
        <v>0.015</v>
      </c>
      <c r="BQ17" s="2502" t="n">
        <v>1389.851</v>
      </c>
      <c r="BR17" s="2500" t="n">
        <v>2365.076</v>
      </c>
      <c r="BS17" s="1082" t="n">
        <v>0.0116</v>
      </c>
      <c r="BT17" s="2500" t="n">
        <v>1864.293</v>
      </c>
      <c r="BU17" s="2500" t="n">
        <v>3010.806</v>
      </c>
      <c r="BV17" s="1082" t="n">
        <v>0.0121</v>
      </c>
      <c r="BW17" s="1082" t="n"/>
      <c r="BX17" s="1082" t="n"/>
      <c r="BY17" s="1082" t="n"/>
      <c r="BZ17" s="1082" t="n"/>
      <c r="CA17" s="1082" t="n"/>
      <c r="CB17" s="1082" t="n"/>
      <c r="CC17" s="1082" t="n"/>
    </row>
    <row r="18">
      <c r="C18" s="1071" t="n"/>
      <c r="D18" s="1074" t="inlineStr">
        <is>
          <t>7th</t>
        </is>
      </c>
      <c r="E18" s="1074" t="n"/>
      <c r="F18" s="2500" t="n">
        <v>508.21</v>
      </c>
      <c r="G18" s="2500" t="n">
        <v>795.9829999999999</v>
      </c>
      <c r="H18" s="1082" t="n">
        <v>0.0157</v>
      </c>
      <c r="I18" s="1071" t="n"/>
      <c r="J18" s="2500" t="n">
        <v>746.249</v>
      </c>
      <c r="K18" s="2500" t="n">
        <v>1097.603</v>
      </c>
      <c r="L18" s="1082" t="n">
        <v>0.0161</v>
      </c>
      <c r="M18" s="1071" t="n"/>
      <c r="N18" s="2500" t="n">
        <v>872.443</v>
      </c>
      <c r="O18" s="2500" t="n">
        <v>1280.966</v>
      </c>
      <c r="P18" s="1082" t="n">
        <v>0.0167</v>
      </c>
      <c r="Q18" s="1071" t="n"/>
      <c r="R18" s="2500" t="n">
        <v>977.912</v>
      </c>
      <c r="S18" s="2500" t="n">
        <v>1378.476</v>
      </c>
      <c r="T18" s="1082" t="n">
        <v>0.0162</v>
      </c>
      <c r="U18" s="1071" t="n"/>
      <c r="V18" s="2500" t="n">
        <v>1129.192</v>
      </c>
      <c r="W18" s="2500" t="n">
        <v>1633.32</v>
      </c>
      <c r="X18" s="1082" t="n">
        <v>0.015</v>
      </c>
      <c r="Y18" s="1071" t="n"/>
      <c r="Z18" s="2500" t="n">
        <v>753.676</v>
      </c>
      <c r="AA18" s="2500" t="n">
        <v>1197.133</v>
      </c>
      <c r="AB18" s="1082" t="n">
        <v>0.0162</v>
      </c>
      <c r="AC18" s="1071" t="n"/>
      <c r="AD18" s="2500" t="n">
        <v>685.129</v>
      </c>
      <c r="AE18" s="2500" t="n">
        <v>1063.308</v>
      </c>
      <c r="AF18" s="1082" t="n">
        <v>0.0173</v>
      </c>
      <c r="AG18" s="1071" t="n"/>
      <c r="AH18" s="2500" t="n">
        <v>772.795</v>
      </c>
      <c r="AI18" s="2500" t="n">
        <v>1212.29</v>
      </c>
      <c r="AJ18" s="1082" t="n">
        <v>0.0188</v>
      </c>
      <c r="AK18" s="2498" t="n"/>
      <c r="AL18" s="2500" t="n">
        <v>683.059</v>
      </c>
      <c r="AM18" s="2500" t="n">
        <v>1090.515</v>
      </c>
      <c r="AN18" s="1082" t="n">
        <v>0.0177</v>
      </c>
      <c r="AO18" s="1071" t="n"/>
      <c r="AP18" s="2500" t="n">
        <v>822.077</v>
      </c>
      <c r="AQ18" s="2500" t="n">
        <v>1346.528</v>
      </c>
      <c r="AR18" s="1082" t="n">
        <v>0.0173</v>
      </c>
      <c r="AS18" s="2498" t="n"/>
      <c r="AT18" s="2501" t="n">
        <v>1056204</v>
      </c>
      <c r="AU18" s="2501" t="n">
        <v>1621792</v>
      </c>
      <c r="AV18" s="2498" t="n">
        <v>0.0175</v>
      </c>
      <c r="AW18" s="2498" t="n"/>
      <c r="AX18" s="2501" t="n">
        <v>1011278</v>
      </c>
      <c r="AY18" s="2501" t="n">
        <v>1686860</v>
      </c>
      <c r="AZ18" s="2498" t="n">
        <v>0.0177</v>
      </c>
      <c r="BA18" s="1071" t="n"/>
      <c r="BB18" s="2501" t="n">
        <v>845.509</v>
      </c>
      <c r="BC18" s="2501" t="n">
        <v>1400.208</v>
      </c>
      <c r="BD18" s="2498" t="n">
        <v>0.0162</v>
      </c>
      <c r="BE18" s="1071" t="n"/>
      <c r="BF18" s="2501" t="n">
        <v>1033.341</v>
      </c>
      <c r="BG18" s="2501" t="n">
        <v>1569.984</v>
      </c>
      <c r="BH18" s="2498" t="n">
        <v>0.0172</v>
      </c>
      <c r="BI18" s="1071" t="n"/>
      <c r="BJ18" s="2501" t="n">
        <v>1175.369</v>
      </c>
      <c r="BK18" s="2501" t="n">
        <v>1814.568</v>
      </c>
      <c r="BL18" s="2497" t="n">
        <v>0.0158</v>
      </c>
      <c r="BM18" s="1071" t="n"/>
      <c r="BN18" s="2500" t="n">
        <v>1292.791</v>
      </c>
      <c r="BO18" s="2500" t="n">
        <v>1960.201</v>
      </c>
      <c r="BP18" s="1082" t="n">
        <v>0.0158</v>
      </c>
      <c r="BQ18" s="2502" t="n">
        <v>789.019</v>
      </c>
      <c r="BR18" s="2500" t="n">
        <v>1389.118</v>
      </c>
      <c r="BS18" s="1082" t="n">
        <v>0.0137</v>
      </c>
      <c r="BT18" s="2500" t="n">
        <v>1050.083</v>
      </c>
      <c r="BU18" s="2500" t="n">
        <v>1862.491</v>
      </c>
      <c r="BV18" s="1082" t="n">
        <v>0.0139</v>
      </c>
      <c r="BW18" s="1082" t="n"/>
      <c r="BX18" s="1082" t="n"/>
      <c r="BY18" s="1082" t="n"/>
      <c r="BZ18" s="1082" t="n"/>
      <c r="CA18" s="1082" t="n"/>
      <c r="CB18" s="1082" t="n"/>
      <c r="CC18" s="1082" t="n"/>
    </row>
    <row r="19">
      <c r="C19" s="1071" t="n"/>
      <c r="D19" s="1074" t="inlineStr">
        <is>
          <t>8th</t>
        </is>
      </c>
      <c r="E19" s="1074" t="n"/>
      <c r="F19" s="2500" t="n">
        <v>330.797</v>
      </c>
      <c r="G19" s="2500" t="n">
        <v>507.82</v>
      </c>
      <c r="H19" s="1082" t="n">
        <v>0.0225</v>
      </c>
      <c r="I19" s="1071" t="n"/>
      <c r="J19" s="2500" t="n">
        <v>506.41</v>
      </c>
      <c r="K19" s="2500" t="n">
        <v>746.2190000000001</v>
      </c>
      <c r="L19" s="1082" t="n">
        <v>0.0236</v>
      </c>
      <c r="M19" s="1071" t="n"/>
      <c r="N19" s="2500" t="n">
        <v>587.2430000000001</v>
      </c>
      <c r="O19" s="2500" t="n">
        <v>872.103</v>
      </c>
      <c r="P19" s="1082" t="n">
        <v>0.0233</v>
      </c>
      <c r="Q19" s="1071" t="n"/>
      <c r="R19" s="2500" t="n">
        <v>627.0170000000001</v>
      </c>
      <c r="S19" s="2500" t="n">
        <v>976.624</v>
      </c>
      <c r="T19" s="1082" t="n">
        <v>0.0228</v>
      </c>
      <c r="U19" s="1071" t="n"/>
      <c r="V19" s="2500" t="n">
        <v>725.2670000000001</v>
      </c>
      <c r="W19" s="2500" t="n">
        <v>1128.765</v>
      </c>
      <c r="X19" s="1082" t="n">
        <v>0.022</v>
      </c>
      <c r="Y19" s="1071" t="n"/>
      <c r="Z19" s="2500" t="n">
        <v>453.398</v>
      </c>
      <c r="AA19" s="2500" t="n">
        <v>753.448</v>
      </c>
      <c r="AB19" s="1082" t="n">
        <v>0.0235</v>
      </c>
      <c r="AC19" s="1071" t="n"/>
      <c r="AD19" s="2500" t="n">
        <v>432.175</v>
      </c>
      <c r="AE19" s="2500" t="n">
        <v>684.79</v>
      </c>
      <c r="AF19" s="1082" t="n">
        <v>0.0249</v>
      </c>
      <c r="AG19" s="1071" t="n"/>
      <c r="AH19" s="2500" t="n">
        <v>478.102</v>
      </c>
      <c r="AI19" s="2500" t="n">
        <v>771.789</v>
      </c>
      <c r="AJ19" s="1082" t="n">
        <v>0.0265</v>
      </c>
      <c r="AK19" s="2498" t="n"/>
      <c r="AL19" s="2500" t="n">
        <v>422.999</v>
      </c>
      <c r="AM19" s="2500" t="n">
        <v>682.75</v>
      </c>
      <c r="AN19" s="1082" t="n">
        <v>0.0251</v>
      </c>
      <c r="AO19" s="1071" t="n"/>
      <c r="AP19" s="2500" t="n">
        <v>514.4589999999999</v>
      </c>
      <c r="AQ19" s="2500" t="n">
        <v>818.0650000000001</v>
      </c>
      <c r="AR19" s="1082" t="n">
        <v>0.0246</v>
      </c>
      <c r="AS19" s="2498" t="n"/>
      <c r="AT19" s="2501" t="n">
        <v>636747</v>
      </c>
      <c r="AU19" s="2501" t="n">
        <v>1055320</v>
      </c>
      <c r="AV19" s="2498" t="n">
        <v>0.0248</v>
      </c>
      <c r="AW19" s="2498" t="n"/>
      <c r="AX19" s="2501" t="n">
        <v>549056</v>
      </c>
      <c r="AY19" s="2501" t="n">
        <v>1010634</v>
      </c>
      <c r="AZ19" s="2498" t="n">
        <v>0.0218</v>
      </c>
      <c r="BA19" s="1071" t="n"/>
      <c r="BB19" s="2501" t="n">
        <v>448.502</v>
      </c>
      <c r="BC19" s="2501" t="n">
        <v>844.475</v>
      </c>
      <c r="BD19" s="2498" t="n">
        <v>0.0204</v>
      </c>
      <c r="BE19" s="1071" t="n"/>
      <c r="BF19" s="2501" t="n">
        <v>569.279</v>
      </c>
      <c r="BG19" s="2501" t="n">
        <v>1030.426</v>
      </c>
      <c r="BH19" s="2498" t="n">
        <v>0.0208</v>
      </c>
      <c r="BI19" s="1071" t="n"/>
      <c r="BJ19" s="2501" t="n">
        <v>657.705</v>
      </c>
      <c r="BK19" s="2501" t="n">
        <v>1170.063</v>
      </c>
      <c r="BL19" s="2497" t="n">
        <v>0.0188</v>
      </c>
      <c r="BM19" s="1071" t="n"/>
      <c r="BN19" s="2500" t="n">
        <v>730.047</v>
      </c>
      <c r="BO19" s="2500" t="n">
        <v>1292.224</v>
      </c>
      <c r="BP19" s="1082" t="n">
        <v>0.018</v>
      </c>
      <c r="BQ19" s="2502" t="n">
        <v>377.076</v>
      </c>
      <c r="BR19" s="2500" t="n">
        <v>782.383</v>
      </c>
      <c r="BS19" s="1082" t="n">
        <v>0.0118</v>
      </c>
      <c r="BT19" s="2500" t="n">
        <v>555.88</v>
      </c>
      <c r="BU19" s="2500" t="n">
        <v>1046.037</v>
      </c>
      <c r="BV19" s="1082" t="n">
        <v>0.0114</v>
      </c>
      <c r="BW19" s="1082" t="n"/>
      <c r="BX19" s="1082" t="n"/>
      <c r="BY19" s="1082" t="n"/>
      <c r="BZ19" s="1082" t="n"/>
      <c r="CA19" s="1082" t="n"/>
      <c r="CB19" s="1082" t="n"/>
      <c r="CC19" s="1082" t="n"/>
    </row>
    <row r="20">
      <c r="C20" s="1071" t="n"/>
      <c r="D20" s="1074" t="inlineStr">
        <is>
          <t>9th</t>
        </is>
      </c>
      <c r="E20" s="1074" t="n"/>
      <c r="F20" s="2500" t="n">
        <v>166.445</v>
      </c>
      <c r="G20" s="2500" t="n">
        <v>330.608</v>
      </c>
      <c r="H20" s="1082" t="n">
        <v>0.029</v>
      </c>
      <c r="I20" s="1071" t="n"/>
      <c r="J20" s="2500" t="n">
        <v>262.974</v>
      </c>
      <c r="K20" s="2500" t="n">
        <v>505.437</v>
      </c>
      <c r="L20" s="1082" t="n">
        <v>0.0286</v>
      </c>
      <c r="M20" s="1071" t="n"/>
      <c r="N20" s="2500" t="n">
        <v>265.056</v>
      </c>
      <c r="O20" s="2500" t="n">
        <v>586.393</v>
      </c>
      <c r="P20" s="1082" t="n">
        <v>0.0276</v>
      </c>
      <c r="Q20" s="1071" t="n"/>
      <c r="R20" s="2500" t="n">
        <v>314.912</v>
      </c>
      <c r="S20" s="2500" t="n">
        <v>626.955</v>
      </c>
      <c r="T20" s="1082" t="n">
        <v>0.027</v>
      </c>
      <c r="U20" s="1071" t="n"/>
      <c r="V20" s="2500" t="n">
        <v>363.549</v>
      </c>
      <c r="W20" s="2500" t="n">
        <v>723.258</v>
      </c>
      <c r="X20" s="1082" t="n">
        <v>0.0256</v>
      </c>
      <c r="Y20" s="1071" t="n"/>
      <c r="Z20" s="2500" t="n">
        <v>218.743</v>
      </c>
      <c r="AA20" s="2500" t="n">
        <v>453.254</v>
      </c>
      <c r="AB20" s="1082" t="n">
        <v>0.0271</v>
      </c>
      <c r="AC20" s="1071" t="n"/>
      <c r="AD20" s="2500" t="n">
        <v>214.194</v>
      </c>
      <c r="AE20" s="2500" t="n">
        <v>431.256</v>
      </c>
      <c r="AF20" s="1082" t="n">
        <v>0.0285</v>
      </c>
      <c r="AG20" s="1071" t="n"/>
      <c r="AH20" s="2500" t="n">
        <v>235.725</v>
      </c>
      <c r="AI20" s="2500" t="n">
        <v>477.539</v>
      </c>
      <c r="AJ20" s="1082" t="n">
        <v>0.0294</v>
      </c>
      <c r="AK20" s="2498" t="n"/>
      <c r="AL20" s="2500" t="n">
        <v>206.802</v>
      </c>
      <c r="AM20" s="2500" t="n">
        <v>422.811</v>
      </c>
      <c r="AN20" s="1082" t="n">
        <v>0.028</v>
      </c>
      <c r="AO20" s="1071" t="n"/>
      <c r="AP20" s="2500" t="n">
        <v>254.604</v>
      </c>
      <c r="AQ20" s="2500" t="n">
        <v>514.2089999999999</v>
      </c>
      <c r="AR20" s="1082" t="n">
        <v>0.027</v>
      </c>
      <c r="AS20" s="2498" t="n"/>
      <c r="AT20" s="2501" t="n">
        <v>339522</v>
      </c>
      <c r="AU20" s="2501" t="n">
        <v>632770</v>
      </c>
      <c r="AV20" s="2498" t="n">
        <v>0.0276</v>
      </c>
      <c r="AW20" s="2498" t="n"/>
      <c r="AX20" s="2501" t="n">
        <v>300752</v>
      </c>
      <c r="AY20" s="2501" t="n">
        <v>548839</v>
      </c>
      <c r="AZ20" s="2498" t="n">
        <v>0.0264</v>
      </c>
      <c r="BA20" s="1071" t="n"/>
      <c r="BB20" s="2501" t="n">
        <v>209.88</v>
      </c>
      <c r="BC20" s="2501" t="n">
        <v>448.079</v>
      </c>
      <c r="BD20" s="2498" t="n">
        <v>0.0254</v>
      </c>
      <c r="BE20" s="1071" t="n"/>
      <c r="BF20" s="2501" t="n">
        <v>263.715</v>
      </c>
      <c r="BG20" s="2501" t="n">
        <v>567.843</v>
      </c>
      <c r="BH20" s="2498" t="n">
        <v>0.0268</v>
      </c>
      <c r="BI20" s="1071" t="n"/>
      <c r="BJ20" s="2501" t="n">
        <v>299.4</v>
      </c>
      <c r="BK20" s="2501" t="n">
        <v>656.845</v>
      </c>
      <c r="BL20" s="2497" t="n">
        <v>0.025</v>
      </c>
      <c r="BM20" s="1071" t="n"/>
      <c r="BN20" s="2500" t="n">
        <v>325.36</v>
      </c>
      <c r="BO20" s="2500" t="n">
        <v>727.843</v>
      </c>
      <c r="BP20" s="1082" t="n">
        <v>0.0246</v>
      </c>
      <c r="BQ20" s="2502" t="n">
        <v>218.389</v>
      </c>
      <c r="BR20" s="2500" t="n">
        <v>373.879</v>
      </c>
      <c r="BS20" s="1082" t="n">
        <v>0.0215</v>
      </c>
      <c r="BT20" s="2500" t="n">
        <v>213.039</v>
      </c>
      <c r="BU20" s="2500" t="n">
        <v>554.523</v>
      </c>
      <c r="BV20" s="1082" t="n">
        <v>0.0199</v>
      </c>
      <c r="BW20" s="1082" t="n"/>
      <c r="BX20" s="1082" t="n"/>
      <c r="BY20" s="1082" t="n"/>
      <c r="BZ20" s="1082" t="n"/>
      <c r="CA20" s="1082" t="n"/>
      <c r="CB20" s="1082" t="n"/>
      <c r="CC20" s="1082" t="n"/>
    </row>
    <row r="21">
      <c r="C21" s="1081" t="n"/>
      <c r="D21" s="1084" t="inlineStr">
        <is>
          <t>10th</t>
        </is>
      </c>
      <c r="E21" s="1085" t="n"/>
      <c r="F21" s="2503" t="n">
        <v>0.332</v>
      </c>
      <c r="G21" s="2503" t="n">
        <v>166.414</v>
      </c>
      <c r="H21" s="1087" t="n">
        <v>0.0634</v>
      </c>
      <c r="I21" s="1081" t="n"/>
      <c r="J21" s="2503" t="n">
        <v>1.393</v>
      </c>
      <c r="K21" s="2503" t="n">
        <v>262.725</v>
      </c>
      <c r="L21" s="1087" t="n">
        <v>0.0641</v>
      </c>
      <c r="M21" s="1081" t="n"/>
      <c r="N21" s="2503" t="n">
        <v>1.079</v>
      </c>
      <c r="O21" s="2503" t="n">
        <v>264.981</v>
      </c>
      <c r="P21" s="1087" t="n">
        <v>0.0636</v>
      </c>
      <c r="Q21" s="1081" t="n"/>
      <c r="R21" s="2503" t="n">
        <v>2.247</v>
      </c>
      <c r="S21" s="2503" t="n">
        <v>314.433</v>
      </c>
      <c r="T21" s="1087" t="n">
        <v>0.06270000000000001</v>
      </c>
      <c r="U21" s="1081" t="n"/>
      <c r="V21" s="2503" t="n">
        <v>1.922</v>
      </c>
      <c r="W21" s="2503" t="n">
        <v>363.479</v>
      </c>
      <c r="X21" s="1087" t="n">
        <v>0.0582</v>
      </c>
      <c r="Y21" s="1081" t="n"/>
      <c r="Z21" s="2503" t="n">
        <v>1.575</v>
      </c>
      <c r="AA21" s="2503" t="n">
        <v>218.533</v>
      </c>
      <c r="AB21" s="1087" t="n">
        <v>0.0581</v>
      </c>
      <c r="AC21" s="1081" t="n"/>
      <c r="AD21" s="2503" t="n">
        <v>1.007</v>
      </c>
      <c r="AE21" s="2503" t="n">
        <v>214.111</v>
      </c>
      <c r="AF21" s="1087" t="n">
        <v>0.06279999999999999</v>
      </c>
      <c r="AG21" s="1081" t="n"/>
      <c r="AH21" s="2503" t="n">
        <v>1.222</v>
      </c>
      <c r="AI21" s="2503" t="n">
        <v>235.647</v>
      </c>
      <c r="AJ21" s="1087" t="n">
        <v>0.0636</v>
      </c>
      <c r="AK21" s="2504" t="n"/>
      <c r="AL21" s="2503" t="n">
        <v>1.028</v>
      </c>
      <c r="AM21" s="2503" t="n">
        <v>206.795</v>
      </c>
      <c r="AN21" s="1087" t="n">
        <v>0.061</v>
      </c>
      <c r="AO21" s="1081" t="n"/>
      <c r="AP21" s="2503" t="n">
        <v>1.139</v>
      </c>
      <c r="AQ21" s="2503" t="n">
        <v>253.761</v>
      </c>
      <c r="AR21" s="1087" t="n">
        <v>0.0603</v>
      </c>
      <c r="AS21" s="2504" t="n"/>
      <c r="AT21" s="2505" t="n">
        <v>2395</v>
      </c>
      <c r="AU21" s="2505" t="n">
        <v>338829</v>
      </c>
      <c r="AV21" s="2504" t="n">
        <v>0.0601</v>
      </c>
      <c r="AW21" s="2504" t="n"/>
      <c r="AX21" s="2505" t="n">
        <v>3037</v>
      </c>
      <c r="AY21" s="2505" t="n">
        <v>300725</v>
      </c>
      <c r="AZ21" s="2504" t="n">
        <v>0.0572</v>
      </c>
      <c r="BA21" s="1081" t="n"/>
      <c r="BB21" s="2505" t="n">
        <v>1.963</v>
      </c>
      <c r="BC21" s="2505" t="n">
        <v>209.406</v>
      </c>
      <c r="BD21" s="2504" t="n">
        <v>0.056</v>
      </c>
      <c r="BE21" s="1081" t="n"/>
      <c r="BF21" s="2505" t="n">
        <v>2.516</v>
      </c>
      <c r="BG21" s="2505" t="n">
        <v>262.891</v>
      </c>
      <c r="BH21" s="2504" t="n">
        <v>0.0559</v>
      </c>
      <c r="BI21" s="1081" t="n"/>
      <c r="BJ21" s="2505" t="n">
        <v>2.531</v>
      </c>
      <c r="BK21" s="2505" t="n">
        <v>299.29</v>
      </c>
      <c r="BL21" s="2506" t="n">
        <v>0.0537</v>
      </c>
      <c r="BM21" s="1081" t="n"/>
      <c r="BN21" s="2503" t="n">
        <v>2.455</v>
      </c>
      <c r="BO21" s="2503" t="n">
        <v>321.578</v>
      </c>
      <c r="BP21" s="1087" t="n">
        <v>0.0522</v>
      </c>
      <c r="BQ21" s="2507" t="n">
        <v>2.015</v>
      </c>
      <c r="BR21" s="2503" t="n">
        <v>218.227</v>
      </c>
      <c r="BS21" s="1087" t="n">
        <v>0.0483</v>
      </c>
      <c r="BT21" s="2503" t="n">
        <v>1.576</v>
      </c>
      <c r="BU21" s="2503" t="n">
        <v>212.644</v>
      </c>
      <c r="BV21" s="1087" t="n">
        <v>0.047</v>
      </c>
      <c r="BW21" s="1087" t="n"/>
      <c r="BX21" s="1087" t="n"/>
      <c r="BY21" s="1087" t="n"/>
      <c r="BZ21" s="1087" t="n"/>
      <c r="CA21" s="1087" t="n"/>
      <c r="CB21" s="1087" t="n"/>
      <c r="CC21" s="1087" t="n"/>
    </row>
    <row r="22">
      <c r="C22" s="1073" t="n"/>
      <c r="D22" s="1073" t="n"/>
      <c r="E22" s="1073" t="n"/>
      <c r="F22" s="1073" t="n"/>
      <c r="G22" s="1073" t="n"/>
      <c r="H22" s="2508" t="n"/>
      <c r="I22" s="1073" t="n"/>
      <c r="J22" s="1073" t="n"/>
      <c r="K22" s="1073" t="n"/>
      <c r="L22" s="2508" t="n"/>
      <c r="M22" s="1073" t="n"/>
      <c r="N22" s="1073" t="n"/>
      <c r="O22" s="1073" t="n"/>
      <c r="P22" s="2508" t="n"/>
      <c r="Q22" s="1073" t="n"/>
      <c r="R22" s="1073" t="n"/>
      <c r="S22" s="1073" t="n"/>
      <c r="T22" s="2508" t="n"/>
      <c r="U22" s="1073" t="n"/>
      <c r="V22" s="1073" t="n"/>
      <c r="W22" s="1073" t="n"/>
      <c r="X22" s="2508" t="n"/>
      <c r="Y22" s="1073" t="n"/>
      <c r="Z22" s="1073" t="n"/>
      <c r="AA22" s="1073" t="n"/>
      <c r="AB22" s="2508" t="n"/>
      <c r="AC22" s="1073" t="n"/>
      <c r="AD22" s="1073" t="n"/>
      <c r="AE22" s="1073" t="n"/>
      <c r="AF22" s="2508" t="n"/>
      <c r="AG22" s="1073" t="n"/>
      <c r="AH22" s="1073" t="n"/>
      <c r="AI22" s="1073" t="n"/>
      <c r="AJ22" s="2508" t="n"/>
      <c r="AK22" s="2509" t="n"/>
      <c r="AL22" s="1073" t="n"/>
      <c r="AM22" s="1073" t="n"/>
      <c r="AN22" s="2508" t="n"/>
      <c r="AO22" s="1073" t="n"/>
      <c r="AP22" s="1073" t="n"/>
      <c r="AQ22" s="1073" t="n"/>
      <c r="AR22" s="2508" t="n"/>
      <c r="AS22" s="2509" t="n"/>
      <c r="AT22" s="2510" t="n"/>
      <c r="AU22" s="2510" t="n"/>
      <c r="AV22" s="2509" t="n"/>
      <c r="AW22" s="2509" t="n"/>
      <c r="AX22" s="2510" t="n"/>
      <c r="AY22" s="2510" t="n"/>
      <c r="AZ22" s="2509" t="n"/>
      <c r="BA22" s="1073" t="n"/>
      <c r="BB22" s="2510" t="n"/>
      <c r="BC22" s="2510" t="n"/>
      <c r="BD22" s="2509" t="n"/>
      <c r="BE22" s="1073" t="n"/>
      <c r="BF22" s="2510" t="n"/>
      <c r="BG22" s="2510" t="n"/>
      <c r="BH22" s="2509" t="n"/>
      <c r="BI22" s="1073" t="n"/>
      <c r="BJ22" s="2510" t="n"/>
      <c r="BK22" s="2510" t="n"/>
      <c r="BL22" s="2511" t="n"/>
      <c r="BM22" s="1073" t="n"/>
      <c r="BN22" s="1073" t="n"/>
      <c r="BO22" s="1073" t="n"/>
      <c r="BP22" s="2508" t="n"/>
      <c r="BQ22" s="1073" t="n"/>
      <c r="BR22" s="1073" t="n"/>
      <c r="BS22" s="2508" t="n"/>
      <c r="BT22" s="1073" t="n"/>
      <c r="BU22" s="1073" t="n"/>
      <c r="BV22" s="2508" t="n"/>
      <c r="BW22" s="2512" t="n"/>
      <c r="BX22" s="2512" t="n"/>
      <c r="BY22" s="2512" t="n"/>
      <c r="BZ22" s="2512" t="n"/>
      <c r="CA22" s="2512" t="n"/>
      <c r="CB22" s="2512" t="n"/>
      <c r="CC22" s="2512" t="n"/>
    </row>
    <row r="23">
      <c r="C23" s="1081" t="inlineStr">
        <is>
          <t>Breakdown of the 10th Decile</t>
        </is>
      </c>
      <c r="D23" s="1071" t="n"/>
      <c r="E23" s="1071" t="n"/>
      <c r="F23" s="1071" t="n"/>
      <c r="G23" s="1071" t="n"/>
      <c r="H23" s="2512" t="n"/>
      <c r="I23" s="1071" t="n"/>
      <c r="J23" s="1071" t="n"/>
      <c r="K23" s="1071" t="n"/>
      <c r="L23" s="2512" t="n"/>
      <c r="M23" s="1071" t="n"/>
      <c r="N23" s="1071" t="n"/>
      <c r="O23" s="1071" t="n"/>
      <c r="P23" s="2512" t="n"/>
      <c r="Q23" s="1071" t="n"/>
      <c r="R23" s="1071" t="n"/>
      <c r="S23" s="1071" t="n"/>
      <c r="T23" s="2512" t="n"/>
      <c r="U23" s="1071" t="n"/>
      <c r="V23" s="1071" t="n"/>
      <c r="W23" s="1071" t="n"/>
      <c r="X23" s="2512" t="n"/>
      <c r="Y23" s="1071" t="n"/>
      <c r="Z23" s="1071" t="n"/>
      <c r="AA23" s="1071" t="n"/>
      <c r="AB23" s="2512" t="n"/>
      <c r="AC23" s="1071" t="n"/>
      <c r="AD23" s="1071" t="n"/>
      <c r="AE23" s="1071" t="n"/>
      <c r="AF23" s="2512" t="n"/>
      <c r="AG23" s="1071" t="n"/>
      <c r="AH23" s="1071" t="n"/>
      <c r="AI23" s="1071" t="n"/>
      <c r="AJ23" s="2512" t="n"/>
      <c r="AK23" s="2498" t="n"/>
      <c r="AL23" s="1071" t="n"/>
      <c r="AM23" s="1071" t="n"/>
      <c r="AN23" s="2512" t="n"/>
      <c r="AO23" s="1071" t="n"/>
      <c r="AP23" s="1071" t="n"/>
      <c r="AQ23" s="1071" t="n"/>
      <c r="AR23" s="2512" t="n"/>
      <c r="AS23" s="2498" t="n"/>
      <c r="AT23" s="2499" t="n"/>
      <c r="AU23" s="2499" t="n"/>
      <c r="AV23" s="2498" t="n"/>
      <c r="AW23" s="2498" t="n"/>
      <c r="AX23" s="2499" t="n"/>
      <c r="AY23" s="2499" t="n"/>
      <c r="AZ23" s="2498" t="n"/>
      <c r="BA23" s="1071" t="n"/>
      <c r="BB23" s="2499" t="n"/>
      <c r="BC23" s="2499" t="n"/>
      <c r="BD23" s="2498" t="n"/>
      <c r="BE23" s="1071" t="n"/>
      <c r="BF23" s="2499" t="n"/>
      <c r="BG23" s="2499" t="n"/>
      <c r="BH23" s="2498" t="n"/>
      <c r="BI23" s="1071" t="n"/>
      <c r="BJ23" s="2499" t="n"/>
      <c r="BK23" s="2499" t="n"/>
      <c r="BL23" s="2497" t="n"/>
      <c r="BM23" s="1071" t="n"/>
      <c r="BN23" s="1071" t="n"/>
      <c r="BO23" s="1071" t="n"/>
      <c r="BP23" s="2512" t="n"/>
      <c r="BQ23" s="1071" t="n"/>
      <c r="BR23" s="1071" t="n"/>
      <c r="BS23" s="2512" t="n"/>
      <c r="BT23" s="1071" t="n"/>
      <c r="BU23" s="1071" t="n"/>
      <c r="BV23" s="2512" t="n"/>
      <c r="BW23" s="2512" t="n"/>
      <c r="BX23" s="2512" t="n"/>
      <c r="BY23" s="2512" t="n"/>
      <c r="BZ23" s="2512" t="n"/>
      <c r="CA23" s="2512" t="n"/>
      <c r="CB23" s="2512" t="n"/>
      <c r="CC23" s="2512" t="n"/>
    </row>
    <row r="24">
      <c r="C24" s="1071" t="n"/>
      <c r="D24" s="1097" t="inlineStr">
        <is>
          <t>10a</t>
        </is>
      </c>
      <c r="E24" s="1097" t="n"/>
      <c r="F24" s="2513" t="n">
        <v>96.961</v>
      </c>
      <c r="G24" s="2513" t="n">
        <v>166.414</v>
      </c>
      <c r="H24" s="2514" t="n">
        <v>0.045</v>
      </c>
      <c r="I24" s="1100" t="n"/>
      <c r="J24" s="2513" t="n">
        <v>144.122</v>
      </c>
      <c r="K24" s="2513" t="n">
        <v>262.725</v>
      </c>
      <c r="L24" s="2514" t="n">
        <v>0.0454</v>
      </c>
      <c r="M24" s="1100" t="n"/>
      <c r="N24" s="2513" t="n">
        <v>169.245</v>
      </c>
      <c r="O24" s="2513" t="n">
        <v>264.981</v>
      </c>
      <c r="P24" s="2514" t="n">
        <v>0.0439</v>
      </c>
      <c r="Q24" s="1100" t="n"/>
      <c r="R24" s="2513" t="n">
        <v>173.664</v>
      </c>
      <c r="S24" s="2513" t="n">
        <v>314.433</v>
      </c>
      <c r="T24" s="2514" t="n">
        <v>0.0435</v>
      </c>
      <c r="U24" s="1100" t="n"/>
      <c r="V24" s="2513" t="n">
        <v>211.628</v>
      </c>
      <c r="W24" s="2513" t="n">
        <v>363.479</v>
      </c>
      <c r="X24" s="2514" t="n">
        <v>0.0399</v>
      </c>
      <c r="Y24" s="1100" t="n"/>
      <c r="Z24" s="2513" t="n">
        <v>136.599</v>
      </c>
      <c r="AA24" s="2513" t="n">
        <v>218.533</v>
      </c>
      <c r="AB24" s="2514" t="n">
        <v>0.0411</v>
      </c>
      <c r="AC24" s="1100" t="n"/>
      <c r="AD24" s="2513" t="n">
        <v>123.536</v>
      </c>
      <c r="AE24" s="2513" t="n">
        <v>214.111</v>
      </c>
      <c r="AF24" s="2514" t="n">
        <v>0.0445</v>
      </c>
      <c r="AG24" s="1100" t="n"/>
      <c r="AH24" s="2513" t="n">
        <v>143.887</v>
      </c>
      <c r="AI24" s="2513" t="n">
        <v>235.647</v>
      </c>
      <c r="AJ24" s="2514" t="n">
        <v>0.0455</v>
      </c>
      <c r="AK24" s="2515" t="n"/>
      <c r="AL24" s="2513" t="n">
        <v>128.714</v>
      </c>
      <c r="AM24" s="2513" t="n">
        <v>206.795</v>
      </c>
      <c r="AN24" s="2514" t="n">
        <v>0.0434</v>
      </c>
      <c r="AO24" s="1100" t="n"/>
      <c r="AP24" s="2513" t="n">
        <v>166.154</v>
      </c>
      <c r="AQ24" s="2513" t="n">
        <v>253.761</v>
      </c>
      <c r="AR24" s="2514" t="n">
        <v>0.0423</v>
      </c>
      <c r="AS24" s="2515" t="n"/>
      <c r="AT24" s="2516" t="n"/>
      <c r="AU24" s="2516" t="n"/>
      <c r="AV24" s="2515" t="n"/>
      <c r="AW24" s="2515" t="n"/>
      <c r="AX24" s="2516" t="n"/>
      <c r="AY24" s="2516" t="n"/>
      <c r="AZ24" s="2515" t="n"/>
      <c r="BA24" s="1100" t="n"/>
      <c r="BB24" s="2516" t="n">
        <v>108.692</v>
      </c>
      <c r="BC24" s="2516" t="n">
        <v>209.406</v>
      </c>
      <c r="BD24" s="2515" t="n">
        <v>0.0404</v>
      </c>
      <c r="BE24" s="1100" t="n"/>
      <c r="BF24" s="2516" t="n">
        <v>127.296</v>
      </c>
      <c r="BG24" s="2516" t="n">
        <v>262.891</v>
      </c>
      <c r="BH24" s="2515" t="n">
        <v>0.0409</v>
      </c>
      <c r="BI24" s="1100" t="n"/>
      <c r="BJ24" s="2516" t="n">
        <v>166.505</v>
      </c>
      <c r="BK24" s="2516" t="n">
        <v>299.29</v>
      </c>
      <c r="BL24" s="2514" t="n">
        <v>0.0386</v>
      </c>
      <c r="BM24" s="1100" t="n"/>
      <c r="BN24" s="2513" t="n">
        <v>185.418</v>
      </c>
      <c r="BO24" s="2513" t="n">
        <v>321.578</v>
      </c>
      <c r="BP24" s="2514" t="n">
        <v>0.0371</v>
      </c>
      <c r="BQ24" s="2513" t="n">
        <v>123.803</v>
      </c>
      <c r="BR24" s="2513" t="n">
        <v>218.227</v>
      </c>
      <c r="BS24" s="2514" t="n">
        <v>0.034</v>
      </c>
      <c r="BT24" s="2513" t="n">
        <v>97.464</v>
      </c>
      <c r="BU24" s="2513" t="n">
        <v>212.644</v>
      </c>
      <c r="BV24" s="2514" t="n">
        <v>0.0329</v>
      </c>
      <c r="BW24" s="2506" t="n"/>
      <c r="BX24" s="2506" t="n"/>
      <c r="BY24" s="2506" t="n"/>
      <c r="BZ24" s="2506" t="n"/>
      <c r="CA24" s="2506" t="n"/>
      <c r="CB24" s="2506" t="n"/>
      <c r="CC24" s="2506" t="n"/>
    </row>
    <row r="25">
      <c r="C25" s="1071" t="n"/>
      <c r="D25" s="1103" t="inlineStr">
        <is>
          <t>10w</t>
        </is>
      </c>
      <c r="E25" s="1104" t="n"/>
      <c r="F25" s="2517" t="n"/>
      <c r="G25" s="2517" t="n"/>
      <c r="H25" s="1082" t="n"/>
      <c r="I25" s="1124" t="n"/>
      <c r="J25" s="2517" t="n"/>
      <c r="K25" s="2517" t="n"/>
      <c r="L25" s="1082" t="n"/>
      <c r="M25" s="1124" t="n"/>
      <c r="N25" s="2517" t="n"/>
      <c r="O25" s="2517" t="n"/>
      <c r="P25" s="1082" t="n"/>
      <c r="Q25" s="1124" t="n"/>
      <c r="R25" s="2517" t="n"/>
      <c r="S25" s="2517" t="n"/>
      <c r="T25" s="1082" t="n"/>
      <c r="U25" s="1124" t="n"/>
      <c r="V25" s="2517" t="n"/>
      <c r="W25" s="2517" t="n"/>
      <c r="X25" s="1082" t="n"/>
      <c r="Y25" s="1124" t="n"/>
      <c r="Z25" s="2517" t="n"/>
      <c r="AA25" s="2517" t="n"/>
      <c r="AB25" s="1082" t="n"/>
      <c r="AC25" s="1124" t="n"/>
      <c r="AD25" s="2517" t="n">
        <v>169.664</v>
      </c>
      <c r="AE25" s="2517" t="n">
        <v>214.111</v>
      </c>
      <c r="AF25" s="1082" t="n">
        <v>0.0385</v>
      </c>
      <c r="AG25" s="1124" t="n"/>
      <c r="AH25" s="2517" t="n">
        <v>179.554</v>
      </c>
      <c r="AI25" s="2517" t="n">
        <v>235.647</v>
      </c>
      <c r="AJ25" s="1082" t="n">
        <v>0.0399</v>
      </c>
      <c r="AK25" s="2498" t="n"/>
      <c r="AL25" s="2517" t="n">
        <v>170.605</v>
      </c>
      <c r="AM25" s="2517" t="n">
        <v>206.795</v>
      </c>
      <c r="AN25" s="1082" t="n">
        <v>0.038</v>
      </c>
      <c r="AO25" s="1124" t="n"/>
      <c r="AP25" s="2517" t="n">
        <v>212.292</v>
      </c>
      <c r="AQ25" s="2517" t="n">
        <v>253.761</v>
      </c>
      <c r="AR25" s="1082" t="n">
        <v>0.0366</v>
      </c>
      <c r="AS25" s="2498" t="n"/>
      <c r="AT25" s="2518" t="n"/>
      <c r="AU25" s="2518" t="n"/>
      <c r="AV25" s="2498" t="n"/>
      <c r="AW25" s="2498" t="n"/>
      <c r="AX25" s="2518" t="n"/>
      <c r="AY25" s="2518" t="n"/>
      <c r="AZ25" s="2498" t="n"/>
      <c r="BA25" s="1124" t="n"/>
      <c r="BB25" s="2518" t="n">
        <v>148.934</v>
      </c>
      <c r="BC25" s="2518" t="n">
        <v>209.406</v>
      </c>
      <c r="BD25" s="2498" t="n">
        <v>0.0304</v>
      </c>
      <c r="BE25" s="1124" t="n"/>
      <c r="BF25" s="2518" t="n">
        <v>190.533</v>
      </c>
      <c r="BG25" s="2518" t="n">
        <v>262.891</v>
      </c>
      <c r="BH25" s="2498" t="n">
        <v>0.031</v>
      </c>
      <c r="BI25" s="1071" t="n"/>
      <c r="BJ25" s="2518" t="n">
        <v>228.014</v>
      </c>
      <c r="BK25" s="2518" t="n">
        <v>299.29</v>
      </c>
      <c r="BL25" s="2497" t="n">
        <v>0.0291</v>
      </c>
      <c r="BM25" s="1071" t="n"/>
      <c r="BN25" s="2517" t="n">
        <v>250.27</v>
      </c>
      <c r="BO25" s="2517" t="n">
        <v>321.578</v>
      </c>
      <c r="BP25" s="1082" t="n">
        <v>0.0289</v>
      </c>
      <c r="BQ25" s="2517" t="n">
        <v>175.069</v>
      </c>
      <c r="BR25" s="2517" t="n">
        <v>218.227</v>
      </c>
      <c r="BS25" s="1082" t="n">
        <v>0.0244</v>
      </c>
      <c r="BT25" s="2517" t="n">
        <v>153.796</v>
      </c>
      <c r="BU25" s="2517" t="n">
        <v>212.644</v>
      </c>
      <c r="BV25" s="1082" t="n">
        <v>0.0238</v>
      </c>
      <c r="BW25" s="1082" t="n"/>
      <c r="BX25" s="1082" t="n"/>
      <c r="BY25" s="1082" t="n"/>
      <c r="BZ25" s="1082" t="n"/>
      <c r="CA25" s="1082" t="n"/>
      <c r="CB25" s="1082" t="n"/>
      <c r="CC25" s="1082" t="n"/>
    </row>
    <row r="26">
      <c r="C26" s="1071" t="n"/>
      <c r="D26" s="1103" t="inlineStr">
        <is>
          <t>10x</t>
        </is>
      </c>
      <c r="E26" s="1104" t="n"/>
      <c r="F26" s="2517" t="n"/>
      <c r="G26" s="2517" t="n"/>
      <c r="H26" s="1082" t="n"/>
      <c r="I26" s="1124" t="n"/>
      <c r="J26" s="2517" t="n"/>
      <c r="K26" s="2517" t="n"/>
      <c r="L26" s="1082" t="n"/>
      <c r="M26" s="1124" t="n"/>
      <c r="N26" s="2517" t="n"/>
      <c r="O26" s="2517" t="n"/>
      <c r="P26" s="1082" t="n"/>
      <c r="Q26" s="1124" t="n"/>
      <c r="R26" s="2517" t="n"/>
      <c r="S26" s="2517" t="n"/>
      <c r="T26" s="1082" t="n"/>
      <c r="U26" s="1124" t="n"/>
      <c r="V26" s="2517" t="n"/>
      <c r="W26" s="2517" t="n"/>
      <c r="X26" s="1082" t="n"/>
      <c r="Y26" s="1124" t="n"/>
      <c r="Z26" s="2517" t="n"/>
      <c r="AA26" s="2517" t="n"/>
      <c r="AB26" s="1082" t="n"/>
      <c r="AC26" s="1124" t="n"/>
      <c r="AD26" s="2517" t="n">
        <v>123.536</v>
      </c>
      <c r="AE26" s="2517" t="n">
        <v>169.497</v>
      </c>
      <c r="AF26" s="1082" t="n">
        <v>0.0491</v>
      </c>
      <c r="AG26" s="1124" t="n"/>
      <c r="AH26" s="2517" t="n">
        <v>143.887</v>
      </c>
      <c r="AI26" s="2517" t="n">
        <v>179.316</v>
      </c>
      <c r="AJ26" s="1082" t="n">
        <v>0.0496</v>
      </c>
      <c r="AK26" s="2498" t="n"/>
      <c r="AL26" s="2517" t="n">
        <v>128.714</v>
      </c>
      <c r="AM26" s="2517" t="n">
        <v>170.594</v>
      </c>
      <c r="AN26" s="1082" t="n">
        <v>0.0475</v>
      </c>
      <c r="AO26" s="1124" t="n"/>
      <c r="AP26" s="2517" t="n">
        <v>166.154</v>
      </c>
      <c r="AQ26" s="2517" t="n">
        <v>212.031</v>
      </c>
      <c r="AR26" s="1082" t="n">
        <v>0.0466</v>
      </c>
      <c r="AS26" s="2498" t="n"/>
      <c r="AT26" s="2518" t="n"/>
      <c r="AU26" s="2518" t="n"/>
      <c r="AV26" s="2498" t="n"/>
      <c r="AW26" s="2498" t="n"/>
      <c r="AX26" s="2518" t="n"/>
      <c r="AY26" s="2518" t="n"/>
      <c r="AZ26" s="2498" t="n"/>
      <c r="BA26" s="1124" t="n"/>
      <c r="BB26" s="2518" t="n">
        <v>108.692</v>
      </c>
      <c r="BC26" s="2518" t="n">
        <v>148.813</v>
      </c>
      <c r="BD26" s="2498" t="n">
        <v>0.053</v>
      </c>
      <c r="BE26" s="1124" t="n"/>
      <c r="BF26" s="2518" t="n">
        <v>127.293</v>
      </c>
      <c r="BG26" s="2518" t="n">
        <v>190.383</v>
      </c>
      <c r="BH26" s="2498" t="n">
        <v>0.0533</v>
      </c>
      <c r="BI26" s="1071" t="n"/>
      <c r="BJ26" s="2518" t="n">
        <v>166.505</v>
      </c>
      <c r="BK26" s="2518" t="n">
        <v>227.819</v>
      </c>
      <c r="BL26" s="2497" t="n">
        <v>0.0504</v>
      </c>
      <c r="BM26" s="1071" t="n"/>
      <c r="BN26" s="2517" t="n">
        <v>185.418</v>
      </c>
      <c r="BO26" s="2517" t="n">
        <v>250.248</v>
      </c>
      <c r="BP26" s="1082" t="n">
        <v>0.0468</v>
      </c>
      <c r="BQ26" s="2517" t="n">
        <v>123.803</v>
      </c>
      <c r="BR26" s="2517" t="n">
        <v>174.825</v>
      </c>
      <c r="BS26" s="1082" t="n">
        <v>0.0465</v>
      </c>
      <c r="BT26" s="2517" t="n">
        <v>97.464</v>
      </c>
      <c r="BU26" s="2517" t="n">
        <v>153.67</v>
      </c>
      <c r="BV26" s="1082" t="n">
        <v>0.0443</v>
      </c>
      <c r="BW26" s="1082" t="n"/>
      <c r="BX26" s="1082" t="n"/>
      <c r="BY26" s="1082" t="n"/>
      <c r="BZ26" s="1082" t="n"/>
      <c r="CA26" s="1082" t="n"/>
      <c r="CB26" s="1082" t="n"/>
      <c r="CC26" s="1082" t="n"/>
    </row>
    <row r="27">
      <c r="C27" s="1071" t="n"/>
      <c r="D27" s="1097" t="inlineStr">
        <is>
          <t>10b</t>
        </is>
      </c>
      <c r="E27" s="1097" t="n"/>
      <c r="F27" s="2513" t="n">
        <v>0.332</v>
      </c>
      <c r="G27" s="2513" t="n">
        <v>96.928</v>
      </c>
      <c r="H27" s="1108" t="n">
        <v>0.0982</v>
      </c>
      <c r="I27" s="1100" t="n"/>
      <c r="J27" s="2513" t="n">
        <v>1.393</v>
      </c>
      <c r="K27" s="2513" t="n">
        <v>143.916</v>
      </c>
      <c r="L27" s="1108" t="n">
        <v>0.099</v>
      </c>
      <c r="M27" s="1100" t="n"/>
      <c r="N27" s="2513" t="n">
        <v>1.079</v>
      </c>
      <c r="O27" s="2513" t="n">
        <v>169.195</v>
      </c>
      <c r="P27" s="1108" t="n">
        <v>0.0983</v>
      </c>
      <c r="Q27" s="1100" t="n"/>
      <c r="R27" s="2513" t="n">
        <v>2.247</v>
      </c>
      <c r="S27" s="2513" t="n">
        <v>173.439</v>
      </c>
      <c r="T27" s="1108" t="n">
        <v>0.0968</v>
      </c>
      <c r="U27" s="1100" t="n"/>
      <c r="V27" s="2513" t="n">
        <v>1.922</v>
      </c>
      <c r="W27" s="2513" t="n">
        <v>211.59</v>
      </c>
      <c r="X27" s="1108" t="n">
        <v>0.0973</v>
      </c>
      <c r="Y27" s="1100" t="n"/>
      <c r="Z27" s="2513" t="n">
        <v>1.575</v>
      </c>
      <c r="AA27" s="2513" t="n">
        <v>136.5</v>
      </c>
      <c r="AB27" s="1108" t="n">
        <v>0.0953</v>
      </c>
      <c r="AC27" s="1100" t="n"/>
      <c r="AD27" s="2513" t="n">
        <v>1.007</v>
      </c>
      <c r="AE27" s="2513" t="n">
        <v>123.516</v>
      </c>
      <c r="AF27" s="1108" t="n">
        <v>0.1001</v>
      </c>
      <c r="AG27" s="1100" t="n"/>
      <c r="AH27" s="2513" t="n">
        <v>1.222</v>
      </c>
      <c r="AI27" s="2513" t="n">
        <v>143.379</v>
      </c>
      <c r="AJ27" s="1108" t="n">
        <v>0.1006</v>
      </c>
      <c r="AK27" s="2515" t="n"/>
      <c r="AL27" s="2513" t="n">
        <v>1.028</v>
      </c>
      <c r="AM27" s="2513" t="n">
        <v>128.672</v>
      </c>
      <c r="AN27" s="1108" t="n">
        <v>0.09810000000000001</v>
      </c>
      <c r="AO27" s="1100" t="n"/>
      <c r="AP27" s="2513" t="n">
        <v>1.139</v>
      </c>
      <c r="AQ27" s="2513" t="n">
        <v>165.6</v>
      </c>
      <c r="AR27" s="1108" t="n">
        <v>0.0974</v>
      </c>
      <c r="AS27" s="2515" t="n"/>
      <c r="AT27" s="2516" t="n"/>
      <c r="AU27" s="2516" t="n"/>
      <c r="AV27" s="2515" t="n"/>
      <c r="AW27" s="2515" t="n"/>
      <c r="AX27" s="2516" t="n"/>
      <c r="AY27" s="2516" t="n"/>
      <c r="AZ27" s="2515" t="n"/>
      <c r="BA27" s="1100" t="n"/>
      <c r="BB27" s="2516" t="n">
        <v>1.963</v>
      </c>
      <c r="BC27" s="2516" t="n">
        <v>108.598</v>
      </c>
      <c r="BD27" s="2515" t="n">
        <v>0.0876</v>
      </c>
      <c r="BE27" s="1100" t="n"/>
      <c r="BF27" s="2516" t="n">
        <v>2.516</v>
      </c>
      <c r="BG27" s="2516" t="n">
        <v>127.279</v>
      </c>
      <c r="BH27" s="2515" t="n">
        <v>0.0864</v>
      </c>
      <c r="BI27" s="1100" t="n"/>
      <c r="BJ27" s="2516" t="n">
        <v>2.531</v>
      </c>
      <c r="BK27" s="2516" t="n">
        <v>166.349</v>
      </c>
      <c r="BL27" s="2514" t="n">
        <v>0.08409999999999999</v>
      </c>
      <c r="BM27" s="1100" t="n"/>
      <c r="BN27" s="2513" t="n">
        <v>2.455</v>
      </c>
      <c r="BO27" s="2513" t="n">
        <v>184.785</v>
      </c>
      <c r="BP27" s="1108" t="n">
        <v>0.0825</v>
      </c>
      <c r="BQ27" s="2513" t="n">
        <v>2.015</v>
      </c>
      <c r="BR27" s="2513" t="n">
        <v>123.803</v>
      </c>
      <c r="BS27" s="1108" t="n">
        <v>0.07829999999999999</v>
      </c>
      <c r="BT27" s="2513" t="n">
        <v>1.576</v>
      </c>
      <c r="BU27" s="2513" t="n">
        <v>97.398</v>
      </c>
      <c r="BV27" s="1108" t="n">
        <v>0.0764</v>
      </c>
      <c r="BW27" s="1087" t="n"/>
      <c r="BX27" s="1087" t="n"/>
      <c r="BY27" s="1087" t="n"/>
      <c r="BZ27" s="1087" t="n"/>
      <c r="CA27" s="1087" t="n"/>
      <c r="CB27" s="1087" t="n"/>
      <c r="CC27" s="1087" t="n"/>
    </row>
    <row r="28">
      <c r="C28" s="1071" t="n"/>
      <c r="D28" s="1103" t="inlineStr">
        <is>
          <t>10y</t>
        </is>
      </c>
      <c r="E28" s="1104" t="n"/>
      <c r="F28" s="2517" t="n"/>
      <c r="G28" s="2517" t="n"/>
      <c r="H28" s="1082" t="n"/>
      <c r="I28" s="1124" t="n"/>
      <c r="J28" s="2517" t="n"/>
      <c r="K28" s="2517" t="n"/>
      <c r="L28" s="1082" t="n"/>
      <c r="M28" s="1124" t="n"/>
      <c r="N28" s="2517" t="n"/>
      <c r="O28" s="2517" t="n"/>
      <c r="P28" s="1082" t="n"/>
      <c r="Q28" s="1124" t="n"/>
      <c r="R28" s="2517" t="n"/>
      <c r="S28" s="2517" t="n"/>
      <c r="T28" s="1082" t="n"/>
      <c r="U28" s="1124" t="n"/>
      <c r="V28" s="2517" t="n"/>
      <c r="W28" s="2517" t="n"/>
      <c r="X28" s="1082" t="n"/>
      <c r="Y28" s="1124" t="n"/>
      <c r="Z28" s="2517" t="n"/>
      <c r="AA28" s="2517" t="n"/>
      <c r="AB28" s="1082" t="n"/>
      <c r="AC28" s="1124" t="n"/>
      <c r="AD28" s="2517" t="n">
        <v>76.075</v>
      </c>
      <c r="AE28" s="2517" t="n">
        <v>123.516</v>
      </c>
      <c r="AF28" s="1082" t="n">
        <v>0.0905</v>
      </c>
      <c r="AG28" s="1124" t="n"/>
      <c r="AH28" s="2517" t="n">
        <v>85.706</v>
      </c>
      <c r="AI28" s="2517" t="n">
        <v>143.379</v>
      </c>
      <c r="AJ28" s="1082" t="n">
        <v>0.0915</v>
      </c>
      <c r="AK28" s="2498" t="n"/>
      <c r="AL28" s="2517" t="n">
        <v>86.875</v>
      </c>
      <c r="AM28" s="2517" t="n">
        <v>128.672</v>
      </c>
      <c r="AN28" s="1082" t="n">
        <v>0.0893</v>
      </c>
      <c r="AO28" s="1124" t="n"/>
      <c r="AP28" s="2517" t="n">
        <v>96.483</v>
      </c>
      <c r="AQ28" s="2517" t="n">
        <v>165.6</v>
      </c>
      <c r="AR28" s="1082" t="n">
        <v>0.089</v>
      </c>
      <c r="AS28" s="2498" t="n"/>
      <c r="AT28" s="2518" t="n"/>
      <c r="AU28" s="2518" t="n"/>
      <c r="AV28" s="2498" t="n"/>
      <c r="AW28" s="2498" t="n"/>
      <c r="AX28" s="2518" t="n"/>
      <c r="AY28" s="2518" t="n"/>
      <c r="AZ28" s="2498" t="n"/>
      <c r="BA28" s="1124" t="n"/>
      <c r="BB28" s="2518" t="n">
        <v>64.846</v>
      </c>
      <c r="BC28" s="2518" t="n">
        <v>108.598</v>
      </c>
      <c r="BD28" s="2498" t="n">
        <v>0.0732</v>
      </c>
      <c r="BE28" s="1124" t="n"/>
      <c r="BF28" s="2518" t="n">
        <v>73.56100000000001</v>
      </c>
      <c r="BG28" s="2518" t="n">
        <v>127.279</v>
      </c>
      <c r="BH28" s="2498" t="n">
        <v>0.0721</v>
      </c>
      <c r="BI28" s="1071" t="n"/>
      <c r="BJ28" s="2518" t="n">
        <v>87.646</v>
      </c>
      <c r="BK28" s="2518" t="n">
        <v>166.349</v>
      </c>
      <c r="BL28" s="2497" t="n">
        <v>0.0698</v>
      </c>
      <c r="BM28" s="1071" t="n"/>
      <c r="BN28" s="2517" t="n">
        <v>109.462</v>
      </c>
      <c r="BO28" s="2517" t="n">
        <v>184.785</v>
      </c>
      <c r="BP28" s="1082" t="n">
        <v>0.06850000000000001</v>
      </c>
      <c r="BQ28" s="2517" t="n">
        <v>79.47</v>
      </c>
      <c r="BR28" s="2517" t="n">
        <v>123.803</v>
      </c>
      <c r="BS28" s="1082" t="n">
        <v>0.06370000000000001</v>
      </c>
      <c r="BT28" s="2517" t="n">
        <v>57.815</v>
      </c>
      <c r="BU28" s="2517" t="n">
        <v>97.398</v>
      </c>
      <c r="BV28" s="1082" t="n">
        <v>0.0622</v>
      </c>
      <c r="BW28" s="1082" t="n"/>
      <c r="BX28" s="1082" t="n"/>
      <c r="BY28" s="1082" t="n"/>
      <c r="BZ28" s="1082" t="n"/>
      <c r="CA28" s="1082" t="n"/>
      <c r="CB28" s="1082" t="n"/>
      <c r="CC28" s="1082" t="n"/>
    </row>
    <row r="29">
      <c r="C29" s="1071" t="n"/>
      <c r="D29" s="1103" t="inlineStr">
        <is>
          <t>10z</t>
        </is>
      </c>
      <c r="E29" s="1104" t="n"/>
      <c r="F29" s="2517" t="n"/>
      <c r="G29" s="2517" t="n"/>
      <c r="H29" s="1082" t="n"/>
      <c r="I29" s="1124" t="n"/>
      <c r="J29" s="2517" t="n"/>
      <c r="K29" s="2517" t="n"/>
      <c r="L29" s="1082" t="n"/>
      <c r="M29" s="1124" t="n"/>
      <c r="N29" s="2517" t="n"/>
      <c r="O29" s="2517" t="n"/>
      <c r="P29" s="1082" t="n"/>
      <c r="Q29" s="1124" t="n"/>
      <c r="R29" s="2517" t="n"/>
      <c r="S29" s="2517" t="n"/>
      <c r="T29" s="1082" t="n"/>
      <c r="U29" s="1124" t="n"/>
      <c r="V29" s="2517" t="n"/>
      <c r="W29" s="2517" t="n"/>
      <c r="X29" s="1082" t="n"/>
      <c r="Y29" s="1124" t="n"/>
      <c r="Z29" s="2517" t="n"/>
      <c r="AA29" s="2517" t="n"/>
      <c r="AB29" s="1082" t="n"/>
      <c r="AC29" s="1124" t="n"/>
      <c r="AD29" s="2517" t="n">
        <v>1.007</v>
      </c>
      <c r="AE29" s="2517" t="n">
        <v>76.05200000000001</v>
      </c>
      <c r="AF29" s="1082" t="n">
        <v>0.1206</v>
      </c>
      <c r="AG29" s="1124" t="n"/>
      <c r="AH29" s="2517" t="n">
        <v>1.222</v>
      </c>
      <c r="AI29" s="2517" t="n">
        <v>85.67</v>
      </c>
      <c r="AJ29" s="1082" t="n">
        <v>0.1206</v>
      </c>
      <c r="AK29" s="2498" t="n"/>
      <c r="AL29" s="2517" t="n">
        <v>1.028</v>
      </c>
      <c r="AM29" s="2517" t="n">
        <v>86.75700000000001</v>
      </c>
      <c r="AN29" s="1082" t="n">
        <v>0.1177</v>
      </c>
      <c r="AO29" s="1124" t="n"/>
      <c r="AP29" s="2517" t="n">
        <v>1.139</v>
      </c>
      <c r="AQ29" s="2517" t="n">
        <v>96.164</v>
      </c>
      <c r="AR29" s="1082" t="n">
        <v>0.1165</v>
      </c>
      <c r="AS29" s="2498" t="n"/>
      <c r="AT29" s="2519" t="n"/>
      <c r="AU29" s="2519" t="n"/>
      <c r="AV29" s="2498" t="n"/>
      <c r="AW29" s="2498" t="n"/>
      <c r="AX29" s="2519" t="n"/>
      <c r="AY29" s="2519" t="n"/>
      <c r="AZ29" s="2498" t="n"/>
      <c r="BA29" s="1124" t="n"/>
      <c r="BB29" s="2519" t="n">
        <v>1.963</v>
      </c>
      <c r="BC29" s="2519" t="n">
        <v>64.747</v>
      </c>
      <c r="BD29" s="2498" t="n">
        <v>0.1179</v>
      </c>
      <c r="BE29" s="1124" t="n"/>
      <c r="BF29" s="2519" t="n">
        <v>2.516</v>
      </c>
      <c r="BG29" s="2519" t="n">
        <v>73.504</v>
      </c>
      <c r="BH29" s="2498" t="n">
        <v>0.1163</v>
      </c>
      <c r="BI29" s="1071" t="n"/>
      <c r="BJ29" s="2519" t="n">
        <v>2.531</v>
      </c>
      <c r="BK29" s="2519" t="n">
        <v>87.59999999999999</v>
      </c>
      <c r="BL29" s="2497" t="n">
        <v>0.1138</v>
      </c>
      <c r="BM29" s="1071" t="n"/>
      <c r="BN29" s="2517" t="n">
        <v>2.455</v>
      </c>
      <c r="BO29" s="2517" t="n">
        <v>109.406</v>
      </c>
      <c r="BP29" s="1082" t="n">
        <v>0.1114</v>
      </c>
      <c r="BQ29" s="2517" t="n">
        <v>2.015</v>
      </c>
      <c r="BR29" s="2517" t="n">
        <v>78.783</v>
      </c>
      <c r="BS29" s="1082" t="n">
        <v>0.1099</v>
      </c>
      <c r="BT29" s="2517" t="n">
        <v>1.576</v>
      </c>
      <c r="BU29" s="2517" t="n">
        <v>57.448</v>
      </c>
      <c r="BV29" s="1082" t="n">
        <v>0.1073</v>
      </c>
      <c r="BW29" s="1082" t="n"/>
      <c r="BX29" s="1082" t="n"/>
      <c r="BY29" s="1082" t="n"/>
      <c r="BZ29" s="1082" t="n"/>
      <c r="CA29" s="1082" t="n"/>
      <c r="CB29" s="1082" t="n"/>
      <c r="CC29" s="1082" t="n"/>
    </row>
    <row r="30">
      <c r="BL30" s="2520" t="n"/>
      <c r="BO30" s="1071" t="n"/>
      <c r="BP30" s="1071" t="n"/>
      <c r="BU30" s="1071" t="n"/>
      <c r="BV30" s="1071" t="n"/>
    </row>
    <row r="31">
      <c r="D31" s="1072" t="inlineStr">
        <is>
          <t>Selected Ibbotson SBBI Valuation Yearbook</t>
        </is>
      </c>
      <c r="E31" s="1111" t="n">
        <v>2022</v>
      </c>
      <c r="F31" s="1073" t="n"/>
      <c r="G31" s="1073" t="n"/>
      <c r="H31" s="1073" t="n"/>
      <c r="I31" s="1073" t="n"/>
      <c r="J31" s="1073" t="n"/>
      <c r="K31" s="1073" t="n"/>
      <c r="L31" s="1073" t="n"/>
      <c r="M31" s="1073" t="n"/>
      <c r="BO31" s="1071" t="n"/>
      <c r="BP31" s="1071" t="n"/>
      <c r="BU31" s="1071" t="n"/>
      <c r="BV31" s="1071" t="n"/>
    </row>
    <row r="32">
      <c r="D32" s="1081" t="inlineStr">
        <is>
          <t>Value of Equity</t>
        </is>
      </c>
      <c r="E32" s="2521" t="n"/>
      <c r="F32" s="1071" t="n"/>
      <c r="G32" s="1071" t="n"/>
      <c r="H32" s="1071" t="n"/>
      <c r="I32" s="1071" t="n"/>
      <c r="J32" s="1071" t="n"/>
      <c r="K32" s="1071" t="n"/>
      <c r="L32" s="1071" t="n"/>
      <c r="M32" s="1071" t="n"/>
      <c r="BO32" s="1071" t="n"/>
      <c r="BP32" s="1071" t="n"/>
      <c r="BU32" s="1071" t="n"/>
      <c r="BV32" s="1071" t="n"/>
    </row>
    <row r="33">
      <c r="D33" s="1081" t="inlineStr">
        <is>
          <t>Selected Decile</t>
        </is>
      </c>
      <c r="E33" s="1113" t="inlineStr">
        <is>
          <t>10th</t>
        </is>
      </c>
      <c r="F33" s="1071" t="n"/>
      <c r="G33" s="1071" t="n"/>
      <c r="H33" s="1071" t="n"/>
      <c r="I33" s="1071" t="n"/>
      <c r="J33" s="1071" t="n"/>
      <c r="K33" s="1071" t="n"/>
      <c r="L33" s="1071" t="n"/>
      <c r="M33" s="1071" t="n"/>
    </row>
    <row r="34">
      <c r="D34" s="1114" t="inlineStr">
        <is>
          <t>Selected Size Premium</t>
        </is>
      </c>
      <c r="E34" s="1115">
        <f>BS21</f>
        <v/>
      </c>
      <c r="F34" s="1116" t="n"/>
      <c r="G34" s="1117" t="n"/>
      <c r="H34" s="1117" t="n"/>
      <c r="I34" s="1117" t="n"/>
      <c r="J34" s="1116" t="n"/>
      <c r="K34" s="1117" t="n"/>
      <c r="L34" s="1117" t="n"/>
      <c r="M34" s="1117" t="n"/>
      <c r="N34" s="1118" t="n"/>
      <c r="R34" s="1118" t="n"/>
    </row>
    <row r="36">
      <c r="B36" s="1071" t="n"/>
      <c r="C36" s="1071" t="n"/>
      <c r="D36" s="1071" t="n"/>
      <c r="E36" s="1071" t="n"/>
      <c r="F36" s="1071" t="n"/>
      <c r="G36" s="1071" t="n"/>
      <c r="H36" s="1071" t="n"/>
      <c r="I36" s="1071" t="n"/>
      <c r="J36" s="1071" t="n"/>
      <c r="K36" s="1071" t="n"/>
      <c r="L36" s="1071" t="n"/>
      <c r="M36" s="1071" t="n"/>
      <c r="N36" s="1071" t="n"/>
      <c r="O36" s="1071" t="n"/>
      <c r="P36" s="1071" t="n"/>
      <c r="Q36" s="1071" t="n"/>
      <c r="R36" s="1071" t="n"/>
      <c r="S36" s="1071" t="n"/>
      <c r="T36" s="1071" t="n"/>
      <c r="U36" s="1071" t="n"/>
      <c r="V36" s="1071" t="n"/>
      <c r="W36" s="1071" t="n"/>
      <c r="X36" s="1071" t="n"/>
      <c r="Y36" s="1071" t="n"/>
      <c r="Z36" s="1071" t="n"/>
      <c r="AA36" s="1071" t="n"/>
      <c r="AB36" s="1071" t="n"/>
      <c r="AC36" s="1071" t="n"/>
      <c r="AD36" s="1071" t="n"/>
      <c r="AE36" s="1071" t="n"/>
      <c r="AF36" s="1071" t="n"/>
      <c r="AG36" s="1071" t="n"/>
      <c r="AH36" s="1071" t="n"/>
      <c r="AI36" s="1071" t="n"/>
      <c r="AJ36" s="1071" t="n"/>
      <c r="AK36" s="1071" t="n"/>
      <c r="AL36" s="1071" t="n"/>
      <c r="AM36" s="1071" t="n"/>
      <c r="AN36" s="1071" t="n"/>
      <c r="AO36" s="1071" t="n"/>
      <c r="AP36" s="1071" t="n"/>
      <c r="AQ36" s="1071" t="n"/>
      <c r="AR36" s="1071" t="n"/>
      <c r="AS36" s="1071" t="n"/>
      <c r="AT36" s="1071" t="n"/>
      <c r="AU36" s="1071" t="n"/>
      <c r="AV36" s="1071" t="n"/>
      <c r="AW36" s="1071" t="n"/>
      <c r="AX36" s="1071" t="n"/>
      <c r="AY36" s="1071" t="n"/>
      <c r="AZ36" s="1071" t="n"/>
      <c r="BA36" s="1071" t="n"/>
      <c r="BB36" s="1071" t="n"/>
      <c r="BC36" s="1071" t="n"/>
      <c r="BD36" s="1071" t="n"/>
      <c r="BE36" s="1071" t="n"/>
      <c r="BF36" s="1071" t="n"/>
      <c r="BG36" s="1071" t="n"/>
      <c r="BH36" s="1071" t="n"/>
      <c r="BI36" s="1071" t="n"/>
      <c r="BJ36" s="1071" t="n"/>
      <c r="BK36" s="1071" t="n"/>
      <c r="BL36" s="1071" t="n"/>
      <c r="BM36" s="1071" t="n"/>
    </row>
    <row r="37">
      <c r="B37" s="1071" t="n"/>
      <c r="C37" s="1071" t="n"/>
      <c r="D37" s="1071" t="n"/>
      <c r="E37" s="1071" t="n"/>
      <c r="F37" s="1071" t="n"/>
      <c r="G37" s="1071" t="n"/>
      <c r="H37" s="1071" t="n"/>
      <c r="I37" s="1071" t="n"/>
      <c r="J37" s="1071" t="n"/>
      <c r="K37" s="1071" t="n"/>
      <c r="L37" s="1071" t="n"/>
      <c r="M37" s="1071" t="n"/>
      <c r="N37" s="1071" t="n"/>
      <c r="O37" s="1071" t="n"/>
      <c r="P37" s="1071" t="n"/>
      <c r="Q37" s="1071" t="n"/>
      <c r="R37" s="1071" t="n"/>
      <c r="S37" s="1071" t="n"/>
      <c r="T37" s="1071" t="n"/>
      <c r="U37" s="1071" t="n"/>
      <c r="V37" s="1071" t="n"/>
      <c r="W37" s="1071" t="n"/>
      <c r="X37" s="1071" t="n"/>
      <c r="Y37" s="1071" t="n"/>
      <c r="Z37" s="1071" t="n"/>
      <c r="AA37" s="1071" t="n"/>
      <c r="AB37" s="1071" t="n"/>
      <c r="AC37" s="1071" t="n"/>
      <c r="AD37" s="1071" t="n"/>
      <c r="AE37" s="1071" t="n"/>
      <c r="AF37" s="1071" t="n"/>
      <c r="AG37" s="1071" t="n"/>
      <c r="AH37" s="1071" t="n"/>
      <c r="AI37" s="1071" t="n"/>
      <c r="AJ37" s="1071" t="n"/>
      <c r="AK37" s="1071" t="n"/>
      <c r="AL37" s="1071" t="n"/>
      <c r="AM37" s="1071" t="n"/>
      <c r="AN37" s="1071" t="n"/>
      <c r="AO37" s="1071" t="n"/>
      <c r="AP37" s="1071" t="n"/>
      <c r="AQ37" s="1071" t="n"/>
      <c r="AR37" s="1071" t="n"/>
      <c r="AS37" s="1071" t="n"/>
      <c r="AT37" s="1071" t="n"/>
      <c r="AU37" s="1071" t="n"/>
      <c r="AV37" s="1071" t="n"/>
      <c r="AW37" s="1071" t="n"/>
      <c r="AX37" s="1071" t="n"/>
      <c r="AY37" s="1071" t="n"/>
      <c r="AZ37" s="1071" t="n"/>
      <c r="BA37" s="1071" t="n"/>
      <c r="BB37" s="1071" t="n"/>
      <c r="BC37" s="1071" t="n"/>
      <c r="BD37" s="1071" t="n"/>
      <c r="BE37" s="1071" t="n"/>
      <c r="BF37" s="1071" t="n"/>
      <c r="BG37" s="1071" t="n"/>
      <c r="BH37" s="1071" t="n"/>
      <c r="BI37" s="1071" t="n"/>
      <c r="BJ37" s="1071" t="n"/>
      <c r="BK37" s="1071" t="n"/>
      <c r="BL37" s="1071" t="n"/>
      <c r="BM37" s="1071" t="n"/>
      <c r="BN37" s="1071" t="n"/>
      <c r="BO37" s="1071" t="n"/>
      <c r="BP37" s="1071" t="n"/>
      <c r="BT37" s="1071" t="n"/>
      <c r="BU37" s="1071" t="n"/>
      <c r="BV37" s="1071" t="n"/>
    </row>
    <row r="38" ht="17.5" customHeight="1">
      <c r="C38" s="1119" t="inlineStr">
        <is>
          <t>Footnote:</t>
        </is>
      </c>
      <c r="D38" s="1120" t="n"/>
      <c r="E38" s="1120" t="n"/>
    </row>
    <row r="39" ht="25.25" customHeight="1">
      <c r="C39" s="2522" t="n">
        <v>1</v>
      </c>
      <c r="D39" s="1122" t="inlineStr">
        <is>
          <t>2004-2016 Ibbotson SBBI Valuation Yearbook, Morningstar, Inc.
2017-2019 SBBI Valuation Yearbook, Duff &amp; Phelps</t>
        </is>
      </c>
      <c r="E39" s="1123" t="n"/>
    </row>
    <row r="41">
      <c r="AR41" s="1118" t="n"/>
      <c r="AV41" s="1118" t="n"/>
      <c r="AZ41" s="1118" t="n"/>
      <c r="BD41" s="1118" t="n"/>
      <c r="BH41" s="1118" t="n"/>
      <c r="BL41" s="1118" t="n"/>
    </row>
    <row r="42">
      <c r="AR42" s="1118" t="n"/>
      <c r="AV42" s="1118" t="n"/>
      <c r="AZ42" s="1118" t="n"/>
      <c r="BD42" s="1118" t="n"/>
      <c r="BH42" s="1118" t="n"/>
      <c r="BL42" s="1118" t="n"/>
    </row>
    <row r="43">
      <c r="AR43" s="1118" t="n"/>
      <c r="AV43" s="1118" t="n"/>
      <c r="AZ43" s="1118" t="n"/>
      <c r="BD43" s="1118" t="n"/>
      <c r="BH43" s="1118" t="n"/>
      <c r="BL43" s="1118" t="n"/>
    </row>
    <row r="44">
      <c r="D44" s="1124" t="n"/>
    </row>
    <row r="45">
      <c r="H45" s="1118" t="n">
        <v>0.051</v>
      </c>
      <c r="L45" s="1118" t="n">
        <v>0.048</v>
      </c>
      <c r="P45" s="1118" t="n">
        <v>0.046</v>
      </c>
      <c r="T45" s="1118" t="n">
        <v>0.049</v>
      </c>
      <c r="X45" s="1118" t="n">
        <v>0.045</v>
      </c>
      <c r="AB45" s="1118" t="n">
        <v>0.03</v>
      </c>
      <c r="AF45" s="1118" t="n">
        <v>0.046</v>
      </c>
      <c r="AJ45" s="1118" t="n">
        <v>0.041</v>
      </c>
      <c r="AN45" s="1118" t="n">
        <v>0.0248</v>
      </c>
      <c r="AR45" s="1118" t="n">
        <v>0.0241</v>
      </c>
      <c r="BH45" s="1071" t="n">
        <v>0.0272</v>
      </c>
    </row>
    <row r="48">
      <c r="H48" s="1118" t="n">
        <v>0.07199999999999999</v>
      </c>
      <c r="L48" s="1118" t="n">
        <v>0.07199999999999999</v>
      </c>
      <c r="P48" s="1118" t="n">
        <v>0.07099999999999999</v>
      </c>
      <c r="T48" s="1118" t="n">
        <v>0.07099999999999999</v>
      </c>
      <c r="X48" s="1118" t="n">
        <v>0.07099999999999999</v>
      </c>
      <c r="AB48" s="1118" t="n">
        <v>0.065</v>
      </c>
      <c r="AF48" s="1118" t="n">
        <v>0.067</v>
      </c>
      <c r="AJ48" s="1118" t="n">
        <v>0.067</v>
      </c>
      <c r="AN48" s="1118" t="n">
        <v>0.06619999999999999</v>
      </c>
      <c r="AR48" s="1118" t="n">
        <v>0.067</v>
      </c>
      <c r="BD48" s="1071" t="n">
        <v>0.06900000000000001</v>
      </c>
      <c r="BH48" s="1071" t="n">
        <v>0.0694</v>
      </c>
    </row>
    <row r="51">
      <c r="H51" s="1118" t="n">
        <v>0.0593</v>
      </c>
      <c r="L51" s="1118" t="n">
        <v>0.0614</v>
      </c>
      <c r="P51" s="1118" t="n">
        <v>0.06279999999999999</v>
      </c>
      <c r="T51" s="1118" t="n">
        <v>0.0635</v>
      </c>
      <c r="X51" s="1118" t="n">
        <v>0.0623</v>
      </c>
      <c r="AB51" s="1118" t="n">
        <v>0.0573</v>
      </c>
      <c r="AF51" s="1118" t="n">
        <v>0.0518</v>
      </c>
      <c r="AJ51" s="1118" t="n">
        <v>0.0599</v>
      </c>
      <c r="AN51" s="1118" t="n">
        <v>0.0614</v>
      </c>
      <c r="AR51" s="1118" t="n">
        <v>0.0611</v>
      </c>
      <c r="AV51" s="1118" t="n">
        <v>0.0618</v>
      </c>
      <c r="AZ51" s="1118" t="n">
        <v>0.0621</v>
      </c>
      <c r="BD51" s="1118" t="n">
        <v>0.0603</v>
      </c>
      <c r="BH51" s="1118" t="n">
        <v>0.0597</v>
      </c>
      <c r="BL51" s="1118" t="n"/>
    </row>
  </sheetData>
  <mergeCells count="2">
    <mergeCell ref="BT3:BV3"/>
    <mergeCell ref="BQ3:BS3"/>
  </mergeCells>
  <dataValidations count="1">
    <dataValidation sqref="E33" showDropDown="0" showInputMessage="1" showErrorMessage="1" allowBlank="1" type="list">
      <formula1>"'3-5,'6-8,'9-10,1st,2nd,3rd,4th,5th,6th,7th,8th,9th,10th,10a,10b,10w,10x,10y,10z"</formula1>
    </dataValidation>
  </dataValidations>
  <printOptions horizontalCentered="1"/>
  <pageMargins left="0.5" right="0.5" top="0.75" bottom="0.5" header="0.25" footer="0.25"/>
  <pageSetup orientation="landscape" scale="56"/>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42.xml><?xml version="1.0" encoding="utf-8"?>
<worksheet xmlns="http://schemas.openxmlformats.org/spreadsheetml/2006/main">
  <sheetPr codeName="Sheet51">
    <tabColor theme="7"/>
    <outlinePr summaryBelow="1" summaryRight="1"/>
    <pageSetUpPr fitToPage="1"/>
  </sheetPr>
  <dimension ref="A3:J41"/>
  <sheetViews>
    <sheetView showGridLines="0" zoomScale="95" zoomScaleNormal="95" zoomScaleSheetLayoutView="74" workbookViewId="0">
      <selection activeCell="E10" sqref="E10"/>
    </sheetView>
  </sheetViews>
  <sheetFormatPr baseColWidth="8" defaultColWidth="8.84375" defaultRowHeight="11.5"/>
  <cols>
    <col width="3.15234375" customWidth="1" style="259" min="1" max="1"/>
    <col width="18.53515625" bestFit="1" customWidth="1" style="259" min="2" max="2"/>
    <col width="11.4609375" customWidth="1" style="259" min="3" max="6"/>
    <col width="13.4609375" customWidth="1" style="259" min="7" max="7"/>
    <col width="2.84375" customWidth="1" style="259" min="8" max="8"/>
    <col width="8.84375" customWidth="1" style="259" min="9" max="16384"/>
  </cols>
  <sheetData>
    <row r="1" customFormat="1" s="752"/>
    <row r="3" ht="61.25" customFormat="1" customHeight="1" s="1133">
      <c r="B3" s="1139" t="inlineStr">
        <is>
          <t>Company Name</t>
        </is>
      </c>
      <c r="C3" s="1140" t="inlineStr">
        <is>
          <t>Ticker Symbol</t>
        </is>
      </c>
      <c r="D3" s="2523" t="inlineStr">
        <is>
          <t>First Listing Date</t>
        </is>
      </c>
      <c r="E3" s="2524" t="inlineStr">
        <is>
          <t>Number of shares outstanding</t>
        </is>
      </c>
      <c r="F3" s="2524" t="inlineStr">
        <is>
          <t>Average daily trading volume over last year</t>
        </is>
      </c>
      <c r="G3" s="2524" t="inlineStr">
        <is>
          <t>Average daily trading volume / Total shares outstanding</t>
        </is>
      </c>
      <c r="I3" s="259" t="n"/>
      <c r="J3" s="259" t="n"/>
    </row>
    <row r="4">
      <c r="A4" s="436" t="n">
        <v>1</v>
      </c>
      <c r="B4" s="1134">
        <f>'GPC Data'!E22</f>
        <v/>
      </c>
      <c r="C4" s="1134">
        <f>'GPC Data'!D22</f>
        <v/>
      </c>
      <c r="D4" s="1135">
        <f>'GPC Data'!F56</f>
        <v/>
      </c>
      <c r="E4" s="2449">
        <f>'GPC Data'!G56</f>
        <v/>
      </c>
      <c r="F4" s="2449">
        <f>'GPC Data'!H56</f>
        <v/>
      </c>
      <c r="G4" s="1137">
        <f>IFERROR(F4/E4,"-")</f>
        <v/>
      </c>
    </row>
    <row r="5">
      <c r="A5" s="436" t="n">
        <v>2</v>
      </c>
      <c r="B5" s="771">
        <f>'GPC Data'!E23</f>
        <v/>
      </c>
      <c r="C5" s="771">
        <f>'GPC Data'!D23</f>
        <v/>
      </c>
      <c r="D5" s="1138">
        <f>'GPC Data'!F57</f>
        <v/>
      </c>
      <c r="E5" s="1899">
        <f>'GPC Data'!G57</f>
        <v/>
      </c>
      <c r="F5" s="1899">
        <f>'GPC Data'!H57</f>
        <v/>
      </c>
      <c r="G5" s="413">
        <f>IFERROR(F5/E5,"-")</f>
        <v/>
      </c>
    </row>
    <row r="6" customFormat="1" s="432">
      <c r="A6" s="436" t="n">
        <v>3</v>
      </c>
      <c r="B6" s="771">
        <f>'GPC Data'!E24</f>
        <v/>
      </c>
      <c r="C6" s="771">
        <f>'GPC Data'!D24</f>
        <v/>
      </c>
      <c r="D6" s="1138">
        <f>'GPC Data'!F58</f>
        <v/>
      </c>
      <c r="E6" s="1899">
        <f>'GPC Data'!G58</f>
        <v/>
      </c>
      <c r="F6" s="1899">
        <f>'GPC Data'!H58</f>
        <v/>
      </c>
      <c r="G6" s="413">
        <f>IFERROR(F6/E6,"-")</f>
        <v/>
      </c>
      <c r="I6" s="259" t="n"/>
      <c r="J6" s="259" t="n"/>
    </row>
    <row r="7" customFormat="1" s="432">
      <c r="A7" s="436" t="n">
        <v>4</v>
      </c>
      <c r="B7" s="771">
        <f>'GPC Data'!E25</f>
        <v/>
      </c>
      <c r="C7" s="771">
        <f>'GPC Data'!D25</f>
        <v/>
      </c>
      <c r="D7" s="1138">
        <f>'GPC Data'!F59</f>
        <v/>
      </c>
      <c r="E7" s="1899">
        <f>'GPC Data'!G59</f>
        <v/>
      </c>
      <c r="F7" s="1899">
        <f>'GPC Data'!H59</f>
        <v/>
      </c>
      <c r="G7" s="413">
        <f>IFERROR(F7/E7,"-")</f>
        <v/>
      </c>
      <c r="I7" s="259" t="n"/>
      <c r="J7" s="259" t="n"/>
    </row>
    <row r="8" customFormat="1" s="432">
      <c r="A8" s="436" t="n">
        <v>5</v>
      </c>
      <c r="B8" s="771">
        <f>'GPC Data'!E26</f>
        <v/>
      </c>
      <c r="C8" s="771">
        <f>'GPC Data'!D26</f>
        <v/>
      </c>
      <c r="D8" s="1138">
        <f>'GPC Data'!F60</f>
        <v/>
      </c>
      <c r="E8" s="1899">
        <f>'GPC Data'!G60</f>
        <v/>
      </c>
      <c r="F8" s="1899">
        <f>'GPC Data'!H60</f>
        <v/>
      </c>
      <c r="G8" s="413">
        <f>IFERROR(F8/E8,"-")</f>
        <v/>
      </c>
      <c r="I8" s="259" t="n"/>
      <c r="J8" s="259" t="n"/>
    </row>
    <row r="9" customFormat="1" s="432">
      <c r="A9" s="436" t="n">
        <v>6</v>
      </c>
      <c r="B9" s="771">
        <f>'GPC Data'!E27</f>
        <v/>
      </c>
      <c r="C9" s="771">
        <f>'GPC Data'!D27</f>
        <v/>
      </c>
      <c r="D9" s="1138">
        <f>'GPC Data'!F61</f>
        <v/>
      </c>
      <c r="E9" s="1899">
        <f>'GPC Data'!G61</f>
        <v/>
      </c>
      <c r="F9" s="1899">
        <f>'GPC Data'!H61</f>
        <v/>
      </c>
      <c r="G9" s="413">
        <f>IFERROR(F9/E9,"-")</f>
        <v/>
      </c>
      <c r="I9" s="259" t="n"/>
      <c r="J9" s="259" t="n"/>
    </row>
    <row r="10">
      <c r="A10" s="436" t="n">
        <v>7</v>
      </c>
      <c r="B10" s="771">
        <f>'GPC Data'!E28</f>
        <v/>
      </c>
      <c r="C10" s="771">
        <f>'GPC Data'!D28</f>
        <v/>
      </c>
      <c r="D10" s="1138">
        <f>'GPC Data'!F62</f>
        <v/>
      </c>
      <c r="E10" s="1899">
        <f>'GPC Data'!G62</f>
        <v/>
      </c>
      <c r="F10" s="1899">
        <f>'GPC Data'!H62</f>
        <v/>
      </c>
      <c r="G10" s="413">
        <f>IFERROR(F10/E10,"-")</f>
        <v/>
      </c>
    </row>
    <row r="11">
      <c r="A11" s="436" t="n">
        <v>8</v>
      </c>
      <c r="B11" s="771">
        <f>'GPC Data'!E29</f>
        <v/>
      </c>
      <c r="C11" s="771">
        <f>'GPC Data'!D29</f>
        <v/>
      </c>
      <c r="D11" s="1138">
        <f>'GPC Data'!F63</f>
        <v/>
      </c>
      <c r="E11" s="1899">
        <f>'GPC Data'!G63</f>
        <v/>
      </c>
      <c r="F11" s="1899">
        <f>'GPC Data'!H63</f>
        <v/>
      </c>
      <c r="G11" s="413">
        <f>IFERROR(F11/E11,"-")</f>
        <v/>
      </c>
    </row>
    <row r="12">
      <c r="A12" s="436" t="n">
        <v>9</v>
      </c>
      <c r="B12" s="771">
        <f>'GPC Data'!E30</f>
        <v/>
      </c>
      <c r="C12" s="771">
        <f>'GPC Data'!D30</f>
        <v/>
      </c>
      <c r="D12" s="1138">
        <f>'GPC Data'!F64</f>
        <v/>
      </c>
      <c r="E12" s="1899">
        <f>'GPC Data'!G64</f>
        <v/>
      </c>
      <c r="F12" s="1899">
        <f>'GPC Data'!H64</f>
        <v/>
      </c>
      <c r="G12" s="413">
        <f>IFERROR(F12/E12,"-")</f>
        <v/>
      </c>
    </row>
    <row r="13">
      <c r="A13" s="436" t="n">
        <v>10</v>
      </c>
      <c r="B13" s="771">
        <f>'GPC Data'!E31</f>
        <v/>
      </c>
      <c r="C13" s="771">
        <f>'GPC Data'!D31</f>
        <v/>
      </c>
      <c r="D13" s="1138">
        <f>'GPC Data'!F65</f>
        <v/>
      </c>
      <c r="E13" s="1899">
        <f>'GPC Data'!G65</f>
        <v/>
      </c>
      <c r="F13" s="1899">
        <f>'GPC Data'!H65</f>
        <v/>
      </c>
      <c r="G13" s="413">
        <f>IFERROR(F13/E13,"-")</f>
        <v/>
      </c>
    </row>
    <row r="14">
      <c r="A14" s="436" t="n"/>
      <c r="B14" s="771">
        <f>'GPC Data'!E32</f>
        <v/>
      </c>
      <c r="C14" s="771">
        <f>'GPC Data'!D32</f>
        <v/>
      </c>
      <c r="D14" s="1138">
        <f>'GPC Data'!F66</f>
        <v/>
      </c>
      <c r="E14" s="1899">
        <f>'GPC Data'!G66</f>
        <v/>
      </c>
      <c r="F14" s="1899">
        <f>'GPC Data'!H66</f>
        <v/>
      </c>
      <c r="G14" s="413">
        <f>IFERROR(F14/E14,"-")</f>
        <v/>
      </c>
    </row>
    <row r="15">
      <c r="A15" s="436" t="n"/>
      <c r="B15" s="771">
        <f>'GPC Data'!E33</f>
        <v/>
      </c>
      <c r="C15" s="771">
        <f>'GPC Data'!D33</f>
        <v/>
      </c>
      <c r="D15" s="1138">
        <f>'GPC Data'!F67</f>
        <v/>
      </c>
      <c r="E15" s="1899">
        <f>'GPC Data'!G67</f>
        <v/>
      </c>
      <c r="F15" s="1899">
        <f>'GPC Data'!H67</f>
        <v/>
      </c>
      <c r="G15" s="413">
        <f>IFERROR(F15/E15,"-")</f>
        <v/>
      </c>
    </row>
    <row r="16">
      <c r="A16" s="436" t="n"/>
      <c r="B16" s="771">
        <f>'GPC Data'!E34</f>
        <v/>
      </c>
      <c r="C16" s="771">
        <f>'GPC Data'!D34</f>
        <v/>
      </c>
      <c r="D16" s="1138">
        <f>'GPC Data'!F68</f>
        <v/>
      </c>
      <c r="E16" s="1899">
        <f>'GPC Data'!G68</f>
        <v/>
      </c>
      <c r="F16" s="1899">
        <f>'GPC Data'!H68</f>
        <v/>
      </c>
      <c r="G16" s="413">
        <f>IFERROR(F16/E16,"-")</f>
        <v/>
      </c>
    </row>
    <row r="17">
      <c r="A17" s="436" t="n"/>
      <c r="B17" s="771">
        <f>'GPC Data'!E35</f>
        <v/>
      </c>
      <c r="C17" s="771">
        <f>'GPC Data'!D35</f>
        <v/>
      </c>
      <c r="D17" s="1138">
        <f>'GPC Data'!F69</f>
        <v/>
      </c>
      <c r="E17" s="1899">
        <f>'GPC Data'!G69</f>
        <v/>
      </c>
      <c r="F17" s="1899">
        <f>'GPC Data'!H69</f>
        <v/>
      </c>
      <c r="G17" s="413">
        <f>IFERROR(F17/E17,"-")</f>
        <v/>
      </c>
    </row>
    <row r="18">
      <c r="A18" s="436" t="n"/>
      <c r="B18" s="771">
        <f>'GPC Data'!E36</f>
        <v/>
      </c>
      <c r="C18" s="771">
        <f>'GPC Data'!D36</f>
        <v/>
      </c>
      <c r="D18" s="1138">
        <f>'GPC Data'!F70</f>
        <v/>
      </c>
      <c r="E18" s="1899">
        <f>'GPC Data'!G70</f>
        <v/>
      </c>
      <c r="F18" s="1899">
        <f>'GPC Data'!H70</f>
        <v/>
      </c>
      <c r="G18" s="413">
        <f>IFERROR(F18/E18,"-")</f>
        <v/>
      </c>
    </row>
    <row r="19">
      <c r="A19" s="436" t="n"/>
      <c r="B19" s="771">
        <f>'GPC Data'!E37</f>
        <v/>
      </c>
      <c r="C19" s="771">
        <f>'GPC Data'!D37</f>
        <v/>
      </c>
      <c r="D19" s="1138">
        <f>'GPC Data'!F71</f>
        <v/>
      </c>
      <c r="E19" s="1899">
        <f>'GPC Data'!G71</f>
        <v/>
      </c>
      <c r="F19" s="1899">
        <f>'GPC Data'!H71</f>
        <v/>
      </c>
      <c r="G19" s="413">
        <f>IFERROR(F19/E19,"-")</f>
        <v/>
      </c>
    </row>
    <row r="20">
      <c r="A20" s="436" t="n"/>
      <c r="B20" s="771">
        <f>'GPC Data'!E38</f>
        <v/>
      </c>
      <c r="C20" s="771">
        <f>'GPC Data'!D38</f>
        <v/>
      </c>
      <c r="D20" s="1138">
        <f>'GPC Data'!F72</f>
        <v/>
      </c>
      <c r="E20" s="1899">
        <f>'GPC Data'!G72</f>
        <v/>
      </c>
      <c r="F20" s="1899">
        <f>'GPC Data'!H72</f>
        <v/>
      </c>
      <c r="G20" s="413">
        <f>IFERROR(F20/E20,"-")</f>
        <v/>
      </c>
    </row>
    <row r="21">
      <c r="A21" s="436" t="n"/>
      <c r="B21" s="771">
        <f>'GPC Data'!E39</f>
        <v/>
      </c>
      <c r="C21" s="771">
        <f>'GPC Data'!D39</f>
        <v/>
      </c>
      <c r="D21" s="1138">
        <f>'GPC Data'!F73</f>
        <v/>
      </c>
      <c r="E21" s="1899">
        <f>'GPC Data'!G73</f>
        <v/>
      </c>
      <c r="F21" s="1899">
        <f>'GPC Data'!H73</f>
        <v/>
      </c>
      <c r="G21" s="413">
        <f>IFERROR(F21/E21,"-")</f>
        <v/>
      </c>
    </row>
    <row r="22">
      <c r="A22" s="436" t="n"/>
      <c r="B22" s="771">
        <f>'GPC Data'!E40</f>
        <v/>
      </c>
      <c r="C22" s="771">
        <f>'GPC Data'!D40</f>
        <v/>
      </c>
      <c r="D22" s="1138">
        <f>'GPC Data'!F74</f>
        <v/>
      </c>
      <c r="E22" s="1899">
        <f>'GPC Data'!G74</f>
        <v/>
      </c>
      <c r="F22" s="1899">
        <f>'GPC Data'!H74</f>
        <v/>
      </c>
      <c r="G22" s="413">
        <f>IFERROR(F22/E22,"-")</f>
        <v/>
      </c>
    </row>
    <row r="23" ht="10.5" customHeight="1">
      <c r="A23" s="436" t="n"/>
      <c r="B23" s="771">
        <f>'GPC Data'!E41</f>
        <v/>
      </c>
      <c r="C23" s="771">
        <f>'GPC Data'!D41</f>
        <v/>
      </c>
      <c r="D23" s="1138">
        <f>'GPC Data'!F75</f>
        <v/>
      </c>
      <c r="E23" s="1899">
        <f>'GPC Data'!G75</f>
        <v/>
      </c>
      <c r="F23" s="1899">
        <f>'GPC Data'!H75</f>
        <v/>
      </c>
      <c r="G23" s="413">
        <f>IFERROR(F23/E23,"-")</f>
        <v/>
      </c>
    </row>
    <row r="24" ht="10.5" customHeight="1">
      <c r="A24" s="436" t="n"/>
      <c r="B24" s="771">
        <f>'GPC Data'!E42</f>
        <v/>
      </c>
      <c r="C24" s="771">
        <f>'GPC Data'!D42</f>
        <v/>
      </c>
      <c r="D24" s="1138">
        <f>'GPC Data'!F76</f>
        <v/>
      </c>
      <c r="E24" s="1899">
        <f>'GPC Data'!G76</f>
        <v/>
      </c>
      <c r="F24" s="1899">
        <f>'GPC Data'!H76</f>
        <v/>
      </c>
      <c r="G24" s="413">
        <f>IFERROR(F24/E24,"-")</f>
        <v/>
      </c>
    </row>
    <row r="25" ht="10.5" customHeight="1">
      <c r="A25" s="436" t="n"/>
      <c r="B25" s="771">
        <f>'GPC Data'!E43</f>
        <v/>
      </c>
      <c r="C25" s="771">
        <f>'GPC Data'!D43</f>
        <v/>
      </c>
      <c r="D25" s="1138">
        <f>'GPC Data'!F77</f>
        <v/>
      </c>
      <c r="E25" s="1899">
        <f>'GPC Data'!G77</f>
        <v/>
      </c>
      <c r="F25" s="1899">
        <f>'GPC Data'!H77</f>
        <v/>
      </c>
      <c r="G25" s="413">
        <f>IFERROR(F25/E25,"-")</f>
        <v/>
      </c>
    </row>
    <row r="26" ht="10.5" customHeight="1">
      <c r="A26" s="436" t="n"/>
      <c r="B26" s="771">
        <f>'GPC Data'!E44</f>
        <v/>
      </c>
      <c r="C26" s="771">
        <f>'GPC Data'!D44</f>
        <v/>
      </c>
      <c r="D26" s="1138">
        <f>'GPC Data'!F78</f>
        <v/>
      </c>
      <c r="E26" s="1899">
        <f>'GPC Data'!G78</f>
        <v/>
      </c>
      <c r="F26" s="1899">
        <f>'GPC Data'!H78</f>
        <v/>
      </c>
      <c r="G26" s="413">
        <f>IFERROR(F26/E26,"-")</f>
        <v/>
      </c>
    </row>
    <row r="27" ht="10.5" customHeight="1">
      <c r="A27" s="436" t="n"/>
      <c r="B27" s="771">
        <f>'GPC Data'!E45</f>
        <v/>
      </c>
      <c r="C27" s="771">
        <f>'GPC Data'!D45</f>
        <v/>
      </c>
      <c r="D27" s="1138">
        <f>'GPC Data'!F79</f>
        <v/>
      </c>
      <c r="E27" s="1899">
        <f>'GPC Data'!G79</f>
        <v/>
      </c>
      <c r="F27" s="1899">
        <f>'GPC Data'!H79</f>
        <v/>
      </c>
      <c r="G27" s="413">
        <f>IFERROR(F27/E27,"-")</f>
        <v/>
      </c>
    </row>
    <row r="28" ht="10.5" customHeight="1">
      <c r="A28" s="436" t="n"/>
      <c r="B28" s="771">
        <f>'GPC Data'!E46</f>
        <v/>
      </c>
      <c r="C28" s="771">
        <f>'GPC Data'!D46</f>
        <v/>
      </c>
      <c r="D28" s="1138">
        <f>'GPC Data'!F80</f>
        <v/>
      </c>
      <c r="E28" s="1899">
        <f>'GPC Data'!G80</f>
        <v/>
      </c>
      <c r="F28" s="1899">
        <f>'GPC Data'!H80</f>
        <v/>
      </c>
      <c r="G28" s="413">
        <f>IFERROR(F28/E28,"-")</f>
        <v/>
      </c>
    </row>
    <row r="29" ht="10.5" customHeight="1">
      <c r="A29" s="436" t="n"/>
      <c r="B29" s="771">
        <f>'GPC Data'!E47</f>
        <v/>
      </c>
      <c r="C29" s="771">
        <f>'GPC Data'!D47</f>
        <v/>
      </c>
      <c r="D29" s="1138">
        <f>'GPC Data'!F81</f>
        <v/>
      </c>
      <c r="E29" s="1899">
        <f>'GPC Data'!G81</f>
        <v/>
      </c>
      <c r="F29" s="1899">
        <f>'GPC Data'!H81</f>
        <v/>
      </c>
      <c r="G29" s="413">
        <f>IFERROR(F29/E29,"-")</f>
        <v/>
      </c>
    </row>
    <row r="30" ht="10.5" customHeight="1">
      <c r="A30" s="436" t="n"/>
      <c r="B30" s="771">
        <f>'GPC Data'!E48</f>
        <v/>
      </c>
      <c r="C30" s="771">
        <f>'GPC Data'!D48</f>
        <v/>
      </c>
      <c r="D30" s="1138">
        <f>'GPC Data'!F82</f>
        <v/>
      </c>
      <c r="E30" s="1899">
        <f>'GPC Data'!G82</f>
        <v/>
      </c>
      <c r="F30" s="1899">
        <f>'GPC Data'!H82</f>
        <v/>
      </c>
      <c r="G30" s="413">
        <f>IFERROR(F30/E30,"-")</f>
        <v/>
      </c>
    </row>
    <row r="31" ht="10.5" customHeight="1">
      <c r="A31" s="436" t="n"/>
      <c r="B31" s="771">
        <f>'GPC Data'!E49</f>
        <v/>
      </c>
      <c r="C31" s="771">
        <f>'GPC Data'!D49</f>
        <v/>
      </c>
      <c r="D31" s="1138">
        <f>'GPC Data'!F83</f>
        <v/>
      </c>
      <c r="E31" s="1899">
        <f>'GPC Data'!G83</f>
        <v/>
      </c>
      <c r="F31" s="1899">
        <f>'GPC Data'!H83</f>
        <v/>
      </c>
      <c r="G31" s="413">
        <f>IFERROR(F31/E31,"-")</f>
        <v/>
      </c>
    </row>
    <row r="32" ht="10.5" customHeight="1">
      <c r="A32" s="436" t="n"/>
      <c r="B32" s="771">
        <f>'GPC Data'!E50</f>
        <v/>
      </c>
      <c r="C32" s="771">
        <f>'GPC Data'!D50</f>
        <v/>
      </c>
      <c r="D32" s="1138">
        <f>'GPC Data'!F84</f>
        <v/>
      </c>
      <c r="E32" s="1899">
        <f>'GPC Data'!G84</f>
        <v/>
      </c>
      <c r="F32" s="1899">
        <f>'GPC Data'!H84</f>
        <v/>
      </c>
      <c r="G32" s="413">
        <f>IFERROR(F32/E32,"-")</f>
        <v/>
      </c>
    </row>
    <row r="33" ht="10.5" customHeight="1">
      <c r="A33" s="436" t="n"/>
      <c r="B33" s="771">
        <f>'GPC Data'!E51</f>
        <v/>
      </c>
      <c r="C33" s="771">
        <f>'GPC Data'!D51</f>
        <v/>
      </c>
      <c r="D33" s="1138">
        <f>'GPC Data'!F85</f>
        <v/>
      </c>
      <c r="E33" s="1899">
        <f>'GPC Data'!G85</f>
        <v/>
      </c>
      <c r="F33" s="1899">
        <f>'GPC Data'!H85</f>
        <v/>
      </c>
      <c r="G33" s="413">
        <f>IFERROR(F33/E33,"-")</f>
        <v/>
      </c>
    </row>
    <row r="34" ht="10.5" customHeight="1">
      <c r="B34" s="910">
        <f>"As of "&amp;TEXT(valuation.date,"d mmmm yyy")&amp;"."&amp;" Average daily trading volume is based on daily trading volume taken at weekly intervals over the last 52 weeks."</f>
        <v/>
      </c>
      <c r="G34" s="977" t="n"/>
    </row>
    <row r="35" ht="10.5" customHeight="1">
      <c r="G35" s="977" t="n"/>
    </row>
    <row r="36" ht="10.5" customHeight="1">
      <c r="G36" s="977" t="n"/>
    </row>
    <row r="37" ht="10.5" customHeight="1">
      <c r="G37" s="977" t="n"/>
    </row>
    <row r="38" ht="10.5" customHeight="1">
      <c r="G38" s="977" t="n"/>
    </row>
    <row r="39" ht="10.5" customHeight="1">
      <c r="G39" s="977" t="n"/>
    </row>
    <row r="40" ht="10.5" customHeight="1">
      <c r="G40" s="977" t="n"/>
    </row>
    <row r="41" ht="10.5" customHeight="1">
      <c r="G41" s="977" t="n"/>
    </row>
  </sheetData>
  <conditionalFormatting sqref="B4:C33">
    <cfRule type="expression" priority="1" dxfId="0">
      <formula>$AY4="Yes"</formula>
    </cfRule>
  </conditionalFormatting>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43.xml><?xml version="1.0" encoding="utf-8"?>
<worksheet xmlns="http://schemas.openxmlformats.org/spreadsheetml/2006/main">
  <sheetPr codeName="Sheet3">
    <tabColor theme="7"/>
    <outlinePr summaryBelow="1" summaryRight="1"/>
    <pageSetUpPr/>
  </sheetPr>
  <dimension ref="A1:B168"/>
  <sheetViews>
    <sheetView showGridLines="0" topLeftCell="A150" zoomScale="80" zoomScaleNormal="80" workbookViewId="0">
      <selection activeCell="A2" sqref="A2"/>
    </sheetView>
  </sheetViews>
  <sheetFormatPr baseColWidth="8" defaultColWidth="9.15234375" defaultRowHeight="16.5"/>
  <cols>
    <col width="20.53515625" bestFit="1" customWidth="1" style="1143" min="1" max="1"/>
    <col width="11.53515625" customWidth="1" style="1143" min="2" max="2"/>
    <col width="9.15234375" customWidth="1" style="1143" min="3" max="16384"/>
  </cols>
  <sheetData>
    <row r="1">
      <c r="A1" s="1143" t="inlineStr">
        <is>
          <t>Source: Trading Economics</t>
        </is>
      </c>
    </row>
    <row r="2">
      <c r="A2" s="1258" t="inlineStr">
        <is>
          <t>Last Updated:</t>
        </is>
      </c>
      <c r="B2" s="1258" t="n">
        <v>2024</v>
      </c>
    </row>
    <row r="4" ht="35" customHeight="1">
      <c r="A4" s="1256" t="inlineStr">
        <is>
          <t>Country</t>
        </is>
      </c>
      <c r="B4" s="1257" t="inlineStr">
        <is>
          <t>Tax Rate (%)</t>
        </is>
      </c>
    </row>
    <row r="5" ht="17.5" customHeight="1">
      <c r="A5" s="1254" t="inlineStr">
        <is>
          <t>Afghanistan</t>
        </is>
      </c>
      <c r="B5" s="1255" t="n">
        <v>20</v>
      </c>
    </row>
    <row r="6" ht="17.5" customHeight="1">
      <c r="A6" s="1254" t="inlineStr">
        <is>
          <t>Albania</t>
        </is>
      </c>
      <c r="B6" s="1255" t="n">
        <v>15</v>
      </c>
    </row>
    <row r="7" ht="17.5" customHeight="1">
      <c r="A7" s="1254" t="inlineStr">
        <is>
          <t>Algeria</t>
        </is>
      </c>
      <c r="B7" s="1255" t="n">
        <v>26</v>
      </c>
    </row>
    <row r="8" ht="17.5" customHeight="1">
      <c r="A8" s="1254" t="inlineStr">
        <is>
          <t>Angola</t>
        </is>
      </c>
      <c r="B8" s="1255" t="n">
        <v>25</v>
      </c>
    </row>
    <row r="9" ht="17.5" customHeight="1">
      <c r="A9" s="1254" t="inlineStr">
        <is>
          <t>Argentina</t>
        </is>
      </c>
      <c r="B9" s="1255" t="n">
        <v>35</v>
      </c>
    </row>
    <row r="10" ht="17.5" customHeight="1">
      <c r="A10" s="1254" t="inlineStr">
        <is>
          <t>Armenia</t>
        </is>
      </c>
      <c r="B10" s="1255" t="n">
        <v>18</v>
      </c>
    </row>
    <row r="11" ht="17.5" customHeight="1">
      <c r="A11" s="1254" t="inlineStr">
        <is>
          <t>Aruba</t>
        </is>
      </c>
      <c r="B11" s="1255" t="n">
        <v>25</v>
      </c>
    </row>
    <row r="12" ht="17.5" customHeight="1">
      <c r="A12" s="1254" t="inlineStr">
        <is>
          <t>Australia</t>
        </is>
      </c>
      <c r="B12" s="1255" t="n">
        <v>30</v>
      </c>
    </row>
    <row r="13" ht="17.5" customHeight="1">
      <c r="A13" s="1254" t="inlineStr">
        <is>
          <t>Austria</t>
        </is>
      </c>
      <c r="B13" s="1255" t="n">
        <v>23</v>
      </c>
    </row>
    <row r="14" ht="17.5" customHeight="1">
      <c r="A14" s="1254" t="inlineStr">
        <is>
          <t>Azerbaijan</t>
        </is>
      </c>
      <c r="B14" s="1255" t="n">
        <v>20</v>
      </c>
    </row>
    <row r="15" ht="17.5" customHeight="1">
      <c r="A15" s="1254" t="inlineStr">
        <is>
          <t>Bahamas</t>
        </is>
      </c>
      <c r="B15" s="1255" t="n">
        <v>0</v>
      </c>
    </row>
    <row r="16" ht="17.5" customHeight="1">
      <c r="A16" s="1254" t="inlineStr">
        <is>
          <t>Bahrain</t>
        </is>
      </c>
      <c r="B16" s="1255" t="n">
        <v>0</v>
      </c>
    </row>
    <row r="17" ht="17.5" customHeight="1">
      <c r="A17" s="1254" t="inlineStr">
        <is>
          <t>Bangladesh</t>
        </is>
      </c>
      <c r="B17" s="1255" t="n">
        <v>27.5</v>
      </c>
    </row>
    <row r="18" ht="17.5" customHeight="1">
      <c r="A18" s="1254" t="inlineStr">
        <is>
          <t>Barbados</t>
        </is>
      </c>
      <c r="B18" s="1255" t="n">
        <v>5.5</v>
      </c>
    </row>
    <row r="19" ht="17.5" customHeight="1">
      <c r="A19" s="1254" t="inlineStr">
        <is>
          <t>Belarus</t>
        </is>
      </c>
      <c r="B19" s="1255" t="n">
        <v>20</v>
      </c>
    </row>
    <row r="20" ht="17.5" customHeight="1">
      <c r="A20" s="1254" t="inlineStr">
        <is>
          <t>Belgium</t>
        </is>
      </c>
      <c r="B20" s="1255" t="n">
        <v>25</v>
      </c>
    </row>
    <row r="21" ht="17.5" customHeight="1">
      <c r="A21" s="1254" t="inlineStr">
        <is>
          <t>Benin</t>
        </is>
      </c>
      <c r="B21" s="1255" t="n">
        <v>30</v>
      </c>
    </row>
    <row r="22" ht="17.5" customHeight="1">
      <c r="A22" s="1254" t="inlineStr">
        <is>
          <t>Bermuda</t>
        </is>
      </c>
      <c r="B22" s="1255" t="n">
        <v>0</v>
      </c>
    </row>
    <row r="23" ht="17.5" customHeight="1">
      <c r="A23" s="1254" t="inlineStr">
        <is>
          <t>Bolivia</t>
        </is>
      </c>
      <c r="B23" s="1255" t="n">
        <v>25</v>
      </c>
    </row>
    <row r="24" ht="17.5" customHeight="1">
      <c r="A24" s="1254" t="inlineStr">
        <is>
          <t>Bosnia and Herzegovina</t>
        </is>
      </c>
      <c r="B24" s="1255" t="n">
        <v>10</v>
      </c>
    </row>
    <row r="25" ht="17.5" customHeight="1">
      <c r="A25" s="1254" t="inlineStr">
        <is>
          <t>Botswana</t>
        </is>
      </c>
      <c r="B25" s="1255" t="n">
        <v>22</v>
      </c>
    </row>
    <row r="26" ht="17.5" customHeight="1">
      <c r="A26" s="1254" t="inlineStr">
        <is>
          <t>Brazil</t>
        </is>
      </c>
      <c r="B26" s="1255" t="n">
        <v>34</v>
      </c>
    </row>
    <row r="27" ht="17.5" customHeight="1">
      <c r="A27" s="1254" t="inlineStr">
        <is>
          <t>Brunei</t>
        </is>
      </c>
      <c r="B27" s="1255" t="n">
        <v>18.5</v>
      </c>
    </row>
    <row r="28" ht="17.5" customHeight="1">
      <c r="A28" s="1254" t="inlineStr">
        <is>
          <t>Bulgaria</t>
        </is>
      </c>
      <c r="B28" s="1255" t="n">
        <v>10</v>
      </c>
    </row>
    <row r="29" ht="17.5" customHeight="1">
      <c r="A29" s="1254" t="inlineStr">
        <is>
          <t>Burkina Faso</t>
        </is>
      </c>
      <c r="B29" s="1255" t="n">
        <v>27.5</v>
      </c>
    </row>
    <row r="30" ht="17.5" customHeight="1">
      <c r="A30" s="1254" t="inlineStr">
        <is>
          <t>Cambodia</t>
        </is>
      </c>
      <c r="B30" s="1255" t="n">
        <v>20</v>
      </c>
    </row>
    <row r="31" ht="17.5" customHeight="1">
      <c r="A31" s="1254" t="inlineStr">
        <is>
          <t>Cameroon</t>
        </is>
      </c>
      <c r="B31" s="1255" t="n">
        <v>33</v>
      </c>
    </row>
    <row r="32" ht="17.5" customHeight="1">
      <c r="A32" s="1254" t="inlineStr">
        <is>
          <t>Canada</t>
        </is>
      </c>
      <c r="B32" s="1255" t="n">
        <v>26.5</v>
      </c>
    </row>
    <row r="33" ht="17.5" customHeight="1">
      <c r="A33" s="1254" t="inlineStr">
        <is>
          <t>Cayman Islands</t>
        </is>
      </c>
      <c r="B33" s="1255" t="n">
        <v>0</v>
      </c>
    </row>
    <row r="34" ht="17.5" customHeight="1">
      <c r="A34" s="1254" t="inlineStr">
        <is>
          <t>Chad</t>
        </is>
      </c>
      <c r="B34" s="1255" t="n">
        <v>35</v>
      </c>
    </row>
    <row r="35" ht="17.5" customHeight="1">
      <c r="A35" s="1254" t="inlineStr">
        <is>
          <t>Chile</t>
        </is>
      </c>
      <c r="B35" s="1255" t="n">
        <v>27</v>
      </c>
    </row>
    <row r="36" ht="17.5" customHeight="1">
      <c r="A36" s="1254" t="inlineStr">
        <is>
          <t>China</t>
        </is>
      </c>
      <c r="B36" s="1255" t="n">
        <v>25</v>
      </c>
    </row>
    <row r="37" ht="17.5" customHeight="1">
      <c r="A37" s="1254" t="inlineStr">
        <is>
          <t>Colombia</t>
        </is>
      </c>
      <c r="B37" s="1255" t="n">
        <v>35</v>
      </c>
    </row>
    <row r="38" ht="17.5" customHeight="1">
      <c r="A38" s="1254" t="inlineStr">
        <is>
          <t>Congo</t>
        </is>
      </c>
      <c r="B38" s="1255" t="n">
        <v>30</v>
      </c>
    </row>
    <row r="39" ht="17.5" customHeight="1">
      <c r="A39" s="1254" t="inlineStr">
        <is>
          <t>Costa Rica</t>
        </is>
      </c>
      <c r="B39" s="1255" t="n">
        <v>30</v>
      </c>
    </row>
    <row r="40" ht="17.5" customHeight="1">
      <c r="A40" s="1254" t="inlineStr">
        <is>
          <t>Croatia</t>
        </is>
      </c>
      <c r="B40" s="1255" t="n">
        <v>18</v>
      </c>
    </row>
    <row r="41" ht="17.5" customHeight="1">
      <c r="A41" s="1254" t="inlineStr">
        <is>
          <t>Cyprus</t>
        </is>
      </c>
      <c r="B41" s="1255" t="n">
        <v>12.5</v>
      </c>
    </row>
    <row r="42" ht="17.5" customHeight="1">
      <c r="A42" s="1254" t="inlineStr">
        <is>
          <t>Czech Republic</t>
        </is>
      </c>
      <c r="B42" s="1255" t="n">
        <v>21</v>
      </c>
    </row>
    <row r="43" ht="17.5" customHeight="1">
      <c r="A43" s="1254" t="inlineStr">
        <is>
          <t>Denmark</t>
        </is>
      </c>
      <c r="B43" s="1255" t="n">
        <v>22</v>
      </c>
    </row>
    <row r="44" ht="17.5" customHeight="1">
      <c r="A44" s="1254" t="inlineStr">
        <is>
          <t>Dominican Republic</t>
        </is>
      </c>
      <c r="B44" s="1255" t="n">
        <v>27</v>
      </c>
    </row>
    <row r="45" ht="17.5" customHeight="1">
      <c r="A45" s="1254" t="inlineStr">
        <is>
          <t>Ecuador</t>
        </is>
      </c>
      <c r="B45" s="1255" t="n">
        <v>25</v>
      </c>
    </row>
    <row r="46" ht="17.5" customHeight="1">
      <c r="A46" s="1254" t="inlineStr">
        <is>
          <t>Egypt</t>
        </is>
      </c>
      <c r="B46" s="1255" t="n">
        <v>22.5</v>
      </c>
    </row>
    <row r="47" ht="17.5" customHeight="1">
      <c r="A47" s="1254" t="inlineStr">
        <is>
          <t>El Salvador</t>
        </is>
      </c>
      <c r="B47" s="1255" t="n">
        <v>30</v>
      </c>
    </row>
    <row r="48" ht="17.5" customHeight="1">
      <c r="A48" s="1254" t="inlineStr">
        <is>
          <t>Equatorial Guinea</t>
        </is>
      </c>
      <c r="B48" s="1255" t="n">
        <v>35</v>
      </c>
    </row>
    <row r="49" ht="17.5" customHeight="1">
      <c r="A49" s="1254" t="inlineStr">
        <is>
          <t>Estonia</t>
        </is>
      </c>
      <c r="B49" s="1255" t="n">
        <v>20</v>
      </c>
    </row>
    <row r="50" ht="17.5" customHeight="1">
      <c r="A50" s="1254" t="inlineStr">
        <is>
          <t>Ethiopia</t>
        </is>
      </c>
      <c r="B50" s="1255" t="n">
        <v>30</v>
      </c>
    </row>
    <row r="51" ht="17.5" customHeight="1">
      <c r="A51" s="1254" t="inlineStr">
        <is>
          <t>Euro area</t>
        </is>
      </c>
      <c r="B51" s="1255" t="n">
        <v>23</v>
      </c>
    </row>
    <row r="52" ht="17.5" customHeight="1">
      <c r="A52" s="1254" t="inlineStr">
        <is>
          <t>European Union</t>
        </is>
      </c>
      <c r="B52" s="1255" t="n">
        <v>21.2</v>
      </c>
    </row>
    <row r="53" ht="17.5" customHeight="1">
      <c r="A53" s="1254" t="inlineStr">
        <is>
          <t>Fiji</t>
        </is>
      </c>
      <c r="B53" s="1255" t="n">
        <v>20</v>
      </c>
    </row>
    <row r="54" ht="17.5" customHeight="1">
      <c r="A54" s="1254" t="inlineStr">
        <is>
          <t>Finland</t>
        </is>
      </c>
      <c r="B54" s="1255" t="n">
        <v>20</v>
      </c>
    </row>
    <row r="55" ht="17.5" customHeight="1">
      <c r="A55" s="1254" t="inlineStr">
        <is>
          <t>France</t>
        </is>
      </c>
      <c r="B55" s="1255" t="n">
        <v>25</v>
      </c>
    </row>
    <row r="56" ht="17.5" customHeight="1">
      <c r="A56" s="1254" t="inlineStr">
        <is>
          <t>Gabon</t>
        </is>
      </c>
      <c r="B56" s="1255" t="n">
        <v>30</v>
      </c>
    </row>
    <row r="57" ht="17.5" customHeight="1">
      <c r="A57" s="1254" t="inlineStr">
        <is>
          <t>Gambia</t>
        </is>
      </c>
      <c r="B57" s="1255" t="n">
        <v>27</v>
      </c>
    </row>
    <row r="58" ht="17.5" customHeight="1">
      <c r="A58" s="1254" t="inlineStr">
        <is>
          <t>Georgia</t>
        </is>
      </c>
      <c r="B58" s="1255" t="n">
        <v>15</v>
      </c>
    </row>
    <row r="59" ht="17.5" customHeight="1">
      <c r="A59" s="1254" t="inlineStr">
        <is>
          <t>Germany</t>
        </is>
      </c>
      <c r="B59" s="1255" t="n">
        <v>30</v>
      </c>
    </row>
    <row r="60" ht="17.5" customHeight="1">
      <c r="A60" s="1254" t="inlineStr">
        <is>
          <t>Ghana</t>
        </is>
      </c>
      <c r="B60" s="1255" t="n">
        <v>25</v>
      </c>
    </row>
    <row r="61" ht="17.5" customHeight="1">
      <c r="A61" s="1254" t="inlineStr">
        <is>
          <t>Greece</t>
        </is>
      </c>
      <c r="B61" s="1255" t="n">
        <v>22</v>
      </c>
    </row>
    <row r="62" ht="17.5" customHeight="1">
      <c r="A62" s="1254" t="inlineStr">
        <is>
          <t>Guam</t>
        </is>
      </c>
      <c r="B62" s="1255" t="n">
        <v>21</v>
      </c>
    </row>
    <row r="63" ht="17.5" customHeight="1">
      <c r="A63" s="1254" t="inlineStr">
        <is>
          <t>Guatemala</t>
        </is>
      </c>
      <c r="B63" s="1255" t="n">
        <v>25</v>
      </c>
    </row>
    <row r="64" ht="17.5" customHeight="1">
      <c r="A64" s="1254" t="inlineStr">
        <is>
          <t>Guinea</t>
        </is>
      </c>
      <c r="B64" s="1255" t="n">
        <v>35</v>
      </c>
    </row>
    <row r="65" ht="17.5" customHeight="1">
      <c r="A65" s="1254" t="inlineStr">
        <is>
          <t>Honduras</t>
        </is>
      </c>
      <c r="B65" s="1255" t="n">
        <v>25</v>
      </c>
    </row>
    <row r="66" ht="17.5" customHeight="1">
      <c r="A66" s="1254" t="inlineStr">
        <is>
          <t>Hong Kong</t>
        </is>
      </c>
      <c r="B66" s="1255" t="n">
        <v>16.5</v>
      </c>
    </row>
    <row r="67" ht="17.5" customHeight="1">
      <c r="A67" s="1254" t="inlineStr">
        <is>
          <t>Hungary</t>
        </is>
      </c>
      <c r="B67" s="1255" t="n">
        <v>9</v>
      </c>
    </row>
    <row r="68" ht="17.5" customHeight="1">
      <c r="A68" s="1254" t="inlineStr">
        <is>
          <t>Iceland</t>
        </is>
      </c>
      <c r="B68" s="1255" t="n">
        <v>21</v>
      </c>
    </row>
    <row r="69" ht="17.5" customHeight="1">
      <c r="A69" s="1254" t="inlineStr">
        <is>
          <t>India</t>
        </is>
      </c>
      <c r="B69" s="1255" t="n">
        <v>34.94</v>
      </c>
    </row>
    <row r="70" ht="17.5" customHeight="1">
      <c r="A70" s="1254" t="inlineStr">
        <is>
          <t>Indonesia</t>
        </is>
      </c>
      <c r="B70" s="1255" t="n">
        <v>22</v>
      </c>
    </row>
    <row r="71" ht="17.5" customHeight="1">
      <c r="A71" s="1254" t="inlineStr">
        <is>
          <t>Iraq</t>
        </is>
      </c>
      <c r="B71" s="1255" t="n">
        <v>15</v>
      </c>
    </row>
    <row r="72" ht="17.5" customHeight="1">
      <c r="A72" s="1254" t="inlineStr">
        <is>
          <t>Ireland</t>
        </is>
      </c>
      <c r="B72" s="1255" t="n">
        <v>12.5</v>
      </c>
    </row>
    <row r="73" ht="17.5" customHeight="1">
      <c r="A73" s="1254" t="inlineStr">
        <is>
          <t>Isle of Man</t>
        </is>
      </c>
      <c r="B73" s="1255" t="n">
        <v>0</v>
      </c>
    </row>
    <row r="74" ht="17.5" customHeight="1">
      <c r="A74" s="1254" t="inlineStr">
        <is>
          <t>Israel</t>
        </is>
      </c>
      <c r="B74" s="1255" t="n">
        <v>23</v>
      </c>
    </row>
    <row r="75" ht="17.5" customHeight="1">
      <c r="A75" s="1254" t="inlineStr">
        <is>
          <t>Italy</t>
        </is>
      </c>
      <c r="B75" s="1255" t="n">
        <v>24</v>
      </c>
    </row>
    <row r="76" ht="17.5" customHeight="1">
      <c r="A76" s="1254" t="inlineStr">
        <is>
          <t>Ivory Coast</t>
        </is>
      </c>
      <c r="B76" s="1255" t="n">
        <v>25</v>
      </c>
    </row>
    <row r="77" ht="17.5" customHeight="1">
      <c r="A77" s="1254" t="inlineStr">
        <is>
          <t>Jamaica</t>
        </is>
      </c>
      <c r="B77" s="1255" t="n">
        <v>25</v>
      </c>
    </row>
    <row r="78" ht="17.5" customHeight="1">
      <c r="A78" s="1254" t="inlineStr">
        <is>
          <t>Japan</t>
        </is>
      </c>
      <c r="B78" s="1255" t="n">
        <v>30.62</v>
      </c>
    </row>
    <row r="79" ht="17.5" customHeight="1">
      <c r="A79" s="1254" t="inlineStr">
        <is>
          <t>Jordan</t>
        </is>
      </c>
      <c r="B79" s="1255" t="n">
        <v>20</v>
      </c>
    </row>
    <row r="80" ht="17.5" customHeight="1">
      <c r="A80" s="1254" t="inlineStr">
        <is>
          <t>Kazakhstan</t>
        </is>
      </c>
      <c r="B80" s="1255" t="n">
        <v>20</v>
      </c>
    </row>
    <row r="81" ht="17.5" customHeight="1">
      <c r="A81" s="1254" t="inlineStr">
        <is>
          <t>Kenya</t>
        </is>
      </c>
      <c r="B81" s="1255" t="n">
        <v>30</v>
      </c>
    </row>
    <row r="82" ht="17.5" customHeight="1">
      <c r="A82" s="1254" t="inlineStr">
        <is>
          <t>Kosovo</t>
        </is>
      </c>
      <c r="B82" s="1255" t="n">
        <v>10</v>
      </c>
    </row>
    <row r="83" ht="17.5" customHeight="1">
      <c r="A83" s="1254" t="inlineStr">
        <is>
          <t>Kuwait</t>
        </is>
      </c>
      <c r="B83" s="1255" t="n">
        <v>15</v>
      </c>
    </row>
    <row r="84" ht="17.5" customHeight="1">
      <c r="A84" s="1254" t="inlineStr">
        <is>
          <t>Laos</t>
        </is>
      </c>
      <c r="B84" s="1255" t="n">
        <v>20</v>
      </c>
    </row>
    <row r="85" ht="17.5" customHeight="1">
      <c r="A85" s="1254" t="inlineStr">
        <is>
          <t>Latvia</t>
        </is>
      </c>
      <c r="B85" s="1255" t="n">
        <v>20</v>
      </c>
    </row>
    <row r="86" ht="17.5" customHeight="1">
      <c r="A86" s="1254" t="inlineStr">
        <is>
          <t>Lebanon</t>
        </is>
      </c>
      <c r="B86" s="1255" t="n">
        <v>17</v>
      </c>
    </row>
    <row r="87" ht="17.5" customHeight="1">
      <c r="A87" s="1254" t="inlineStr">
        <is>
          <t>Lesotho</t>
        </is>
      </c>
      <c r="B87" s="1255" t="n">
        <v>25</v>
      </c>
    </row>
    <row r="88" ht="17.5" customHeight="1">
      <c r="A88" s="1254" t="inlineStr">
        <is>
          <t>Libya</t>
        </is>
      </c>
      <c r="B88" s="1255" t="n">
        <v>20</v>
      </c>
    </row>
    <row r="89" ht="17.5" customHeight="1">
      <c r="A89" s="1254" t="inlineStr">
        <is>
          <t>Liechtenstein</t>
        </is>
      </c>
      <c r="B89" s="1255" t="n">
        <v>12.5</v>
      </c>
    </row>
    <row r="90" ht="17.5" customHeight="1">
      <c r="A90" s="1254" t="inlineStr">
        <is>
          <t>Lithuania</t>
        </is>
      </c>
      <c r="B90" s="1255" t="n">
        <v>15</v>
      </c>
    </row>
    <row r="91" ht="17.5" customHeight="1">
      <c r="A91" s="1254" t="inlineStr">
        <is>
          <t>Luxembourg</t>
        </is>
      </c>
      <c r="B91" s="1255" t="n">
        <v>24.94</v>
      </c>
    </row>
    <row r="92" ht="17.5" customHeight="1">
      <c r="A92" s="1254" t="inlineStr">
        <is>
          <t>Macau</t>
        </is>
      </c>
      <c r="B92" s="1255" t="n">
        <v>12</v>
      </c>
    </row>
    <row r="93" ht="17.5" customHeight="1">
      <c r="A93" s="1254" t="inlineStr">
        <is>
          <t>Macedonia</t>
        </is>
      </c>
      <c r="B93" s="1255" t="n">
        <v>10</v>
      </c>
    </row>
    <row r="94" ht="17.5" customHeight="1">
      <c r="A94" s="1254" t="inlineStr">
        <is>
          <t>Madagascar</t>
        </is>
      </c>
      <c r="B94" s="1255" t="n">
        <v>20</v>
      </c>
    </row>
    <row r="95" ht="17.5" customHeight="1">
      <c r="A95" s="1254" t="inlineStr">
        <is>
          <t>Malawi</t>
        </is>
      </c>
      <c r="B95" s="1255" t="n">
        <v>30</v>
      </c>
    </row>
    <row r="96" ht="17.5" customHeight="1">
      <c r="A96" s="1254" t="inlineStr">
        <is>
          <t>Malaysia</t>
        </is>
      </c>
      <c r="B96" s="1255" t="n">
        <v>24</v>
      </c>
    </row>
    <row r="97" ht="17.5" customHeight="1">
      <c r="A97" s="1254" t="inlineStr">
        <is>
          <t>Maldives</t>
        </is>
      </c>
      <c r="B97" s="1255" t="n">
        <v>15</v>
      </c>
    </row>
    <row r="98" ht="17.5" customHeight="1">
      <c r="A98" s="1254" t="inlineStr">
        <is>
          <t>Malta</t>
        </is>
      </c>
      <c r="B98" s="1255" t="n">
        <v>35</v>
      </c>
    </row>
    <row r="99" ht="17.5" customHeight="1">
      <c r="A99" s="1254" t="inlineStr">
        <is>
          <t>Mauritania</t>
        </is>
      </c>
      <c r="B99" s="1255" t="n">
        <v>25</v>
      </c>
    </row>
    <row r="100" ht="17.5" customHeight="1">
      <c r="A100" s="1254" t="inlineStr">
        <is>
          <t>Mauritius</t>
        </is>
      </c>
      <c r="B100" s="1255" t="n">
        <v>15</v>
      </c>
    </row>
    <row r="101" ht="17.5" customHeight="1">
      <c r="A101" s="1254" t="inlineStr">
        <is>
          <t>Mexico</t>
        </is>
      </c>
      <c r="B101" s="1255" t="n">
        <v>30</v>
      </c>
    </row>
    <row r="102" ht="17.5" customHeight="1">
      <c r="A102" s="1254" t="inlineStr">
        <is>
          <t>Micronesia</t>
        </is>
      </c>
      <c r="B102" s="1255" t="n">
        <v>21</v>
      </c>
    </row>
    <row r="103" ht="17.5" customHeight="1">
      <c r="A103" s="1254" t="inlineStr">
        <is>
          <t>Moldova</t>
        </is>
      </c>
      <c r="B103" s="1255" t="n">
        <v>12</v>
      </c>
    </row>
    <row r="104" ht="17.5" customHeight="1">
      <c r="A104" s="1254" t="inlineStr">
        <is>
          <t>Mongolia</t>
        </is>
      </c>
      <c r="B104" s="1255" t="n">
        <v>25</v>
      </c>
    </row>
    <row r="105" ht="17.5" customHeight="1">
      <c r="A105" s="1254" t="inlineStr">
        <is>
          <t>Montenegro</t>
        </is>
      </c>
      <c r="B105" s="1255" t="n">
        <v>9</v>
      </c>
    </row>
    <row r="106" ht="17.5" customHeight="1">
      <c r="A106" s="1254" t="inlineStr">
        <is>
          <t>Morocco</t>
        </is>
      </c>
      <c r="B106" s="1255" t="n">
        <v>32</v>
      </c>
    </row>
    <row r="107" ht="17.5" customHeight="1">
      <c r="A107" s="1254" t="inlineStr">
        <is>
          <t>Mozambique</t>
        </is>
      </c>
      <c r="B107" s="1255" t="n">
        <v>32</v>
      </c>
    </row>
    <row r="108" ht="17.5" customHeight="1">
      <c r="A108" s="1254" t="inlineStr">
        <is>
          <t>Myanmar</t>
        </is>
      </c>
      <c r="B108" s="1255" t="n">
        <v>22</v>
      </c>
    </row>
    <row r="109" ht="17.5" customHeight="1">
      <c r="A109" s="1254" t="inlineStr">
        <is>
          <t>Namibia</t>
        </is>
      </c>
      <c r="B109" s="1255" t="n">
        <v>32</v>
      </c>
    </row>
    <row r="110" ht="17.5" customHeight="1">
      <c r="A110" s="1254" t="inlineStr">
        <is>
          <t>Netherlands</t>
        </is>
      </c>
      <c r="B110" s="1255" t="n">
        <v>25.8</v>
      </c>
    </row>
    <row r="111" ht="17.5" customHeight="1">
      <c r="A111" s="1254" t="inlineStr">
        <is>
          <t>New Zealand</t>
        </is>
      </c>
      <c r="B111" s="1255" t="n">
        <v>28</v>
      </c>
    </row>
    <row r="112" ht="17.5" customHeight="1">
      <c r="A112" s="1254" t="inlineStr">
        <is>
          <t>Nicaragua</t>
        </is>
      </c>
      <c r="B112" s="1255" t="n">
        <v>30</v>
      </c>
    </row>
    <row r="113" ht="17.5" customHeight="1">
      <c r="A113" s="1254" t="inlineStr">
        <is>
          <t>Nigeria</t>
        </is>
      </c>
      <c r="B113" s="1255" t="n">
        <v>30</v>
      </c>
    </row>
    <row r="114" ht="17.5" customHeight="1">
      <c r="A114" s="1254" t="inlineStr">
        <is>
          <t>Norway</t>
        </is>
      </c>
      <c r="B114" s="1255" t="n">
        <v>22</v>
      </c>
    </row>
    <row r="115" ht="17.5" customHeight="1">
      <c r="A115" s="1254" t="inlineStr">
        <is>
          <t>Oman</t>
        </is>
      </c>
      <c r="B115" s="1255" t="n">
        <v>15</v>
      </c>
    </row>
    <row r="116" ht="17.5" customHeight="1">
      <c r="A116" s="1254" t="inlineStr">
        <is>
          <t>Pakistan</t>
        </is>
      </c>
      <c r="B116" s="1255" t="n">
        <v>29</v>
      </c>
    </row>
    <row r="117" ht="17.5" customHeight="1">
      <c r="A117" s="1254" t="inlineStr">
        <is>
          <t>Panama</t>
        </is>
      </c>
      <c r="B117" s="1255" t="n">
        <v>25</v>
      </c>
    </row>
    <row r="118" ht="17.5" customHeight="1">
      <c r="A118" s="1254" t="inlineStr">
        <is>
          <t>Papua New Guinea</t>
        </is>
      </c>
      <c r="B118" s="1255" t="n">
        <v>30</v>
      </c>
    </row>
    <row r="119" ht="17.5" customHeight="1">
      <c r="A119" s="1254" t="inlineStr">
        <is>
          <t>Paraguay</t>
        </is>
      </c>
      <c r="B119" s="1255" t="n">
        <v>10</v>
      </c>
    </row>
    <row r="120" ht="17.5" customHeight="1">
      <c r="A120" s="1254" t="inlineStr">
        <is>
          <t>Peru</t>
        </is>
      </c>
      <c r="B120" s="1255" t="n">
        <v>29.5</v>
      </c>
    </row>
    <row r="121" ht="17.5" customHeight="1">
      <c r="A121" s="1254" t="inlineStr">
        <is>
          <t>Philippines</t>
        </is>
      </c>
      <c r="B121" s="1255" t="n">
        <v>25</v>
      </c>
    </row>
    <row r="122" ht="17.5" customHeight="1">
      <c r="A122" s="1254" t="inlineStr">
        <is>
          <t>Poland</t>
        </is>
      </c>
      <c r="B122" s="1255" t="n">
        <v>19</v>
      </c>
    </row>
    <row r="123" ht="17.5" customHeight="1">
      <c r="A123" s="1254" t="inlineStr">
        <is>
          <t>Portugal</t>
        </is>
      </c>
      <c r="B123" s="1255" t="n">
        <v>21</v>
      </c>
    </row>
    <row r="124" ht="17.5" customHeight="1">
      <c r="A124" s="1254" t="inlineStr">
        <is>
          <t>Puerto Rico</t>
        </is>
      </c>
      <c r="B124" s="1255" t="n">
        <v>37.5</v>
      </c>
    </row>
    <row r="125" ht="17.5" customHeight="1">
      <c r="A125" s="1254" t="inlineStr">
        <is>
          <t>Qatar</t>
        </is>
      </c>
      <c r="B125" s="1255" t="n">
        <v>10</v>
      </c>
    </row>
    <row r="126" ht="17.5" customHeight="1">
      <c r="A126" s="1254" t="inlineStr">
        <is>
          <t>Republic of the Congo</t>
        </is>
      </c>
      <c r="B126" s="1255" t="n">
        <v>28</v>
      </c>
    </row>
    <row r="127" ht="17.5" customHeight="1">
      <c r="A127" s="1254" t="inlineStr">
        <is>
          <t>Romania</t>
        </is>
      </c>
      <c r="B127" s="1255" t="n">
        <v>16</v>
      </c>
    </row>
    <row r="128" ht="17.5" customHeight="1">
      <c r="A128" s="1254" t="inlineStr">
        <is>
          <t>Russia</t>
        </is>
      </c>
      <c r="B128" s="1255" t="n">
        <v>20</v>
      </c>
    </row>
    <row r="129" ht="17.5" customHeight="1">
      <c r="A129" s="1254" t="inlineStr">
        <is>
          <t>Rwanda</t>
        </is>
      </c>
      <c r="B129" s="1255" t="n">
        <v>28</v>
      </c>
    </row>
    <row r="130" ht="17.5" customHeight="1">
      <c r="A130" s="1254" t="inlineStr">
        <is>
          <t>Samoa</t>
        </is>
      </c>
      <c r="B130" s="1255" t="n">
        <v>27</v>
      </c>
    </row>
    <row r="131" ht="17.5" customHeight="1">
      <c r="A131" s="1254" t="inlineStr">
        <is>
          <t>Saudi Arabia</t>
        </is>
      </c>
      <c r="B131" s="1255" t="n">
        <v>20</v>
      </c>
    </row>
    <row r="132" ht="17.5" customHeight="1">
      <c r="A132" s="1254" t="inlineStr">
        <is>
          <t>Senegal</t>
        </is>
      </c>
      <c r="B132" s="1255" t="n">
        <v>30</v>
      </c>
    </row>
    <row r="133" ht="17.5" customHeight="1">
      <c r="A133" s="1254" t="inlineStr">
        <is>
          <t>Serbia</t>
        </is>
      </c>
      <c r="B133" s="1255" t="n">
        <v>15</v>
      </c>
    </row>
    <row r="134" ht="17.5" customHeight="1">
      <c r="A134" s="1254" t="inlineStr">
        <is>
          <t>Seychelles</t>
        </is>
      </c>
      <c r="B134" s="1255" t="n">
        <v>33</v>
      </c>
    </row>
    <row r="135" ht="17.5" customHeight="1">
      <c r="A135" s="1254" t="inlineStr">
        <is>
          <t>Sierra Leone</t>
        </is>
      </c>
      <c r="B135" s="1255" t="n">
        <v>25</v>
      </c>
    </row>
    <row r="136" ht="17.5" customHeight="1">
      <c r="A136" s="1254" t="inlineStr">
        <is>
          <t>Singapore</t>
        </is>
      </c>
      <c r="B136" s="1255" t="n">
        <v>17</v>
      </c>
    </row>
    <row r="137" ht="17.5" customHeight="1">
      <c r="A137" s="1254" t="inlineStr">
        <is>
          <t>Slovakia</t>
        </is>
      </c>
      <c r="B137" s="1255" t="n">
        <v>21</v>
      </c>
    </row>
    <row r="138" ht="17.5" customHeight="1">
      <c r="A138" s="1254" t="inlineStr">
        <is>
          <t>Slovenia</t>
        </is>
      </c>
      <c r="B138" s="1255" t="n">
        <v>22</v>
      </c>
    </row>
    <row r="139" ht="17.5" customHeight="1">
      <c r="A139" s="1254" t="inlineStr">
        <is>
          <t>Solomon Islands</t>
        </is>
      </c>
      <c r="B139" s="1255" t="n">
        <v>30</v>
      </c>
    </row>
    <row r="140" ht="17.5" customHeight="1">
      <c r="A140" s="1254" t="inlineStr">
        <is>
          <t>South Africa</t>
        </is>
      </c>
      <c r="B140" s="1255" t="n">
        <v>27</v>
      </c>
    </row>
    <row r="141" ht="17.5" customHeight="1">
      <c r="A141" s="1254" t="inlineStr">
        <is>
          <t>South Korea</t>
        </is>
      </c>
      <c r="B141" s="1255" t="n">
        <v>24</v>
      </c>
    </row>
    <row r="142" ht="17.5" customHeight="1">
      <c r="A142" s="1254" t="inlineStr">
        <is>
          <t>Spain</t>
        </is>
      </c>
      <c r="B142" s="1255" t="n">
        <v>25</v>
      </c>
    </row>
    <row r="143" ht="17.5" customHeight="1">
      <c r="A143" s="1254" t="inlineStr">
        <is>
          <t>Sri Lanka</t>
        </is>
      </c>
      <c r="B143" s="1255" t="n">
        <v>30</v>
      </c>
    </row>
    <row r="144" ht="17.5" customHeight="1">
      <c r="A144" s="1254" t="inlineStr">
        <is>
          <t>Sudan</t>
        </is>
      </c>
      <c r="B144" s="1255" t="n">
        <v>35</v>
      </c>
    </row>
    <row r="145" ht="17.5" customHeight="1">
      <c r="A145" s="1254" t="inlineStr">
        <is>
          <t>Suriname</t>
        </is>
      </c>
      <c r="B145" s="1255" t="n">
        <v>36</v>
      </c>
    </row>
    <row r="146" ht="17.5" customHeight="1">
      <c r="A146" s="1254" t="inlineStr">
        <is>
          <t>Swaziland</t>
        </is>
      </c>
      <c r="B146" s="1255" t="n">
        <v>27.5</v>
      </c>
    </row>
    <row r="147" ht="17.5" customHeight="1">
      <c r="A147" s="1254" t="inlineStr">
        <is>
          <t>Sweden</t>
        </is>
      </c>
      <c r="B147" s="1255" t="n">
        <v>20.6</v>
      </c>
    </row>
    <row r="148" ht="17.5" customHeight="1">
      <c r="A148" s="1254" t="inlineStr">
        <is>
          <t>Switzerland</t>
        </is>
      </c>
      <c r="B148" s="1255" t="n">
        <v>14.6</v>
      </c>
    </row>
    <row r="149" ht="17.5" customHeight="1">
      <c r="A149" s="1254" t="inlineStr">
        <is>
          <t>Syria</t>
        </is>
      </c>
      <c r="B149" s="1255" t="n">
        <v>28</v>
      </c>
    </row>
    <row r="150" ht="17.5" customHeight="1">
      <c r="A150" s="1254" t="inlineStr">
        <is>
          <t>Taiwan</t>
        </is>
      </c>
      <c r="B150" s="1255" t="n">
        <v>20</v>
      </c>
    </row>
    <row r="151" ht="17.5" customHeight="1">
      <c r="A151" s="1254" t="inlineStr">
        <is>
          <t>Tanzania</t>
        </is>
      </c>
      <c r="B151" s="1255" t="n">
        <v>30</v>
      </c>
    </row>
    <row r="152" ht="17.5" customHeight="1">
      <c r="A152" s="1254" t="inlineStr">
        <is>
          <t>Thailand</t>
        </is>
      </c>
      <c r="B152" s="1255" t="n">
        <v>20</v>
      </c>
    </row>
    <row r="153" ht="17.5" customHeight="1">
      <c r="A153" s="1254" t="inlineStr">
        <is>
          <t>Tonga</t>
        </is>
      </c>
      <c r="B153" s="1255" t="n">
        <v>25</v>
      </c>
    </row>
    <row r="154" ht="17.5" customHeight="1">
      <c r="A154" s="1254" t="inlineStr">
        <is>
          <t>Trinidad And Tobago</t>
        </is>
      </c>
      <c r="B154" s="1255" t="n">
        <v>30</v>
      </c>
    </row>
    <row r="155" ht="17.5" customHeight="1">
      <c r="A155" s="1254" t="inlineStr">
        <is>
          <t>Tunisia</t>
        </is>
      </c>
      <c r="B155" s="1255" t="n">
        <v>15</v>
      </c>
    </row>
    <row r="156" ht="17.5" customHeight="1">
      <c r="A156" s="1254" t="inlineStr">
        <is>
          <t>Turkey</t>
        </is>
      </c>
      <c r="B156" s="1255" t="n">
        <v>25</v>
      </c>
    </row>
    <row r="157" ht="17.5" customHeight="1">
      <c r="A157" s="1254" t="inlineStr">
        <is>
          <t>Uganda</t>
        </is>
      </c>
      <c r="B157" s="1255" t="n">
        <v>30</v>
      </c>
    </row>
    <row r="158" ht="17.5" customHeight="1">
      <c r="A158" s="1254" t="inlineStr">
        <is>
          <t>Ukraine</t>
        </is>
      </c>
      <c r="B158" s="1255" t="n">
        <v>18</v>
      </c>
    </row>
    <row r="159" ht="17.5" customHeight="1">
      <c r="A159" s="1254" t="inlineStr">
        <is>
          <t>United Arab Emirates</t>
        </is>
      </c>
      <c r="B159" s="1255" t="n">
        <v>9</v>
      </c>
    </row>
    <row r="160" ht="17.5" customHeight="1">
      <c r="A160" s="1254" t="inlineStr">
        <is>
          <t>United Kingdom</t>
        </is>
      </c>
      <c r="B160" s="1255" t="n">
        <v>25</v>
      </c>
    </row>
    <row r="161" ht="17.5" customHeight="1">
      <c r="A161" s="1254" t="inlineStr">
        <is>
          <t>United States</t>
        </is>
      </c>
      <c r="B161" s="1255" t="n">
        <v>21</v>
      </c>
    </row>
    <row r="162" ht="17.5" customHeight="1">
      <c r="A162" s="1254" t="inlineStr">
        <is>
          <t>Uruguay</t>
        </is>
      </c>
      <c r="B162" s="1255" t="n">
        <v>25</v>
      </c>
    </row>
    <row r="163" ht="17.5" customHeight="1">
      <c r="A163" s="1254" t="inlineStr">
        <is>
          <t>Uzbekistan</t>
        </is>
      </c>
      <c r="B163" s="1255" t="n">
        <v>15</v>
      </c>
    </row>
    <row r="164" ht="17.5" customHeight="1">
      <c r="A164" s="1254" t="inlineStr">
        <is>
          <t>Vanuatu</t>
        </is>
      </c>
      <c r="B164" s="1255" t="n">
        <v>0</v>
      </c>
    </row>
    <row r="165" ht="17.5" customHeight="1">
      <c r="A165" s="1254" t="inlineStr">
        <is>
          <t>Venezuela</t>
        </is>
      </c>
      <c r="B165" s="1255" t="n">
        <v>34</v>
      </c>
    </row>
    <row r="166" ht="17.5" customHeight="1">
      <c r="A166" s="1254" t="inlineStr">
        <is>
          <t>Vietnam</t>
        </is>
      </c>
      <c r="B166" s="1255" t="n">
        <v>20</v>
      </c>
    </row>
    <row r="167" ht="17.5" customHeight="1">
      <c r="A167" s="1254" t="inlineStr">
        <is>
          <t>Zambia</t>
        </is>
      </c>
      <c r="B167" s="1255" t="n">
        <v>30</v>
      </c>
    </row>
    <row r="168" ht="17.5" customHeight="1">
      <c r="A168" s="1254" t="inlineStr">
        <is>
          <t>Zimbabwe</t>
        </is>
      </c>
      <c r="B168" s="1255" t="n">
        <v>24.72</v>
      </c>
    </row>
  </sheetData>
  <hyperlinks>
    <hyperlink xmlns:r="http://schemas.openxmlformats.org/officeDocument/2006/relationships" ref="A5" display="https://tradingeconomics.com/afghanistan/corporate-tax-rate" r:id="rId1"/>
    <hyperlink xmlns:r="http://schemas.openxmlformats.org/officeDocument/2006/relationships" ref="A6" display="https://tradingeconomics.com/albania/corporate-tax-rate" r:id="rId2"/>
    <hyperlink xmlns:r="http://schemas.openxmlformats.org/officeDocument/2006/relationships" ref="A7" display="https://tradingeconomics.com/algeria/corporate-tax-rate" r:id="rId3"/>
    <hyperlink xmlns:r="http://schemas.openxmlformats.org/officeDocument/2006/relationships" ref="A8" display="https://tradingeconomics.com/angola/corporate-tax-rate" r:id="rId4"/>
    <hyperlink xmlns:r="http://schemas.openxmlformats.org/officeDocument/2006/relationships" ref="A9" display="https://tradingeconomics.com/argentina/corporate-tax-rate" r:id="rId5"/>
    <hyperlink xmlns:r="http://schemas.openxmlformats.org/officeDocument/2006/relationships" ref="A10" display="https://tradingeconomics.com/armenia/corporate-tax-rate" r:id="rId6"/>
    <hyperlink xmlns:r="http://schemas.openxmlformats.org/officeDocument/2006/relationships" ref="A11" display="https://tradingeconomics.com/aruba/corporate-tax-rate" r:id="rId7"/>
    <hyperlink xmlns:r="http://schemas.openxmlformats.org/officeDocument/2006/relationships" ref="A12" display="https://tradingeconomics.com/australia/corporate-tax-rate" r:id="rId8"/>
    <hyperlink xmlns:r="http://schemas.openxmlformats.org/officeDocument/2006/relationships" ref="A13" display="https://tradingeconomics.com/austria/corporate-tax-rate" r:id="rId9"/>
    <hyperlink xmlns:r="http://schemas.openxmlformats.org/officeDocument/2006/relationships" ref="A14" display="https://tradingeconomics.com/azerbaijan/corporate-tax-rate" r:id="rId10"/>
    <hyperlink xmlns:r="http://schemas.openxmlformats.org/officeDocument/2006/relationships" ref="A15" display="https://tradingeconomics.com/bahamas/corporate-tax-rate" r:id="rId11"/>
    <hyperlink xmlns:r="http://schemas.openxmlformats.org/officeDocument/2006/relationships" ref="A16" display="https://tradingeconomics.com/bahrain/corporate-tax-rate" r:id="rId12"/>
    <hyperlink xmlns:r="http://schemas.openxmlformats.org/officeDocument/2006/relationships" ref="A17" display="https://tradingeconomics.com/bangladesh/corporate-tax-rate" r:id="rId13"/>
    <hyperlink xmlns:r="http://schemas.openxmlformats.org/officeDocument/2006/relationships" ref="A18" display="https://tradingeconomics.com/barbados/corporate-tax-rate" r:id="rId14"/>
    <hyperlink xmlns:r="http://schemas.openxmlformats.org/officeDocument/2006/relationships" ref="A19" display="https://tradingeconomics.com/belarus/corporate-tax-rate" r:id="rId15"/>
    <hyperlink xmlns:r="http://schemas.openxmlformats.org/officeDocument/2006/relationships" ref="A20" display="https://tradingeconomics.com/belgium/corporate-tax-rate" r:id="rId16"/>
    <hyperlink xmlns:r="http://schemas.openxmlformats.org/officeDocument/2006/relationships" ref="A21" display="https://tradingeconomics.com/benin/corporate-tax-rate" r:id="rId17"/>
    <hyperlink xmlns:r="http://schemas.openxmlformats.org/officeDocument/2006/relationships" ref="A22" display="https://tradingeconomics.com/bermuda/corporate-tax-rate" r:id="rId18"/>
    <hyperlink xmlns:r="http://schemas.openxmlformats.org/officeDocument/2006/relationships" ref="A23" display="https://tradingeconomics.com/bolivia/corporate-tax-rate" r:id="rId19"/>
    <hyperlink xmlns:r="http://schemas.openxmlformats.org/officeDocument/2006/relationships" ref="A24" display="https://tradingeconomics.com/bosnia-and-herzegovina/corporate-tax-rate" r:id="rId20"/>
    <hyperlink xmlns:r="http://schemas.openxmlformats.org/officeDocument/2006/relationships" ref="A25" display="https://tradingeconomics.com/botswana/corporate-tax-rate" r:id="rId21"/>
    <hyperlink xmlns:r="http://schemas.openxmlformats.org/officeDocument/2006/relationships" ref="A26" display="https://tradingeconomics.com/brazil/corporate-tax-rate" r:id="rId22"/>
    <hyperlink xmlns:r="http://schemas.openxmlformats.org/officeDocument/2006/relationships" ref="A27" display="https://tradingeconomics.com/brunei/corporate-tax-rate" r:id="rId23"/>
    <hyperlink xmlns:r="http://schemas.openxmlformats.org/officeDocument/2006/relationships" ref="A28" display="https://tradingeconomics.com/bulgaria/corporate-tax-rate" r:id="rId24"/>
    <hyperlink xmlns:r="http://schemas.openxmlformats.org/officeDocument/2006/relationships" ref="A29" display="https://tradingeconomics.com/burkina-faso/corporate-tax-rate" r:id="rId25"/>
    <hyperlink xmlns:r="http://schemas.openxmlformats.org/officeDocument/2006/relationships" ref="A30" display="https://tradingeconomics.com/cambodia/corporate-tax-rate" r:id="rId26"/>
    <hyperlink xmlns:r="http://schemas.openxmlformats.org/officeDocument/2006/relationships" ref="A31" display="https://tradingeconomics.com/cameroon/corporate-tax-rate" r:id="rId27"/>
    <hyperlink xmlns:r="http://schemas.openxmlformats.org/officeDocument/2006/relationships" ref="A32" display="https://tradingeconomics.com/canada/corporate-tax-rate" r:id="rId28"/>
    <hyperlink xmlns:r="http://schemas.openxmlformats.org/officeDocument/2006/relationships" ref="A33" display="https://tradingeconomics.com/cayman-islands/corporate-tax-rate" r:id="rId29"/>
    <hyperlink xmlns:r="http://schemas.openxmlformats.org/officeDocument/2006/relationships" ref="A34" display="https://tradingeconomics.com/chad/corporate-tax-rate" r:id="rId30"/>
    <hyperlink xmlns:r="http://schemas.openxmlformats.org/officeDocument/2006/relationships" ref="A35" display="https://tradingeconomics.com/chile/corporate-tax-rate" r:id="rId31"/>
    <hyperlink xmlns:r="http://schemas.openxmlformats.org/officeDocument/2006/relationships" ref="A36" display="https://tradingeconomics.com/china/corporate-tax-rate" r:id="rId32"/>
    <hyperlink xmlns:r="http://schemas.openxmlformats.org/officeDocument/2006/relationships" ref="A37" display="https://tradingeconomics.com/colombia/corporate-tax-rate" r:id="rId33"/>
    <hyperlink xmlns:r="http://schemas.openxmlformats.org/officeDocument/2006/relationships" ref="A38" display="https://tradingeconomics.com/congo/corporate-tax-rate" r:id="rId34"/>
    <hyperlink xmlns:r="http://schemas.openxmlformats.org/officeDocument/2006/relationships" ref="A39" display="https://tradingeconomics.com/costa-rica/corporate-tax-rate" r:id="rId35"/>
    <hyperlink xmlns:r="http://schemas.openxmlformats.org/officeDocument/2006/relationships" ref="A40" display="https://tradingeconomics.com/croatia/corporate-tax-rate" r:id="rId36"/>
    <hyperlink xmlns:r="http://schemas.openxmlformats.org/officeDocument/2006/relationships" ref="A41" display="https://tradingeconomics.com/cyprus/corporate-tax-rate" r:id="rId37"/>
    <hyperlink xmlns:r="http://schemas.openxmlformats.org/officeDocument/2006/relationships" ref="A42" display="https://tradingeconomics.com/czech-republic/corporate-tax-rate" r:id="rId38"/>
    <hyperlink xmlns:r="http://schemas.openxmlformats.org/officeDocument/2006/relationships" ref="A43" display="https://tradingeconomics.com/denmark/corporate-tax-rate" r:id="rId39"/>
    <hyperlink xmlns:r="http://schemas.openxmlformats.org/officeDocument/2006/relationships" ref="A44" display="https://tradingeconomics.com/dominican-republic/corporate-tax-rate" r:id="rId40"/>
    <hyperlink xmlns:r="http://schemas.openxmlformats.org/officeDocument/2006/relationships" ref="A45" display="https://tradingeconomics.com/ecuador/corporate-tax-rate" r:id="rId41"/>
    <hyperlink xmlns:r="http://schemas.openxmlformats.org/officeDocument/2006/relationships" ref="A46" display="https://tradingeconomics.com/egypt/corporate-tax-rate" r:id="rId42"/>
    <hyperlink xmlns:r="http://schemas.openxmlformats.org/officeDocument/2006/relationships" ref="A47" display="https://tradingeconomics.com/el-salvador/corporate-tax-rate" r:id="rId43"/>
    <hyperlink xmlns:r="http://schemas.openxmlformats.org/officeDocument/2006/relationships" ref="A48" display="https://tradingeconomics.com/equatorial-guinea/corporate-tax-rate" r:id="rId44"/>
    <hyperlink xmlns:r="http://schemas.openxmlformats.org/officeDocument/2006/relationships" ref="A49" display="https://tradingeconomics.com/estonia/corporate-tax-rate" r:id="rId45"/>
    <hyperlink xmlns:r="http://schemas.openxmlformats.org/officeDocument/2006/relationships" ref="A50" display="https://tradingeconomics.com/ethiopia/corporate-tax-rate" r:id="rId46"/>
    <hyperlink xmlns:r="http://schemas.openxmlformats.org/officeDocument/2006/relationships" ref="A51" display="https://tradingeconomics.com/euro-area/corporate-tax-rate" r:id="rId47"/>
    <hyperlink xmlns:r="http://schemas.openxmlformats.org/officeDocument/2006/relationships" ref="A52" display="https://tradingeconomics.com/european-union/corporate-tax-rate" r:id="rId48"/>
    <hyperlink xmlns:r="http://schemas.openxmlformats.org/officeDocument/2006/relationships" ref="A53" display="https://tradingeconomics.com/fiji/corporate-tax-rate" r:id="rId49"/>
    <hyperlink xmlns:r="http://schemas.openxmlformats.org/officeDocument/2006/relationships" ref="A54" display="https://tradingeconomics.com/finland/corporate-tax-rate" r:id="rId50"/>
    <hyperlink xmlns:r="http://schemas.openxmlformats.org/officeDocument/2006/relationships" ref="A55" display="https://tradingeconomics.com/france/corporate-tax-rate" r:id="rId51"/>
    <hyperlink xmlns:r="http://schemas.openxmlformats.org/officeDocument/2006/relationships" ref="A56" display="https://tradingeconomics.com/gabon/corporate-tax-rate" r:id="rId52"/>
    <hyperlink xmlns:r="http://schemas.openxmlformats.org/officeDocument/2006/relationships" ref="A57" display="https://tradingeconomics.com/gambia/corporate-tax-rate" r:id="rId53"/>
    <hyperlink xmlns:r="http://schemas.openxmlformats.org/officeDocument/2006/relationships" ref="A58" display="https://tradingeconomics.com/georgia/corporate-tax-rate" r:id="rId54"/>
    <hyperlink xmlns:r="http://schemas.openxmlformats.org/officeDocument/2006/relationships" ref="A59" display="https://tradingeconomics.com/germany/corporate-tax-rate" r:id="rId55"/>
    <hyperlink xmlns:r="http://schemas.openxmlformats.org/officeDocument/2006/relationships" ref="A60" display="https://tradingeconomics.com/ghana/corporate-tax-rate" r:id="rId56"/>
    <hyperlink xmlns:r="http://schemas.openxmlformats.org/officeDocument/2006/relationships" ref="A61" display="https://tradingeconomics.com/greece/corporate-tax-rate" r:id="rId57"/>
    <hyperlink xmlns:r="http://schemas.openxmlformats.org/officeDocument/2006/relationships" ref="A62" display="https://tradingeconomics.com/guam/corporate-tax-rate" r:id="rId58"/>
    <hyperlink xmlns:r="http://schemas.openxmlformats.org/officeDocument/2006/relationships" ref="A63" display="https://tradingeconomics.com/guatemala/corporate-tax-rate" r:id="rId59"/>
    <hyperlink xmlns:r="http://schemas.openxmlformats.org/officeDocument/2006/relationships" ref="A64" display="https://tradingeconomics.com/guinea/corporate-tax-rate" r:id="rId60"/>
    <hyperlink xmlns:r="http://schemas.openxmlformats.org/officeDocument/2006/relationships" ref="A65" display="https://tradingeconomics.com/honduras/corporate-tax-rate" r:id="rId61"/>
    <hyperlink xmlns:r="http://schemas.openxmlformats.org/officeDocument/2006/relationships" ref="A66" display="https://tradingeconomics.com/hong-kong/corporate-tax-rate" r:id="rId62"/>
    <hyperlink xmlns:r="http://schemas.openxmlformats.org/officeDocument/2006/relationships" ref="A67" display="https://tradingeconomics.com/hungary/corporate-tax-rate" r:id="rId63"/>
    <hyperlink xmlns:r="http://schemas.openxmlformats.org/officeDocument/2006/relationships" ref="A68" display="https://tradingeconomics.com/iceland/corporate-tax-rate" r:id="rId64"/>
    <hyperlink xmlns:r="http://schemas.openxmlformats.org/officeDocument/2006/relationships" ref="A69" display="https://tradingeconomics.com/india/corporate-tax-rate" r:id="rId65"/>
    <hyperlink xmlns:r="http://schemas.openxmlformats.org/officeDocument/2006/relationships" ref="A70" display="https://tradingeconomics.com/indonesia/corporate-tax-rate" r:id="rId66"/>
    <hyperlink xmlns:r="http://schemas.openxmlformats.org/officeDocument/2006/relationships" ref="A71" display="https://tradingeconomics.com/iraq/corporate-tax-rate" r:id="rId67"/>
    <hyperlink xmlns:r="http://schemas.openxmlformats.org/officeDocument/2006/relationships" ref="A72" display="https://tradingeconomics.com/ireland/corporate-tax-rate" r:id="rId68"/>
    <hyperlink xmlns:r="http://schemas.openxmlformats.org/officeDocument/2006/relationships" ref="A73" display="https://tradingeconomics.com/isle-of-man/corporate-tax-rate" r:id="rId69"/>
    <hyperlink xmlns:r="http://schemas.openxmlformats.org/officeDocument/2006/relationships" ref="A74" display="https://tradingeconomics.com/israel/corporate-tax-rate" r:id="rId70"/>
    <hyperlink xmlns:r="http://schemas.openxmlformats.org/officeDocument/2006/relationships" ref="A75" display="https://tradingeconomics.com/italy/corporate-tax-rate" r:id="rId71"/>
    <hyperlink xmlns:r="http://schemas.openxmlformats.org/officeDocument/2006/relationships" ref="A76" display="https://tradingeconomics.com/ivory-coast/corporate-tax-rate" r:id="rId72"/>
    <hyperlink xmlns:r="http://schemas.openxmlformats.org/officeDocument/2006/relationships" ref="A77" display="https://tradingeconomics.com/jamaica/corporate-tax-rate" r:id="rId73"/>
    <hyperlink xmlns:r="http://schemas.openxmlformats.org/officeDocument/2006/relationships" ref="A78" display="https://tradingeconomics.com/japan/corporate-tax-rate" r:id="rId74"/>
    <hyperlink xmlns:r="http://schemas.openxmlformats.org/officeDocument/2006/relationships" ref="A79" display="https://tradingeconomics.com/jordan/corporate-tax-rate" r:id="rId75"/>
    <hyperlink xmlns:r="http://schemas.openxmlformats.org/officeDocument/2006/relationships" ref="A80" display="https://tradingeconomics.com/kazakhstan/corporate-tax-rate" r:id="rId76"/>
    <hyperlink xmlns:r="http://schemas.openxmlformats.org/officeDocument/2006/relationships" ref="A81" display="https://tradingeconomics.com/kenya/corporate-tax-rate" r:id="rId77"/>
    <hyperlink xmlns:r="http://schemas.openxmlformats.org/officeDocument/2006/relationships" ref="A82" display="https://tradingeconomics.com/kosovo/corporate-tax-rate" r:id="rId78"/>
    <hyperlink xmlns:r="http://schemas.openxmlformats.org/officeDocument/2006/relationships" ref="A83" display="https://tradingeconomics.com/kuwait/corporate-tax-rate" r:id="rId79"/>
    <hyperlink xmlns:r="http://schemas.openxmlformats.org/officeDocument/2006/relationships" ref="A84" display="https://tradingeconomics.com/laos/corporate-tax-rate" r:id="rId80"/>
    <hyperlink xmlns:r="http://schemas.openxmlformats.org/officeDocument/2006/relationships" ref="A85" display="https://tradingeconomics.com/latvia/corporate-tax-rate" r:id="rId81"/>
    <hyperlink xmlns:r="http://schemas.openxmlformats.org/officeDocument/2006/relationships" ref="A86" display="https://tradingeconomics.com/lebanon/corporate-tax-rate" r:id="rId82"/>
    <hyperlink xmlns:r="http://schemas.openxmlformats.org/officeDocument/2006/relationships" ref="A87" display="https://tradingeconomics.com/lesotho/corporate-tax-rate" r:id="rId83"/>
    <hyperlink xmlns:r="http://schemas.openxmlformats.org/officeDocument/2006/relationships" ref="A88" display="https://tradingeconomics.com/libya/corporate-tax-rate" r:id="rId84"/>
    <hyperlink xmlns:r="http://schemas.openxmlformats.org/officeDocument/2006/relationships" ref="A89" display="https://tradingeconomics.com/liechtenstein/corporate-tax-rate" r:id="rId85"/>
    <hyperlink xmlns:r="http://schemas.openxmlformats.org/officeDocument/2006/relationships" ref="A90" display="https://tradingeconomics.com/lithuania/corporate-tax-rate" r:id="rId86"/>
    <hyperlink xmlns:r="http://schemas.openxmlformats.org/officeDocument/2006/relationships" ref="A91" display="https://tradingeconomics.com/luxembourg/corporate-tax-rate" r:id="rId87"/>
    <hyperlink xmlns:r="http://schemas.openxmlformats.org/officeDocument/2006/relationships" ref="A92" display="https://tradingeconomics.com/macau/corporate-tax-rate" r:id="rId88"/>
    <hyperlink xmlns:r="http://schemas.openxmlformats.org/officeDocument/2006/relationships" ref="A93" display="https://tradingeconomics.com/macedonia/corporate-tax-rate" r:id="rId89"/>
    <hyperlink xmlns:r="http://schemas.openxmlformats.org/officeDocument/2006/relationships" ref="A94" display="https://tradingeconomics.com/madagascar/corporate-tax-rate" r:id="rId90"/>
    <hyperlink xmlns:r="http://schemas.openxmlformats.org/officeDocument/2006/relationships" ref="A95" display="https://tradingeconomics.com/malawi/corporate-tax-rate" r:id="rId91"/>
    <hyperlink xmlns:r="http://schemas.openxmlformats.org/officeDocument/2006/relationships" ref="A96" display="https://tradingeconomics.com/malaysia/corporate-tax-rate" r:id="rId92"/>
    <hyperlink xmlns:r="http://schemas.openxmlformats.org/officeDocument/2006/relationships" ref="A97" display="https://tradingeconomics.com/maldives/corporate-tax-rate" r:id="rId93"/>
    <hyperlink xmlns:r="http://schemas.openxmlformats.org/officeDocument/2006/relationships" ref="A98" display="https://tradingeconomics.com/malta/corporate-tax-rate" r:id="rId94"/>
    <hyperlink xmlns:r="http://schemas.openxmlformats.org/officeDocument/2006/relationships" ref="A99" display="https://tradingeconomics.com/mauritania/corporate-tax-rate" r:id="rId95"/>
    <hyperlink xmlns:r="http://schemas.openxmlformats.org/officeDocument/2006/relationships" ref="A100" display="https://tradingeconomics.com/mauritius/corporate-tax-rate" r:id="rId96"/>
    <hyperlink xmlns:r="http://schemas.openxmlformats.org/officeDocument/2006/relationships" ref="A101" display="https://tradingeconomics.com/mexico/corporate-tax-rate" r:id="rId97"/>
    <hyperlink xmlns:r="http://schemas.openxmlformats.org/officeDocument/2006/relationships" ref="A102" display="https://tradingeconomics.com/micronesia/corporate-tax-rate" r:id="rId98"/>
    <hyperlink xmlns:r="http://schemas.openxmlformats.org/officeDocument/2006/relationships" ref="A103" display="https://tradingeconomics.com/moldova/corporate-tax-rate" r:id="rId99"/>
    <hyperlink xmlns:r="http://schemas.openxmlformats.org/officeDocument/2006/relationships" ref="A104" display="https://tradingeconomics.com/mongolia/corporate-tax-rate" r:id="rId100"/>
    <hyperlink xmlns:r="http://schemas.openxmlformats.org/officeDocument/2006/relationships" ref="A105" display="https://tradingeconomics.com/montenegro/corporate-tax-rate" r:id="rId101"/>
    <hyperlink xmlns:r="http://schemas.openxmlformats.org/officeDocument/2006/relationships" ref="A106" display="https://tradingeconomics.com/morocco/corporate-tax-rate" r:id="rId102"/>
    <hyperlink xmlns:r="http://schemas.openxmlformats.org/officeDocument/2006/relationships" ref="A107" display="https://tradingeconomics.com/mozambique/corporate-tax-rate" r:id="rId103"/>
    <hyperlink xmlns:r="http://schemas.openxmlformats.org/officeDocument/2006/relationships" ref="A108" display="https://tradingeconomics.com/myanmar/corporate-tax-rate" r:id="rId104"/>
    <hyperlink xmlns:r="http://schemas.openxmlformats.org/officeDocument/2006/relationships" ref="A109" display="https://tradingeconomics.com/namibia/corporate-tax-rate" r:id="rId105"/>
    <hyperlink xmlns:r="http://schemas.openxmlformats.org/officeDocument/2006/relationships" ref="A110" display="https://tradingeconomics.com/netherlands/corporate-tax-rate" r:id="rId106"/>
    <hyperlink xmlns:r="http://schemas.openxmlformats.org/officeDocument/2006/relationships" ref="A111" display="https://tradingeconomics.com/new-zealand/corporate-tax-rate" r:id="rId107"/>
    <hyperlink xmlns:r="http://schemas.openxmlformats.org/officeDocument/2006/relationships" ref="A112" display="https://tradingeconomics.com/nicaragua/corporate-tax-rate" r:id="rId108"/>
    <hyperlink xmlns:r="http://schemas.openxmlformats.org/officeDocument/2006/relationships" ref="A113" display="https://tradingeconomics.com/nigeria/corporate-tax-rate" r:id="rId109"/>
    <hyperlink xmlns:r="http://schemas.openxmlformats.org/officeDocument/2006/relationships" ref="A114" display="https://tradingeconomics.com/norway/corporate-tax-rate" r:id="rId110"/>
    <hyperlink xmlns:r="http://schemas.openxmlformats.org/officeDocument/2006/relationships" ref="A115" display="https://tradingeconomics.com/oman/corporate-tax-rate" r:id="rId111"/>
    <hyperlink xmlns:r="http://schemas.openxmlformats.org/officeDocument/2006/relationships" ref="A116" display="https://tradingeconomics.com/pakistan/corporate-tax-rate" r:id="rId112"/>
    <hyperlink xmlns:r="http://schemas.openxmlformats.org/officeDocument/2006/relationships" ref="A117" display="https://tradingeconomics.com/panama/corporate-tax-rate" r:id="rId113"/>
    <hyperlink xmlns:r="http://schemas.openxmlformats.org/officeDocument/2006/relationships" ref="A118" display="https://tradingeconomics.com/papua-new-guinea/corporate-tax-rate" r:id="rId114"/>
    <hyperlink xmlns:r="http://schemas.openxmlformats.org/officeDocument/2006/relationships" ref="A119" display="https://tradingeconomics.com/paraguay/corporate-tax-rate" r:id="rId115"/>
    <hyperlink xmlns:r="http://schemas.openxmlformats.org/officeDocument/2006/relationships" ref="A120" display="https://tradingeconomics.com/peru/corporate-tax-rate" r:id="rId116"/>
    <hyperlink xmlns:r="http://schemas.openxmlformats.org/officeDocument/2006/relationships" ref="A121" display="https://tradingeconomics.com/philippines/corporate-tax-rate" r:id="rId117"/>
    <hyperlink xmlns:r="http://schemas.openxmlformats.org/officeDocument/2006/relationships" ref="A122" display="https://tradingeconomics.com/poland/corporate-tax-rate" r:id="rId118"/>
    <hyperlink xmlns:r="http://schemas.openxmlformats.org/officeDocument/2006/relationships" ref="A123" display="https://tradingeconomics.com/portugal/corporate-tax-rate" r:id="rId119"/>
    <hyperlink xmlns:r="http://schemas.openxmlformats.org/officeDocument/2006/relationships" ref="A124" display="https://tradingeconomics.com/puerto-rico/corporate-tax-rate" r:id="rId120"/>
    <hyperlink xmlns:r="http://schemas.openxmlformats.org/officeDocument/2006/relationships" ref="A125" display="https://tradingeconomics.com/qatar/corporate-tax-rate" r:id="rId121"/>
    <hyperlink xmlns:r="http://schemas.openxmlformats.org/officeDocument/2006/relationships" ref="A126" display="https://tradingeconomics.com/republic-of-the-congo/corporate-tax-rate" r:id="rId122"/>
    <hyperlink xmlns:r="http://schemas.openxmlformats.org/officeDocument/2006/relationships" ref="A127" display="https://tradingeconomics.com/romania/corporate-tax-rate" r:id="rId123"/>
    <hyperlink xmlns:r="http://schemas.openxmlformats.org/officeDocument/2006/relationships" ref="A128" display="https://tradingeconomics.com/russia/corporate-tax-rate" r:id="rId124"/>
    <hyperlink xmlns:r="http://schemas.openxmlformats.org/officeDocument/2006/relationships" ref="A129" display="https://tradingeconomics.com/rwanda/corporate-tax-rate" r:id="rId125"/>
    <hyperlink xmlns:r="http://schemas.openxmlformats.org/officeDocument/2006/relationships" ref="A130" display="https://tradingeconomics.com/samoa/corporate-tax-rate" r:id="rId126"/>
    <hyperlink xmlns:r="http://schemas.openxmlformats.org/officeDocument/2006/relationships" ref="A131" display="https://tradingeconomics.com/saudi-arabia/corporate-tax-rate" r:id="rId127"/>
    <hyperlink xmlns:r="http://schemas.openxmlformats.org/officeDocument/2006/relationships" ref="A132" display="https://tradingeconomics.com/senegal/corporate-tax-rate" r:id="rId128"/>
    <hyperlink xmlns:r="http://schemas.openxmlformats.org/officeDocument/2006/relationships" ref="A133" display="https://tradingeconomics.com/serbia/corporate-tax-rate" r:id="rId129"/>
    <hyperlink xmlns:r="http://schemas.openxmlformats.org/officeDocument/2006/relationships" ref="A134" display="https://tradingeconomics.com/seychelles/corporate-tax-rate" r:id="rId130"/>
    <hyperlink xmlns:r="http://schemas.openxmlformats.org/officeDocument/2006/relationships" ref="A135" display="https://tradingeconomics.com/sierra-leone/corporate-tax-rate" r:id="rId131"/>
    <hyperlink xmlns:r="http://schemas.openxmlformats.org/officeDocument/2006/relationships" ref="A136" display="https://tradingeconomics.com/singapore/corporate-tax-rate" r:id="rId132"/>
    <hyperlink xmlns:r="http://schemas.openxmlformats.org/officeDocument/2006/relationships" ref="A137" display="https://tradingeconomics.com/slovakia/corporate-tax-rate" r:id="rId133"/>
    <hyperlink xmlns:r="http://schemas.openxmlformats.org/officeDocument/2006/relationships" ref="A138" display="https://tradingeconomics.com/slovenia/corporate-tax-rate" r:id="rId134"/>
    <hyperlink xmlns:r="http://schemas.openxmlformats.org/officeDocument/2006/relationships" ref="A139" display="https://tradingeconomics.com/solomon-islands/corporate-tax-rate" r:id="rId135"/>
    <hyperlink xmlns:r="http://schemas.openxmlformats.org/officeDocument/2006/relationships" ref="A140" display="https://tradingeconomics.com/south-africa/corporate-tax-rate" r:id="rId136"/>
    <hyperlink xmlns:r="http://schemas.openxmlformats.org/officeDocument/2006/relationships" ref="A141" display="https://tradingeconomics.com/south-korea/corporate-tax-rate" r:id="rId137"/>
    <hyperlink xmlns:r="http://schemas.openxmlformats.org/officeDocument/2006/relationships" ref="A142" display="https://tradingeconomics.com/spain/corporate-tax-rate" r:id="rId138"/>
    <hyperlink xmlns:r="http://schemas.openxmlformats.org/officeDocument/2006/relationships" ref="A143" display="https://tradingeconomics.com/sri-lanka/corporate-tax-rate" r:id="rId139"/>
    <hyperlink xmlns:r="http://schemas.openxmlformats.org/officeDocument/2006/relationships" ref="A144" display="https://tradingeconomics.com/sudan/corporate-tax-rate" r:id="rId140"/>
    <hyperlink xmlns:r="http://schemas.openxmlformats.org/officeDocument/2006/relationships" ref="A145" display="https://tradingeconomics.com/suriname/corporate-tax-rate" r:id="rId141"/>
    <hyperlink xmlns:r="http://schemas.openxmlformats.org/officeDocument/2006/relationships" ref="A146" display="https://tradingeconomics.com/swaziland/corporate-tax-rate" r:id="rId142"/>
    <hyperlink xmlns:r="http://schemas.openxmlformats.org/officeDocument/2006/relationships" ref="A147" display="https://tradingeconomics.com/sweden/corporate-tax-rate" r:id="rId143"/>
    <hyperlink xmlns:r="http://schemas.openxmlformats.org/officeDocument/2006/relationships" ref="A148" display="https://tradingeconomics.com/switzerland/corporate-tax-rate" r:id="rId144"/>
    <hyperlink xmlns:r="http://schemas.openxmlformats.org/officeDocument/2006/relationships" ref="A149" display="https://tradingeconomics.com/syria/corporate-tax-rate" r:id="rId145"/>
    <hyperlink xmlns:r="http://schemas.openxmlformats.org/officeDocument/2006/relationships" ref="A150" display="https://tradingeconomics.com/taiwan/corporate-tax-rate" r:id="rId146"/>
    <hyperlink xmlns:r="http://schemas.openxmlformats.org/officeDocument/2006/relationships" ref="A151" display="https://tradingeconomics.com/tanzania/corporate-tax-rate" r:id="rId147"/>
    <hyperlink xmlns:r="http://schemas.openxmlformats.org/officeDocument/2006/relationships" ref="A152" display="https://tradingeconomics.com/thailand/corporate-tax-rate" r:id="rId148"/>
    <hyperlink xmlns:r="http://schemas.openxmlformats.org/officeDocument/2006/relationships" ref="A153" display="https://tradingeconomics.com/tonga/corporate-tax-rate" r:id="rId149"/>
    <hyperlink xmlns:r="http://schemas.openxmlformats.org/officeDocument/2006/relationships" ref="A154" display="https://tradingeconomics.com/trinidad-and-tobago/corporate-tax-rate" r:id="rId150"/>
    <hyperlink xmlns:r="http://schemas.openxmlformats.org/officeDocument/2006/relationships" ref="A155" display="https://tradingeconomics.com/tunisia/corporate-tax-rate" r:id="rId151"/>
    <hyperlink xmlns:r="http://schemas.openxmlformats.org/officeDocument/2006/relationships" ref="A156" display="https://tradingeconomics.com/turkey/corporate-tax-rate" r:id="rId152"/>
    <hyperlink xmlns:r="http://schemas.openxmlformats.org/officeDocument/2006/relationships" ref="A157" display="https://tradingeconomics.com/uganda/corporate-tax-rate" r:id="rId153"/>
    <hyperlink xmlns:r="http://schemas.openxmlformats.org/officeDocument/2006/relationships" ref="A158" display="https://tradingeconomics.com/ukraine/corporate-tax-rate" r:id="rId154"/>
    <hyperlink xmlns:r="http://schemas.openxmlformats.org/officeDocument/2006/relationships" ref="A159" display="https://tradingeconomics.com/united-arab-emirates/corporate-tax-rate" r:id="rId155"/>
    <hyperlink xmlns:r="http://schemas.openxmlformats.org/officeDocument/2006/relationships" ref="A160" display="https://tradingeconomics.com/united-kingdom/corporate-tax-rate" r:id="rId156"/>
    <hyperlink xmlns:r="http://schemas.openxmlformats.org/officeDocument/2006/relationships" ref="A161" display="https://tradingeconomics.com/united-states/corporate-tax-rate" r:id="rId157"/>
    <hyperlink xmlns:r="http://schemas.openxmlformats.org/officeDocument/2006/relationships" ref="A162" display="https://tradingeconomics.com/uruguay/corporate-tax-rate" r:id="rId158"/>
    <hyperlink xmlns:r="http://schemas.openxmlformats.org/officeDocument/2006/relationships" ref="A163" display="https://tradingeconomics.com/uzbekistan/corporate-tax-rate" r:id="rId159"/>
    <hyperlink xmlns:r="http://schemas.openxmlformats.org/officeDocument/2006/relationships" ref="A164" display="https://tradingeconomics.com/vanuatu/corporate-tax-rate" r:id="rId160"/>
    <hyperlink xmlns:r="http://schemas.openxmlformats.org/officeDocument/2006/relationships" ref="A165" display="https://tradingeconomics.com/venezuela/corporate-tax-rate" r:id="rId161"/>
    <hyperlink xmlns:r="http://schemas.openxmlformats.org/officeDocument/2006/relationships" ref="A166" display="https://tradingeconomics.com/vietnam/corporate-tax-rate" r:id="rId162"/>
    <hyperlink xmlns:r="http://schemas.openxmlformats.org/officeDocument/2006/relationships" ref="A167" display="https://tradingeconomics.com/zambia/corporate-tax-rate" r:id="rId163"/>
    <hyperlink xmlns:r="http://schemas.openxmlformats.org/officeDocument/2006/relationships" ref="A168" display="https://tradingeconomics.com/zimbabwe/corporate-tax-rate" r:id="rId164"/>
  </hyperlinks>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44.xml><?xml version="1.0" encoding="utf-8"?>
<worksheet xmlns="http://schemas.openxmlformats.org/spreadsheetml/2006/main">
  <sheetPr>
    <tabColor rgb="FF0000FF"/>
    <outlinePr summaryBelow="1" summaryRight="1"/>
    <pageSetUpPr/>
  </sheetPr>
  <dimension ref="B2:AS357"/>
  <sheetViews>
    <sheetView showGridLines="0" topLeftCell="A241" zoomScale="57" zoomScaleNormal="76" workbookViewId="0">
      <selection activeCell="G274" sqref="G274:N274"/>
    </sheetView>
  </sheetViews>
  <sheetFormatPr baseColWidth="8" defaultColWidth="0" defaultRowHeight="16.5"/>
  <cols>
    <col width="1.61328125" customWidth="1" style="1145" min="1" max="1"/>
    <col width="2.84375" customWidth="1" style="1145" min="2" max="2"/>
    <col width="6.07421875" customWidth="1" style="1145" min="3" max="3"/>
    <col width="12.07421875" customWidth="1" style="1145" min="4" max="4"/>
    <col width="9.69140625" customWidth="1" style="1145" min="5" max="5"/>
    <col width="12.4609375" bestFit="1" customWidth="1" style="1145" min="6" max="7"/>
    <col width="14.4609375" bestFit="1" customWidth="1" style="1145" min="8" max="9"/>
    <col width="12.4609375" bestFit="1" customWidth="1" style="1145" min="10" max="10"/>
    <col width="11.4609375" bestFit="1" customWidth="1" style="1145" min="11" max="11"/>
    <col width="13.61328125" customWidth="1" style="1145" min="12" max="12"/>
    <col width="10.53515625" bestFit="1" customWidth="1" style="1145" min="13" max="13"/>
    <col width="14.23046875" bestFit="1" customWidth="1" style="1145" min="14" max="14"/>
    <col width="9.53515625" bestFit="1" customWidth="1" style="1145" min="15" max="15"/>
    <col width="11.84375" bestFit="1" customWidth="1" style="1145" min="16" max="16"/>
    <col width="9.23046875" customWidth="1" style="1145" min="17" max="23"/>
    <col width="8.84375" customWidth="1" style="1145" min="24" max="46"/>
    <col hidden="1" width="8.84375" customWidth="1" style="1145" min="47" max="16384"/>
  </cols>
  <sheetData>
    <row r="2">
      <c r="B2" s="1144">
        <f>Inputs!B2</f>
        <v/>
      </c>
    </row>
    <row r="3">
      <c r="B3" s="1146">
        <f>client.name.long&amp;" - Valuation Model as at "&amp;TEXT(valuation.date,"mmmm d, yyy")</f>
        <v/>
      </c>
    </row>
    <row r="4" customFormat="1" s="1149">
      <c r="B4" s="1147" t="inlineStr">
        <is>
          <t>GPC Inputs</t>
        </is>
      </c>
      <c r="C4" s="1145" t="n"/>
      <c r="D4" s="1145" t="n"/>
      <c r="E4" s="1145" t="n"/>
      <c r="F4" s="1145" t="n"/>
      <c r="G4" s="1145" t="n"/>
      <c r="H4" s="1145" t="n"/>
      <c r="I4" s="1145" t="n"/>
      <c r="J4" s="1148" t="n"/>
      <c r="K4" s="1148" t="n"/>
      <c r="L4" s="1148" t="n"/>
      <c r="M4" s="1148" t="n"/>
      <c r="N4" s="1148" t="n"/>
      <c r="O4" s="1148" t="n"/>
      <c r="P4" s="1148" t="n"/>
      <c r="Q4" s="1145" t="n"/>
      <c r="AP4" s="1150" t="n"/>
    </row>
    <row r="5" ht="5" customFormat="1" customHeight="1" s="1149" thickBot="1">
      <c r="B5" s="1187" t="n"/>
      <c r="C5" s="1187" t="n"/>
      <c r="D5" s="1187" t="n"/>
      <c r="E5" s="1187" t="n"/>
      <c r="F5" s="1187" t="n"/>
      <c r="G5" s="1187" t="n"/>
      <c r="H5" s="1187" t="n"/>
      <c r="I5" s="1187" t="n"/>
      <c r="J5" s="1187" t="n"/>
      <c r="K5" s="1187" t="n"/>
      <c r="L5" s="1187" t="n"/>
      <c r="M5" s="1187" t="n"/>
      <c r="N5" s="1187" t="n"/>
      <c r="O5" s="1187" t="n"/>
      <c r="P5" s="1187" t="n"/>
      <c r="Q5" s="1187" t="n"/>
      <c r="R5" s="1187" t="n"/>
      <c r="S5" s="1187" t="n"/>
      <c r="T5" s="1187" t="n"/>
      <c r="U5" s="1187" t="n"/>
      <c r="V5" s="1187" t="n"/>
      <c r="W5" s="1187" t="n"/>
      <c r="X5" s="1188" t="n"/>
      <c r="Y5" s="1188" t="n"/>
      <c r="Z5" s="1188" t="n"/>
      <c r="AA5" s="1188" t="n"/>
      <c r="AB5" s="1188" t="n"/>
      <c r="AC5" s="1188" t="n"/>
      <c r="AD5" s="1188" t="n"/>
      <c r="AE5" s="1188" t="n"/>
      <c r="AF5" s="1188" t="n"/>
      <c r="AG5" s="1188" t="n"/>
      <c r="AH5" s="1188" t="n"/>
      <c r="AI5" s="1188" t="n"/>
      <c r="AJ5" s="1188" t="n"/>
      <c r="AK5" s="1188" t="n"/>
      <c r="AL5" s="1188" t="n"/>
      <c r="AP5" s="1150" t="n"/>
    </row>
    <row r="6" customFormat="1" s="1149">
      <c r="AP6" s="1150" t="n"/>
    </row>
    <row r="7">
      <c r="C7" s="2525" t="n"/>
      <c r="D7" s="2525" t="n"/>
      <c r="E7" s="2525" t="n"/>
      <c r="F7" s="2526" t="inlineStr">
        <is>
          <t>(assumes Dec 31 Fiscal year-ends)</t>
        </is>
      </c>
      <c r="G7" s="2525" t="n"/>
      <c r="J7" s="1153" t="inlineStr">
        <is>
          <t>NOTE: Populate this sheet using GPC source</t>
        </is>
      </c>
      <c r="K7" s="1153" t="n"/>
      <c r="L7" s="1153" t="n"/>
    </row>
    <row r="8">
      <c r="C8" s="2525" t="inlineStr">
        <is>
          <t>Reporting Period Defined</t>
        </is>
      </c>
      <c r="D8" s="2525" t="n"/>
      <c r="E8" s="2525" t="n"/>
      <c r="F8" s="2525" t="inlineStr">
        <is>
          <t>For Example - Valuation Date May 15 2017</t>
        </is>
      </c>
      <c r="G8" s="2525" t="n"/>
      <c r="J8" s="1154" t="inlineStr">
        <is>
          <t xml:space="preserve">Date of last update: </t>
        </is>
      </c>
      <c r="K8" s="1154" t="n"/>
      <c r="L8" s="1154" t="n"/>
      <c r="M8" s="1155" t="inlineStr">
        <is>
          <t>&lt;Enter date&gt;</t>
        </is>
      </c>
    </row>
    <row r="9">
      <c r="C9" s="1156" t="inlineStr">
        <is>
          <t>LTM</t>
        </is>
      </c>
      <c r="D9" s="1156" t="inlineStr">
        <is>
          <t>Last Twelve Months</t>
        </is>
      </c>
      <c r="F9" s="1157" t="inlineStr">
        <is>
          <t>March 31 '17 OR December 31 '16</t>
        </is>
      </c>
      <c r="G9" s="1158" t="n"/>
      <c r="J9" s="1154" t="inlineStr">
        <is>
          <t xml:space="preserve">Requested by: </t>
        </is>
      </c>
      <c r="K9" s="1154" t="n"/>
      <c r="L9" s="1154" t="n"/>
      <c r="M9" s="1155" t="inlineStr">
        <is>
          <t>&lt;Enter name of requestor&gt;</t>
        </is>
      </c>
    </row>
    <row r="10">
      <c r="C10" s="1156" t="inlineStr">
        <is>
          <t>FYE</t>
        </is>
      </c>
      <c r="D10" s="1156" t="inlineStr">
        <is>
          <t>Latest Fiscal Year Ended</t>
        </is>
      </c>
      <c r="F10" s="1157" t="inlineStr">
        <is>
          <t>December 31 '16</t>
        </is>
      </c>
      <c r="G10" s="1158" t="n"/>
    </row>
    <row r="11">
      <c r="C11" s="1156" t="inlineStr">
        <is>
          <t>FYE-1</t>
        </is>
      </c>
      <c r="D11" s="1156" t="inlineStr">
        <is>
          <t>Prior Fiscal Year Ended</t>
        </is>
      </c>
      <c r="F11" s="1157" t="inlineStr">
        <is>
          <t>December 31 '15</t>
        </is>
      </c>
      <c r="G11" s="1158" t="n"/>
    </row>
    <row r="12">
      <c r="C12" s="1156" t="inlineStr">
        <is>
          <t>FYE-2</t>
        </is>
      </c>
      <c r="D12" s="1156" t="inlineStr">
        <is>
          <t>Prior Fiscal Year Ended</t>
        </is>
      </c>
      <c r="F12" s="1157" t="inlineStr">
        <is>
          <t>December 31 '14</t>
        </is>
      </c>
      <c r="G12" s="1158" t="n"/>
      <c r="J12" s="1159" t="inlineStr">
        <is>
          <t>IMPORTANT NOTE: Pasted cells from rows 20-129 are hardcoded from the EIKON template provided to you. DO NOT change the data in these cells.</t>
        </is>
      </c>
    </row>
    <row r="13">
      <c r="C13" s="1156" t="inlineStr">
        <is>
          <t>FYE-3</t>
        </is>
      </c>
      <c r="D13" s="1156" t="inlineStr">
        <is>
          <t>Prior Fiscal Year Ended</t>
        </is>
      </c>
      <c r="F13" s="1157" t="inlineStr">
        <is>
          <t>December 31 '13</t>
        </is>
      </c>
      <c r="G13" s="1158" t="n"/>
    </row>
    <row r="14">
      <c r="C14" s="1156" t="inlineStr">
        <is>
          <t>FYE-4</t>
        </is>
      </c>
      <c r="D14" s="1156" t="inlineStr">
        <is>
          <t>Prior Fiscal Year Ended</t>
        </is>
      </c>
      <c r="F14" s="1157" t="inlineStr">
        <is>
          <t>December 31 '12</t>
        </is>
      </c>
      <c r="G14" s="1158" t="n"/>
    </row>
    <row r="15" hidden="1">
      <c r="C15" s="1156" t="inlineStr">
        <is>
          <t>NTM +1</t>
        </is>
      </c>
      <c r="D15" s="1156" t="inlineStr">
        <is>
          <t>Next Twelve Months</t>
        </is>
      </c>
      <c r="F15" s="1157" t="inlineStr">
        <is>
          <t>March 31 '18 OR December 31 '17</t>
        </is>
      </c>
      <c r="G15" s="1158" t="n"/>
      <c r="L15" s="1156" t="n"/>
      <c r="M15" s="1156" t="n"/>
      <c r="N15" s="1157" t="n"/>
      <c r="O15" s="1158" t="n"/>
      <c r="P15" s="1158" t="n"/>
    </row>
    <row r="16" hidden="1">
      <c r="C16" s="1156" t="inlineStr">
        <is>
          <t>NTM +2</t>
        </is>
      </c>
      <c r="D16" s="1156" t="inlineStr">
        <is>
          <t>Next Twelve Months  +1</t>
        </is>
      </c>
      <c r="F16" s="1157" t="inlineStr">
        <is>
          <t>March 31 '19 OR December 31 '18</t>
        </is>
      </c>
      <c r="G16" s="1158" t="n"/>
      <c r="L16" s="1156" t="n"/>
      <c r="M16" s="1156" t="n"/>
      <c r="N16" s="1157" t="n"/>
      <c r="O16" s="1158" t="n"/>
      <c r="P16" s="1158" t="n"/>
    </row>
    <row r="17" hidden="1">
      <c r="C17" s="1156" t="inlineStr">
        <is>
          <t>FYE +1</t>
        </is>
      </c>
      <c r="D17" s="1156" t="inlineStr">
        <is>
          <t>Prior Fiscal Year Ended</t>
        </is>
      </c>
      <c r="F17" s="1157" t="inlineStr">
        <is>
          <t>December 31 '17</t>
        </is>
      </c>
      <c r="G17" s="1158" t="n"/>
      <c r="L17" s="1156" t="n"/>
      <c r="M17" s="1156" t="n"/>
      <c r="N17" s="1157" t="n"/>
      <c r="O17" s="1158" t="n"/>
      <c r="P17" s="1158" t="n"/>
    </row>
    <row r="18">
      <c r="C18" s="1156" t="inlineStr">
        <is>
          <t>FYE +2</t>
        </is>
      </c>
      <c r="D18" s="1156" t="inlineStr">
        <is>
          <t>Prior Fiscal Year Ended</t>
        </is>
      </c>
      <c r="F18" s="1157" t="inlineStr">
        <is>
          <t>December 31 '18</t>
        </is>
      </c>
      <c r="G18" s="1158" t="n"/>
      <c r="L18" s="1156" t="n"/>
      <c r="M18" s="1156" t="n"/>
      <c r="N18" s="1157" t="n"/>
      <c r="O18" s="1158" t="n"/>
      <c r="P18" s="1158" t="n"/>
    </row>
    <row r="19">
      <c r="L19" s="1156" t="n"/>
      <c r="M19" s="1156" t="n"/>
      <c r="N19" s="1157" t="n"/>
      <c r="O19" s="1158" t="n"/>
      <c r="P19" s="1158" t="n"/>
    </row>
    <row r="20">
      <c r="C20" s="1189" t="inlineStr">
        <is>
          <t>Table 1: General Information,Market &amp; Sizing</t>
        </is>
      </c>
      <c r="D20" s="1189" t="n"/>
      <c r="E20" s="1189" t="n"/>
      <c r="F20" s="1189" t="n"/>
      <c r="G20" s="1189" t="n"/>
      <c r="H20" s="1189" t="n"/>
      <c r="I20" s="1189" t="n"/>
      <c r="J20" s="1189" t="n"/>
      <c r="K20" s="1189" t="n"/>
      <c r="L20" s="1189" t="n"/>
      <c r="M20" s="1189" t="n"/>
      <c r="N20" s="1189" t="n"/>
      <c r="O20" s="1189" t="n"/>
      <c r="P20" s="1189" t="n"/>
      <c r="Q20" s="1189" t="n"/>
      <c r="R20" s="1189" t="n"/>
      <c r="S20" s="1189" t="n"/>
      <c r="T20" s="1189" t="n"/>
      <c r="U20" s="1189" t="n"/>
      <c r="V20" s="1189" t="n"/>
      <c r="W20" s="1189" t="n"/>
      <c r="X20" s="1160" t="n"/>
      <c r="Z20" s="1160" t="n"/>
      <c r="AA20" s="1160" t="n"/>
      <c r="AB20" s="1160" t="n"/>
      <c r="AC20" s="1160" t="n"/>
      <c r="AD20" s="1160" t="n"/>
      <c r="AE20" s="1160" t="n"/>
      <c r="AF20" s="1160" t="n"/>
      <c r="AG20" s="1160" t="n"/>
      <c r="AH20" s="1160" t="n"/>
      <c r="AI20" s="1160" t="n"/>
      <c r="AJ20" s="1160" t="n"/>
      <c r="AK20" s="1160" t="n"/>
      <c r="AL20" s="1160" t="n"/>
    </row>
    <row r="21" ht="42.5" customFormat="1" customHeight="1" s="1162">
      <c r="C21" s="1190" t="inlineStr">
        <is>
          <t>S.No.</t>
        </is>
      </c>
      <c r="D21" s="1191" t="inlineStr">
        <is>
          <t>Ticker</t>
        </is>
      </c>
      <c r="E21" s="1191" t="inlineStr">
        <is>
          <t>Company Name</t>
        </is>
      </c>
      <c r="F21" s="1191" t="inlineStr">
        <is>
          <t>Exchange</t>
        </is>
      </c>
      <c r="G21" s="1191" t="inlineStr">
        <is>
          <t>Business description</t>
        </is>
      </c>
      <c r="H21" s="1191" t="inlineStr">
        <is>
          <t xml:space="preserve">Country of headquarters </t>
        </is>
      </c>
      <c r="I21" s="1192" t="inlineStr">
        <is>
          <t>Market Cap. (USD Mn)</t>
        </is>
      </c>
      <c r="J21" s="1192" t="inlineStr">
        <is>
          <t xml:space="preserve">LTM Revenue </t>
        </is>
      </c>
      <c r="K21" s="1192" t="inlineStr">
        <is>
          <t>LTM EBITDA</t>
        </is>
      </c>
      <c r="L21" s="1192" t="inlineStr">
        <is>
          <t>LTM EBIT</t>
        </is>
      </c>
      <c r="M21" s="1192" t="inlineStr">
        <is>
          <t xml:space="preserve">LTM EV </t>
        </is>
      </c>
      <c r="N21" s="1192" t="inlineStr">
        <is>
          <t xml:space="preserve">5yr monthly Beta </t>
        </is>
      </c>
      <c r="O21" s="1192" t="inlineStr">
        <is>
          <t xml:space="preserve">1yr Weekly Beta </t>
        </is>
      </c>
      <c r="P21" s="1192" t="inlineStr">
        <is>
          <t>Last Fiscal Year End</t>
        </is>
      </c>
      <c r="Q21" s="1192" t="inlineStr">
        <is>
          <t>Avg. weekly trading volume</t>
        </is>
      </c>
      <c r="R21" s="1192" t="inlineStr">
        <is>
          <t>Effective Tax Rate</t>
        </is>
      </c>
      <c r="S21" s="1192" t="inlineStr">
        <is>
          <t>Short Business Description</t>
        </is>
      </c>
      <c r="T21" s="1192" t="n"/>
      <c r="U21" s="1192" t="n"/>
      <c r="V21" s="1192" t="n"/>
      <c r="W21" s="1193" t="n"/>
      <c r="X21" s="1161" t="n"/>
      <c r="Z21" s="1161" t="n"/>
      <c r="AA21" s="1161" t="n"/>
      <c r="AB21" s="1161" t="n"/>
      <c r="AC21" s="1161" t="n"/>
      <c r="AD21" s="1161" t="n"/>
      <c r="AE21" s="1161" t="n"/>
      <c r="AF21" s="1161" t="n"/>
      <c r="AG21" s="1161" t="n"/>
      <c r="AH21" s="1161" t="n"/>
      <c r="AI21" s="1161" t="n"/>
      <c r="AJ21" s="1161" t="n"/>
      <c r="AK21" s="1161" t="n"/>
      <c r="AL21" s="1161" t="n"/>
    </row>
    <row r="22">
      <c r="C22" s="1163" t="n">
        <v>1</v>
      </c>
      <c r="D22" s="1164" t="n"/>
      <c r="E22" s="1164" t="inlineStr">
        <is>
          <t>Comp 1</t>
        </is>
      </c>
      <c r="F22" s="1164" t="n"/>
      <c r="G22" s="1164" t="n"/>
      <c r="H22" s="1164" t="n"/>
      <c r="I22" s="1164" t="n"/>
      <c r="J22" s="1164" t="n"/>
      <c r="K22" s="1164" t="n"/>
      <c r="L22" s="1164" t="n"/>
      <c r="M22" s="1164" t="n"/>
      <c r="N22" s="1164" t="n"/>
      <c r="O22" s="1164" t="n"/>
      <c r="P22" s="1164" t="n"/>
      <c r="Q22" s="1164" t="n"/>
      <c r="R22" s="1164" t="n"/>
      <c r="S22" s="1164" t="n"/>
      <c r="T22" s="1164" t="n"/>
      <c r="U22" s="1164" t="n"/>
      <c r="V22" s="1164" t="n"/>
      <c r="W22" s="1165" t="n"/>
      <c r="X22" s="1160" t="n"/>
      <c r="Z22" s="1160" t="n"/>
      <c r="AA22" s="1160" t="n"/>
      <c r="AB22" s="1160" t="n"/>
      <c r="AC22" s="1160" t="n"/>
      <c r="AD22" s="1160" t="n"/>
      <c r="AE22" s="1160" t="n"/>
      <c r="AF22" s="1160" t="n"/>
      <c r="AG22" s="1160" t="n"/>
      <c r="AH22" s="1160" t="n"/>
      <c r="AI22" s="1160" t="n"/>
      <c r="AJ22" s="1160" t="n"/>
      <c r="AK22" s="1160" t="n"/>
      <c r="AL22" s="1160" t="n"/>
    </row>
    <row r="23">
      <c r="C23" s="1163">
        <f>C22+1</f>
        <v/>
      </c>
      <c r="D23" s="1164" t="n"/>
      <c r="E23" s="1164" t="inlineStr">
        <is>
          <t>Comp 2</t>
        </is>
      </c>
      <c r="F23" s="1164" t="n"/>
      <c r="G23" s="1164" t="n"/>
      <c r="H23" s="1164" t="n"/>
      <c r="I23" s="1164" t="n"/>
      <c r="J23" s="1164" t="n"/>
      <c r="K23" s="1164" t="n"/>
      <c r="L23" s="1164" t="n"/>
      <c r="M23" s="1164" t="n"/>
      <c r="N23" s="1164" t="n"/>
      <c r="O23" s="1164" t="n"/>
      <c r="P23" s="1164" t="n"/>
      <c r="Q23" s="1164" t="n"/>
      <c r="R23" s="1164" t="n"/>
      <c r="S23" s="1164" t="n"/>
      <c r="T23" s="1164" t="n"/>
      <c r="U23" s="1164" t="n"/>
      <c r="V23" s="1164" t="n"/>
      <c r="W23" s="1165" t="n"/>
      <c r="X23" s="1160" t="n"/>
      <c r="Z23" s="1160" t="n"/>
      <c r="AA23" s="1160" t="n"/>
      <c r="AB23" s="1160" t="n"/>
      <c r="AC23" s="1160" t="n"/>
      <c r="AD23" s="1160" t="n"/>
      <c r="AE23" s="1160" t="n"/>
      <c r="AF23" s="1160" t="n"/>
      <c r="AG23" s="1160" t="n"/>
      <c r="AH23" s="1160" t="n"/>
      <c r="AI23" s="1160" t="n"/>
      <c r="AJ23" s="1160" t="n"/>
      <c r="AK23" s="1160" t="n"/>
      <c r="AL23" s="1160" t="n"/>
    </row>
    <row r="24">
      <c r="C24" s="1163">
        <f>C23+1</f>
        <v/>
      </c>
      <c r="D24" s="1164" t="n"/>
      <c r="E24" s="1164" t="inlineStr">
        <is>
          <t>Comp 3</t>
        </is>
      </c>
      <c r="F24" s="1164" t="n"/>
      <c r="G24" s="1164" t="n"/>
      <c r="H24" s="1164" t="n"/>
      <c r="I24" s="1164" t="n"/>
      <c r="J24" s="1164" t="n"/>
      <c r="K24" s="1164" t="n"/>
      <c r="L24" s="1164" t="n"/>
      <c r="M24" s="1164" t="n"/>
      <c r="N24" s="1164" t="n"/>
      <c r="O24" s="1164" t="n"/>
      <c r="P24" s="1164" t="n"/>
      <c r="Q24" s="1164" t="n"/>
      <c r="R24" s="1164" t="n"/>
      <c r="S24" s="1164" t="n"/>
      <c r="T24" s="1164" t="n"/>
      <c r="U24" s="1164" t="n"/>
      <c r="V24" s="1164" t="n"/>
      <c r="W24" s="1165" t="n"/>
      <c r="X24" s="1160" t="n"/>
      <c r="Z24" s="1160" t="n"/>
      <c r="AA24" s="1160" t="n"/>
      <c r="AB24" s="1160" t="n"/>
      <c r="AC24" s="1160" t="n"/>
      <c r="AD24" s="1160" t="n"/>
      <c r="AE24" s="1160" t="n"/>
      <c r="AF24" s="1160" t="n"/>
      <c r="AG24" s="1160" t="n"/>
      <c r="AH24" s="1160" t="n"/>
      <c r="AI24" s="1160" t="n"/>
      <c r="AJ24" s="1160" t="n"/>
      <c r="AK24" s="1160" t="n"/>
      <c r="AL24" s="1160" t="n"/>
    </row>
    <row r="25">
      <c r="C25" s="1163">
        <f>C24+1</f>
        <v/>
      </c>
      <c r="D25" s="1164" t="n"/>
      <c r="E25" s="1164" t="inlineStr">
        <is>
          <t>Comp 4</t>
        </is>
      </c>
      <c r="F25" s="1164" t="n"/>
      <c r="G25" s="1164" t="n"/>
      <c r="H25" s="1164" t="n"/>
      <c r="I25" s="1164" t="n"/>
      <c r="J25" s="1164" t="n"/>
      <c r="K25" s="1164" t="n"/>
      <c r="L25" s="1164" t="n"/>
      <c r="M25" s="1164" t="n"/>
      <c r="N25" s="1164" t="n"/>
      <c r="O25" s="1164" t="n"/>
      <c r="P25" s="1164" t="n"/>
      <c r="Q25" s="1164" t="n"/>
      <c r="R25" s="1164" t="n"/>
      <c r="S25" s="1164" t="n"/>
      <c r="T25" s="1164" t="n"/>
      <c r="U25" s="1164" t="n"/>
      <c r="V25" s="1164" t="n"/>
      <c r="W25" s="1165" t="n"/>
      <c r="X25" s="1160" t="n"/>
      <c r="Z25" s="1160" t="n"/>
      <c r="AA25" s="1160" t="n"/>
      <c r="AB25" s="1160" t="n"/>
      <c r="AC25" s="1160" t="n"/>
      <c r="AD25" s="1160" t="n"/>
      <c r="AE25" s="1160" t="n"/>
      <c r="AF25" s="1160" t="n"/>
      <c r="AG25" s="1160" t="n"/>
      <c r="AH25" s="1160" t="n"/>
      <c r="AI25" s="1160" t="n"/>
      <c r="AJ25" s="1160" t="n"/>
      <c r="AK25" s="1160" t="n"/>
      <c r="AL25" s="1160" t="n"/>
    </row>
    <row r="26">
      <c r="C26" s="1163">
        <f>C25+1</f>
        <v/>
      </c>
      <c r="D26" s="1164" t="n"/>
      <c r="E26" s="1164" t="inlineStr">
        <is>
          <t>Comp 5</t>
        </is>
      </c>
      <c r="F26" s="1164" t="n"/>
      <c r="G26" s="1164" t="n"/>
      <c r="H26" s="1164" t="n"/>
      <c r="I26" s="1164" t="n"/>
      <c r="J26" s="1164" t="n"/>
      <c r="K26" s="1164" t="n"/>
      <c r="L26" s="1164" t="n"/>
      <c r="M26" s="1164" t="n"/>
      <c r="N26" s="1164" t="n"/>
      <c r="O26" s="1164" t="n"/>
      <c r="P26" s="1164" t="n"/>
      <c r="Q26" s="1164" t="n"/>
      <c r="R26" s="1164" t="n"/>
      <c r="S26" s="1164" t="n"/>
      <c r="T26" s="1164" t="n"/>
      <c r="U26" s="1164" t="n"/>
      <c r="V26" s="1164" t="n"/>
      <c r="W26" s="1165" t="n"/>
      <c r="X26" s="1160" t="n"/>
      <c r="Z26" s="1160" t="n"/>
      <c r="AA26" s="1160" t="n"/>
      <c r="AB26" s="1160" t="n"/>
      <c r="AC26" s="1160" t="n"/>
      <c r="AD26" s="1160" t="n"/>
      <c r="AE26" s="1160" t="n"/>
      <c r="AF26" s="1160" t="n"/>
      <c r="AG26" s="1160" t="n"/>
      <c r="AH26" s="1160" t="n"/>
      <c r="AI26" s="1160" t="n"/>
      <c r="AJ26" s="1160" t="n"/>
      <c r="AK26" s="1160" t="n"/>
      <c r="AL26" s="1160" t="n"/>
    </row>
    <row r="27">
      <c r="C27" s="1163">
        <f>C26+1</f>
        <v/>
      </c>
      <c r="D27" s="1164" t="n"/>
      <c r="E27" s="1164" t="inlineStr">
        <is>
          <t>Comp 6</t>
        </is>
      </c>
      <c r="F27" s="1164" t="n"/>
      <c r="G27" s="1164" t="n"/>
      <c r="H27" s="1164" t="n"/>
      <c r="I27" s="1164" t="n"/>
      <c r="J27" s="1164" t="n"/>
      <c r="K27" s="1164" t="n"/>
      <c r="L27" s="1164" t="n"/>
      <c r="M27" s="1164" t="n"/>
      <c r="N27" s="1164" t="n"/>
      <c r="O27" s="1164" t="n"/>
      <c r="P27" s="1164" t="n"/>
      <c r="Q27" s="1164" t="n"/>
      <c r="R27" s="1164" t="n"/>
      <c r="S27" s="1164" t="n"/>
      <c r="T27" s="1164" t="n"/>
      <c r="U27" s="1164" t="n"/>
      <c r="V27" s="1164" t="n"/>
      <c r="W27" s="1165" t="n"/>
      <c r="X27" s="1160" t="n"/>
      <c r="Z27" s="1160" t="n"/>
      <c r="AA27" s="1160" t="n"/>
      <c r="AB27" s="1160" t="n"/>
      <c r="AC27" s="1160" t="n"/>
      <c r="AD27" s="1160" t="n"/>
      <c r="AE27" s="1160" t="n"/>
      <c r="AF27" s="1160" t="n"/>
      <c r="AG27" s="1160" t="n"/>
      <c r="AH27" s="1160" t="n"/>
      <c r="AI27" s="1160" t="n"/>
      <c r="AJ27" s="1160" t="n"/>
      <c r="AK27" s="1160" t="n"/>
      <c r="AL27" s="1160" t="n"/>
    </row>
    <row r="28">
      <c r="C28" s="1163">
        <f>C27+1</f>
        <v/>
      </c>
      <c r="D28" s="1164" t="n"/>
      <c r="E28" s="1164" t="inlineStr">
        <is>
          <t>Comp 7</t>
        </is>
      </c>
      <c r="F28" s="1164" t="n"/>
      <c r="G28" s="1164" t="n"/>
      <c r="H28" s="1164" t="n"/>
      <c r="I28" s="1164" t="n"/>
      <c r="J28" s="1164" t="n"/>
      <c r="K28" s="1164" t="n"/>
      <c r="L28" s="1164" t="n"/>
      <c r="M28" s="1164" t="n"/>
      <c r="N28" s="1164" t="n"/>
      <c r="O28" s="1164" t="n"/>
      <c r="P28" s="1164" t="n"/>
      <c r="Q28" s="1164" t="n"/>
      <c r="R28" s="1164" t="n"/>
      <c r="S28" s="1164" t="n"/>
      <c r="T28" s="1164" t="n"/>
      <c r="U28" s="1164" t="n"/>
      <c r="V28" s="1164" t="n"/>
      <c r="W28" s="1165" t="n"/>
      <c r="X28" s="1160" t="n"/>
      <c r="Z28" s="1160" t="n"/>
      <c r="AA28" s="1160" t="n"/>
      <c r="AB28" s="1160" t="n"/>
      <c r="AC28" s="1160" t="n"/>
      <c r="AD28" s="1160" t="n"/>
      <c r="AE28" s="1160" t="n"/>
      <c r="AF28" s="1160" t="n"/>
      <c r="AG28" s="1160" t="n"/>
      <c r="AH28" s="1160" t="n"/>
      <c r="AI28" s="1160" t="n"/>
      <c r="AJ28" s="1160" t="n"/>
      <c r="AK28" s="1160" t="n"/>
      <c r="AL28" s="1160" t="n"/>
    </row>
    <row r="29">
      <c r="C29" s="1163">
        <f>C28+1</f>
        <v/>
      </c>
      <c r="D29" s="1164" t="n"/>
      <c r="E29" s="1164" t="inlineStr">
        <is>
          <t>Comp 8</t>
        </is>
      </c>
      <c r="F29" s="1164" t="n"/>
      <c r="G29" s="1164" t="n"/>
      <c r="H29" s="1164" t="n"/>
      <c r="I29" s="1164" t="n"/>
      <c r="J29" s="1164" t="n"/>
      <c r="K29" s="1164" t="n"/>
      <c r="L29" s="1164" t="n"/>
      <c r="M29" s="1164" t="n"/>
      <c r="N29" s="1164" t="n"/>
      <c r="O29" s="1164" t="n"/>
      <c r="P29" s="1164" t="n"/>
      <c r="Q29" s="1164" t="n"/>
      <c r="R29" s="1164" t="n"/>
      <c r="S29" s="1164" t="n"/>
      <c r="T29" s="1164" t="n"/>
      <c r="U29" s="1164" t="n"/>
      <c r="V29" s="1164" t="n"/>
      <c r="W29" s="1165" t="n"/>
      <c r="X29" s="1160" t="n"/>
      <c r="Z29" s="1160" t="n"/>
      <c r="AA29" s="1160" t="n"/>
      <c r="AB29" s="1160" t="n"/>
      <c r="AC29" s="1160" t="n"/>
      <c r="AD29" s="1160" t="n"/>
      <c r="AE29" s="1160" t="n"/>
      <c r="AF29" s="1160" t="n"/>
      <c r="AG29" s="1160" t="n"/>
      <c r="AH29" s="1160" t="n"/>
      <c r="AI29" s="1160" t="n"/>
      <c r="AJ29" s="1160" t="n"/>
      <c r="AK29" s="1160" t="n"/>
      <c r="AL29" s="1160" t="n"/>
    </row>
    <row r="30">
      <c r="C30" s="1163">
        <f>C29+1</f>
        <v/>
      </c>
      <c r="D30" s="1164" t="n"/>
      <c r="E30" s="1164" t="inlineStr">
        <is>
          <t>Comp 9</t>
        </is>
      </c>
      <c r="F30" s="1164" t="n"/>
      <c r="G30" s="1164" t="n"/>
      <c r="H30" s="1164" t="n"/>
      <c r="I30" s="1164" t="n"/>
      <c r="J30" s="1164" t="n"/>
      <c r="K30" s="1164" t="n"/>
      <c r="L30" s="1164" t="n"/>
      <c r="M30" s="1164" t="n"/>
      <c r="N30" s="1164" t="n"/>
      <c r="O30" s="1164" t="n"/>
      <c r="P30" s="1164" t="n"/>
      <c r="Q30" s="1164" t="n"/>
      <c r="R30" s="1164" t="n"/>
      <c r="S30" s="1164" t="n"/>
      <c r="T30" s="1164" t="n"/>
      <c r="U30" s="1164" t="n"/>
      <c r="V30" s="1164" t="n"/>
      <c r="W30" s="1165" t="n"/>
      <c r="X30" s="1160" t="n"/>
      <c r="Z30" s="1160" t="n"/>
      <c r="AA30" s="1160" t="n"/>
      <c r="AB30" s="1160" t="n"/>
      <c r="AC30" s="1160" t="n"/>
      <c r="AD30" s="1160" t="n"/>
      <c r="AE30" s="1160" t="n"/>
      <c r="AF30" s="1160" t="n"/>
      <c r="AG30" s="1160" t="n"/>
      <c r="AH30" s="1160" t="n"/>
      <c r="AI30" s="1160" t="n"/>
      <c r="AJ30" s="1160" t="n"/>
      <c r="AK30" s="1160" t="n"/>
      <c r="AL30" s="1160" t="n"/>
    </row>
    <row r="31">
      <c r="C31" s="1163">
        <f>C30+1</f>
        <v/>
      </c>
      <c r="D31" s="1164" t="n"/>
      <c r="E31" s="1164" t="inlineStr">
        <is>
          <t>Comp 10</t>
        </is>
      </c>
      <c r="F31" s="1164" t="n"/>
      <c r="G31" s="1164" t="n"/>
      <c r="H31" s="1164" t="n"/>
      <c r="I31" s="1164" t="n"/>
      <c r="J31" s="1164" t="n"/>
      <c r="K31" s="1164" t="n"/>
      <c r="L31" s="1164" t="n"/>
      <c r="M31" s="1164" t="n"/>
      <c r="N31" s="1164" t="n"/>
      <c r="O31" s="1164" t="n"/>
      <c r="P31" s="1164" t="n"/>
      <c r="Q31" s="1164" t="n"/>
      <c r="R31" s="1164" t="n"/>
      <c r="S31" s="1164" t="n"/>
      <c r="T31" s="1164" t="n"/>
      <c r="U31" s="1164" t="n"/>
      <c r="V31" s="1164" t="n"/>
      <c r="W31" s="1165" t="n"/>
      <c r="X31" s="1160" t="n"/>
      <c r="Z31" s="1160" t="n"/>
      <c r="AA31" s="1160" t="n"/>
      <c r="AB31" s="1160" t="n"/>
      <c r="AC31" s="1160" t="n"/>
      <c r="AD31" s="1160" t="n"/>
      <c r="AE31" s="1160" t="n"/>
      <c r="AF31" s="1160" t="n"/>
      <c r="AG31" s="1160" t="n"/>
      <c r="AH31" s="1160" t="n"/>
      <c r="AI31" s="1160" t="n"/>
      <c r="AJ31" s="1160" t="n"/>
      <c r="AK31" s="1160" t="n"/>
      <c r="AL31" s="1160" t="n"/>
    </row>
    <row r="32">
      <c r="C32" s="1163">
        <f>C31+1</f>
        <v/>
      </c>
      <c r="D32" s="1164" t="n"/>
      <c r="E32" s="1164" t="inlineStr">
        <is>
          <t>Comp 11</t>
        </is>
      </c>
      <c r="F32" s="1164" t="n"/>
      <c r="G32" s="1164" t="n"/>
      <c r="H32" s="1164" t="n"/>
      <c r="I32" s="1164" t="n"/>
      <c r="J32" s="1164" t="n"/>
      <c r="K32" s="1164" t="n"/>
      <c r="L32" s="1164" t="n"/>
      <c r="M32" s="1164" t="n"/>
      <c r="N32" s="1164" t="n"/>
      <c r="O32" s="1164" t="n"/>
      <c r="P32" s="1164" t="n"/>
      <c r="Q32" s="1164" t="n"/>
      <c r="R32" s="1164" t="n"/>
      <c r="S32" s="1164" t="n"/>
      <c r="T32" s="1164" t="n"/>
      <c r="U32" s="1164" t="n"/>
      <c r="V32" s="1164" t="n"/>
      <c r="W32" s="1165" t="n"/>
      <c r="X32" s="1160" t="n"/>
      <c r="Z32" s="1160" t="n"/>
      <c r="AA32" s="1160" t="n"/>
      <c r="AB32" s="1160" t="n"/>
      <c r="AC32" s="1160" t="n"/>
      <c r="AD32" s="1160" t="n"/>
      <c r="AE32" s="1160" t="n"/>
      <c r="AF32" s="1160" t="n"/>
      <c r="AG32" s="1160" t="n"/>
      <c r="AH32" s="1160" t="n"/>
      <c r="AI32" s="1160" t="n"/>
      <c r="AJ32" s="1160" t="n"/>
      <c r="AK32" s="1160" t="n"/>
      <c r="AL32" s="1160" t="n"/>
    </row>
    <row r="33">
      <c r="C33" s="1163">
        <f>C32+1</f>
        <v/>
      </c>
      <c r="D33" s="1164" t="n"/>
      <c r="E33" s="1164" t="inlineStr">
        <is>
          <t>Comp 12</t>
        </is>
      </c>
      <c r="F33" s="1164" t="n"/>
      <c r="G33" s="1164" t="n"/>
      <c r="H33" s="1164" t="n"/>
      <c r="I33" s="1164" t="n"/>
      <c r="J33" s="1164" t="n"/>
      <c r="K33" s="1164" t="n"/>
      <c r="L33" s="1164" t="n"/>
      <c r="M33" s="1164" t="n"/>
      <c r="N33" s="1164" t="n"/>
      <c r="O33" s="1164" t="n"/>
      <c r="P33" s="1164" t="n"/>
      <c r="Q33" s="1164" t="n"/>
      <c r="R33" s="1164" t="n"/>
      <c r="S33" s="1164" t="n"/>
      <c r="T33" s="1164" t="n"/>
      <c r="U33" s="1164" t="n"/>
      <c r="V33" s="1164" t="n"/>
      <c r="W33" s="1165" t="n"/>
      <c r="X33" s="1160" t="n"/>
      <c r="Z33" s="1160" t="n"/>
      <c r="AA33" s="1160" t="n"/>
      <c r="AB33" s="1160" t="n"/>
      <c r="AC33" s="1160" t="n"/>
      <c r="AD33" s="1160" t="n"/>
      <c r="AE33" s="1160" t="n"/>
      <c r="AF33" s="1160" t="n"/>
      <c r="AG33" s="1160" t="n"/>
      <c r="AH33" s="1160" t="n"/>
      <c r="AI33" s="1160" t="n"/>
      <c r="AJ33" s="1160" t="n"/>
      <c r="AK33" s="1160" t="n"/>
      <c r="AL33" s="1160" t="n"/>
    </row>
    <row r="34">
      <c r="C34" s="1163">
        <f>C33+1</f>
        <v/>
      </c>
      <c r="D34" s="1164" t="n"/>
      <c r="E34" s="1164" t="inlineStr">
        <is>
          <t>Comp 13</t>
        </is>
      </c>
      <c r="F34" s="1164" t="n"/>
      <c r="G34" s="1164" t="n"/>
      <c r="H34" s="1164" t="n"/>
      <c r="I34" s="1164" t="n"/>
      <c r="J34" s="1164" t="n"/>
      <c r="K34" s="1164" t="n"/>
      <c r="L34" s="1164" t="n"/>
      <c r="M34" s="1164" t="n"/>
      <c r="N34" s="1164" t="n"/>
      <c r="O34" s="1164" t="n"/>
      <c r="P34" s="1164" t="n"/>
      <c r="Q34" s="1164" t="n"/>
      <c r="R34" s="1164" t="n"/>
      <c r="S34" s="1164" t="n"/>
      <c r="T34" s="1164" t="n"/>
      <c r="U34" s="1164" t="n"/>
      <c r="V34" s="1164" t="n"/>
      <c r="W34" s="1165" t="n"/>
      <c r="X34" s="1160" t="n"/>
      <c r="Z34" s="1160" t="n"/>
      <c r="AA34" s="1160" t="n"/>
      <c r="AB34" s="1160" t="n"/>
      <c r="AC34" s="1160" t="n"/>
      <c r="AD34" s="1160" t="n"/>
      <c r="AE34" s="1160" t="n"/>
      <c r="AF34" s="1160" t="n"/>
      <c r="AG34" s="1160" t="n"/>
      <c r="AH34" s="1160" t="n"/>
      <c r="AI34" s="1160" t="n"/>
      <c r="AJ34" s="1160" t="n"/>
      <c r="AK34" s="1160" t="n"/>
      <c r="AL34" s="1160" t="n"/>
    </row>
    <row r="35">
      <c r="C35" s="1163">
        <f>C34+1</f>
        <v/>
      </c>
      <c r="D35" s="1164" t="n"/>
      <c r="E35" s="1164" t="inlineStr">
        <is>
          <t>Comp 14</t>
        </is>
      </c>
      <c r="F35" s="1164" t="n"/>
      <c r="G35" s="1164" t="n"/>
      <c r="H35" s="1164" t="n"/>
      <c r="I35" s="1164" t="n"/>
      <c r="J35" s="1164" t="n"/>
      <c r="K35" s="1164" t="n"/>
      <c r="L35" s="1164" t="n"/>
      <c r="M35" s="1164" t="n"/>
      <c r="N35" s="1164" t="n"/>
      <c r="O35" s="1164" t="n"/>
      <c r="P35" s="1164" t="n"/>
      <c r="Q35" s="1164" t="n"/>
      <c r="R35" s="1164" t="n"/>
      <c r="S35" s="1164" t="n"/>
      <c r="T35" s="1164" t="n"/>
      <c r="U35" s="1164" t="n"/>
      <c r="V35" s="1164" t="n"/>
      <c r="W35" s="1165" t="n"/>
      <c r="X35" s="1160" t="n"/>
      <c r="Z35" s="1160" t="n"/>
      <c r="AA35" s="1160" t="n"/>
      <c r="AB35" s="1160" t="n"/>
      <c r="AC35" s="1160" t="n"/>
      <c r="AD35" s="1160" t="n"/>
      <c r="AE35" s="1160" t="n"/>
      <c r="AF35" s="1160" t="n"/>
      <c r="AG35" s="1160" t="n"/>
      <c r="AH35" s="1160" t="n"/>
      <c r="AI35" s="1160" t="n"/>
      <c r="AJ35" s="1160" t="n"/>
      <c r="AK35" s="1160" t="n"/>
      <c r="AL35" s="1160" t="n"/>
    </row>
    <row r="36">
      <c r="C36" s="1163">
        <f>C35+1</f>
        <v/>
      </c>
      <c r="D36" s="1164" t="n"/>
      <c r="E36" s="1164" t="inlineStr">
        <is>
          <t>Comp 15</t>
        </is>
      </c>
      <c r="F36" s="1164" t="n"/>
      <c r="G36" s="1164" t="n"/>
      <c r="H36" s="1164" t="n"/>
      <c r="I36" s="1164" t="n"/>
      <c r="J36" s="1164" t="n"/>
      <c r="K36" s="1164" t="n"/>
      <c r="L36" s="1164" t="n"/>
      <c r="M36" s="1164" t="n"/>
      <c r="N36" s="1164" t="n"/>
      <c r="O36" s="1164" t="n"/>
      <c r="P36" s="1164" t="n"/>
      <c r="Q36" s="1164" t="n"/>
      <c r="R36" s="1164" t="n"/>
      <c r="S36" s="1164" t="n"/>
      <c r="T36" s="1164" t="n"/>
      <c r="U36" s="1164" t="n"/>
      <c r="V36" s="1164" t="n"/>
      <c r="W36" s="1165" t="n"/>
      <c r="X36" s="1160" t="n"/>
      <c r="Z36" s="1160" t="n"/>
      <c r="AA36" s="1160" t="n"/>
      <c r="AB36" s="1160" t="n"/>
      <c r="AC36" s="1160" t="n"/>
      <c r="AD36" s="1160" t="n"/>
      <c r="AE36" s="1160" t="n"/>
      <c r="AF36" s="1160" t="n"/>
      <c r="AG36" s="1160" t="n"/>
      <c r="AH36" s="1160" t="n"/>
      <c r="AI36" s="1160" t="n"/>
      <c r="AJ36" s="1160" t="n"/>
      <c r="AK36" s="1160" t="n"/>
      <c r="AL36" s="1160" t="n"/>
    </row>
    <row r="37">
      <c r="C37" s="1163">
        <f>C36+1</f>
        <v/>
      </c>
      <c r="D37" s="1164" t="n"/>
      <c r="E37" s="1164" t="inlineStr">
        <is>
          <t>Comp 16</t>
        </is>
      </c>
      <c r="F37" s="1164" t="n"/>
      <c r="G37" s="1164" t="n"/>
      <c r="H37" s="1164" t="n"/>
      <c r="I37" s="1164" t="n"/>
      <c r="J37" s="1164" t="n"/>
      <c r="K37" s="1164" t="n"/>
      <c r="L37" s="1164" t="n"/>
      <c r="M37" s="1164" t="n"/>
      <c r="N37" s="1164" t="n"/>
      <c r="O37" s="1164" t="n"/>
      <c r="P37" s="1164" t="n"/>
      <c r="Q37" s="1164" t="n"/>
      <c r="R37" s="1164" t="n"/>
      <c r="S37" s="1164" t="n"/>
      <c r="T37" s="1164" t="n"/>
      <c r="U37" s="1164" t="n"/>
      <c r="V37" s="1164" t="n"/>
      <c r="W37" s="1165" t="n"/>
      <c r="X37" s="1160" t="n"/>
      <c r="Z37" s="1160" t="n"/>
      <c r="AA37" s="1160" t="n"/>
      <c r="AB37" s="1160" t="n"/>
      <c r="AC37" s="1160" t="n"/>
      <c r="AD37" s="1160" t="n"/>
      <c r="AE37" s="1160" t="n"/>
      <c r="AF37" s="1160" t="n"/>
      <c r="AG37" s="1160" t="n"/>
      <c r="AH37" s="1160" t="n"/>
      <c r="AI37" s="1160" t="n"/>
      <c r="AJ37" s="1160" t="n"/>
      <c r="AK37" s="1160" t="n"/>
      <c r="AL37" s="1160" t="n"/>
    </row>
    <row r="38">
      <c r="C38" s="1163">
        <f>C37+1</f>
        <v/>
      </c>
      <c r="D38" s="1164" t="n"/>
      <c r="E38" s="1164" t="inlineStr">
        <is>
          <t>Comp 17</t>
        </is>
      </c>
      <c r="F38" s="1164" t="n"/>
      <c r="G38" s="1164" t="n"/>
      <c r="H38" s="1164" t="n"/>
      <c r="I38" s="1164" t="n"/>
      <c r="J38" s="1164" t="n"/>
      <c r="K38" s="1164" t="n"/>
      <c r="L38" s="1164" t="n"/>
      <c r="M38" s="1164" t="n"/>
      <c r="N38" s="1164" t="n"/>
      <c r="O38" s="1164" t="n"/>
      <c r="P38" s="1164" t="n"/>
      <c r="Q38" s="1164" t="n"/>
      <c r="R38" s="1164" t="n"/>
      <c r="S38" s="1164" t="n"/>
      <c r="T38" s="1164" t="n"/>
      <c r="U38" s="1164" t="n"/>
      <c r="V38" s="1164" t="n"/>
      <c r="W38" s="1165" t="n"/>
      <c r="X38" s="1160" t="n"/>
      <c r="Z38" s="1160" t="n"/>
      <c r="AA38" s="1160" t="n"/>
      <c r="AB38" s="1160" t="n"/>
      <c r="AC38" s="1160" t="n"/>
      <c r="AD38" s="1160" t="n"/>
      <c r="AE38" s="1160" t="n"/>
      <c r="AF38" s="1160" t="n"/>
      <c r="AG38" s="1160" t="n"/>
      <c r="AH38" s="1160" t="n"/>
      <c r="AI38" s="1160" t="n"/>
      <c r="AJ38" s="1160" t="n"/>
      <c r="AK38" s="1160" t="n"/>
      <c r="AL38" s="1160" t="n"/>
    </row>
    <row r="39">
      <c r="C39" s="1163">
        <f>C38+1</f>
        <v/>
      </c>
      <c r="D39" s="1164" t="n"/>
      <c r="E39" s="1164" t="inlineStr">
        <is>
          <t>Comp 18</t>
        </is>
      </c>
      <c r="F39" s="1164" t="n"/>
      <c r="G39" s="1164" t="n"/>
      <c r="H39" s="1164" t="n"/>
      <c r="I39" s="1164" t="n"/>
      <c r="J39" s="1164" t="n"/>
      <c r="K39" s="1164" t="n"/>
      <c r="L39" s="1164" t="n"/>
      <c r="M39" s="1164" t="n"/>
      <c r="N39" s="1164" t="n"/>
      <c r="O39" s="1164" t="n"/>
      <c r="P39" s="1164" t="n"/>
      <c r="Q39" s="1164" t="n"/>
      <c r="R39" s="1164" t="n"/>
      <c r="S39" s="1164" t="n"/>
      <c r="T39" s="1164" t="n"/>
      <c r="U39" s="1164" t="n"/>
      <c r="V39" s="1164" t="n"/>
      <c r="W39" s="1165" t="n"/>
      <c r="X39" s="1160" t="n"/>
      <c r="Z39" s="1160" t="n"/>
      <c r="AA39" s="1160" t="n"/>
      <c r="AB39" s="1160" t="n"/>
      <c r="AC39" s="1160" t="n"/>
      <c r="AD39" s="1160" t="n"/>
      <c r="AE39" s="1160" t="n"/>
      <c r="AF39" s="1160" t="n"/>
      <c r="AG39" s="1160" t="n"/>
      <c r="AH39" s="1160" t="n"/>
      <c r="AI39" s="1160" t="n"/>
      <c r="AJ39" s="1160" t="n"/>
      <c r="AK39" s="1160" t="n"/>
      <c r="AL39" s="1160" t="n"/>
    </row>
    <row r="40">
      <c r="C40" s="1163">
        <f>C39+1</f>
        <v/>
      </c>
      <c r="D40" s="1164" t="n"/>
      <c r="E40" s="1164" t="inlineStr">
        <is>
          <t>Comp 19</t>
        </is>
      </c>
      <c r="F40" s="1164" t="n"/>
      <c r="G40" s="1164" t="n"/>
      <c r="H40" s="1164" t="n"/>
      <c r="I40" s="1164" t="n"/>
      <c r="J40" s="1164" t="n"/>
      <c r="K40" s="1164" t="n"/>
      <c r="L40" s="1164" t="n"/>
      <c r="M40" s="1164" t="n"/>
      <c r="N40" s="1164" t="n"/>
      <c r="O40" s="1164" t="n"/>
      <c r="P40" s="1164" t="n"/>
      <c r="Q40" s="1164" t="n"/>
      <c r="R40" s="1164" t="n"/>
      <c r="S40" s="1164" t="n"/>
      <c r="T40" s="1164" t="n"/>
      <c r="U40" s="1164" t="n"/>
      <c r="V40" s="1164" t="n"/>
      <c r="W40" s="1165" t="n"/>
      <c r="X40" s="1160" t="n"/>
      <c r="Z40" s="1160" t="n"/>
      <c r="AA40" s="1160" t="n"/>
      <c r="AB40" s="1160" t="n"/>
      <c r="AC40" s="1160" t="n"/>
      <c r="AD40" s="1160" t="n"/>
      <c r="AE40" s="1160" t="n"/>
      <c r="AF40" s="1160" t="n"/>
      <c r="AG40" s="1160" t="n"/>
      <c r="AH40" s="1160" t="n"/>
      <c r="AI40" s="1160" t="n"/>
      <c r="AJ40" s="1160" t="n"/>
      <c r="AK40" s="1160" t="n"/>
      <c r="AL40" s="1160" t="n"/>
    </row>
    <row r="41">
      <c r="C41" s="1163">
        <f>C40+1</f>
        <v/>
      </c>
      <c r="D41" s="1164" t="n"/>
      <c r="E41" s="1164" t="inlineStr">
        <is>
          <t>Comp 20</t>
        </is>
      </c>
      <c r="F41" s="1164" t="n"/>
      <c r="G41" s="1164" t="n"/>
      <c r="H41" s="1164" t="n"/>
      <c r="I41" s="1164" t="n"/>
      <c r="J41" s="1164" t="n"/>
      <c r="K41" s="1164" t="n"/>
      <c r="L41" s="1164" t="n"/>
      <c r="M41" s="1164" t="n"/>
      <c r="N41" s="1164" t="n"/>
      <c r="O41" s="1164" t="n"/>
      <c r="P41" s="1164" t="n"/>
      <c r="Q41" s="1164" t="n"/>
      <c r="R41" s="1164" t="n"/>
      <c r="S41" s="1164" t="n"/>
      <c r="T41" s="1164" t="n"/>
      <c r="U41" s="1164" t="n"/>
      <c r="V41" s="1164" t="n"/>
      <c r="W41" s="1165" t="n"/>
      <c r="X41" s="1160" t="n"/>
      <c r="Z41" s="1160" t="n"/>
      <c r="AA41" s="1160" t="n"/>
      <c r="AB41" s="1160" t="n"/>
      <c r="AC41" s="1160" t="n"/>
      <c r="AD41" s="1160" t="n"/>
      <c r="AE41" s="1160" t="n"/>
      <c r="AF41" s="1160" t="n"/>
      <c r="AG41" s="1160" t="n"/>
      <c r="AH41" s="1160" t="n"/>
      <c r="AI41" s="1160" t="n"/>
      <c r="AJ41" s="1160" t="n"/>
      <c r="AK41" s="1160" t="n"/>
      <c r="AL41" s="1160" t="n"/>
    </row>
    <row r="42">
      <c r="C42" s="1163">
        <f>C41+1</f>
        <v/>
      </c>
      <c r="D42" s="1164" t="n"/>
      <c r="E42" s="1164" t="inlineStr">
        <is>
          <t>Comp 21</t>
        </is>
      </c>
      <c r="F42" s="1164" t="n"/>
      <c r="G42" s="1164" t="n"/>
      <c r="H42" s="1164" t="n"/>
      <c r="I42" s="1164" t="n"/>
      <c r="J42" s="1164" t="n"/>
      <c r="K42" s="1164" t="n"/>
      <c r="L42" s="1164" t="n"/>
      <c r="M42" s="1164" t="n"/>
      <c r="N42" s="1164" t="n"/>
      <c r="O42" s="1164" t="n"/>
      <c r="P42" s="1164" t="n"/>
      <c r="Q42" s="1164" t="n"/>
      <c r="R42" s="1164" t="n"/>
      <c r="S42" s="1164" t="n"/>
      <c r="T42" s="1164" t="n"/>
      <c r="U42" s="1164" t="n"/>
      <c r="V42" s="1164" t="n"/>
      <c r="W42" s="1165" t="n"/>
      <c r="X42" s="1160" t="n"/>
      <c r="Z42" s="1160" t="n"/>
      <c r="AA42" s="1160" t="n"/>
      <c r="AB42" s="1160" t="n"/>
      <c r="AC42" s="1160" t="n"/>
      <c r="AD42" s="1160" t="n"/>
      <c r="AE42" s="1160" t="n"/>
      <c r="AF42" s="1160" t="n"/>
      <c r="AG42" s="1160" t="n"/>
      <c r="AH42" s="1160" t="n"/>
      <c r="AI42" s="1160" t="n"/>
      <c r="AJ42" s="1160" t="n"/>
      <c r="AK42" s="1160" t="n"/>
      <c r="AL42" s="1160" t="n"/>
    </row>
    <row r="43">
      <c r="C43" s="1163">
        <f>C42+1</f>
        <v/>
      </c>
      <c r="D43" s="1164" t="n"/>
      <c r="E43" s="1164" t="inlineStr">
        <is>
          <t>Comp 22</t>
        </is>
      </c>
      <c r="F43" s="1164" t="n"/>
      <c r="G43" s="1164" t="n"/>
      <c r="H43" s="1164" t="n"/>
      <c r="I43" s="1164" t="n"/>
      <c r="J43" s="1164" t="n"/>
      <c r="K43" s="1164" t="n"/>
      <c r="L43" s="1164" t="n"/>
      <c r="M43" s="1164" t="n"/>
      <c r="N43" s="1164" t="n"/>
      <c r="O43" s="1164" t="n"/>
      <c r="P43" s="1164" t="n"/>
      <c r="Q43" s="1164" t="n"/>
      <c r="R43" s="1164" t="n"/>
      <c r="S43" s="1164" t="n"/>
      <c r="T43" s="1164" t="n"/>
      <c r="U43" s="1164" t="n"/>
      <c r="V43" s="1164" t="n"/>
      <c r="W43" s="1165" t="n"/>
      <c r="X43" s="1160" t="n"/>
      <c r="Z43" s="1160" t="n"/>
      <c r="AA43" s="1160" t="n"/>
      <c r="AB43" s="1160" t="n"/>
      <c r="AC43" s="1160" t="n"/>
      <c r="AD43" s="1160" t="n"/>
      <c r="AE43" s="1160" t="n"/>
      <c r="AF43" s="1160" t="n"/>
      <c r="AG43" s="1160" t="n"/>
      <c r="AH43" s="1160" t="n"/>
      <c r="AI43" s="1160" t="n"/>
      <c r="AJ43" s="1160" t="n"/>
      <c r="AK43" s="1160" t="n"/>
      <c r="AL43" s="1160" t="n"/>
    </row>
    <row r="44">
      <c r="C44" s="1163">
        <f>C43+1</f>
        <v/>
      </c>
      <c r="D44" s="1164" t="n"/>
      <c r="E44" s="1164" t="inlineStr">
        <is>
          <t>Comp 23</t>
        </is>
      </c>
      <c r="F44" s="1164" t="n"/>
      <c r="G44" s="1164" t="n"/>
      <c r="H44" s="1164" t="n"/>
      <c r="I44" s="1164" t="n"/>
      <c r="J44" s="1164" t="n"/>
      <c r="K44" s="1164" t="n"/>
      <c r="L44" s="1164" t="n"/>
      <c r="M44" s="1164" t="n"/>
      <c r="N44" s="1164" t="n"/>
      <c r="O44" s="1164" t="n"/>
      <c r="P44" s="1164" t="n"/>
      <c r="Q44" s="1164" t="n"/>
      <c r="R44" s="1164" t="n"/>
      <c r="S44" s="1164" t="n"/>
      <c r="T44" s="1164" t="n"/>
      <c r="U44" s="1164" t="n"/>
      <c r="V44" s="1164" t="n"/>
      <c r="W44" s="1165" t="n"/>
      <c r="X44" s="1160" t="n"/>
      <c r="Z44" s="1160" t="n"/>
      <c r="AA44" s="1160" t="n"/>
      <c r="AB44" s="1160" t="n"/>
      <c r="AC44" s="1160" t="n"/>
      <c r="AD44" s="1160" t="n"/>
      <c r="AE44" s="1160" t="n"/>
      <c r="AF44" s="1160" t="n"/>
      <c r="AG44" s="1160" t="n"/>
      <c r="AH44" s="1160" t="n"/>
      <c r="AI44" s="1160" t="n"/>
      <c r="AJ44" s="1160" t="n"/>
      <c r="AK44" s="1160" t="n"/>
      <c r="AL44" s="1160" t="n"/>
    </row>
    <row r="45">
      <c r="C45" s="1163">
        <f>C44+1</f>
        <v/>
      </c>
      <c r="D45" s="1164" t="n"/>
      <c r="E45" s="1164" t="inlineStr">
        <is>
          <t>Comp 24</t>
        </is>
      </c>
      <c r="F45" s="1164" t="n"/>
      <c r="G45" s="1164" t="n"/>
      <c r="H45" s="1164" t="n"/>
      <c r="I45" s="1164" t="n"/>
      <c r="J45" s="1164" t="n"/>
      <c r="K45" s="1164" t="n"/>
      <c r="L45" s="1164" t="n"/>
      <c r="M45" s="1164" t="n"/>
      <c r="N45" s="1164" t="n"/>
      <c r="O45" s="1164" t="n"/>
      <c r="P45" s="1164" t="n"/>
      <c r="Q45" s="1164" t="n"/>
      <c r="R45" s="1164" t="n"/>
      <c r="S45" s="1164" t="n"/>
      <c r="T45" s="1164" t="n"/>
      <c r="U45" s="1164" t="n"/>
      <c r="V45" s="1164" t="n"/>
      <c r="W45" s="1165" t="n"/>
      <c r="X45" s="1160" t="n"/>
      <c r="Z45" s="1160" t="n"/>
      <c r="AA45" s="1160" t="n"/>
      <c r="AB45" s="1160" t="n"/>
      <c r="AC45" s="1160" t="n"/>
      <c r="AD45" s="1160" t="n"/>
      <c r="AE45" s="1160" t="n"/>
      <c r="AF45" s="1160" t="n"/>
      <c r="AG45" s="1160" t="n"/>
      <c r="AH45" s="1160" t="n"/>
      <c r="AI45" s="1160" t="n"/>
      <c r="AJ45" s="1160" t="n"/>
      <c r="AK45" s="1160" t="n"/>
      <c r="AL45" s="1160" t="n"/>
    </row>
    <row r="46">
      <c r="C46" s="1163">
        <f>C45+1</f>
        <v/>
      </c>
      <c r="D46" s="1164" t="n"/>
      <c r="E46" s="1164" t="inlineStr">
        <is>
          <t>Comp 25</t>
        </is>
      </c>
      <c r="F46" s="1164" t="n"/>
      <c r="G46" s="1164" t="n"/>
      <c r="H46" s="1164" t="n"/>
      <c r="I46" s="1164" t="n"/>
      <c r="J46" s="1164" t="n"/>
      <c r="K46" s="1164" t="n"/>
      <c r="L46" s="1164" t="n"/>
      <c r="M46" s="1164" t="n"/>
      <c r="N46" s="1164" t="n"/>
      <c r="O46" s="1164" t="n"/>
      <c r="P46" s="1164" t="n"/>
      <c r="Q46" s="1164" t="n"/>
      <c r="R46" s="1164" t="n"/>
      <c r="S46" s="1164" t="n"/>
      <c r="T46" s="1164" t="n"/>
      <c r="U46" s="1164" t="n"/>
      <c r="V46" s="1164" t="n"/>
      <c r="W46" s="1165" t="n"/>
      <c r="X46" s="1160" t="n"/>
      <c r="Z46" s="1160" t="n"/>
      <c r="AA46" s="1160" t="n"/>
      <c r="AB46" s="1160" t="n"/>
      <c r="AC46" s="1160" t="n"/>
      <c r="AD46" s="1160" t="n"/>
      <c r="AE46" s="1160" t="n"/>
      <c r="AF46" s="1160" t="n"/>
      <c r="AG46" s="1160" t="n"/>
      <c r="AH46" s="1160" t="n"/>
      <c r="AI46" s="1160" t="n"/>
      <c r="AJ46" s="1160" t="n"/>
      <c r="AK46" s="1160" t="n"/>
      <c r="AL46" s="1160" t="n"/>
    </row>
    <row r="47">
      <c r="C47" s="1163">
        <f>C46+1</f>
        <v/>
      </c>
      <c r="D47" s="1164" t="n"/>
      <c r="E47" s="1164" t="inlineStr">
        <is>
          <t>Comp 26</t>
        </is>
      </c>
      <c r="F47" s="1164" t="n"/>
      <c r="G47" s="1164" t="n"/>
      <c r="H47" s="1164" t="n"/>
      <c r="I47" s="1164" t="n"/>
      <c r="J47" s="1164" t="n"/>
      <c r="K47" s="1164" t="n"/>
      <c r="L47" s="1164" t="n"/>
      <c r="M47" s="1164" t="n"/>
      <c r="N47" s="1164" t="n"/>
      <c r="O47" s="1164" t="n"/>
      <c r="P47" s="1164" t="n"/>
      <c r="Q47" s="1164" t="n"/>
      <c r="R47" s="1164" t="n"/>
      <c r="S47" s="1164" t="n"/>
      <c r="T47" s="1164" t="n"/>
      <c r="U47" s="1164" t="n"/>
      <c r="V47" s="1164" t="n"/>
      <c r="W47" s="1165" t="n"/>
      <c r="X47" s="1160" t="n"/>
      <c r="Z47" s="1160" t="n"/>
      <c r="AA47" s="1160" t="n"/>
      <c r="AB47" s="1160" t="n"/>
      <c r="AC47" s="1160" t="n"/>
      <c r="AD47" s="1160" t="n"/>
      <c r="AE47" s="1160" t="n"/>
      <c r="AF47" s="1160" t="n"/>
      <c r="AG47" s="1160" t="n"/>
      <c r="AH47" s="1160" t="n"/>
      <c r="AI47" s="1160" t="n"/>
      <c r="AJ47" s="1160" t="n"/>
      <c r="AK47" s="1160" t="n"/>
      <c r="AL47" s="1160" t="n"/>
    </row>
    <row r="48">
      <c r="C48" s="1163">
        <f>C47+1</f>
        <v/>
      </c>
      <c r="D48" s="1164" t="n"/>
      <c r="E48" s="1164" t="inlineStr">
        <is>
          <t>Comp 27</t>
        </is>
      </c>
      <c r="F48" s="1164" t="n"/>
      <c r="G48" s="1164" t="n"/>
      <c r="H48" s="1164" t="n"/>
      <c r="I48" s="1164" t="n"/>
      <c r="J48" s="1164" t="n"/>
      <c r="K48" s="1164" t="n"/>
      <c r="L48" s="1164" t="n"/>
      <c r="M48" s="1164" t="n"/>
      <c r="N48" s="1164" t="n"/>
      <c r="O48" s="1164" t="n"/>
      <c r="P48" s="1164" t="n"/>
      <c r="Q48" s="1164" t="n"/>
      <c r="R48" s="1164" t="n"/>
      <c r="S48" s="1164" t="n"/>
      <c r="T48" s="1164" t="n"/>
      <c r="U48" s="1164" t="n"/>
      <c r="V48" s="1164" t="n"/>
      <c r="W48" s="1165" t="n"/>
      <c r="X48" s="1160" t="n"/>
      <c r="Z48" s="1160" t="n"/>
      <c r="AA48" s="1160" t="n"/>
      <c r="AB48" s="1160" t="n"/>
      <c r="AC48" s="1160" t="n"/>
      <c r="AD48" s="1160" t="n"/>
      <c r="AE48" s="1160" t="n"/>
      <c r="AF48" s="1160" t="n"/>
      <c r="AG48" s="1160" t="n"/>
      <c r="AH48" s="1160" t="n"/>
      <c r="AI48" s="1160" t="n"/>
      <c r="AJ48" s="1160" t="n"/>
      <c r="AK48" s="1160" t="n"/>
      <c r="AL48" s="1160" t="n"/>
    </row>
    <row r="49">
      <c r="C49" s="1163">
        <f>C48+1</f>
        <v/>
      </c>
      <c r="D49" s="1164" t="n"/>
      <c r="E49" s="1164" t="inlineStr">
        <is>
          <t>Comp 28</t>
        </is>
      </c>
      <c r="F49" s="1164" t="n"/>
      <c r="G49" s="1164" t="n"/>
      <c r="H49" s="1164" t="n"/>
      <c r="I49" s="1164" t="n"/>
      <c r="J49" s="1164" t="n"/>
      <c r="K49" s="1164" t="n"/>
      <c r="L49" s="1164" t="n"/>
      <c r="M49" s="1164" t="n"/>
      <c r="N49" s="1164" t="n"/>
      <c r="O49" s="1164" t="n"/>
      <c r="P49" s="1164" t="n"/>
      <c r="Q49" s="1164" t="n"/>
      <c r="R49" s="1164" t="n"/>
      <c r="S49" s="1164" t="n"/>
      <c r="T49" s="1164" t="n"/>
      <c r="U49" s="1164" t="n"/>
      <c r="V49" s="1164" t="n"/>
      <c r="W49" s="1165" t="n"/>
      <c r="X49" s="1160" t="n"/>
      <c r="Z49" s="1160" t="n"/>
      <c r="AA49" s="1160" t="n"/>
      <c r="AB49" s="1160" t="n"/>
      <c r="AC49" s="1160" t="n"/>
      <c r="AD49" s="1160" t="n"/>
      <c r="AE49" s="1160" t="n"/>
      <c r="AF49" s="1160" t="n"/>
      <c r="AG49" s="1160" t="n"/>
      <c r="AH49" s="1160" t="n"/>
      <c r="AI49" s="1160" t="n"/>
      <c r="AJ49" s="1160" t="n"/>
      <c r="AK49" s="1160" t="n"/>
      <c r="AL49" s="1160" t="n"/>
    </row>
    <row r="50">
      <c r="C50" s="1163">
        <f>C49+1</f>
        <v/>
      </c>
      <c r="D50" s="1164" t="n"/>
      <c r="E50" s="1164" t="inlineStr">
        <is>
          <t>Comp 29</t>
        </is>
      </c>
      <c r="F50" s="1164" t="n"/>
      <c r="G50" s="1164" t="n"/>
      <c r="H50" s="1164" t="n"/>
      <c r="I50" s="1164" t="n"/>
      <c r="J50" s="1164" t="n"/>
      <c r="K50" s="1164" t="n"/>
      <c r="L50" s="1164" t="n"/>
      <c r="M50" s="1164" t="n"/>
      <c r="N50" s="1164" t="n"/>
      <c r="O50" s="1164" t="n"/>
      <c r="P50" s="1164" t="n"/>
      <c r="Q50" s="1164" t="n"/>
      <c r="R50" s="1164" t="n"/>
      <c r="S50" s="1164" t="n"/>
      <c r="T50" s="1164" t="n"/>
      <c r="U50" s="1164" t="n"/>
      <c r="V50" s="1164" t="n"/>
      <c r="W50" s="1165" t="n"/>
      <c r="X50" s="1160" t="n"/>
      <c r="Z50" s="1160" t="n"/>
      <c r="AA50" s="1160" t="n"/>
      <c r="AB50" s="1160" t="n"/>
      <c r="AC50" s="1160" t="n"/>
      <c r="AD50" s="1160" t="n"/>
      <c r="AE50" s="1160" t="n"/>
      <c r="AF50" s="1160" t="n"/>
      <c r="AG50" s="1160" t="n"/>
      <c r="AH50" s="1160" t="n"/>
      <c r="AI50" s="1160" t="n"/>
      <c r="AJ50" s="1160" t="n"/>
      <c r="AK50" s="1160" t="n"/>
      <c r="AL50" s="1160" t="n"/>
    </row>
    <row r="51">
      <c r="C51" s="1166">
        <f>C50+1</f>
        <v/>
      </c>
      <c r="D51" s="1167" t="n"/>
      <c r="E51" s="1167" t="inlineStr">
        <is>
          <t>Comp 30</t>
        </is>
      </c>
      <c r="F51" s="1167" t="n"/>
      <c r="G51" s="1167" t="n"/>
      <c r="H51" s="1167" t="n"/>
      <c r="I51" s="1167" t="n"/>
      <c r="J51" s="1167" t="n"/>
      <c r="K51" s="1167" t="n"/>
      <c r="L51" s="1167" t="n"/>
      <c r="M51" s="1167" t="n"/>
      <c r="N51" s="1167" t="n"/>
      <c r="O51" s="1167" t="n"/>
      <c r="P51" s="1167" t="n"/>
      <c r="Q51" s="1167" t="n"/>
      <c r="R51" s="1167" t="n"/>
      <c r="S51" s="1167" t="n"/>
      <c r="T51" s="1167" t="n"/>
      <c r="U51" s="1167" t="n"/>
      <c r="V51" s="1167" t="n"/>
      <c r="W51" s="1168" t="n"/>
      <c r="X51" s="1160" t="n"/>
      <c r="Z51" s="1160" t="n"/>
      <c r="AA51" s="1160" t="n"/>
      <c r="AB51" s="1160" t="n"/>
      <c r="AC51" s="1160" t="n"/>
      <c r="AD51" s="1160" t="n"/>
      <c r="AE51" s="1160" t="n"/>
      <c r="AF51" s="1160" t="n"/>
      <c r="AG51" s="1160" t="n"/>
      <c r="AH51" s="1160" t="n"/>
      <c r="AI51" s="1160" t="n"/>
      <c r="AJ51" s="1160" t="n"/>
      <c r="AK51" s="1160" t="n"/>
      <c r="AL51" s="1160" t="n"/>
    </row>
    <row r="52">
      <c r="C52" s="1160" t="n"/>
      <c r="D52" s="1160" t="n"/>
      <c r="E52" s="1160" t="n"/>
      <c r="F52" s="1160" t="n"/>
      <c r="G52" s="1160" t="n"/>
      <c r="H52" s="1160" t="n"/>
      <c r="I52" s="1160" t="n"/>
      <c r="J52" s="1160" t="n"/>
      <c r="K52" s="1160" t="n"/>
      <c r="L52" s="1160" t="n"/>
      <c r="M52" s="1160" t="n"/>
      <c r="N52" s="1160" t="n"/>
      <c r="O52" s="1160" t="n"/>
      <c r="P52" s="1160" t="n"/>
      <c r="Q52" s="1160" t="n"/>
      <c r="R52" s="1160" t="n"/>
      <c r="S52" s="1160" t="n"/>
      <c r="T52" s="1160" t="n"/>
      <c r="U52" s="1160" t="n"/>
      <c r="V52" s="1160" t="n"/>
      <c r="W52" s="1160" t="n"/>
      <c r="X52" s="1160" t="n"/>
      <c r="Y52" s="1160" t="n"/>
      <c r="Z52" s="1160" t="n"/>
      <c r="AA52" s="1160" t="n"/>
      <c r="AB52" s="1160" t="n"/>
      <c r="AC52" s="1160" t="n"/>
      <c r="AD52" s="1160" t="n"/>
      <c r="AE52" s="1160" t="n"/>
      <c r="AF52" s="1160" t="n"/>
      <c r="AG52" s="1160" t="n"/>
      <c r="AH52" s="1160" t="n"/>
      <c r="AI52" s="1160" t="n"/>
      <c r="AJ52" s="1160" t="n"/>
      <c r="AK52" s="1160" t="n"/>
      <c r="AL52" s="1160" t="n"/>
    </row>
    <row r="53">
      <c r="C53" s="1189" t="inlineStr">
        <is>
          <t>Table 1B: Trading &amp; Capital Structure Information</t>
        </is>
      </c>
      <c r="D53" s="1189" t="n"/>
      <c r="E53" s="1189" t="n"/>
      <c r="F53" s="1189" t="n"/>
      <c r="G53" s="1189" t="n"/>
      <c r="H53" s="1189" t="n"/>
      <c r="I53" s="1189" t="n"/>
      <c r="J53" s="1189" t="n"/>
      <c r="K53" s="1189" t="n"/>
      <c r="L53" s="1189" t="n"/>
      <c r="M53" s="1189" t="n"/>
      <c r="N53" s="1189" t="n"/>
      <c r="O53" s="1189" t="n"/>
      <c r="P53" s="1189" t="n"/>
      <c r="Q53" s="1189" t="n"/>
      <c r="R53" s="1189" t="n"/>
      <c r="S53" s="1189" t="n"/>
      <c r="T53" s="1189" t="n"/>
      <c r="U53" s="1189" t="n"/>
      <c r="V53" s="1189" t="n"/>
      <c r="W53" s="1189" t="n"/>
      <c r="X53" s="1160" t="n"/>
      <c r="Y53" s="1160" t="n"/>
      <c r="Z53" s="1160" t="n"/>
      <c r="AA53" s="1160" t="n"/>
      <c r="AB53" s="1160" t="n"/>
      <c r="AC53" s="1160" t="n"/>
      <c r="AD53" s="1160" t="n"/>
      <c r="AE53" s="1160" t="n"/>
      <c r="AF53" s="1160" t="n"/>
      <c r="AG53" s="1160" t="n"/>
      <c r="AH53" s="1160" t="n"/>
      <c r="AI53" s="1160" t="n"/>
      <c r="AJ53" s="1160" t="n"/>
      <c r="AK53" s="1160" t="n"/>
      <c r="AL53" s="1160" t="n"/>
    </row>
    <row r="54" ht="42" customHeight="1">
      <c r="C54" s="1190" t="inlineStr">
        <is>
          <t>S.No.</t>
        </is>
      </c>
      <c r="D54" s="1191" t="inlineStr">
        <is>
          <t>Ticker</t>
        </is>
      </c>
      <c r="E54" s="1191" t="inlineStr">
        <is>
          <t>Company Name</t>
        </is>
      </c>
      <c r="F54" s="1191" t="inlineStr">
        <is>
          <t>First Listing Date</t>
        </is>
      </c>
      <c r="G54" s="1191" t="inlineStr">
        <is>
          <t>Number of shares outstanding</t>
        </is>
      </c>
      <c r="H54" s="1191" t="inlineStr">
        <is>
          <t>Average daily trading volume over last year</t>
        </is>
      </c>
      <c r="I54" s="1862" t="inlineStr">
        <is>
          <t>Debt to Equity</t>
        </is>
      </c>
      <c r="J54" s="2527" t="n"/>
      <c r="K54" s="2527" t="n"/>
      <c r="L54" s="2527" t="n"/>
      <c r="M54" s="2527" t="n"/>
      <c r="N54" s="2527" t="n"/>
      <c r="O54" s="2528" t="n"/>
      <c r="P54" s="1863" t="inlineStr">
        <is>
          <t>Debt/Capital</t>
        </is>
      </c>
      <c r="Q54" s="2527" t="n"/>
      <c r="R54" s="2527" t="n"/>
      <c r="S54" s="2527" t="n"/>
      <c r="T54" s="2527" t="n"/>
      <c r="U54" s="2527" t="n"/>
      <c r="V54" s="2527" t="n"/>
      <c r="W54" s="1193" t="n"/>
      <c r="X54" s="1160" t="n"/>
      <c r="Y54" s="1160" t="n"/>
      <c r="Z54" s="1160" t="n"/>
      <c r="AA54" s="1160" t="n"/>
      <c r="AB54" s="1160" t="n"/>
      <c r="AC54" s="1160" t="n"/>
      <c r="AD54" s="1160" t="n"/>
      <c r="AE54" s="1160" t="n"/>
      <c r="AF54" s="1160" t="n"/>
      <c r="AG54" s="1160" t="n"/>
      <c r="AH54" s="1160" t="n"/>
      <c r="AI54" s="1160" t="n"/>
      <c r="AJ54" s="1160" t="n"/>
      <c r="AK54" s="1160" t="n"/>
      <c r="AL54" s="1160" t="n"/>
    </row>
    <row r="55">
      <c r="C55" s="1169" t="n"/>
      <c r="D55" s="1170" t="n"/>
      <c r="E55" s="1170" t="n"/>
      <c r="F55" s="1170" t="n"/>
      <c r="G55" s="1170" t="n"/>
      <c r="H55" s="1170" t="n"/>
      <c r="I55" s="1171" t="inlineStr">
        <is>
          <t>FYE-4</t>
        </is>
      </c>
      <c r="J55" s="1171" t="inlineStr">
        <is>
          <t>FYE -3</t>
        </is>
      </c>
      <c r="K55" s="1171" t="inlineStr">
        <is>
          <t>FYE -2</t>
        </is>
      </c>
      <c r="L55" s="1171" t="inlineStr">
        <is>
          <t>FYE -1</t>
        </is>
      </c>
      <c r="M55" s="1171" t="inlineStr">
        <is>
          <t>FYE</t>
        </is>
      </c>
      <c r="N55" s="1171" t="inlineStr">
        <is>
          <t>5Yr Average</t>
        </is>
      </c>
      <c r="O55" s="1172" t="inlineStr">
        <is>
          <t>2Yr Average</t>
        </is>
      </c>
      <c r="P55" s="1171" t="inlineStr">
        <is>
          <t>FYE-4</t>
        </is>
      </c>
      <c r="Q55" s="1171" t="inlineStr">
        <is>
          <t>FYE -3</t>
        </is>
      </c>
      <c r="R55" s="1171" t="inlineStr">
        <is>
          <t>FYE -2</t>
        </is>
      </c>
      <c r="S55" s="1171" t="inlineStr">
        <is>
          <t>FYE -1</t>
        </is>
      </c>
      <c r="T55" s="1171" t="inlineStr">
        <is>
          <t>FYE</t>
        </is>
      </c>
      <c r="U55" s="1171" t="inlineStr">
        <is>
          <t>5Yr Average</t>
        </is>
      </c>
      <c r="V55" s="1171" t="inlineStr">
        <is>
          <t>2Yr Average</t>
        </is>
      </c>
      <c r="W55" s="1173" t="n"/>
      <c r="X55" s="1160" t="n"/>
      <c r="Y55" s="1160" t="n"/>
      <c r="Z55" s="1160" t="n"/>
      <c r="AA55" s="1160" t="n"/>
      <c r="AB55" s="1160" t="n"/>
      <c r="AC55" s="1160" t="n"/>
      <c r="AD55" s="1160" t="n"/>
      <c r="AE55" s="1160" t="n"/>
      <c r="AF55" s="1160" t="n"/>
      <c r="AG55" s="1160" t="n"/>
      <c r="AH55" s="1160" t="n"/>
      <c r="AI55" s="1160" t="n"/>
      <c r="AJ55" s="1160" t="n"/>
      <c r="AK55" s="1160" t="n"/>
      <c r="AL55" s="1160" t="n"/>
    </row>
    <row r="56">
      <c r="C56" s="1163" t="n">
        <v>1</v>
      </c>
      <c r="D56" s="1164" t="n"/>
      <c r="E56" s="1164" t="inlineStr">
        <is>
          <t>Comp 1</t>
        </is>
      </c>
      <c r="F56" s="1164" t="n"/>
      <c r="G56" s="1164" t="n"/>
      <c r="H56" s="1164" t="n"/>
      <c r="I56" s="1164" t="n"/>
      <c r="J56" s="1164" t="n"/>
      <c r="K56" s="1164" t="n"/>
      <c r="L56" s="1164" t="n"/>
      <c r="M56" s="1164" t="n"/>
      <c r="N56" s="1164" t="n"/>
      <c r="O56" s="1165" t="n"/>
      <c r="P56" s="1164" t="n"/>
      <c r="Q56" s="1164" t="n"/>
      <c r="R56" s="1164" t="n"/>
      <c r="S56" s="1164" t="n"/>
      <c r="T56" s="1164" t="n"/>
      <c r="U56" s="1164" t="n"/>
      <c r="V56" s="1164" t="n"/>
      <c r="W56" s="1165" t="n"/>
      <c r="X56" s="1160" t="n"/>
      <c r="Y56" s="1160" t="n"/>
      <c r="Z56" s="1160" t="n"/>
      <c r="AA56" s="1160" t="n"/>
      <c r="AB56" s="1160" t="n"/>
      <c r="AC56" s="1160" t="n"/>
      <c r="AD56" s="1160" t="n"/>
      <c r="AE56" s="1160" t="n"/>
      <c r="AF56" s="1160" t="n"/>
      <c r="AG56" s="1160" t="n"/>
      <c r="AH56" s="1160" t="n"/>
      <c r="AI56" s="1160" t="n"/>
      <c r="AJ56" s="1160" t="n"/>
      <c r="AK56" s="1160" t="n"/>
      <c r="AL56" s="1160" t="n"/>
    </row>
    <row r="57">
      <c r="C57" s="1163">
        <f>C56+1</f>
        <v/>
      </c>
      <c r="D57" s="1164" t="n"/>
      <c r="E57" s="1164" t="inlineStr">
        <is>
          <t>Comp 2</t>
        </is>
      </c>
      <c r="F57" s="1164" t="n"/>
      <c r="G57" s="1164" t="n"/>
      <c r="H57" s="1164" t="n"/>
      <c r="I57" s="1164" t="n"/>
      <c r="J57" s="1164" t="n"/>
      <c r="K57" s="1164" t="n"/>
      <c r="L57" s="1164" t="n"/>
      <c r="M57" s="1164" t="n"/>
      <c r="N57" s="1164" t="n"/>
      <c r="O57" s="1165" t="n"/>
      <c r="P57" s="1164" t="n"/>
      <c r="Q57" s="1164" t="n"/>
      <c r="R57" s="1164" t="n"/>
      <c r="S57" s="1164" t="n"/>
      <c r="T57" s="1164" t="n"/>
      <c r="U57" s="1164" t="n"/>
      <c r="V57" s="1164" t="n"/>
      <c r="W57" s="1165" t="n"/>
      <c r="X57" s="1160" t="n"/>
      <c r="Y57" s="1160" t="n"/>
      <c r="Z57" s="1160" t="n"/>
      <c r="AA57" s="1160" t="n"/>
      <c r="AB57" s="1160" t="n"/>
      <c r="AC57" s="1160" t="n"/>
      <c r="AD57" s="1160" t="n"/>
      <c r="AE57" s="1160" t="n"/>
      <c r="AF57" s="1160" t="n"/>
      <c r="AG57" s="1160" t="n"/>
      <c r="AH57" s="1160" t="n"/>
      <c r="AI57" s="1160" t="n"/>
      <c r="AJ57" s="1160" t="n"/>
      <c r="AK57" s="1160" t="n"/>
      <c r="AL57" s="1160" t="n"/>
    </row>
    <row r="58">
      <c r="C58" s="1163">
        <f>C57+1</f>
        <v/>
      </c>
      <c r="D58" s="1164" t="n"/>
      <c r="E58" s="1164" t="inlineStr">
        <is>
          <t>Comp 3</t>
        </is>
      </c>
      <c r="F58" s="1164" t="n"/>
      <c r="G58" s="1164" t="n"/>
      <c r="H58" s="1164" t="n"/>
      <c r="I58" s="1164" t="n"/>
      <c r="J58" s="1164" t="n"/>
      <c r="K58" s="1164" t="n"/>
      <c r="L58" s="1164" t="n"/>
      <c r="M58" s="1164" t="n"/>
      <c r="N58" s="1164" t="n"/>
      <c r="O58" s="1165" t="n"/>
      <c r="P58" s="1164" t="n"/>
      <c r="Q58" s="1164" t="n"/>
      <c r="R58" s="1164" t="n"/>
      <c r="S58" s="1164" t="n"/>
      <c r="T58" s="1164" t="n"/>
      <c r="U58" s="1164" t="n"/>
      <c r="V58" s="1164" t="n"/>
      <c r="W58" s="1165" t="n"/>
      <c r="X58" s="1160" t="n"/>
      <c r="Y58" s="1160" t="n"/>
      <c r="Z58" s="1160" t="n"/>
      <c r="AA58" s="1160" t="n"/>
      <c r="AB58" s="1160" t="n"/>
      <c r="AC58" s="1160" t="n"/>
      <c r="AD58" s="1160" t="n"/>
      <c r="AE58" s="1160" t="n"/>
      <c r="AF58" s="1160" t="n"/>
      <c r="AG58" s="1160" t="n"/>
      <c r="AH58" s="1160" t="n"/>
      <c r="AI58" s="1160" t="n"/>
      <c r="AJ58" s="1160" t="n"/>
      <c r="AK58" s="1160" t="n"/>
      <c r="AL58" s="1160" t="n"/>
    </row>
    <row r="59">
      <c r="C59" s="1163">
        <f>C58+1</f>
        <v/>
      </c>
      <c r="D59" s="1164" t="n"/>
      <c r="E59" s="1164" t="inlineStr">
        <is>
          <t>Comp 4</t>
        </is>
      </c>
      <c r="F59" s="1164" t="n"/>
      <c r="G59" s="1164" t="n"/>
      <c r="H59" s="1164" t="n"/>
      <c r="I59" s="1164" t="n"/>
      <c r="J59" s="1164" t="n"/>
      <c r="K59" s="1164" t="n"/>
      <c r="L59" s="1164" t="n"/>
      <c r="M59" s="1164" t="n"/>
      <c r="N59" s="1164" t="n"/>
      <c r="O59" s="1165" t="n"/>
      <c r="P59" s="1164" t="n"/>
      <c r="Q59" s="1164" t="n"/>
      <c r="R59" s="1164" t="n"/>
      <c r="S59" s="1164" t="n"/>
      <c r="T59" s="1164" t="n"/>
      <c r="U59" s="1164" t="n"/>
      <c r="V59" s="1164" t="n"/>
      <c r="W59" s="1165" t="n"/>
      <c r="X59" s="1160" t="n"/>
      <c r="Y59" s="1160" t="n"/>
      <c r="Z59" s="1160" t="n"/>
      <c r="AA59" s="1160" t="n"/>
      <c r="AB59" s="1160" t="n"/>
      <c r="AC59" s="1160" t="n"/>
      <c r="AD59" s="1160" t="n"/>
      <c r="AE59" s="1160" t="n"/>
      <c r="AF59" s="1160" t="n"/>
      <c r="AG59" s="1160" t="n"/>
      <c r="AH59" s="1160" t="n"/>
      <c r="AI59" s="1160" t="n"/>
      <c r="AJ59" s="1160" t="n"/>
      <c r="AK59" s="1160" t="n"/>
      <c r="AL59" s="1160" t="n"/>
    </row>
    <row r="60">
      <c r="C60" s="1163">
        <f>C59+1</f>
        <v/>
      </c>
      <c r="D60" s="1164" t="n"/>
      <c r="E60" s="1164" t="inlineStr">
        <is>
          <t>Comp 5</t>
        </is>
      </c>
      <c r="F60" s="1164" t="n"/>
      <c r="G60" s="1164" t="n"/>
      <c r="H60" s="1164" t="n"/>
      <c r="I60" s="1164" t="n"/>
      <c r="J60" s="1164" t="n"/>
      <c r="K60" s="1164" t="n"/>
      <c r="L60" s="1164" t="n"/>
      <c r="M60" s="1164" t="n"/>
      <c r="N60" s="1164" t="n"/>
      <c r="O60" s="1165" t="n"/>
      <c r="P60" s="1164" t="n"/>
      <c r="Q60" s="1164" t="n"/>
      <c r="R60" s="1164" t="n"/>
      <c r="S60" s="1164" t="n"/>
      <c r="T60" s="1164" t="n"/>
      <c r="U60" s="1164" t="n"/>
      <c r="V60" s="1164" t="n"/>
      <c r="W60" s="1165" t="n"/>
      <c r="X60" s="1160" t="n"/>
      <c r="Y60" s="1160" t="n"/>
      <c r="Z60" s="1160" t="n"/>
      <c r="AA60" s="1160" t="n"/>
      <c r="AB60" s="1160" t="n"/>
      <c r="AC60" s="1160" t="n"/>
      <c r="AD60" s="1160" t="n"/>
      <c r="AE60" s="1160" t="n"/>
      <c r="AF60" s="1160" t="n"/>
      <c r="AG60" s="1160" t="n"/>
      <c r="AH60" s="1160" t="n"/>
      <c r="AI60" s="1160" t="n"/>
      <c r="AJ60" s="1160" t="n"/>
      <c r="AK60" s="1160" t="n"/>
      <c r="AL60" s="1160" t="n"/>
    </row>
    <row r="61">
      <c r="C61" s="1163">
        <f>C60+1</f>
        <v/>
      </c>
      <c r="D61" s="1164" t="n"/>
      <c r="E61" s="1164" t="inlineStr">
        <is>
          <t>Comp 6</t>
        </is>
      </c>
      <c r="F61" s="1164" t="n"/>
      <c r="G61" s="1164" t="n"/>
      <c r="H61" s="1164" t="n"/>
      <c r="I61" s="1164" t="n"/>
      <c r="J61" s="1164" t="n"/>
      <c r="K61" s="1164" t="n"/>
      <c r="L61" s="1164" t="n"/>
      <c r="M61" s="1164" t="n"/>
      <c r="N61" s="1164" t="n"/>
      <c r="O61" s="1165" t="n"/>
      <c r="P61" s="1164" t="n"/>
      <c r="Q61" s="1164" t="n"/>
      <c r="R61" s="1164" t="n"/>
      <c r="S61" s="1164" t="n"/>
      <c r="T61" s="1164" t="n"/>
      <c r="U61" s="1164" t="n"/>
      <c r="V61" s="1164" t="n"/>
      <c r="W61" s="1165" t="n"/>
      <c r="X61" s="1160" t="n"/>
      <c r="Y61" s="1160" t="n"/>
      <c r="Z61" s="1160" t="n"/>
      <c r="AA61" s="1160" t="n"/>
      <c r="AB61" s="1160" t="n"/>
      <c r="AC61" s="1160" t="n"/>
      <c r="AD61" s="1160" t="n"/>
      <c r="AE61" s="1160" t="n"/>
      <c r="AF61" s="1160" t="n"/>
      <c r="AG61" s="1160" t="n"/>
      <c r="AH61" s="1160" t="n"/>
      <c r="AI61" s="1160" t="n"/>
      <c r="AJ61" s="1160" t="n"/>
      <c r="AK61" s="1160" t="n"/>
      <c r="AL61" s="1160" t="n"/>
    </row>
    <row r="62">
      <c r="C62" s="1163">
        <f>C61+1</f>
        <v/>
      </c>
      <c r="D62" s="1164" t="n"/>
      <c r="E62" s="1164" t="inlineStr">
        <is>
          <t>Comp 7</t>
        </is>
      </c>
      <c r="F62" s="1164" t="n"/>
      <c r="G62" s="1164" t="n"/>
      <c r="H62" s="1164" t="n"/>
      <c r="I62" s="1164" t="n"/>
      <c r="J62" s="1164" t="n"/>
      <c r="K62" s="1164" t="n"/>
      <c r="L62" s="1164" t="n"/>
      <c r="M62" s="1164" t="n"/>
      <c r="N62" s="1164" t="n"/>
      <c r="O62" s="1165" t="n"/>
      <c r="P62" s="1164" t="n"/>
      <c r="Q62" s="1164" t="n"/>
      <c r="R62" s="1164" t="n"/>
      <c r="S62" s="1164" t="n"/>
      <c r="T62" s="1164" t="n"/>
      <c r="U62" s="1164" t="n"/>
      <c r="V62" s="1164" t="n"/>
      <c r="W62" s="1165" t="n"/>
      <c r="X62" s="1160" t="n"/>
      <c r="Y62" s="1160" t="n"/>
      <c r="Z62" s="1160" t="n"/>
      <c r="AA62" s="1160" t="n"/>
      <c r="AB62" s="1160" t="n"/>
      <c r="AC62" s="1160" t="n"/>
      <c r="AD62" s="1160" t="n"/>
      <c r="AE62" s="1160" t="n"/>
      <c r="AF62" s="1160" t="n"/>
      <c r="AG62" s="1160" t="n"/>
      <c r="AH62" s="1160" t="n"/>
      <c r="AI62" s="1160" t="n"/>
      <c r="AJ62" s="1160" t="n"/>
      <c r="AK62" s="1160" t="n"/>
      <c r="AL62" s="1160" t="n"/>
    </row>
    <row r="63">
      <c r="C63" s="1163">
        <f>C62+1</f>
        <v/>
      </c>
      <c r="D63" s="1164" t="n"/>
      <c r="E63" s="1164" t="inlineStr">
        <is>
          <t>Comp 8</t>
        </is>
      </c>
      <c r="F63" s="1164" t="n"/>
      <c r="G63" s="1164" t="n"/>
      <c r="H63" s="1164" t="n"/>
      <c r="I63" s="1164" t="n"/>
      <c r="J63" s="1164" t="n"/>
      <c r="K63" s="1164" t="n"/>
      <c r="L63" s="1164" t="n"/>
      <c r="M63" s="1164" t="n"/>
      <c r="N63" s="1164" t="n"/>
      <c r="O63" s="1165" t="n"/>
      <c r="P63" s="1164" t="n"/>
      <c r="Q63" s="1164" t="n"/>
      <c r="R63" s="1164" t="n"/>
      <c r="S63" s="1164" t="n"/>
      <c r="T63" s="1164" t="n"/>
      <c r="U63" s="1164" t="n"/>
      <c r="V63" s="1164" t="n"/>
      <c r="W63" s="1165" t="n"/>
      <c r="X63" s="1160" t="n"/>
      <c r="Y63" s="1160" t="n"/>
      <c r="Z63" s="1160" t="n"/>
      <c r="AA63" s="1160" t="n"/>
      <c r="AB63" s="1160" t="n"/>
      <c r="AC63" s="1160" t="n"/>
      <c r="AD63" s="1160" t="n"/>
      <c r="AE63" s="1160" t="n"/>
      <c r="AF63" s="1160" t="n"/>
      <c r="AG63" s="1160" t="n"/>
      <c r="AH63" s="1160" t="n"/>
      <c r="AI63" s="1160" t="n"/>
      <c r="AJ63" s="1160" t="n"/>
      <c r="AK63" s="1160" t="n"/>
      <c r="AL63" s="1160" t="n"/>
    </row>
    <row r="64">
      <c r="C64" s="1163">
        <f>C63+1</f>
        <v/>
      </c>
      <c r="D64" s="1164" t="n"/>
      <c r="E64" s="1164" t="inlineStr">
        <is>
          <t>Comp 9</t>
        </is>
      </c>
      <c r="F64" s="1164" t="n"/>
      <c r="G64" s="1164" t="n"/>
      <c r="H64" s="1164" t="n"/>
      <c r="I64" s="1164" t="n"/>
      <c r="J64" s="1164" t="n"/>
      <c r="K64" s="1164" t="n"/>
      <c r="L64" s="1164" t="n"/>
      <c r="M64" s="1164" t="n"/>
      <c r="N64" s="1164" t="n"/>
      <c r="O64" s="1165" t="n"/>
      <c r="P64" s="1164" t="n"/>
      <c r="Q64" s="1164" t="n"/>
      <c r="R64" s="1164" t="n"/>
      <c r="S64" s="1164" t="n"/>
      <c r="T64" s="1164" t="n"/>
      <c r="U64" s="1164" t="n"/>
      <c r="V64" s="1164" t="n"/>
      <c r="W64" s="1165" t="n"/>
      <c r="X64" s="1160" t="n"/>
      <c r="Y64" s="1160" t="n"/>
      <c r="Z64" s="1160" t="n"/>
      <c r="AA64" s="1160" t="n"/>
      <c r="AB64" s="1160" t="n"/>
      <c r="AC64" s="1160" t="n"/>
      <c r="AD64" s="1160" t="n"/>
      <c r="AE64" s="1160" t="n"/>
      <c r="AF64" s="1160" t="n"/>
      <c r="AG64" s="1160" t="n"/>
      <c r="AH64" s="1160" t="n"/>
      <c r="AI64" s="1160" t="n"/>
      <c r="AJ64" s="1160" t="n"/>
      <c r="AK64" s="1160" t="n"/>
      <c r="AL64" s="1160" t="n"/>
    </row>
    <row r="65">
      <c r="C65" s="1163">
        <f>C64+1</f>
        <v/>
      </c>
      <c r="D65" s="1164" t="n"/>
      <c r="E65" s="1164" t="inlineStr">
        <is>
          <t>Comp 10</t>
        </is>
      </c>
      <c r="F65" s="1164" t="n"/>
      <c r="G65" s="1164" t="n"/>
      <c r="H65" s="1164" t="n"/>
      <c r="I65" s="1164" t="n"/>
      <c r="J65" s="1164" t="n"/>
      <c r="K65" s="1164" t="n"/>
      <c r="L65" s="1164" t="n"/>
      <c r="M65" s="1164" t="n"/>
      <c r="N65" s="1164" t="n"/>
      <c r="O65" s="1165" t="n"/>
      <c r="P65" s="1164" t="n"/>
      <c r="Q65" s="1164" t="n"/>
      <c r="R65" s="1164" t="n"/>
      <c r="S65" s="1164" t="n"/>
      <c r="T65" s="1164" t="n"/>
      <c r="U65" s="1164" t="n"/>
      <c r="V65" s="1164" t="n"/>
      <c r="W65" s="1165" t="n"/>
      <c r="X65" s="1160" t="n"/>
      <c r="Y65" s="1160" t="n"/>
      <c r="Z65" s="1160" t="n"/>
      <c r="AA65" s="1160" t="n"/>
      <c r="AB65" s="1160" t="n"/>
      <c r="AC65" s="1160" t="n"/>
      <c r="AD65" s="1160" t="n"/>
      <c r="AE65" s="1160" t="n"/>
      <c r="AF65" s="1160" t="n"/>
      <c r="AG65" s="1160" t="n"/>
      <c r="AH65" s="1160" t="n"/>
      <c r="AI65" s="1160" t="n"/>
      <c r="AJ65" s="1160" t="n"/>
      <c r="AK65" s="1160" t="n"/>
      <c r="AL65" s="1160" t="n"/>
    </row>
    <row r="66">
      <c r="C66" s="1163">
        <f>C65+1</f>
        <v/>
      </c>
      <c r="D66" s="1164" t="n"/>
      <c r="E66" s="1164" t="inlineStr">
        <is>
          <t>Comp 11</t>
        </is>
      </c>
      <c r="F66" s="1164" t="n"/>
      <c r="G66" s="1164" t="n"/>
      <c r="H66" s="1164" t="n"/>
      <c r="I66" s="1164" t="n"/>
      <c r="J66" s="1164" t="n"/>
      <c r="K66" s="1164" t="n"/>
      <c r="L66" s="1164" t="n"/>
      <c r="M66" s="1164" t="n"/>
      <c r="N66" s="1164" t="n"/>
      <c r="O66" s="1165" t="n"/>
      <c r="P66" s="1164" t="n"/>
      <c r="Q66" s="1164" t="n"/>
      <c r="R66" s="1164" t="n"/>
      <c r="S66" s="1164" t="n"/>
      <c r="T66" s="1164" t="n"/>
      <c r="U66" s="1164" t="n"/>
      <c r="V66" s="1164" t="n"/>
      <c r="W66" s="1165" t="n"/>
      <c r="X66" s="1160" t="n"/>
      <c r="Y66" s="1160" t="n"/>
      <c r="Z66" s="1160" t="n"/>
      <c r="AA66" s="1160" t="n"/>
      <c r="AB66" s="1160" t="n"/>
      <c r="AC66" s="1160" t="n"/>
      <c r="AD66" s="1160" t="n"/>
      <c r="AE66" s="1160" t="n"/>
      <c r="AF66" s="1160" t="n"/>
      <c r="AG66" s="1160" t="n"/>
      <c r="AH66" s="1160" t="n"/>
      <c r="AI66" s="1160" t="n"/>
      <c r="AJ66" s="1160" t="n"/>
      <c r="AK66" s="1160" t="n"/>
      <c r="AL66" s="1160" t="n"/>
    </row>
    <row r="67">
      <c r="C67" s="1163">
        <f>C66+1</f>
        <v/>
      </c>
      <c r="D67" s="1164" t="n"/>
      <c r="E67" s="1164" t="inlineStr">
        <is>
          <t>Comp 12</t>
        </is>
      </c>
      <c r="F67" s="1164" t="n"/>
      <c r="G67" s="1164" t="n"/>
      <c r="H67" s="1164" t="n"/>
      <c r="I67" s="1164" t="n"/>
      <c r="J67" s="1164" t="n"/>
      <c r="K67" s="1164" t="n"/>
      <c r="L67" s="1164" t="n"/>
      <c r="M67" s="1164" t="n"/>
      <c r="N67" s="1164" t="n"/>
      <c r="O67" s="1165" t="n"/>
      <c r="P67" s="1164" t="n"/>
      <c r="Q67" s="1164" t="n"/>
      <c r="R67" s="1164" t="n"/>
      <c r="S67" s="1164" t="n"/>
      <c r="T67" s="1164" t="n"/>
      <c r="U67" s="1164" t="n"/>
      <c r="V67" s="1164" t="n"/>
      <c r="W67" s="1165" t="n"/>
      <c r="X67" s="1160" t="n"/>
      <c r="Y67" s="1160" t="n"/>
      <c r="Z67" s="1160" t="n"/>
      <c r="AA67" s="1160" t="n"/>
      <c r="AB67" s="1160" t="n"/>
      <c r="AC67" s="1160" t="n"/>
      <c r="AD67" s="1160" t="n"/>
      <c r="AE67" s="1160" t="n"/>
      <c r="AF67" s="1160" t="n"/>
      <c r="AG67" s="1160" t="n"/>
      <c r="AH67" s="1160" t="n"/>
      <c r="AI67" s="1160" t="n"/>
      <c r="AJ67" s="1160" t="n"/>
      <c r="AK67" s="1160" t="n"/>
      <c r="AL67" s="1160" t="n"/>
    </row>
    <row r="68">
      <c r="C68" s="1163">
        <f>C67+1</f>
        <v/>
      </c>
      <c r="D68" s="1164" t="n"/>
      <c r="E68" s="1164" t="inlineStr">
        <is>
          <t>Comp 13</t>
        </is>
      </c>
      <c r="F68" s="1164" t="n"/>
      <c r="G68" s="1164" t="n"/>
      <c r="H68" s="1164" t="n"/>
      <c r="I68" s="1164" t="n"/>
      <c r="J68" s="1164" t="n"/>
      <c r="K68" s="1164" t="n"/>
      <c r="L68" s="1164" t="n"/>
      <c r="M68" s="1164" t="n"/>
      <c r="N68" s="1164" t="n"/>
      <c r="O68" s="1165" t="n"/>
      <c r="P68" s="1164" t="n"/>
      <c r="Q68" s="1164" t="n"/>
      <c r="R68" s="1164" t="n"/>
      <c r="S68" s="1164" t="n"/>
      <c r="T68" s="1164" t="n"/>
      <c r="U68" s="1164" t="n"/>
      <c r="V68" s="1164" t="n"/>
      <c r="W68" s="1165" t="n"/>
      <c r="X68" s="1160" t="n"/>
      <c r="Y68" s="1160" t="n"/>
      <c r="Z68" s="1160" t="n"/>
      <c r="AA68" s="1160" t="n"/>
      <c r="AB68" s="1160" t="n"/>
      <c r="AC68" s="1160" t="n"/>
      <c r="AD68" s="1160" t="n"/>
      <c r="AE68" s="1160" t="n"/>
      <c r="AF68" s="1160" t="n"/>
      <c r="AG68" s="1160" t="n"/>
      <c r="AH68" s="1160" t="n"/>
      <c r="AI68" s="1160" t="n"/>
      <c r="AJ68" s="1160" t="n"/>
      <c r="AK68" s="1160" t="n"/>
      <c r="AL68" s="1160" t="n"/>
    </row>
    <row r="69">
      <c r="C69" s="1163">
        <f>C68+1</f>
        <v/>
      </c>
      <c r="D69" s="1164" t="n"/>
      <c r="E69" s="1164" t="inlineStr">
        <is>
          <t>Comp 14</t>
        </is>
      </c>
      <c r="F69" s="1164" t="n"/>
      <c r="G69" s="1164" t="n"/>
      <c r="H69" s="1164" t="n"/>
      <c r="I69" s="1164" t="n"/>
      <c r="J69" s="1164" t="n"/>
      <c r="K69" s="1164" t="n"/>
      <c r="L69" s="1164" t="n"/>
      <c r="M69" s="1164" t="n"/>
      <c r="N69" s="1164" t="n"/>
      <c r="O69" s="1165" t="n"/>
      <c r="P69" s="1164" t="n"/>
      <c r="Q69" s="1164" t="n"/>
      <c r="R69" s="1164" t="n"/>
      <c r="S69" s="1164" t="n"/>
      <c r="T69" s="1164" t="n"/>
      <c r="U69" s="1164" t="n"/>
      <c r="V69" s="1164" t="n"/>
      <c r="W69" s="1165" t="n"/>
      <c r="X69" s="1160" t="n"/>
      <c r="Y69" s="1160" t="n"/>
      <c r="Z69" s="1160" t="n"/>
      <c r="AA69" s="1160" t="n"/>
      <c r="AB69" s="1160" t="n"/>
      <c r="AC69" s="1160" t="n"/>
      <c r="AD69" s="1160" t="n"/>
      <c r="AE69" s="1160" t="n"/>
      <c r="AF69" s="1160" t="n"/>
      <c r="AG69" s="1160" t="n"/>
      <c r="AH69" s="1160" t="n"/>
      <c r="AI69" s="1160" t="n"/>
      <c r="AJ69" s="1160" t="n"/>
      <c r="AK69" s="1160" t="n"/>
      <c r="AL69" s="1160" t="n"/>
    </row>
    <row r="70">
      <c r="C70" s="1163">
        <f>C69+1</f>
        <v/>
      </c>
      <c r="D70" s="1164" t="n"/>
      <c r="E70" s="1164" t="inlineStr">
        <is>
          <t>Comp 15</t>
        </is>
      </c>
      <c r="F70" s="1164" t="n"/>
      <c r="G70" s="1164" t="n"/>
      <c r="H70" s="1164" t="n"/>
      <c r="I70" s="1164" t="n"/>
      <c r="J70" s="1164" t="n"/>
      <c r="K70" s="1164" t="n"/>
      <c r="L70" s="1164" t="n"/>
      <c r="M70" s="1164" t="n"/>
      <c r="N70" s="1164" t="n"/>
      <c r="O70" s="1165" t="n"/>
      <c r="P70" s="1164" t="n"/>
      <c r="Q70" s="1164" t="n"/>
      <c r="R70" s="1164" t="n"/>
      <c r="S70" s="1164" t="n"/>
      <c r="T70" s="1164" t="n"/>
      <c r="U70" s="1164" t="n"/>
      <c r="V70" s="1164" t="n"/>
      <c r="W70" s="1165" t="n"/>
      <c r="X70" s="1160" t="n"/>
      <c r="Y70" s="1160" t="n"/>
      <c r="Z70" s="1160" t="n"/>
      <c r="AA70" s="1160" t="n"/>
      <c r="AB70" s="1160" t="n"/>
      <c r="AC70" s="1160" t="n"/>
      <c r="AD70" s="1160" t="n"/>
      <c r="AE70" s="1160" t="n"/>
      <c r="AF70" s="1160" t="n"/>
      <c r="AG70" s="1160" t="n"/>
      <c r="AH70" s="1160" t="n"/>
      <c r="AI70" s="1160" t="n"/>
      <c r="AJ70" s="1160" t="n"/>
      <c r="AK70" s="1160" t="n"/>
      <c r="AL70" s="1160" t="n"/>
    </row>
    <row r="71">
      <c r="C71" s="1163">
        <f>C70+1</f>
        <v/>
      </c>
      <c r="D71" s="1164" t="n"/>
      <c r="E71" s="1164" t="inlineStr">
        <is>
          <t>Comp 16</t>
        </is>
      </c>
      <c r="F71" s="1164" t="n"/>
      <c r="G71" s="1164" t="n"/>
      <c r="H71" s="1164" t="n"/>
      <c r="I71" s="1164" t="n"/>
      <c r="J71" s="1164" t="n"/>
      <c r="K71" s="1164" t="n"/>
      <c r="L71" s="1164" t="n"/>
      <c r="M71" s="1164" t="n"/>
      <c r="N71" s="1164" t="n"/>
      <c r="O71" s="1165" t="n"/>
      <c r="P71" s="1164" t="n"/>
      <c r="Q71" s="1164" t="n"/>
      <c r="R71" s="1164" t="n"/>
      <c r="S71" s="1164" t="n"/>
      <c r="T71" s="1164" t="n"/>
      <c r="U71" s="1164" t="n"/>
      <c r="V71" s="1164" t="n"/>
      <c r="W71" s="1165" t="n"/>
      <c r="X71" s="1160" t="n"/>
      <c r="Y71" s="1160" t="n"/>
      <c r="Z71" s="1160" t="n"/>
      <c r="AA71" s="1160" t="n"/>
      <c r="AB71" s="1160" t="n"/>
      <c r="AC71" s="1160" t="n"/>
      <c r="AD71" s="1160" t="n"/>
      <c r="AE71" s="1160" t="n"/>
      <c r="AF71" s="1160" t="n"/>
      <c r="AG71" s="1160" t="n"/>
      <c r="AH71" s="1160" t="n"/>
      <c r="AI71" s="1160" t="n"/>
      <c r="AJ71" s="1160" t="n"/>
      <c r="AK71" s="1160" t="n"/>
      <c r="AL71" s="1160" t="n"/>
    </row>
    <row r="72">
      <c r="C72" s="1163">
        <f>C71+1</f>
        <v/>
      </c>
      <c r="D72" s="1164" t="n"/>
      <c r="E72" s="1164" t="inlineStr">
        <is>
          <t>Comp 17</t>
        </is>
      </c>
      <c r="F72" s="1164" t="n"/>
      <c r="G72" s="1164" t="n"/>
      <c r="H72" s="1164" t="n"/>
      <c r="I72" s="1164" t="n"/>
      <c r="J72" s="1164" t="n"/>
      <c r="K72" s="1164" t="n"/>
      <c r="L72" s="1164" t="n"/>
      <c r="M72" s="1164" t="n"/>
      <c r="N72" s="1164" t="n"/>
      <c r="O72" s="1165" t="n"/>
      <c r="P72" s="1164" t="n"/>
      <c r="Q72" s="1164" t="n"/>
      <c r="R72" s="1164" t="n"/>
      <c r="S72" s="1164" t="n"/>
      <c r="T72" s="1164" t="n"/>
      <c r="U72" s="1164" t="n"/>
      <c r="V72" s="1164" t="n"/>
      <c r="W72" s="1165" t="n"/>
      <c r="X72" s="1160" t="n"/>
      <c r="Y72" s="1160" t="n"/>
      <c r="Z72" s="1160" t="n"/>
      <c r="AA72" s="1160" t="n"/>
      <c r="AB72" s="1160" t="n"/>
      <c r="AC72" s="1160" t="n"/>
      <c r="AD72" s="1160" t="n"/>
      <c r="AE72" s="1160" t="n"/>
      <c r="AF72" s="1160" t="n"/>
      <c r="AG72" s="1160" t="n"/>
      <c r="AH72" s="1160" t="n"/>
      <c r="AI72" s="1160" t="n"/>
      <c r="AJ72" s="1160" t="n"/>
      <c r="AK72" s="1160" t="n"/>
      <c r="AL72" s="1160" t="n"/>
    </row>
    <row r="73">
      <c r="C73" s="1163">
        <f>C72+1</f>
        <v/>
      </c>
      <c r="D73" s="1164" t="n"/>
      <c r="E73" s="1164" t="inlineStr">
        <is>
          <t>Comp 18</t>
        </is>
      </c>
      <c r="F73" s="1164" t="n"/>
      <c r="G73" s="1164" t="n"/>
      <c r="H73" s="1164" t="n"/>
      <c r="I73" s="1164" t="n"/>
      <c r="J73" s="1164" t="n"/>
      <c r="K73" s="1164" t="n"/>
      <c r="L73" s="1164" t="n"/>
      <c r="M73" s="1164" t="n"/>
      <c r="N73" s="1164" t="n"/>
      <c r="O73" s="1165" t="n"/>
      <c r="P73" s="1164" t="n"/>
      <c r="Q73" s="1164" t="n"/>
      <c r="R73" s="1164" t="n"/>
      <c r="S73" s="1164" t="n"/>
      <c r="T73" s="1164" t="n"/>
      <c r="U73" s="1164" t="n"/>
      <c r="V73" s="1164" t="n"/>
      <c r="W73" s="1165" t="n"/>
      <c r="X73" s="1160" t="n"/>
      <c r="Y73" s="1160" t="n"/>
      <c r="Z73" s="1160" t="n"/>
      <c r="AA73" s="1160" t="n"/>
      <c r="AB73" s="1160" t="n"/>
      <c r="AC73" s="1160" t="n"/>
      <c r="AD73" s="1160" t="n"/>
      <c r="AE73" s="1160" t="n"/>
      <c r="AF73" s="1160" t="n"/>
      <c r="AG73" s="1160" t="n"/>
      <c r="AH73" s="1160" t="n"/>
      <c r="AI73" s="1160" t="n"/>
      <c r="AJ73" s="1160" t="n"/>
      <c r="AK73" s="1160" t="n"/>
      <c r="AL73" s="1160" t="n"/>
    </row>
    <row r="74">
      <c r="C74" s="1163">
        <f>C73+1</f>
        <v/>
      </c>
      <c r="D74" s="1164" t="n"/>
      <c r="E74" s="1164" t="inlineStr">
        <is>
          <t>Comp 19</t>
        </is>
      </c>
      <c r="F74" s="1164" t="n"/>
      <c r="G74" s="1164" t="n"/>
      <c r="H74" s="1164" t="n"/>
      <c r="I74" s="1164" t="n"/>
      <c r="J74" s="1164" t="n"/>
      <c r="K74" s="1164" t="n"/>
      <c r="L74" s="1164" t="n"/>
      <c r="M74" s="1164" t="n"/>
      <c r="N74" s="1164" t="n"/>
      <c r="O74" s="1165" t="n"/>
      <c r="P74" s="1164" t="n"/>
      <c r="Q74" s="1164" t="n"/>
      <c r="R74" s="1164" t="n"/>
      <c r="S74" s="1164" t="n"/>
      <c r="T74" s="1164" t="n"/>
      <c r="U74" s="1164" t="n"/>
      <c r="V74" s="1164" t="n"/>
      <c r="W74" s="1165" t="n"/>
      <c r="X74" s="1160" t="n"/>
      <c r="Y74" s="1160" t="n"/>
      <c r="Z74" s="1160" t="n"/>
      <c r="AA74" s="1160" t="n"/>
      <c r="AB74" s="1160" t="n"/>
      <c r="AC74" s="1160" t="n"/>
      <c r="AD74" s="1160" t="n"/>
      <c r="AE74" s="1160" t="n"/>
      <c r="AF74" s="1160" t="n"/>
      <c r="AG74" s="1160" t="n"/>
      <c r="AH74" s="1160" t="n"/>
      <c r="AI74" s="1160" t="n"/>
      <c r="AJ74" s="1160" t="n"/>
      <c r="AK74" s="1160" t="n"/>
      <c r="AL74" s="1160" t="n"/>
    </row>
    <row r="75">
      <c r="C75" s="1163">
        <f>C74+1</f>
        <v/>
      </c>
      <c r="D75" s="1164" t="n"/>
      <c r="E75" s="1164" t="inlineStr">
        <is>
          <t>Comp 20</t>
        </is>
      </c>
      <c r="F75" s="1164" t="n"/>
      <c r="G75" s="1164" t="n"/>
      <c r="H75" s="1164" t="n"/>
      <c r="I75" s="1164" t="n"/>
      <c r="J75" s="1164" t="n"/>
      <c r="K75" s="1164" t="n"/>
      <c r="L75" s="1164" t="n"/>
      <c r="M75" s="1164" t="n"/>
      <c r="N75" s="1164" t="n"/>
      <c r="O75" s="1165" t="n"/>
      <c r="P75" s="1164" t="n"/>
      <c r="Q75" s="1164" t="n"/>
      <c r="R75" s="1164" t="n"/>
      <c r="S75" s="1164" t="n"/>
      <c r="T75" s="1164" t="n"/>
      <c r="U75" s="1164" t="n"/>
      <c r="V75" s="1164" t="n"/>
      <c r="W75" s="1165" t="n"/>
      <c r="X75" s="1160" t="n"/>
      <c r="Y75" s="1160" t="n"/>
      <c r="Z75" s="1160" t="n"/>
      <c r="AA75" s="1160" t="n"/>
      <c r="AB75" s="1160" t="n"/>
      <c r="AC75" s="1160" t="n"/>
      <c r="AD75" s="1160" t="n"/>
      <c r="AE75" s="1160" t="n"/>
      <c r="AF75" s="1160" t="n"/>
      <c r="AG75" s="1160" t="n"/>
      <c r="AH75" s="1160" t="n"/>
      <c r="AI75" s="1160" t="n"/>
      <c r="AJ75" s="1160" t="n"/>
      <c r="AK75" s="1160" t="n"/>
      <c r="AL75" s="1160" t="n"/>
    </row>
    <row r="76">
      <c r="C76" s="1163">
        <f>C75+1</f>
        <v/>
      </c>
      <c r="D76" s="1164" t="n"/>
      <c r="E76" s="1164" t="inlineStr">
        <is>
          <t>Comp 21</t>
        </is>
      </c>
      <c r="F76" s="1164" t="n"/>
      <c r="G76" s="1164" t="n"/>
      <c r="H76" s="1164" t="n"/>
      <c r="I76" s="1164" t="n"/>
      <c r="J76" s="1164" t="n"/>
      <c r="K76" s="1164" t="n"/>
      <c r="L76" s="1164" t="n"/>
      <c r="M76" s="1164" t="n"/>
      <c r="N76" s="1164" t="n"/>
      <c r="O76" s="1165" t="n"/>
      <c r="P76" s="1164" t="n"/>
      <c r="Q76" s="1164" t="n"/>
      <c r="R76" s="1164" t="n"/>
      <c r="S76" s="1164" t="n"/>
      <c r="T76" s="1164" t="n"/>
      <c r="U76" s="1164" t="n"/>
      <c r="V76" s="1164" t="n"/>
      <c r="W76" s="1165" t="n"/>
      <c r="X76" s="1160" t="n"/>
      <c r="Y76" s="1160" t="n"/>
      <c r="Z76" s="1160" t="n"/>
      <c r="AA76" s="1160" t="n"/>
      <c r="AB76" s="1160" t="n"/>
      <c r="AC76" s="1160" t="n"/>
      <c r="AD76" s="1160" t="n"/>
      <c r="AE76" s="1160" t="n"/>
      <c r="AF76" s="1160" t="n"/>
      <c r="AG76" s="1160" t="n"/>
      <c r="AH76" s="1160" t="n"/>
      <c r="AI76" s="1160" t="n"/>
      <c r="AJ76" s="1160" t="n"/>
      <c r="AK76" s="1160" t="n"/>
      <c r="AL76" s="1160" t="n"/>
    </row>
    <row r="77">
      <c r="C77" s="1163">
        <f>C76+1</f>
        <v/>
      </c>
      <c r="D77" s="1164" t="n"/>
      <c r="E77" s="1164" t="inlineStr">
        <is>
          <t>Comp 22</t>
        </is>
      </c>
      <c r="F77" s="1164" t="n"/>
      <c r="G77" s="1164" t="n"/>
      <c r="H77" s="1164" t="n"/>
      <c r="I77" s="1164" t="n"/>
      <c r="J77" s="1164" t="n"/>
      <c r="K77" s="1164" t="n"/>
      <c r="L77" s="1164" t="n"/>
      <c r="M77" s="1164" t="n"/>
      <c r="N77" s="1164" t="n"/>
      <c r="O77" s="1165" t="n"/>
      <c r="P77" s="1164" t="n"/>
      <c r="Q77" s="1164" t="n"/>
      <c r="R77" s="1164" t="n"/>
      <c r="S77" s="1164" t="n"/>
      <c r="T77" s="1164" t="n"/>
      <c r="U77" s="1164" t="n"/>
      <c r="V77" s="1164" t="n"/>
      <c r="W77" s="1165" t="n"/>
      <c r="X77" s="1160" t="n"/>
      <c r="Y77" s="1160" t="n"/>
      <c r="Z77" s="1160" t="n"/>
      <c r="AA77" s="1160" t="n"/>
      <c r="AB77" s="1160" t="n"/>
      <c r="AC77" s="1160" t="n"/>
      <c r="AD77" s="1160" t="n"/>
      <c r="AE77" s="1160" t="n"/>
      <c r="AF77" s="1160" t="n"/>
      <c r="AG77" s="1160" t="n"/>
      <c r="AH77" s="1160" t="n"/>
      <c r="AI77" s="1160" t="n"/>
      <c r="AJ77" s="1160" t="n"/>
      <c r="AK77" s="1160" t="n"/>
      <c r="AL77" s="1160" t="n"/>
    </row>
    <row r="78">
      <c r="C78" s="1163">
        <f>C77+1</f>
        <v/>
      </c>
      <c r="D78" s="1164" t="n"/>
      <c r="E78" s="1164" t="inlineStr">
        <is>
          <t>Comp 23</t>
        </is>
      </c>
      <c r="F78" s="1164" t="n"/>
      <c r="G78" s="1164" t="n"/>
      <c r="H78" s="1164" t="n"/>
      <c r="I78" s="1164" t="n"/>
      <c r="J78" s="1164" t="n"/>
      <c r="K78" s="1164" t="n"/>
      <c r="L78" s="1164" t="n"/>
      <c r="M78" s="1164" t="n"/>
      <c r="N78" s="1164" t="n"/>
      <c r="O78" s="1165" t="n"/>
      <c r="P78" s="1164" t="n"/>
      <c r="Q78" s="1164" t="n"/>
      <c r="R78" s="1164" t="n"/>
      <c r="S78" s="1164" t="n"/>
      <c r="T78" s="1164" t="n"/>
      <c r="U78" s="1164" t="n"/>
      <c r="V78" s="1164" t="n"/>
      <c r="W78" s="1165" t="n"/>
      <c r="X78" s="1160" t="n"/>
      <c r="Y78" s="1160" t="n"/>
      <c r="Z78" s="1160" t="n"/>
      <c r="AA78" s="1160" t="n"/>
      <c r="AB78" s="1160" t="n"/>
      <c r="AC78" s="1160" t="n"/>
      <c r="AD78" s="1160" t="n"/>
      <c r="AE78" s="1160" t="n"/>
      <c r="AF78" s="1160" t="n"/>
      <c r="AG78" s="1160" t="n"/>
      <c r="AH78" s="1160" t="n"/>
      <c r="AI78" s="1160" t="n"/>
      <c r="AJ78" s="1160" t="n"/>
      <c r="AK78" s="1160" t="n"/>
      <c r="AL78" s="1160" t="n"/>
    </row>
    <row r="79">
      <c r="C79" s="1163">
        <f>C78+1</f>
        <v/>
      </c>
      <c r="D79" s="1164" t="n"/>
      <c r="E79" s="1164" t="inlineStr">
        <is>
          <t>Comp 24</t>
        </is>
      </c>
      <c r="F79" s="1164" t="n"/>
      <c r="G79" s="1164" t="n"/>
      <c r="H79" s="1164" t="n"/>
      <c r="I79" s="1164" t="n"/>
      <c r="J79" s="1164" t="n"/>
      <c r="K79" s="1164" t="n"/>
      <c r="L79" s="1164" t="n"/>
      <c r="M79" s="1164" t="n"/>
      <c r="N79" s="1164" t="n"/>
      <c r="O79" s="1165" t="n"/>
      <c r="P79" s="1164" t="n"/>
      <c r="Q79" s="1164" t="n"/>
      <c r="R79" s="1164" t="n"/>
      <c r="S79" s="1164" t="n"/>
      <c r="T79" s="1164" t="n"/>
      <c r="U79" s="1164" t="n"/>
      <c r="V79" s="1164" t="n"/>
      <c r="W79" s="1165" t="n"/>
      <c r="X79" s="1160" t="n"/>
      <c r="Y79" s="1160" t="n"/>
      <c r="Z79" s="1160" t="n"/>
      <c r="AA79" s="1160" t="n"/>
      <c r="AB79" s="1160" t="n"/>
      <c r="AC79" s="1160" t="n"/>
      <c r="AD79" s="1160" t="n"/>
      <c r="AE79" s="1160" t="n"/>
      <c r="AF79" s="1160" t="n"/>
      <c r="AG79" s="1160" t="n"/>
      <c r="AH79" s="1160" t="n"/>
      <c r="AI79" s="1160" t="n"/>
      <c r="AJ79" s="1160" t="n"/>
      <c r="AK79" s="1160" t="n"/>
      <c r="AL79" s="1160" t="n"/>
    </row>
    <row r="80">
      <c r="C80" s="1163">
        <f>C79+1</f>
        <v/>
      </c>
      <c r="D80" s="1164" t="n"/>
      <c r="E80" s="1164" t="inlineStr">
        <is>
          <t>Comp 25</t>
        </is>
      </c>
      <c r="F80" s="1164" t="n"/>
      <c r="G80" s="1164" t="n"/>
      <c r="H80" s="1164" t="n"/>
      <c r="I80" s="1164" t="n"/>
      <c r="J80" s="1164" t="n"/>
      <c r="K80" s="1164" t="n"/>
      <c r="L80" s="1164" t="n"/>
      <c r="M80" s="1164" t="n"/>
      <c r="N80" s="1164" t="n"/>
      <c r="O80" s="1165" t="n"/>
      <c r="P80" s="1164" t="n"/>
      <c r="Q80" s="1164" t="n"/>
      <c r="R80" s="1164" t="n"/>
      <c r="S80" s="1164" t="n"/>
      <c r="T80" s="1164" t="n"/>
      <c r="U80" s="1164" t="n"/>
      <c r="V80" s="1164" t="n"/>
      <c r="W80" s="1165" t="n"/>
      <c r="X80" s="1160" t="n"/>
      <c r="Y80" s="1160" t="n"/>
      <c r="Z80" s="1160" t="n"/>
      <c r="AA80" s="1160" t="n"/>
      <c r="AB80" s="1160" t="n"/>
      <c r="AC80" s="1160" t="n"/>
      <c r="AD80" s="1160" t="n"/>
      <c r="AE80" s="1160" t="n"/>
      <c r="AF80" s="1160" t="n"/>
      <c r="AG80" s="1160" t="n"/>
      <c r="AH80" s="1160" t="n"/>
      <c r="AI80" s="1160" t="n"/>
      <c r="AJ80" s="1160" t="n"/>
      <c r="AK80" s="1160" t="n"/>
      <c r="AL80" s="1160" t="n"/>
    </row>
    <row r="81">
      <c r="C81" s="1163">
        <f>C80+1</f>
        <v/>
      </c>
      <c r="D81" s="1164" t="n"/>
      <c r="E81" s="1164" t="inlineStr">
        <is>
          <t>Comp 26</t>
        </is>
      </c>
      <c r="F81" s="1164" t="n"/>
      <c r="G81" s="1164" t="n"/>
      <c r="H81" s="1164" t="n"/>
      <c r="I81" s="1164" t="n"/>
      <c r="J81" s="1164" t="n"/>
      <c r="K81" s="1164" t="n"/>
      <c r="L81" s="1164" t="n"/>
      <c r="M81" s="1164" t="n"/>
      <c r="N81" s="1164" t="n"/>
      <c r="O81" s="1165" t="n"/>
      <c r="P81" s="1164" t="n"/>
      <c r="Q81" s="1164" t="n"/>
      <c r="R81" s="1164" t="n"/>
      <c r="S81" s="1164" t="n"/>
      <c r="T81" s="1164" t="n"/>
      <c r="U81" s="1164" t="n"/>
      <c r="V81" s="1164" t="n"/>
      <c r="W81" s="1165" t="n"/>
      <c r="X81" s="1160" t="n"/>
      <c r="Y81" s="1160" t="n"/>
      <c r="Z81" s="1160" t="n"/>
      <c r="AA81" s="1160" t="n"/>
      <c r="AB81" s="1160" t="n"/>
      <c r="AC81" s="1160" t="n"/>
      <c r="AD81" s="1160" t="n"/>
      <c r="AE81" s="1160" t="n"/>
      <c r="AF81" s="1160" t="n"/>
      <c r="AG81" s="1160" t="n"/>
      <c r="AH81" s="1160" t="n"/>
      <c r="AI81" s="1160" t="n"/>
      <c r="AJ81" s="1160" t="n"/>
      <c r="AK81" s="1160" t="n"/>
      <c r="AL81" s="1160" t="n"/>
    </row>
    <row r="82">
      <c r="C82" s="1163">
        <f>C81+1</f>
        <v/>
      </c>
      <c r="D82" s="1164" t="n"/>
      <c r="E82" s="1164" t="inlineStr">
        <is>
          <t>Comp 27</t>
        </is>
      </c>
      <c r="F82" s="1164" t="n"/>
      <c r="G82" s="1164" t="n"/>
      <c r="H82" s="1164" t="n"/>
      <c r="I82" s="1164" t="n"/>
      <c r="J82" s="1164" t="n"/>
      <c r="K82" s="1164" t="n"/>
      <c r="L82" s="1164" t="n"/>
      <c r="M82" s="1164" t="n"/>
      <c r="N82" s="1164" t="n"/>
      <c r="O82" s="1165" t="n"/>
      <c r="P82" s="1164" t="n"/>
      <c r="Q82" s="1164" t="n"/>
      <c r="R82" s="1164" t="n"/>
      <c r="S82" s="1164" t="n"/>
      <c r="T82" s="1164" t="n"/>
      <c r="U82" s="1164" t="n"/>
      <c r="V82" s="1164" t="n"/>
      <c r="W82" s="1165" t="n"/>
      <c r="X82" s="1160" t="n"/>
      <c r="Y82" s="1160" t="n"/>
      <c r="Z82" s="1160" t="n"/>
      <c r="AA82" s="1160" t="n"/>
      <c r="AB82" s="1160" t="n"/>
      <c r="AC82" s="1160" t="n"/>
      <c r="AD82" s="1160" t="n"/>
      <c r="AE82" s="1160" t="n"/>
      <c r="AF82" s="1160" t="n"/>
      <c r="AG82" s="1160" t="n"/>
      <c r="AH82" s="1160" t="n"/>
      <c r="AI82" s="1160" t="n"/>
      <c r="AJ82" s="1160" t="n"/>
      <c r="AK82" s="1160" t="n"/>
      <c r="AL82" s="1160" t="n"/>
    </row>
    <row r="83">
      <c r="C83" s="1163">
        <f>C82+1</f>
        <v/>
      </c>
      <c r="D83" s="1164" t="n"/>
      <c r="E83" s="1164" t="inlineStr">
        <is>
          <t>Comp 28</t>
        </is>
      </c>
      <c r="F83" s="1164" t="n"/>
      <c r="G83" s="1164" t="n"/>
      <c r="H83" s="1164" t="n"/>
      <c r="I83" s="1164" t="n"/>
      <c r="J83" s="1164" t="n"/>
      <c r="K83" s="1164" t="n"/>
      <c r="L83" s="1164" t="n"/>
      <c r="M83" s="1164" t="n"/>
      <c r="N83" s="1164" t="n"/>
      <c r="O83" s="1165" t="n"/>
      <c r="P83" s="1164" t="n"/>
      <c r="Q83" s="1164" t="n"/>
      <c r="R83" s="1164" t="n"/>
      <c r="S83" s="1164" t="n"/>
      <c r="T83" s="1164" t="n"/>
      <c r="U83" s="1164" t="n"/>
      <c r="V83" s="1164" t="n"/>
      <c r="W83" s="1165" t="n"/>
      <c r="X83" s="1160" t="n"/>
      <c r="Y83" s="1160" t="n"/>
      <c r="Z83" s="1160" t="n"/>
      <c r="AA83" s="1160" t="n"/>
      <c r="AB83" s="1160" t="n"/>
      <c r="AC83" s="1160" t="n"/>
      <c r="AD83" s="1160" t="n"/>
      <c r="AE83" s="1160" t="n"/>
      <c r="AF83" s="1160" t="n"/>
      <c r="AG83" s="1160" t="n"/>
      <c r="AH83" s="1160" t="n"/>
      <c r="AI83" s="1160" t="n"/>
      <c r="AJ83" s="1160" t="n"/>
      <c r="AK83" s="1160" t="n"/>
      <c r="AL83" s="1160" t="n"/>
    </row>
    <row r="84">
      <c r="C84" s="1163">
        <f>C83+1</f>
        <v/>
      </c>
      <c r="D84" s="1164" t="n"/>
      <c r="E84" s="1164" t="inlineStr">
        <is>
          <t>Comp 29</t>
        </is>
      </c>
      <c r="F84" s="1164" t="n"/>
      <c r="G84" s="1164" t="n"/>
      <c r="H84" s="1164" t="n"/>
      <c r="I84" s="1164" t="n"/>
      <c r="J84" s="1164" t="n"/>
      <c r="K84" s="1164" t="n"/>
      <c r="L84" s="1164" t="n"/>
      <c r="M84" s="1164" t="n"/>
      <c r="N84" s="1164" t="n"/>
      <c r="O84" s="1165" t="n"/>
      <c r="P84" s="1164" t="n"/>
      <c r="Q84" s="1164" t="n"/>
      <c r="R84" s="1164" t="n"/>
      <c r="S84" s="1164" t="n"/>
      <c r="T84" s="1164" t="n"/>
      <c r="U84" s="1164" t="n"/>
      <c r="V84" s="1164" t="n"/>
      <c r="W84" s="1165" t="n"/>
      <c r="X84" s="1160" t="n"/>
      <c r="Y84" s="1160" t="n"/>
      <c r="Z84" s="1160" t="n"/>
      <c r="AA84" s="1160" t="n"/>
      <c r="AB84" s="1160" t="n"/>
      <c r="AC84" s="1160" t="n"/>
      <c r="AD84" s="1160" t="n"/>
      <c r="AE84" s="1160" t="n"/>
      <c r="AF84" s="1160" t="n"/>
      <c r="AG84" s="1160" t="n"/>
      <c r="AH84" s="1160" t="n"/>
      <c r="AI84" s="1160" t="n"/>
      <c r="AJ84" s="1160" t="n"/>
      <c r="AK84" s="1160" t="n"/>
      <c r="AL84" s="1160" t="n"/>
    </row>
    <row r="85">
      <c r="C85" s="1166">
        <f>C84+1</f>
        <v/>
      </c>
      <c r="D85" s="1167" t="n"/>
      <c r="E85" s="1167" t="inlineStr">
        <is>
          <t>Comp 30</t>
        </is>
      </c>
      <c r="F85" s="1167" t="n"/>
      <c r="G85" s="1167" t="n"/>
      <c r="H85" s="1167" t="n"/>
      <c r="I85" s="1167" t="n"/>
      <c r="J85" s="1167" t="n"/>
      <c r="K85" s="1167" t="n"/>
      <c r="L85" s="1167" t="n"/>
      <c r="M85" s="1167" t="n"/>
      <c r="N85" s="1167" t="n"/>
      <c r="O85" s="1168" t="n"/>
      <c r="P85" s="1167" t="n"/>
      <c r="Q85" s="1167" t="n"/>
      <c r="R85" s="1167" t="n"/>
      <c r="S85" s="1167" t="n"/>
      <c r="T85" s="1167" t="n"/>
      <c r="U85" s="1167" t="n"/>
      <c r="V85" s="1167" t="n"/>
      <c r="W85" s="1168" t="n"/>
      <c r="X85" s="1160" t="n"/>
      <c r="Y85" s="1160" t="n"/>
      <c r="Z85" s="1160" t="n"/>
      <c r="AA85" s="1160" t="n"/>
      <c r="AB85" s="1160" t="n"/>
      <c r="AC85" s="1160" t="n"/>
      <c r="AD85" s="1160" t="n"/>
      <c r="AE85" s="1160" t="n"/>
      <c r="AF85" s="1160" t="n"/>
      <c r="AG85" s="1160" t="n"/>
      <c r="AH85" s="1160" t="n"/>
      <c r="AI85" s="1160" t="n"/>
      <c r="AJ85" s="1160" t="n"/>
      <c r="AK85" s="1160" t="n"/>
      <c r="AL85" s="1160" t="n"/>
    </row>
    <row r="86">
      <c r="C86" s="1160" t="n"/>
      <c r="D86" s="1160" t="n"/>
      <c r="E86" s="1160" t="n"/>
      <c r="F86" s="1160" t="n"/>
      <c r="G86" s="1160" t="n"/>
      <c r="H86" s="1160" t="n"/>
      <c r="I86" s="1160" t="n"/>
      <c r="J86" s="1160" t="n"/>
      <c r="K86" s="1160" t="n"/>
      <c r="L86" s="1160" t="n"/>
      <c r="M86" s="1160" t="n"/>
      <c r="N86" s="1160" t="n"/>
      <c r="O86" s="1160" t="n"/>
      <c r="P86" s="1160" t="n"/>
      <c r="Q86" s="1160" t="n"/>
      <c r="R86" s="1160" t="n"/>
      <c r="S86" s="1160" t="n"/>
      <c r="T86" s="1160" t="n"/>
      <c r="U86" s="1160" t="n"/>
      <c r="V86" s="1160" t="n"/>
      <c r="W86" s="1160" t="n"/>
      <c r="X86" s="1160" t="n"/>
      <c r="Y86" s="1160" t="n"/>
      <c r="Z86" s="1160" t="n"/>
      <c r="AA86" s="1160" t="n"/>
      <c r="AB86" s="1160" t="n"/>
      <c r="AC86" s="1160" t="n"/>
      <c r="AD86" s="1160" t="n"/>
      <c r="AE86" s="1160" t="n"/>
      <c r="AF86" s="1160" t="n"/>
      <c r="AG86" s="1160" t="n"/>
      <c r="AH86" s="1160" t="n"/>
      <c r="AI86" s="1160" t="n"/>
      <c r="AJ86" s="1160" t="n"/>
      <c r="AK86" s="1160" t="n"/>
      <c r="AL86" s="1160" t="n"/>
    </row>
    <row r="87">
      <c r="C87" s="1189" t="inlineStr">
        <is>
          <t>Table 1C: Additional Capital Structure Information</t>
        </is>
      </c>
      <c r="D87" s="1189" t="n"/>
      <c r="E87" s="1189" t="n"/>
      <c r="F87" s="1189" t="n"/>
      <c r="G87" s="1189" t="n"/>
      <c r="H87" s="1189" t="n"/>
      <c r="I87" s="1189" t="n"/>
      <c r="J87" s="1189" t="n"/>
      <c r="K87" s="1189" t="n"/>
      <c r="L87" s="1189" t="n"/>
      <c r="M87" s="1189" t="n"/>
      <c r="N87" s="1189" t="n"/>
      <c r="O87" s="1189" t="n"/>
      <c r="P87" s="1189" t="n"/>
      <c r="Q87" s="1189" t="n"/>
      <c r="R87" s="1189" t="n"/>
      <c r="S87" s="1189" t="n"/>
      <c r="T87" s="1189" t="n"/>
      <c r="U87" s="1189" t="n"/>
      <c r="V87" s="1189" t="n"/>
      <c r="W87" s="1189" t="n"/>
      <c r="X87" s="1189" t="n"/>
      <c r="Y87" s="1189" t="n"/>
      <c r="Z87" s="1189" t="n"/>
      <c r="AA87" s="1189" t="n"/>
      <c r="AB87" s="1189" t="n"/>
      <c r="AC87" s="1189" t="n"/>
      <c r="AD87" s="1189" t="n"/>
      <c r="AE87" s="1189" t="n"/>
      <c r="AF87" s="1189" t="n"/>
      <c r="AG87" s="1189" t="n"/>
      <c r="AH87" s="1189" t="n"/>
      <c r="AI87" s="1189" t="n"/>
      <c r="AJ87" s="1189" t="n"/>
      <c r="AK87" s="1189" t="n"/>
      <c r="AL87" s="1189" t="n"/>
      <c r="AM87" s="1189" t="n"/>
      <c r="AN87" s="1189" t="n"/>
      <c r="AO87" s="1189" t="n"/>
      <c r="AP87" s="1189" t="n"/>
      <c r="AQ87" s="1189" t="n"/>
      <c r="AR87" s="1189" t="n"/>
      <c r="AS87" s="1189" t="n"/>
    </row>
    <row r="88" ht="39.65" customHeight="1">
      <c r="C88" s="1190" t="inlineStr">
        <is>
          <t>S.No.</t>
        </is>
      </c>
      <c r="D88" s="1191" t="inlineStr">
        <is>
          <t>Ticker</t>
        </is>
      </c>
      <c r="E88" s="1191" t="inlineStr">
        <is>
          <t>Company Name</t>
        </is>
      </c>
      <c r="F88" s="2529" t="inlineStr">
        <is>
          <t>FYE-4</t>
        </is>
      </c>
      <c r="G88" s="2527" t="n"/>
      <c r="H88" s="2527" t="n"/>
      <c r="I88" s="2527" t="n"/>
      <c r="J88" s="2527" t="n"/>
      <c r="K88" s="2527" t="n"/>
      <c r="L88" s="2527" t="n"/>
      <c r="M88" s="2528" t="n"/>
      <c r="N88" s="2529" t="inlineStr">
        <is>
          <t>FYE-3</t>
        </is>
      </c>
      <c r="O88" s="2527" t="n"/>
      <c r="P88" s="2527" t="n"/>
      <c r="Q88" s="2527" t="n"/>
      <c r="R88" s="2527" t="n"/>
      <c r="S88" s="2527" t="n"/>
      <c r="T88" s="2527" t="n"/>
      <c r="U88" s="2528" t="n"/>
      <c r="V88" s="2529" t="inlineStr">
        <is>
          <t>FYE-2</t>
        </is>
      </c>
      <c r="W88" s="2527" t="n"/>
      <c r="X88" s="2527" t="n"/>
      <c r="Y88" s="2527" t="n"/>
      <c r="Z88" s="2527" t="n"/>
      <c r="AA88" s="2527" t="n"/>
      <c r="AB88" s="2527" t="n"/>
      <c r="AC88" s="2528" t="n"/>
      <c r="AD88" s="2529" t="inlineStr">
        <is>
          <t>FYE-1</t>
        </is>
      </c>
      <c r="AE88" s="2527" t="n"/>
      <c r="AF88" s="2527" t="n"/>
      <c r="AG88" s="2527" t="n"/>
      <c r="AH88" s="2527" t="n"/>
      <c r="AI88" s="2527" t="n"/>
      <c r="AJ88" s="2527" t="n"/>
      <c r="AK88" s="2528" t="n"/>
      <c r="AL88" s="2529" t="inlineStr">
        <is>
          <t>FYE</t>
        </is>
      </c>
      <c r="AM88" s="2527" t="n"/>
      <c r="AN88" s="2527" t="n"/>
      <c r="AO88" s="2527" t="n"/>
      <c r="AP88" s="2527" t="n"/>
      <c r="AQ88" s="2527" t="n"/>
      <c r="AR88" s="2527" t="n"/>
      <c r="AS88" s="2528" t="n"/>
    </row>
    <row r="89" ht="56.5" customHeight="1">
      <c r="C89" s="1169" t="n"/>
      <c r="D89" s="1170" t="n"/>
      <c r="E89" s="1170" t="n"/>
      <c r="F89" s="1174" t="inlineStr">
        <is>
          <t>Total Debt</t>
        </is>
      </c>
      <c r="G89" s="1170" t="inlineStr">
        <is>
          <t>Total Preferred Equity</t>
        </is>
      </c>
      <c r="H89" s="1170" t="inlineStr">
        <is>
          <t>Month End Stock Price</t>
        </is>
      </c>
      <c r="I89" s="1171" t="inlineStr">
        <is>
          <t>Total Shares Outstanding</t>
        </is>
      </c>
      <c r="J89" s="1171" t="inlineStr">
        <is>
          <t>Market Value of Common Equity</t>
        </is>
      </c>
      <c r="K89" s="1171" t="inlineStr">
        <is>
          <t>Total Capital</t>
        </is>
      </c>
      <c r="L89" s="1171" t="inlineStr">
        <is>
          <t>Book Value of Debt to Equity</t>
        </is>
      </c>
      <c r="M89" s="1173" t="inlineStr">
        <is>
          <t>Book Value of Debt to Capital (wd)</t>
        </is>
      </c>
      <c r="N89" s="1174" t="inlineStr">
        <is>
          <t>Total Debt</t>
        </is>
      </c>
      <c r="O89" s="1170" t="inlineStr">
        <is>
          <t>Total Preferred Equity</t>
        </is>
      </c>
      <c r="P89" s="1170" t="inlineStr">
        <is>
          <t>Month End Stock Price</t>
        </is>
      </c>
      <c r="Q89" s="1171" t="inlineStr">
        <is>
          <t>Total Shares Outstanding</t>
        </is>
      </c>
      <c r="R89" s="1171" t="inlineStr">
        <is>
          <t>Market Value of Common Equity</t>
        </is>
      </c>
      <c r="S89" s="1171" t="inlineStr">
        <is>
          <t>Total Capital</t>
        </is>
      </c>
      <c r="T89" s="1171" t="inlineStr">
        <is>
          <t>Book Value of Debt to Equity</t>
        </is>
      </c>
      <c r="U89" s="1173" t="inlineStr">
        <is>
          <t>Book Value of Debt to Capital (wd)</t>
        </is>
      </c>
      <c r="V89" s="1174" t="inlineStr">
        <is>
          <t>Total Debt</t>
        </is>
      </c>
      <c r="W89" s="1170" t="inlineStr">
        <is>
          <t>Total Preferred Equity</t>
        </is>
      </c>
      <c r="X89" s="1170" t="inlineStr">
        <is>
          <t>Month End Stock Price</t>
        </is>
      </c>
      <c r="Y89" s="1171" t="inlineStr">
        <is>
          <t>Total Shares Outstanding</t>
        </is>
      </c>
      <c r="Z89" s="1171" t="inlineStr">
        <is>
          <t>Market Value of Common Equity</t>
        </is>
      </c>
      <c r="AA89" s="1171" t="inlineStr">
        <is>
          <t>Total Capital</t>
        </is>
      </c>
      <c r="AB89" s="1171" t="inlineStr">
        <is>
          <t>Book Value of Debt to Equity</t>
        </is>
      </c>
      <c r="AC89" s="1173" t="inlineStr">
        <is>
          <t>Book Value of Debt to Capital (wd)</t>
        </is>
      </c>
      <c r="AD89" s="1174" t="inlineStr">
        <is>
          <t>Total Debt</t>
        </is>
      </c>
      <c r="AE89" s="1170" t="inlineStr">
        <is>
          <t>Total Preferred Equity</t>
        </is>
      </c>
      <c r="AF89" s="1170" t="inlineStr">
        <is>
          <t>Month End Stock Price</t>
        </is>
      </c>
      <c r="AG89" s="1171" t="inlineStr">
        <is>
          <t>Total Shares Outstanding</t>
        </is>
      </c>
      <c r="AH89" s="1171" t="inlineStr">
        <is>
          <t>Market Value of Common Equity</t>
        </is>
      </c>
      <c r="AI89" s="1171" t="inlineStr">
        <is>
          <t>Total Capital</t>
        </is>
      </c>
      <c r="AJ89" s="1171" t="inlineStr">
        <is>
          <t>Book Value of Debt to Equity</t>
        </is>
      </c>
      <c r="AK89" s="1173" t="inlineStr">
        <is>
          <t>Book Value of Debt to Capital (wd)</t>
        </is>
      </c>
      <c r="AL89" s="1174" t="inlineStr">
        <is>
          <t>Total Debt</t>
        </is>
      </c>
      <c r="AM89" s="1170" t="inlineStr">
        <is>
          <t>Total Preferred Equity</t>
        </is>
      </c>
      <c r="AN89" s="1170" t="inlineStr">
        <is>
          <t>Month End Stock Price</t>
        </is>
      </c>
      <c r="AO89" s="1171" t="inlineStr">
        <is>
          <t>Total Shares Outstanding</t>
        </is>
      </c>
      <c r="AP89" s="1171" t="inlineStr">
        <is>
          <t>Market Value of Common Equity</t>
        </is>
      </c>
      <c r="AQ89" s="1171" t="inlineStr">
        <is>
          <t>Total Capital</t>
        </is>
      </c>
      <c r="AR89" s="1171" t="inlineStr">
        <is>
          <t>Book Value of Debt to Equity</t>
        </is>
      </c>
      <c r="AS89" s="1173" t="inlineStr">
        <is>
          <t>Book Value of Debt to Capital (wd)</t>
        </is>
      </c>
    </row>
    <row r="90">
      <c r="C90" s="1163" t="n">
        <v>1</v>
      </c>
      <c r="D90" s="1164" t="n"/>
      <c r="E90" s="1164" t="inlineStr">
        <is>
          <t>Comp 1</t>
        </is>
      </c>
      <c r="F90" s="1175" t="n"/>
      <c r="G90" s="1164" t="n"/>
      <c r="H90" s="1164" t="n"/>
      <c r="I90" s="1164" t="n"/>
      <c r="J90" s="1164" t="n"/>
      <c r="K90" s="1164" t="n"/>
      <c r="L90" s="1164" t="n"/>
      <c r="M90" s="1165" t="n"/>
      <c r="N90" s="1175" t="n"/>
      <c r="O90" s="1164" t="n"/>
      <c r="P90" s="1164" t="n"/>
      <c r="Q90" s="1164" t="n"/>
      <c r="R90" s="1164" t="n"/>
      <c r="S90" s="1164" t="n"/>
      <c r="T90" s="1164" t="n"/>
      <c r="U90" s="1165" t="n"/>
      <c r="V90" s="1175" t="n"/>
      <c r="W90" s="1164" t="n"/>
      <c r="X90" s="1164" t="n"/>
      <c r="Y90" s="1164" t="n"/>
      <c r="Z90" s="1164" t="n"/>
      <c r="AA90" s="1164" t="n"/>
      <c r="AB90" s="1164" t="n"/>
      <c r="AC90" s="1165" t="n"/>
      <c r="AD90" s="1175" t="n"/>
      <c r="AE90" s="1164" t="n"/>
      <c r="AF90" s="1164" t="n"/>
      <c r="AG90" s="1164" t="n"/>
      <c r="AH90" s="1164" t="n"/>
      <c r="AI90" s="1164" t="n"/>
      <c r="AJ90" s="1164" t="n"/>
      <c r="AK90" s="1165" t="n"/>
      <c r="AL90" s="1175" t="n"/>
      <c r="AM90" s="1164" t="n"/>
      <c r="AN90" s="1164" t="n"/>
      <c r="AO90" s="1164" t="n"/>
      <c r="AP90" s="1164" t="n"/>
      <c r="AQ90" s="1164" t="n"/>
      <c r="AR90" s="1164" t="n"/>
      <c r="AS90" s="1165" t="n"/>
    </row>
    <row r="91">
      <c r="C91" s="1163">
        <f>C90+1</f>
        <v/>
      </c>
      <c r="D91" s="1164" t="n"/>
      <c r="E91" s="1164" t="inlineStr">
        <is>
          <t>Comp 2</t>
        </is>
      </c>
      <c r="F91" s="1175" t="n"/>
      <c r="G91" s="1164" t="n"/>
      <c r="H91" s="1164" t="n"/>
      <c r="I91" s="1164" t="n"/>
      <c r="J91" s="1164" t="n"/>
      <c r="K91" s="1164" t="n"/>
      <c r="L91" s="1164" t="n"/>
      <c r="M91" s="1165" t="n"/>
      <c r="N91" s="1175" t="n"/>
      <c r="O91" s="1164" t="n"/>
      <c r="P91" s="1164" t="n"/>
      <c r="Q91" s="1164" t="n"/>
      <c r="R91" s="1164" t="n"/>
      <c r="S91" s="1164" t="n"/>
      <c r="T91" s="1164" t="n"/>
      <c r="U91" s="1165" t="n"/>
      <c r="V91" s="1175" t="n"/>
      <c r="W91" s="1164" t="n"/>
      <c r="X91" s="1164" t="n"/>
      <c r="Y91" s="1164" t="n"/>
      <c r="Z91" s="1164" t="n"/>
      <c r="AA91" s="1164" t="n"/>
      <c r="AB91" s="1164" t="n"/>
      <c r="AC91" s="1165" t="n"/>
      <c r="AD91" s="1175" t="n"/>
      <c r="AE91" s="1164" t="n"/>
      <c r="AF91" s="1164" t="n"/>
      <c r="AG91" s="1164" t="n"/>
      <c r="AH91" s="1164" t="n"/>
      <c r="AI91" s="1164" t="n"/>
      <c r="AJ91" s="1164" t="n"/>
      <c r="AK91" s="1165" t="n"/>
      <c r="AL91" s="1175" t="n"/>
      <c r="AM91" s="1164" t="n"/>
      <c r="AN91" s="1164" t="n"/>
      <c r="AO91" s="1164" t="n"/>
      <c r="AP91" s="1164" t="n"/>
      <c r="AQ91" s="1164" t="n"/>
      <c r="AR91" s="1164" t="n"/>
      <c r="AS91" s="1165" t="n"/>
    </row>
    <row r="92">
      <c r="C92" s="1163">
        <f>C91+1</f>
        <v/>
      </c>
      <c r="D92" s="1164" t="n"/>
      <c r="E92" s="1164" t="inlineStr">
        <is>
          <t>Comp 3</t>
        </is>
      </c>
      <c r="F92" s="1175" t="n"/>
      <c r="G92" s="1164" t="n"/>
      <c r="H92" s="1164" t="n"/>
      <c r="I92" s="1164" t="n"/>
      <c r="J92" s="1164" t="n"/>
      <c r="K92" s="1164" t="n"/>
      <c r="L92" s="1164" t="n"/>
      <c r="M92" s="1165" t="n"/>
      <c r="N92" s="1175" t="n"/>
      <c r="O92" s="1164" t="n"/>
      <c r="P92" s="1164" t="n"/>
      <c r="Q92" s="1164" t="n"/>
      <c r="R92" s="1164" t="n"/>
      <c r="S92" s="1164" t="n"/>
      <c r="T92" s="1164" t="n"/>
      <c r="U92" s="1165" t="n"/>
      <c r="V92" s="1175" t="n"/>
      <c r="W92" s="1164" t="n"/>
      <c r="X92" s="1164" t="n"/>
      <c r="Y92" s="1164" t="n"/>
      <c r="Z92" s="1164" t="n"/>
      <c r="AA92" s="1164" t="n"/>
      <c r="AB92" s="1164" t="n"/>
      <c r="AC92" s="1165" t="n"/>
      <c r="AD92" s="1175" t="n"/>
      <c r="AE92" s="1164" t="n"/>
      <c r="AF92" s="1164" t="n"/>
      <c r="AG92" s="1164" t="n"/>
      <c r="AH92" s="1164" t="n"/>
      <c r="AI92" s="1164" t="n"/>
      <c r="AJ92" s="1164" t="n"/>
      <c r="AK92" s="1165" t="n"/>
      <c r="AL92" s="1175" t="n"/>
      <c r="AM92" s="1164" t="n"/>
      <c r="AN92" s="1164" t="n"/>
      <c r="AO92" s="1164" t="n"/>
      <c r="AP92" s="1164" t="n"/>
      <c r="AQ92" s="1164" t="n"/>
      <c r="AR92" s="1164" t="n"/>
      <c r="AS92" s="1165" t="n"/>
    </row>
    <row r="93">
      <c r="C93" s="1163">
        <f>C92+1</f>
        <v/>
      </c>
      <c r="D93" s="1164" t="n"/>
      <c r="E93" s="1164" t="inlineStr">
        <is>
          <t>Comp 4</t>
        </is>
      </c>
      <c r="F93" s="1175" t="n"/>
      <c r="G93" s="1164" t="n"/>
      <c r="H93" s="1164" t="n"/>
      <c r="I93" s="1164" t="n"/>
      <c r="J93" s="1164" t="n"/>
      <c r="K93" s="1164" t="n"/>
      <c r="L93" s="1164" t="n"/>
      <c r="M93" s="1165" t="n"/>
      <c r="N93" s="1175" t="n"/>
      <c r="O93" s="1164" t="n"/>
      <c r="P93" s="1164" t="n"/>
      <c r="Q93" s="1164" t="n"/>
      <c r="R93" s="1164" t="n"/>
      <c r="S93" s="1164" t="n"/>
      <c r="T93" s="1164" t="n"/>
      <c r="U93" s="1165" t="n"/>
      <c r="V93" s="1175" t="n"/>
      <c r="W93" s="1164" t="n"/>
      <c r="X93" s="1164" t="n"/>
      <c r="Y93" s="1164" t="n"/>
      <c r="Z93" s="1164" t="n"/>
      <c r="AA93" s="1164" t="n"/>
      <c r="AB93" s="1164" t="n"/>
      <c r="AC93" s="1165" t="n"/>
      <c r="AD93" s="1175" t="n"/>
      <c r="AE93" s="1164" t="n"/>
      <c r="AF93" s="1164" t="n"/>
      <c r="AG93" s="1164" t="n"/>
      <c r="AH93" s="1164" t="n"/>
      <c r="AI93" s="1164" t="n"/>
      <c r="AJ93" s="1164" t="n"/>
      <c r="AK93" s="1165" t="n"/>
      <c r="AL93" s="1175" t="n"/>
      <c r="AM93" s="1164" t="n"/>
      <c r="AN93" s="1164" t="n"/>
      <c r="AO93" s="1164" t="n"/>
      <c r="AP93" s="1164" t="n"/>
      <c r="AQ93" s="1164" t="n"/>
      <c r="AR93" s="1164" t="n"/>
      <c r="AS93" s="1165" t="n"/>
    </row>
    <row r="94">
      <c r="C94" s="1163">
        <f>C93+1</f>
        <v/>
      </c>
      <c r="D94" s="1164" t="n"/>
      <c r="E94" s="1164" t="inlineStr">
        <is>
          <t>Comp 5</t>
        </is>
      </c>
      <c r="F94" s="1175" t="n"/>
      <c r="G94" s="1164" t="n"/>
      <c r="H94" s="1164" t="n"/>
      <c r="I94" s="1164" t="n"/>
      <c r="J94" s="1164" t="n"/>
      <c r="K94" s="1164" t="n"/>
      <c r="L94" s="1164" t="n"/>
      <c r="M94" s="1165" t="n"/>
      <c r="N94" s="1175" t="n"/>
      <c r="O94" s="1164" t="n"/>
      <c r="P94" s="1164" t="n"/>
      <c r="Q94" s="1164" t="n"/>
      <c r="R94" s="1164" t="n"/>
      <c r="S94" s="1164" t="n"/>
      <c r="T94" s="1164" t="n"/>
      <c r="U94" s="1165" t="n"/>
      <c r="V94" s="1175" t="n"/>
      <c r="W94" s="1164" t="n"/>
      <c r="X94" s="1164" t="n"/>
      <c r="Y94" s="1164" t="n"/>
      <c r="Z94" s="1164" t="n"/>
      <c r="AA94" s="1164" t="n"/>
      <c r="AB94" s="1164" t="n"/>
      <c r="AC94" s="1165" t="n"/>
      <c r="AD94" s="1175" t="n"/>
      <c r="AE94" s="1164" t="n"/>
      <c r="AF94" s="1164" t="n"/>
      <c r="AG94" s="1164" t="n"/>
      <c r="AH94" s="1164" t="n"/>
      <c r="AI94" s="1164" t="n"/>
      <c r="AJ94" s="1164" t="n"/>
      <c r="AK94" s="1165" t="n"/>
      <c r="AL94" s="1175" t="n"/>
      <c r="AM94" s="1164" t="n"/>
      <c r="AN94" s="1164" t="n"/>
      <c r="AO94" s="1164" t="n"/>
      <c r="AP94" s="1164" t="n"/>
      <c r="AQ94" s="1164" t="n"/>
      <c r="AR94" s="1164" t="n"/>
      <c r="AS94" s="1165" t="n"/>
    </row>
    <row r="95">
      <c r="C95" s="1163">
        <f>C94+1</f>
        <v/>
      </c>
      <c r="D95" s="1164" t="n"/>
      <c r="E95" s="1164" t="inlineStr">
        <is>
          <t>Comp 6</t>
        </is>
      </c>
      <c r="F95" s="1175" t="n"/>
      <c r="G95" s="1164" t="n"/>
      <c r="H95" s="1164" t="n"/>
      <c r="I95" s="1164" t="n"/>
      <c r="J95" s="1164" t="n"/>
      <c r="K95" s="1164" t="n"/>
      <c r="L95" s="1164" t="n"/>
      <c r="M95" s="1165" t="n"/>
      <c r="N95" s="1175" t="n"/>
      <c r="O95" s="1164" t="n"/>
      <c r="P95" s="1164" t="n"/>
      <c r="Q95" s="1164" t="n"/>
      <c r="R95" s="1164" t="n"/>
      <c r="S95" s="1164" t="n"/>
      <c r="T95" s="1164" t="n"/>
      <c r="U95" s="1165" t="n"/>
      <c r="V95" s="1175" t="n"/>
      <c r="W95" s="1164" t="n"/>
      <c r="X95" s="1164" t="n"/>
      <c r="Y95" s="1164" t="n"/>
      <c r="Z95" s="1164" t="n"/>
      <c r="AA95" s="1164" t="n"/>
      <c r="AB95" s="1164" t="n"/>
      <c r="AC95" s="1165" t="n"/>
      <c r="AD95" s="1175" t="n"/>
      <c r="AE95" s="1164" t="n"/>
      <c r="AF95" s="1164" t="n"/>
      <c r="AG95" s="1164" t="n"/>
      <c r="AH95" s="1164" t="n"/>
      <c r="AI95" s="1164" t="n"/>
      <c r="AJ95" s="1164" t="n"/>
      <c r="AK95" s="1165" t="n"/>
      <c r="AL95" s="1175" t="n"/>
      <c r="AM95" s="1164" t="n"/>
      <c r="AN95" s="1164" t="n"/>
      <c r="AO95" s="1164" t="n"/>
      <c r="AP95" s="1164" t="n"/>
      <c r="AQ95" s="1164" t="n"/>
      <c r="AR95" s="1164" t="n"/>
      <c r="AS95" s="1165" t="n"/>
    </row>
    <row r="96">
      <c r="C96" s="1163">
        <f>C95+1</f>
        <v/>
      </c>
      <c r="D96" s="1164" t="n"/>
      <c r="E96" s="1164" t="inlineStr">
        <is>
          <t>Comp 7</t>
        </is>
      </c>
      <c r="F96" s="1175" t="n"/>
      <c r="G96" s="1164" t="n"/>
      <c r="H96" s="1164" t="n"/>
      <c r="I96" s="1164" t="n"/>
      <c r="J96" s="1164" t="n"/>
      <c r="K96" s="1164" t="n"/>
      <c r="L96" s="1164" t="n"/>
      <c r="M96" s="1165" t="n"/>
      <c r="N96" s="1175" t="n"/>
      <c r="O96" s="1164" t="n"/>
      <c r="P96" s="1164" t="n"/>
      <c r="Q96" s="1164" t="n"/>
      <c r="R96" s="1164" t="n"/>
      <c r="S96" s="1164" t="n"/>
      <c r="T96" s="1164" t="n"/>
      <c r="U96" s="1165" t="n"/>
      <c r="V96" s="1175" t="n"/>
      <c r="W96" s="1164" t="n"/>
      <c r="X96" s="1164" t="n"/>
      <c r="Y96" s="1164" t="n"/>
      <c r="Z96" s="1164" t="n"/>
      <c r="AA96" s="1164" t="n"/>
      <c r="AB96" s="1164" t="n"/>
      <c r="AC96" s="1165" t="n"/>
      <c r="AD96" s="1175" t="n"/>
      <c r="AE96" s="1164" t="n"/>
      <c r="AF96" s="1164" t="n"/>
      <c r="AG96" s="1164" t="n"/>
      <c r="AH96" s="1164" t="n"/>
      <c r="AI96" s="1164" t="n"/>
      <c r="AJ96" s="1164" t="n"/>
      <c r="AK96" s="1165" t="n"/>
      <c r="AL96" s="1175" t="n"/>
      <c r="AM96" s="1164" t="n"/>
      <c r="AN96" s="1164" t="n"/>
      <c r="AO96" s="1164" t="n"/>
      <c r="AP96" s="1164" t="n"/>
      <c r="AQ96" s="1164" t="n"/>
      <c r="AR96" s="1164" t="n"/>
      <c r="AS96" s="1165" t="n"/>
    </row>
    <row r="97">
      <c r="C97" s="1163">
        <f>C96+1</f>
        <v/>
      </c>
      <c r="D97" s="1164" t="n"/>
      <c r="E97" s="1164" t="inlineStr">
        <is>
          <t>Comp 8</t>
        </is>
      </c>
      <c r="F97" s="1175" t="n"/>
      <c r="G97" s="1164" t="n"/>
      <c r="H97" s="1164" t="n"/>
      <c r="I97" s="1164" t="n"/>
      <c r="J97" s="1164" t="n"/>
      <c r="K97" s="1164" t="n"/>
      <c r="L97" s="1164" t="n"/>
      <c r="M97" s="1165" t="n"/>
      <c r="N97" s="1175" t="n"/>
      <c r="O97" s="1164" t="n"/>
      <c r="P97" s="1164" t="n"/>
      <c r="Q97" s="1164" t="n"/>
      <c r="R97" s="1164" t="n"/>
      <c r="S97" s="1164" t="n"/>
      <c r="T97" s="1164" t="n"/>
      <c r="U97" s="1165" t="n"/>
      <c r="V97" s="1175" t="n"/>
      <c r="W97" s="1164" t="n"/>
      <c r="X97" s="1164" t="n"/>
      <c r="Y97" s="1164" t="n"/>
      <c r="Z97" s="1164" t="n"/>
      <c r="AA97" s="1164" t="n"/>
      <c r="AB97" s="1164" t="n"/>
      <c r="AC97" s="1165" t="n"/>
      <c r="AD97" s="1175" t="n"/>
      <c r="AE97" s="1164" t="n"/>
      <c r="AF97" s="1164" t="n"/>
      <c r="AG97" s="1164" t="n"/>
      <c r="AH97" s="1164" t="n"/>
      <c r="AI97" s="1164" t="n"/>
      <c r="AJ97" s="1164" t="n"/>
      <c r="AK97" s="1165" t="n"/>
      <c r="AL97" s="1175" t="n"/>
      <c r="AM97" s="1164" t="n"/>
      <c r="AN97" s="1164" t="n"/>
      <c r="AO97" s="1164" t="n"/>
      <c r="AP97" s="1164" t="n"/>
      <c r="AQ97" s="1164" t="n"/>
      <c r="AR97" s="1164" t="n"/>
      <c r="AS97" s="1165" t="n"/>
    </row>
    <row r="98">
      <c r="C98" s="1163">
        <f>C97+1</f>
        <v/>
      </c>
      <c r="D98" s="1164" t="n"/>
      <c r="E98" s="1164" t="inlineStr">
        <is>
          <t>Comp 9</t>
        </is>
      </c>
      <c r="F98" s="1175" t="n"/>
      <c r="G98" s="1164" t="n"/>
      <c r="H98" s="1164" t="n"/>
      <c r="I98" s="1164" t="n"/>
      <c r="J98" s="1164" t="n"/>
      <c r="K98" s="1164" t="n"/>
      <c r="L98" s="1164" t="n"/>
      <c r="M98" s="1165" t="n"/>
      <c r="N98" s="1175" t="n"/>
      <c r="O98" s="1164" t="n"/>
      <c r="P98" s="1164" t="n"/>
      <c r="Q98" s="1164" t="n"/>
      <c r="R98" s="1164" t="n"/>
      <c r="S98" s="1164" t="n"/>
      <c r="T98" s="1164" t="n"/>
      <c r="U98" s="1165" t="n"/>
      <c r="V98" s="1175" t="n"/>
      <c r="W98" s="1164" t="n"/>
      <c r="X98" s="1164" t="n"/>
      <c r="Y98" s="1164" t="n"/>
      <c r="Z98" s="1164" t="n"/>
      <c r="AA98" s="1164" t="n"/>
      <c r="AB98" s="1164" t="n"/>
      <c r="AC98" s="1165" t="n"/>
      <c r="AD98" s="1175" t="n"/>
      <c r="AE98" s="1164" t="n"/>
      <c r="AF98" s="1164" t="n"/>
      <c r="AG98" s="1164" t="n"/>
      <c r="AH98" s="1164" t="n"/>
      <c r="AI98" s="1164" t="n"/>
      <c r="AJ98" s="1164" t="n"/>
      <c r="AK98" s="1165" t="n"/>
      <c r="AL98" s="1175" t="n"/>
      <c r="AM98" s="1164" t="n"/>
      <c r="AN98" s="1164" t="n"/>
      <c r="AO98" s="1164" t="n"/>
      <c r="AP98" s="1164" t="n"/>
      <c r="AQ98" s="1164" t="n"/>
      <c r="AR98" s="1164" t="n"/>
      <c r="AS98" s="1165" t="n"/>
    </row>
    <row r="99">
      <c r="C99" s="1163">
        <f>C98+1</f>
        <v/>
      </c>
      <c r="D99" s="1164" t="n"/>
      <c r="E99" s="1164" t="inlineStr">
        <is>
          <t>Comp 10</t>
        </is>
      </c>
      <c r="F99" s="1175" t="n"/>
      <c r="G99" s="1164" t="n"/>
      <c r="H99" s="1164" t="n"/>
      <c r="I99" s="1164" t="n"/>
      <c r="J99" s="1164" t="n"/>
      <c r="K99" s="1164" t="n"/>
      <c r="L99" s="1164" t="n"/>
      <c r="M99" s="1165" t="n"/>
      <c r="N99" s="1175" t="n"/>
      <c r="O99" s="1164" t="n"/>
      <c r="P99" s="1164" t="n"/>
      <c r="Q99" s="1164" t="n"/>
      <c r="R99" s="1164" t="n"/>
      <c r="S99" s="1164" t="n"/>
      <c r="T99" s="1164" t="n"/>
      <c r="U99" s="1165" t="n"/>
      <c r="V99" s="1175" t="n"/>
      <c r="W99" s="1164" t="n"/>
      <c r="X99" s="1164" t="n"/>
      <c r="Y99" s="1164" t="n"/>
      <c r="Z99" s="1164" t="n"/>
      <c r="AA99" s="1164" t="n"/>
      <c r="AB99" s="1164" t="n"/>
      <c r="AC99" s="1165" t="n"/>
      <c r="AD99" s="1175" t="n"/>
      <c r="AE99" s="1164" t="n"/>
      <c r="AF99" s="1164" t="n"/>
      <c r="AG99" s="1164" t="n"/>
      <c r="AH99" s="1164" t="n"/>
      <c r="AI99" s="1164" t="n"/>
      <c r="AJ99" s="1164" t="n"/>
      <c r="AK99" s="1165" t="n"/>
      <c r="AL99" s="1175" t="n"/>
      <c r="AM99" s="1164" t="n"/>
      <c r="AN99" s="1164" t="n"/>
      <c r="AO99" s="1164" t="n"/>
      <c r="AP99" s="1164" t="n"/>
      <c r="AQ99" s="1164" t="n"/>
      <c r="AR99" s="1164" t="n"/>
      <c r="AS99" s="1165" t="n"/>
    </row>
    <row r="100">
      <c r="C100" s="1163">
        <f>C99+1</f>
        <v/>
      </c>
      <c r="D100" s="1164" t="n"/>
      <c r="E100" s="1164" t="inlineStr">
        <is>
          <t>Comp 11</t>
        </is>
      </c>
      <c r="F100" s="1175" t="n"/>
      <c r="G100" s="1164" t="n"/>
      <c r="H100" s="1164" t="n"/>
      <c r="I100" s="1164" t="n"/>
      <c r="J100" s="1164" t="n"/>
      <c r="K100" s="1164" t="n"/>
      <c r="L100" s="1164" t="n"/>
      <c r="M100" s="1165" t="n"/>
      <c r="N100" s="1175" t="n"/>
      <c r="O100" s="1164" t="n"/>
      <c r="P100" s="1164" t="n"/>
      <c r="Q100" s="1164" t="n"/>
      <c r="R100" s="1164" t="n"/>
      <c r="S100" s="1164" t="n"/>
      <c r="T100" s="1164" t="n"/>
      <c r="U100" s="1165" t="n"/>
      <c r="V100" s="1175" t="n"/>
      <c r="W100" s="1164" t="n"/>
      <c r="X100" s="1164" t="n"/>
      <c r="Y100" s="1164" t="n"/>
      <c r="Z100" s="1164" t="n"/>
      <c r="AA100" s="1164" t="n"/>
      <c r="AB100" s="1164" t="n"/>
      <c r="AC100" s="1165" t="n"/>
      <c r="AD100" s="1175" t="n"/>
      <c r="AE100" s="1164" t="n"/>
      <c r="AF100" s="1164" t="n"/>
      <c r="AG100" s="1164" t="n"/>
      <c r="AH100" s="1164" t="n"/>
      <c r="AI100" s="1164" t="n"/>
      <c r="AJ100" s="1164" t="n"/>
      <c r="AK100" s="1165" t="n"/>
      <c r="AL100" s="1175" t="n"/>
      <c r="AM100" s="1164" t="n"/>
      <c r="AN100" s="1164" t="n"/>
      <c r="AO100" s="1164" t="n"/>
      <c r="AP100" s="1164" t="n"/>
      <c r="AQ100" s="1164" t="n"/>
      <c r="AR100" s="1164" t="n"/>
      <c r="AS100" s="1165" t="n"/>
    </row>
    <row r="101">
      <c r="C101" s="1163">
        <f>C100+1</f>
        <v/>
      </c>
      <c r="D101" s="1164" t="n"/>
      <c r="E101" s="1164" t="inlineStr">
        <is>
          <t>Comp 12</t>
        </is>
      </c>
      <c r="F101" s="1175" t="n"/>
      <c r="G101" s="1164" t="n"/>
      <c r="H101" s="1164" t="n"/>
      <c r="I101" s="1164" t="n"/>
      <c r="J101" s="1164" t="n"/>
      <c r="K101" s="1164" t="n"/>
      <c r="L101" s="1164" t="n"/>
      <c r="M101" s="1165" t="n"/>
      <c r="N101" s="1175" t="n"/>
      <c r="O101" s="1164" t="n"/>
      <c r="P101" s="1164" t="n"/>
      <c r="Q101" s="1164" t="n"/>
      <c r="R101" s="1164" t="n"/>
      <c r="S101" s="1164" t="n"/>
      <c r="T101" s="1164" t="n"/>
      <c r="U101" s="1165" t="n"/>
      <c r="V101" s="1175" t="n"/>
      <c r="W101" s="1164" t="n"/>
      <c r="X101" s="1164" t="n"/>
      <c r="Y101" s="1164" t="n"/>
      <c r="Z101" s="1164" t="n"/>
      <c r="AA101" s="1164" t="n"/>
      <c r="AB101" s="1164" t="n"/>
      <c r="AC101" s="1165" t="n"/>
      <c r="AD101" s="1175" t="n"/>
      <c r="AE101" s="1164" t="n"/>
      <c r="AF101" s="1164" t="n"/>
      <c r="AG101" s="1164" t="n"/>
      <c r="AH101" s="1164" t="n"/>
      <c r="AI101" s="1164" t="n"/>
      <c r="AJ101" s="1164" t="n"/>
      <c r="AK101" s="1165" t="n"/>
      <c r="AL101" s="1175" t="n"/>
      <c r="AM101" s="1164" t="n"/>
      <c r="AN101" s="1164" t="n"/>
      <c r="AO101" s="1164" t="n"/>
      <c r="AP101" s="1164" t="n"/>
      <c r="AQ101" s="1164" t="n"/>
      <c r="AR101" s="1164" t="n"/>
      <c r="AS101" s="1165" t="n"/>
    </row>
    <row r="102">
      <c r="C102" s="1163">
        <f>C101+1</f>
        <v/>
      </c>
      <c r="D102" s="1164" t="n"/>
      <c r="E102" s="1164" t="inlineStr">
        <is>
          <t>Comp 13</t>
        </is>
      </c>
      <c r="F102" s="1175" t="n"/>
      <c r="G102" s="1164" t="n"/>
      <c r="H102" s="1164" t="n"/>
      <c r="I102" s="1164" t="n"/>
      <c r="J102" s="1164" t="n"/>
      <c r="K102" s="1164" t="n"/>
      <c r="L102" s="1164" t="n"/>
      <c r="M102" s="1165" t="n"/>
      <c r="N102" s="1175" t="n"/>
      <c r="O102" s="1164" t="n"/>
      <c r="P102" s="1164" t="n"/>
      <c r="Q102" s="1164" t="n"/>
      <c r="R102" s="1164" t="n"/>
      <c r="S102" s="1164" t="n"/>
      <c r="T102" s="1164" t="n"/>
      <c r="U102" s="1165" t="n"/>
      <c r="V102" s="1175" t="n"/>
      <c r="W102" s="1164" t="n"/>
      <c r="X102" s="1164" t="n"/>
      <c r="Y102" s="1164" t="n"/>
      <c r="Z102" s="1164" t="n"/>
      <c r="AA102" s="1164" t="n"/>
      <c r="AB102" s="1164" t="n"/>
      <c r="AC102" s="1165" t="n"/>
      <c r="AD102" s="1175" t="n"/>
      <c r="AE102" s="1164" t="n"/>
      <c r="AF102" s="1164" t="n"/>
      <c r="AG102" s="1164" t="n"/>
      <c r="AH102" s="1164" t="n"/>
      <c r="AI102" s="1164" t="n"/>
      <c r="AJ102" s="1164" t="n"/>
      <c r="AK102" s="1165" t="n"/>
      <c r="AL102" s="1175" t="n"/>
      <c r="AM102" s="1164" t="n"/>
      <c r="AN102" s="1164" t="n"/>
      <c r="AO102" s="1164" t="n"/>
      <c r="AP102" s="1164" t="n"/>
      <c r="AQ102" s="1164" t="n"/>
      <c r="AR102" s="1164" t="n"/>
      <c r="AS102" s="1165" t="n"/>
    </row>
    <row r="103">
      <c r="C103" s="1163">
        <f>C102+1</f>
        <v/>
      </c>
      <c r="D103" s="1164" t="n"/>
      <c r="E103" s="1164" t="inlineStr">
        <is>
          <t>Comp 14</t>
        </is>
      </c>
      <c r="F103" s="1175" t="n"/>
      <c r="G103" s="1164" t="n"/>
      <c r="H103" s="1164" t="n"/>
      <c r="I103" s="1164" t="n"/>
      <c r="J103" s="1164" t="n"/>
      <c r="K103" s="1164" t="n"/>
      <c r="L103" s="1164" t="n"/>
      <c r="M103" s="1165" t="n"/>
      <c r="N103" s="1175" t="n"/>
      <c r="O103" s="1164" t="n"/>
      <c r="P103" s="1164" t="n"/>
      <c r="Q103" s="1164" t="n"/>
      <c r="R103" s="1164" t="n"/>
      <c r="S103" s="1164" t="n"/>
      <c r="T103" s="1164" t="n"/>
      <c r="U103" s="1165" t="n"/>
      <c r="V103" s="1175" t="n"/>
      <c r="W103" s="1164" t="n"/>
      <c r="X103" s="1164" t="n"/>
      <c r="Y103" s="1164" t="n"/>
      <c r="Z103" s="1164" t="n"/>
      <c r="AA103" s="1164" t="n"/>
      <c r="AB103" s="1164" t="n"/>
      <c r="AC103" s="1165" t="n"/>
      <c r="AD103" s="1175" t="n"/>
      <c r="AE103" s="1164" t="n"/>
      <c r="AF103" s="1164" t="n"/>
      <c r="AG103" s="1164" t="n"/>
      <c r="AH103" s="1164" t="n"/>
      <c r="AI103" s="1164" t="n"/>
      <c r="AJ103" s="1164" t="n"/>
      <c r="AK103" s="1165" t="n"/>
      <c r="AL103" s="1175" t="n"/>
      <c r="AM103" s="1164" t="n"/>
      <c r="AN103" s="1164" t="n"/>
      <c r="AO103" s="1164" t="n"/>
      <c r="AP103" s="1164" t="n"/>
      <c r="AQ103" s="1164" t="n"/>
      <c r="AR103" s="1164" t="n"/>
      <c r="AS103" s="1165" t="n"/>
    </row>
    <row r="104">
      <c r="C104" s="1163">
        <f>C103+1</f>
        <v/>
      </c>
      <c r="D104" s="1164" t="n"/>
      <c r="E104" s="1164" t="inlineStr">
        <is>
          <t>Comp 15</t>
        </is>
      </c>
      <c r="F104" s="1175" t="n"/>
      <c r="G104" s="1164" t="n"/>
      <c r="H104" s="1164" t="n"/>
      <c r="I104" s="1164" t="n"/>
      <c r="J104" s="1164" t="n"/>
      <c r="K104" s="1164" t="n"/>
      <c r="L104" s="1164" t="n"/>
      <c r="M104" s="1165" t="n"/>
      <c r="N104" s="1175" t="n"/>
      <c r="O104" s="1164" t="n"/>
      <c r="P104" s="1164" t="n"/>
      <c r="Q104" s="1164" t="n"/>
      <c r="R104" s="1164" t="n"/>
      <c r="S104" s="1164" t="n"/>
      <c r="T104" s="1164" t="n"/>
      <c r="U104" s="1165" t="n"/>
      <c r="V104" s="1175" t="n"/>
      <c r="W104" s="1164" t="n"/>
      <c r="X104" s="1164" t="n"/>
      <c r="Y104" s="1164" t="n"/>
      <c r="Z104" s="1164" t="n"/>
      <c r="AA104" s="1164" t="n"/>
      <c r="AB104" s="1164" t="n"/>
      <c r="AC104" s="1165" t="n"/>
      <c r="AD104" s="1175" t="n"/>
      <c r="AE104" s="1164" t="n"/>
      <c r="AF104" s="1164" t="n"/>
      <c r="AG104" s="1164" t="n"/>
      <c r="AH104" s="1164" t="n"/>
      <c r="AI104" s="1164" t="n"/>
      <c r="AJ104" s="1164" t="n"/>
      <c r="AK104" s="1165" t="n"/>
      <c r="AL104" s="1175" t="n"/>
      <c r="AM104" s="1164" t="n"/>
      <c r="AN104" s="1164" t="n"/>
      <c r="AO104" s="1164" t="n"/>
      <c r="AP104" s="1164" t="n"/>
      <c r="AQ104" s="1164" t="n"/>
      <c r="AR104" s="1164" t="n"/>
      <c r="AS104" s="1165" t="n"/>
    </row>
    <row r="105">
      <c r="C105" s="1163">
        <f>C104+1</f>
        <v/>
      </c>
      <c r="D105" s="1164" t="n"/>
      <c r="E105" s="1164" t="inlineStr">
        <is>
          <t>Comp 16</t>
        </is>
      </c>
      <c r="F105" s="1175" t="n"/>
      <c r="G105" s="1164" t="n"/>
      <c r="H105" s="1164" t="n"/>
      <c r="I105" s="1164" t="n"/>
      <c r="J105" s="1164" t="n"/>
      <c r="K105" s="1164" t="n"/>
      <c r="L105" s="1164" t="n"/>
      <c r="M105" s="1165" t="n"/>
      <c r="N105" s="1175" t="n"/>
      <c r="O105" s="1164" t="n"/>
      <c r="P105" s="1164" t="n"/>
      <c r="Q105" s="1164" t="n"/>
      <c r="R105" s="1164" t="n"/>
      <c r="S105" s="1164" t="n"/>
      <c r="T105" s="1164" t="n"/>
      <c r="U105" s="1165" t="n"/>
      <c r="V105" s="1175" t="n"/>
      <c r="W105" s="1164" t="n"/>
      <c r="X105" s="1164" t="n"/>
      <c r="Y105" s="1164" t="n"/>
      <c r="Z105" s="1164" t="n"/>
      <c r="AA105" s="1164" t="n"/>
      <c r="AB105" s="1164" t="n"/>
      <c r="AC105" s="1165" t="n"/>
      <c r="AD105" s="1175" t="n"/>
      <c r="AE105" s="1164" t="n"/>
      <c r="AF105" s="1164" t="n"/>
      <c r="AG105" s="1164" t="n"/>
      <c r="AH105" s="1164" t="n"/>
      <c r="AI105" s="1164" t="n"/>
      <c r="AJ105" s="1164" t="n"/>
      <c r="AK105" s="1165" t="n"/>
      <c r="AL105" s="1175" t="n"/>
      <c r="AM105" s="1164" t="n"/>
      <c r="AN105" s="1164" t="n"/>
      <c r="AO105" s="1164" t="n"/>
      <c r="AP105" s="1164" t="n"/>
      <c r="AQ105" s="1164" t="n"/>
      <c r="AR105" s="1164" t="n"/>
      <c r="AS105" s="1165" t="n"/>
    </row>
    <row r="106">
      <c r="C106" s="1163">
        <f>C105+1</f>
        <v/>
      </c>
      <c r="D106" s="1164" t="n"/>
      <c r="E106" s="1164" t="inlineStr">
        <is>
          <t>Comp 17</t>
        </is>
      </c>
      <c r="F106" s="1175" t="n"/>
      <c r="G106" s="1164" t="n"/>
      <c r="H106" s="1164" t="n"/>
      <c r="I106" s="1164" t="n"/>
      <c r="J106" s="1164" t="n"/>
      <c r="K106" s="1164" t="n"/>
      <c r="L106" s="1164" t="n"/>
      <c r="M106" s="1165" t="n"/>
      <c r="N106" s="1175" t="n"/>
      <c r="O106" s="1164" t="n"/>
      <c r="P106" s="1164" t="n"/>
      <c r="Q106" s="1164" t="n"/>
      <c r="R106" s="1164" t="n"/>
      <c r="S106" s="1164" t="n"/>
      <c r="T106" s="1164" t="n"/>
      <c r="U106" s="1165" t="n"/>
      <c r="V106" s="1175" t="n"/>
      <c r="W106" s="1164" t="n"/>
      <c r="X106" s="1164" t="n"/>
      <c r="Y106" s="1164" t="n"/>
      <c r="Z106" s="1164" t="n"/>
      <c r="AA106" s="1164" t="n"/>
      <c r="AB106" s="1164" t="n"/>
      <c r="AC106" s="1165" t="n"/>
      <c r="AD106" s="1175" t="n"/>
      <c r="AE106" s="1164" t="n"/>
      <c r="AF106" s="1164" t="n"/>
      <c r="AG106" s="1164" t="n"/>
      <c r="AH106" s="1164" t="n"/>
      <c r="AI106" s="1164" t="n"/>
      <c r="AJ106" s="1164" t="n"/>
      <c r="AK106" s="1165" t="n"/>
      <c r="AL106" s="1175" t="n"/>
      <c r="AM106" s="1164" t="n"/>
      <c r="AN106" s="1164" t="n"/>
      <c r="AO106" s="1164" t="n"/>
      <c r="AP106" s="1164" t="n"/>
      <c r="AQ106" s="1164" t="n"/>
      <c r="AR106" s="1164" t="n"/>
      <c r="AS106" s="1165" t="n"/>
    </row>
    <row r="107">
      <c r="C107" s="1163">
        <f>C106+1</f>
        <v/>
      </c>
      <c r="D107" s="1164" t="n"/>
      <c r="E107" s="1164" t="inlineStr">
        <is>
          <t>Comp 18</t>
        </is>
      </c>
      <c r="F107" s="1175" t="n"/>
      <c r="G107" s="1164" t="n"/>
      <c r="H107" s="1164" t="n"/>
      <c r="I107" s="1164" t="n"/>
      <c r="J107" s="1164" t="n"/>
      <c r="K107" s="1164" t="n"/>
      <c r="L107" s="1164" t="n"/>
      <c r="M107" s="1165" t="n"/>
      <c r="N107" s="1175" t="n"/>
      <c r="O107" s="1164" t="n"/>
      <c r="P107" s="1164" t="n"/>
      <c r="Q107" s="1164" t="n"/>
      <c r="R107" s="1164" t="n"/>
      <c r="S107" s="1164" t="n"/>
      <c r="T107" s="1164" t="n"/>
      <c r="U107" s="1165" t="n"/>
      <c r="V107" s="1175" t="n"/>
      <c r="W107" s="1164" t="n"/>
      <c r="X107" s="1164" t="n"/>
      <c r="Y107" s="1164" t="n"/>
      <c r="Z107" s="1164" t="n"/>
      <c r="AA107" s="1164" t="n"/>
      <c r="AB107" s="1164" t="n"/>
      <c r="AC107" s="1165" t="n"/>
      <c r="AD107" s="1175" t="n"/>
      <c r="AE107" s="1164" t="n"/>
      <c r="AF107" s="1164" t="n"/>
      <c r="AG107" s="1164" t="n"/>
      <c r="AH107" s="1164" t="n"/>
      <c r="AI107" s="1164" t="n"/>
      <c r="AJ107" s="1164" t="n"/>
      <c r="AK107" s="1165" t="n"/>
      <c r="AL107" s="1175" t="n"/>
      <c r="AM107" s="1164" t="n"/>
      <c r="AN107" s="1164" t="n"/>
      <c r="AO107" s="1164" t="n"/>
      <c r="AP107" s="1164" t="n"/>
      <c r="AQ107" s="1164" t="n"/>
      <c r="AR107" s="1164" t="n"/>
      <c r="AS107" s="1165" t="n"/>
    </row>
    <row r="108">
      <c r="C108" s="1163">
        <f>C107+1</f>
        <v/>
      </c>
      <c r="D108" s="1164" t="n"/>
      <c r="E108" s="1164" t="inlineStr">
        <is>
          <t>Comp 19</t>
        </is>
      </c>
      <c r="F108" s="1175" t="n"/>
      <c r="G108" s="1164" t="n"/>
      <c r="H108" s="1164" t="n"/>
      <c r="I108" s="1164" t="n"/>
      <c r="J108" s="1164" t="n"/>
      <c r="K108" s="1164" t="n"/>
      <c r="L108" s="1164" t="n"/>
      <c r="M108" s="1165" t="n"/>
      <c r="N108" s="1175" t="n"/>
      <c r="O108" s="1164" t="n"/>
      <c r="P108" s="1164" t="n"/>
      <c r="Q108" s="1164" t="n"/>
      <c r="R108" s="1164" t="n"/>
      <c r="S108" s="1164" t="n"/>
      <c r="T108" s="1164" t="n"/>
      <c r="U108" s="1165" t="n"/>
      <c r="V108" s="1175" t="n"/>
      <c r="W108" s="1164" t="n"/>
      <c r="X108" s="1164" t="n"/>
      <c r="Y108" s="1164" t="n"/>
      <c r="Z108" s="1164" t="n"/>
      <c r="AA108" s="1164" t="n"/>
      <c r="AB108" s="1164" t="n"/>
      <c r="AC108" s="1165" t="n"/>
      <c r="AD108" s="1175" t="n"/>
      <c r="AE108" s="1164" t="n"/>
      <c r="AF108" s="1164" t="n"/>
      <c r="AG108" s="1164" t="n"/>
      <c r="AH108" s="1164" t="n"/>
      <c r="AI108" s="1164" t="n"/>
      <c r="AJ108" s="1164" t="n"/>
      <c r="AK108" s="1165" t="n"/>
      <c r="AL108" s="1175" t="n"/>
      <c r="AM108" s="1164" t="n"/>
      <c r="AN108" s="1164" t="n"/>
      <c r="AO108" s="1164" t="n"/>
      <c r="AP108" s="1164" t="n"/>
      <c r="AQ108" s="1164" t="n"/>
      <c r="AR108" s="1164" t="n"/>
      <c r="AS108" s="1165" t="n"/>
    </row>
    <row r="109">
      <c r="C109" s="1163">
        <f>C108+1</f>
        <v/>
      </c>
      <c r="D109" s="1164" t="n"/>
      <c r="E109" s="1164" t="inlineStr">
        <is>
          <t>Comp 20</t>
        </is>
      </c>
      <c r="F109" s="1175" t="n"/>
      <c r="G109" s="1164" t="n"/>
      <c r="H109" s="1164" t="n"/>
      <c r="I109" s="1164" t="n"/>
      <c r="J109" s="1164" t="n"/>
      <c r="K109" s="1164" t="n"/>
      <c r="L109" s="1164" t="n"/>
      <c r="M109" s="1165" t="n"/>
      <c r="N109" s="1175" t="n"/>
      <c r="O109" s="1164" t="n"/>
      <c r="P109" s="1164" t="n"/>
      <c r="Q109" s="1164" t="n"/>
      <c r="R109" s="1164" t="n"/>
      <c r="S109" s="1164" t="n"/>
      <c r="T109" s="1164" t="n"/>
      <c r="U109" s="1165" t="n"/>
      <c r="V109" s="1175" t="n"/>
      <c r="W109" s="1164" t="n"/>
      <c r="X109" s="1164" t="n"/>
      <c r="Y109" s="1164" t="n"/>
      <c r="Z109" s="1164" t="n"/>
      <c r="AA109" s="1164" t="n"/>
      <c r="AB109" s="1164" t="n"/>
      <c r="AC109" s="1165" t="n"/>
      <c r="AD109" s="1175" t="n"/>
      <c r="AE109" s="1164" t="n"/>
      <c r="AF109" s="1164" t="n"/>
      <c r="AG109" s="1164" t="n"/>
      <c r="AH109" s="1164" t="n"/>
      <c r="AI109" s="1164" t="n"/>
      <c r="AJ109" s="1164" t="n"/>
      <c r="AK109" s="1165" t="n"/>
      <c r="AL109" s="1175" t="n"/>
      <c r="AM109" s="1164" t="n"/>
      <c r="AN109" s="1164" t="n"/>
      <c r="AO109" s="1164" t="n"/>
      <c r="AP109" s="1164" t="n"/>
      <c r="AQ109" s="1164" t="n"/>
      <c r="AR109" s="1164" t="n"/>
      <c r="AS109" s="1165" t="n"/>
    </row>
    <row r="110">
      <c r="C110" s="1163">
        <f>C109+1</f>
        <v/>
      </c>
      <c r="D110" s="1164" t="n"/>
      <c r="E110" s="1164" t="inlineStr">
        <is>
          <t>Comp 21</t>
        </is>
      </c>
      <c r="F110" s="1175" t="n"/>
      <c r="G110" s="1164" t="n"/>
      <c r="H110" s="1164" t="n"/>
      <c r="I110" s="1164" t="n"/>
      <c r="J110" s="1164" t="n"/>
      <c r="K110" s="1164" t="n"/>
      <c r="L110" s="1164" t="n"/>
      <c r="M110" s="1165" t="n"/>
      <c r="N110" s="1175" t="n"/>
      <c r="O110" s="1164" t="n"/>
      <c r="P110" s="1164" t="n"/>
      <c r="Q110" s="1164" t="n"/>
      <c r="R110" s="1164" t="n"/>
      <c r="S110" s="1164" t="n"/>
      <c r="T110" s="1164" t="n"/>
      <c r="U110" s="1165" t="n"/>
      <c r="V110" s="1175" t="n"/>
      <c r="W110" s="1164" t="n"/>
      <c r="X110" s="1164" t="n"/>
      <c r="Y110" s="1164" t="n"/>
      <c r="Z110" s="1164" t="n"/>
      <c r="AA110" s="1164" t="n"/>
      <c r="AB110" s="1164" t="n"/>
      <c r="AC110" s="1165" t="n"/>
      <c r="AD110" s="1175" t="n"/>
      <c r="AE110" s="1164" t="n"/>
      <c r="AF110" s="1164" t="n"/>
      <c r="AG110" s="1164" t="n"/>
      <c r="AH110" s="1164" t="n"/>
      <c r="AI110" s="1164" t="n"/>
      <c r="AJ110" s="1164" t="n"/>
      <c r="AK110" s="1165" t="n"/>
      <c r="AL110" s="1175" t="n"/>
      <c r="AM110" s="1164" t="n"/>
      <c r="AN110" s="1164" t="n"/>
      <c r="AO110" s="1164" t="n"/>
      <c r="AP110" s="1164" t="n"/>
      <c r="AQ110" s="1164" t="n"/>
      <c r="AR110" s="1164" t="n"/>
      <c r="AS110" s="1165" t="n"/>
    </row>
    <row r="111">
      <c r="C111" s="1163">
        <f>C110+1</f>
        <v/>
      </c>
      <c r="D111" s="1164" t="n"/>
      <c r="E111" s="1164" t="inlineStr">
        <is>
          <t>Comp 22</t>
        </is>
      </c>
      <c r="F111" s="1175" t="n"/>
      <c r="G111" s="1164" t="n"/>
      <c r="H111" s="1164" t="n"/>
      <c r="I111" s="1164" t="n"/>
      <c r="J111" s="1164" t="n"/>
      <c r="K111" s="1164" t="n"/>
      <c r="L111" s="1164" t="n"/>
      <c r="M111" s="1165" t="n"/>
      <c r="N111" s="1175" t="n"/>
      <c r="O111" s="1164" t="n"/>
      <c r="P111" s="1164" t="n"/>
      <c r="Q111" s="1164" t="n"/>
      <c r="R111" s="1164" t="n"/>
      <c r="S111" s="1164" t="n"/>
      <c r="T111" s="1164" t="n"/>
      <c r="U111" s="1165" t="n"/>
      <c r="V111" s="1175" t="n"/>
      <c r="W111" s="1164" t="n"/>
      <c r="X111" s="1164" t="n"/>
      <c r="Y111" s="1164" t="n"/>
      <c r="Z111" s="1164" t="n"/>
      <c r="AA111" s="1164" t="n"/>
      <c r="AB111" s="1164" t="n"/>
      <c r="AC111" s="1165" t="n"/>
      <c r="AD111" s="1175" t="n"/>
      <c r="AE111" s="1164" t="n"/>
      <c r="AF111" s="1164" t="n"/>
      <c r="AG111" s="1164" t="n"/>
      <c r="AH111" s="1164" t="n"/>
      <c r="AI111" s="1164" t="n"/>
      <c r="AJ111" s="1164" t="n"/>
      <c r="AK111" s="1165" t="n"/>
      <c r="AL111" s="1175" t="n"/>
      <c r="AM111" s="1164" t="n"/>
      <c r="AN111" s="1164" t="n"/>
      <c r="AO111" s="1164" t="n"/>
      <c r="AP111" s="1164" t="n"/>
      <c r="AQ111" s="1164" t="n"/>
      <c r="AR111" s="1164" t="n"/>
      <c r="AS111" s="1165" t="n"/>
    </row>
    <row r="112">
      <c r="C112" s="1163">
        <f>C111+1</f>
        <v/>
      </c>
      <c r="D112" s="1164" t="n"/>
      <c r="E112" s="1164" t="inlineStr">
        <is>
          <t>Comp 23</t>
        </is>
      </c>
      <c r="F112" s="1175" t="n"/>
      <c r="G112" s="1164" t="n"/>
      <c r="H112" s="1164" t="n"/>
      <c r="I112" s="1164" t="n"/>
      <c r="J112" s="1164" t="n"/>
      <c r="K112" s="1164" t="n"/>
      <c r="L112" s="1164" t="n"/>
      <c r="M112" s="1165" t="n"/>
      <c r="N112" s="1175" t="n"/>
      <c r="O112" s="1164" t="n"/>
      <c r="P112" s="1164" t="n"/>
      <c r="Q112" s="1164" t="n"/>
      <c r="R112" s="1164" t="n"/>
      <c r="S112" s="1164" t="n"/>
      <c r="T112" s="1164" t="n"/>
      <c r="U112" s="1165" t="n"/>
      <c r="V112" s="1175" t="n"/>
      <c r="W112" s="1164" t="n"/>
      <c r="X112" s="1164" t="n"/>
      <c r="Y112" s="1164" t="n"/>
      <c r="Z112" s="1164" t="n"/>
      <c r="AA112" s="1164" t="n"/>
      <c r="AB112" s="1164" t="n"/>
      <c r="AC112" s="1165" t="n"/>
      <c r="AD112" s="1175" t="n"/>
      <c r="AE112" s="1164" t="n"/>
      <c r="AF112" s="1164" t="n"/>
      <c r="AG112" s="1164" t="n"/>
      <c r="AH112" s="1164" t="n"/>
      <c r="AI112" s="1164" t="n"/>
      <c r="AJ112" s="1164" t="n"/>
      <c r="AK112" s="1165" t="n"/>
      <c r="AL112" s="1175" t="n"/>
      <c r="AM112" s="1164" t="n"/>
      <c r="AN112" s="1164" t="n"/>
      <c r="AO112" s="1164" t="n"/>
      <c r="AP112" s="1164" t="n"/>
      <c r="AQ112" s="1164" t="n"/>
      <c r="AR112" s="1164" t="n"/>
      <c r="AS112" s="1165" t="n"/>
    </row>
    <row r="113">
      <c r="C113" s="1163">
        <f>C112+1</f>
        <v/>
      </c>
      <c r="D113" s="1164" t="n"/>
      <c r="E113" s="1164" t="inlineStr">
        <is>
          <t>Comp 24</t>
        </is>
      </c>
      <c r="F113" s="1175" t="n"/>
      <c r="G113" s="1164" t="n"/>
      <c r="H113" s="1164" t="n"/>
      <c r="I113" s="1164" t="n"/>
      <c r="J113" s="1164" t="n"/>
      <c r="K113" s="1164" t="n"/>
      <c r="L113" s="1164" t="n"/>
      <c r="M113" s="1165" t="n"/>
      <c r="N113" s="1175" t="n"/>
      <c r="O113" s="1164" t="n"/>
      <c r="P113" s="1164" t="n"/>
      <c r="Q113" s="1164" t="n"/>
      <c r="R113" s="1164" t="n"/>
      <c r="S113" s="1164" t="n"/>
      <c r="T113" s="1164" t="n"/>
      <c r="U113" s="1165" t="n"/>
      <c r="V113" s="1175" t="n"/>
      <c r="W113" s="1164" t="n"/>
      <c r="X113" s="1164" t="n"/>
      <c r="Y113" s="1164" t="n"/>
      <c r="Z113" s="1164" t="n"/>
      <c r="AA113" s="1164" t="n"/>
      <c r="AB113" s="1164" t="n"/>
      <c r="AC113" s="1165" t="n"/>
      <c r="AD113" s="1175" t="n"/>
      <c r="AE113" s="1164" t="n"/>
      <c r="AF113" s="1164" t="n"/>
      <c r="AG113" s="1164" t="n"/>
      <c r="AH113" s="1164" t="n"/>
      <c r="AI113" s="1164" t="n"/>
      <c r="AJ113" s="1164" t="n"/>
      <c r="AK113" s="1165" t="n"/>
      <c r="AL113" s="1175" t="n"/>
      <c r="AM113" s="1164" t="n"/>
      <c r="AN113" s="1164" t="n"/>
      <c r="AO113" s="1164" t="n"/>
      <c r="AP113" s="1164" t="n"/>
      <c r="AQ113" s="1164" t="n"/>
      <c r="AR113" s="1164" t="n"/>
      <c r="AS113" s="1165" t="n"/>
    </row>
    <row r="114">
      <c r="C114" s="1163">
        <f>C113+1</f>
        <v/>
      </c>
      <c r="D114" s="1164" t="n"/>
      <c r="E114" s="1164" t="inlineStr">
        <is>
          <t>Comp 25</t>
        </is>
      </c>
      <c r="F114" s="1175" t="n"/>
      <c r="G114" s="1164" t="n"/>
      <c r="H114" s="1164" t="n"/>
      <c r="I114" s="1164" t="n"/>
      <c r="J114" s="1164" t="n"/>
      <c r="K114" s="1164" t="n"/>
      <c r="L114" s="1164" t="n"/>
      <c r="M114" s="1165" t="n"/>
      <c r="N114" s="1175" t="n"/>
      <c r="O114" s="1164" t="n"/>
      <c r="P114" s="1164" t="n"/>
      <c r="Q114" s="1164" t="n"/>
      <c r="R114" s="1164" t="n"/>
      <c r="S114" s="1164" t="n"/>
      <c r="T114" s="1164" t="n"/>
      <c r="U114" s="1165" t="n"/>
      <c r="V114" s="1175" t="n"/>
      <c r="W114" s="1164" t="n"/>
      <c r="X114" s="1164" t="n"/>
      <c r="Y114" s="1164" t="n"/>
      <c r="Z114" s="1164" t="n"/>
      <c r="AA114" s="1164" t="n"/>
      <c r="AB114" s="1164" t="n"/>
      <c r="AC114" s="1165" t="n"/>
      <c r="AD114" s="1175" t="n"/>
      <c r="AE114" s="1164" t="n"/>
      <c r="AF114" s="1164" t="n"/>
      <c r="AG114" s="1164" t="n"/>
      <c r="AH114" s="1164" t="n"/>
      <c r="AI114" s="1164" t="n"/>
      <c r="AJ114" s="1164" t="n"/>
      <c r="AK114" s="1165" t="n"/>
      <c r="AL114" s="1175" t="n"/>
      <c r="AM114" s="1164" t="n"/>
      <c r="AN114" s="1164" t="n"/>
      <c r="AO114" s="1164" t="n"/>
      <c r="AP114" s="1164" t="n"/>
      <c r="AQ114" s="1164" t="n"/>
      <c r="AR114" s="1164" t="n"/>
      <c r="AS114" s="1165" t="n"/>
    </row>
    <row r="115">
      <c r="C115" s="1163">
        <f>C114+1</f>
        <v/>
      </c>
      <c r="D115" s="1164" t="n"/>
      <c r="E115" s="1164" t="inlineStr">
        <is>
          <t>Comp 26</t>
        </is>
      </c>
      <c r="F115" s="1175" t="n"/>
      <c r="G115" s="1164" t="n"/>
      <c r="H115" s="1164" t="n"/>
      <c r="I115" s="1164" t="n"/>
      <c r="J115" s="1164" t="n"/>
      <c r="K115" s="1164" t="n"/>
      <c r="L115" s="1164" t="n"/>
      <c r="M115" s="1165" t="n"/>
      <c r="N115" s="1175" t="n"/>
      <c r="O115" s="1164" t="n"/>
      <c r="P115" s="1164" t="n"/>
      <c r="Q115" s="1164" t="n"/>
      <c r="R115" s="1164" t="n"/>
      <c r="S115" s="1164" t="n"/>
      <c r="T115" s="1164" t="n"/>
      <c r="U115" s="1165" t="n"/>
      <c r="V115" s="1175" t="n"/>
      <c r="W115" s="1164" t="n"/>
      <c r="X115" s="1164" t="n"/>
      <c r="Y115" s="1164" t="n"/>
      <c r="Z115" s="1164" t="n"/>
      <c r="AA115" s="1164" t="n"/>
      <c r="AB115" s="1164" t="n"/>
      <c r="AC115" s="1165" t="n"/>
      <c r="AD115" s="1175" t="n"/>
      <c r="AE115" s="1164" t="n"/>
      <c r="AF115" s="1164" t="n"/>
      <c r="AG115" s="1164" t="n"/>
      <c r="AH115" s="1164" t="n"/>
      <c r="AI115" s="1164" t="n"/>
      <c r="AJ115" s="1164" t="n"/>
      <c r="AK115" s="1165" t="n"/>
      <c r="AL115" s="1175" t="n"/>
      <c r="AM115" s="1164" t="n"/>
      <c r="AN115" s="1164" t="n"/>
      <c r="AO115" s="1164" t="n"/>
      <c r="AP115" s="1164" t="n"/>
      <c r="AQ115" s="1164" t="n"/>
      <c r="AR115" s="1164" t="n"/>
      <c r="AS115" s="1165" t="n"/>
    </row>
    <row r="116">
      <c r="C116" s="1163">
        <f>C115+1</f>
        <v/>
      </c>
      <c r="D116" s="1164" t="n"/>
      <c r="E116" s="1164" t="inlineStr">
        <is>
          <t>Comp 27</t>
        </is>
      </c>
      <c r="F116" s="1175" t="n"/>
      <c r="G116" s="1164" t="n"/>
      <c r="H116" s="1164" t="n"/>
      <c r="I116" s="1164" t="n"/>
      <c r="J116" s="1164" t="n"/>
      <c r="K116" s="1164" t="n"/>
      <c r="L116" s="1164" t="n"/>
      <c r="M116" s="1165" t="n"/>
      <c r="N116" s="1175" t="n"/>
      <c r="O116" s="1164" t="n"/>
      <c r="P116" s="1164" t="n"/>
      <c r="Q116" s="1164" t="n"/>
      <c r="R116" s="1164" t="n"/>
      <c r="S116" s="1164" t="n"/>
      <c r="T116" s="1164" t="n"/>
      <c r="U116" s="1165" t="n"/>
      <c r="V116" s="1175" t="n"/>
      <c r="W116" s="1164" t="n"/>
      <c r="X116" s="1164" t="n"/>
      <c r="Y116" s="1164" t="n"/>
      <c r="Z116" s="1164" t="n"/>
      <c r="AA116" s="1164" t="n"/>
      <c r="AB116" s="1164" t="n"/>
      <c r="AC116" s="1165" t="n"/>
      <c r="AD116" s="1175" t="n"/>
      <c r="AE116" s="1164" t="n"/>
      <c r="AF116" s="1164" t="n"/>
      <c r="AG116" s="1164" t="n"/>
      <c r="AH116" s="1164" t="n"/>
      <c r="AI116" s="1164" t="n"/>
      <c r="AJ116" s="1164" t="n"/>
      <c r="AK116" s="1165" t="n"/>
      <c r="AL116" s="1175" t="n"/>
      <c r="AM116" s="1164" t="n"/>
      <c r="AN116" s="1164" t="n"/>
      <c r="AO116" s="1164" t="n"/>
      <c r="AP116" s="1164" t="n"/>
      <c r="AQ116" s="1164" t="n"/>
      <c r="AR116" s="1164" t="n"/>
      <c r="AS116" s="1165" t="n"/>
    </row>
    <row r="117">
      <c r="C117" s="1163">
        <f>C116+1</f>
        <v/>
      </c>
      <c r="D117" s="1164" t="n"/>
      <c r="E117" s="1164" t="inlineStr">
        <is>
          <t>Comp 28</t>
        </is>
      </c>
      <c r="F117" s="1175" t="n"/>
      <c r="G117" s="1164" t="n"/>
      <c r="H117" s="1164" t="n"/>
      <c r="I117" s="1164" t="n"/>
      <c r="J117" s="1164" t="n"/>
      <c r="K117" s="1164" t="n"/>
      <c r="L117" s="1164" t="n"/>
      <c r="M117" s="1165" t="n"/>
      <c r="N117" s="1175" t="n"/>
      <c r="O117" s="1164" t="n"/>
      <c r="P117" s="1164" t="n"/>
      <c r="Q117" s="1164" t="n"/>
      <c r="R117" s="1164" t="n"/>
      <c r="S117" s="1164" t="n"/>
      <c r="T117" s="1164" t="n"/>
      <c r="U117" s="1165" t="n"/>
      <c r="V117" s="1175" t="n"/>
      <c r="W117" s="1164" t="n"/>
      <c r="X117" s="1164" t="n"/>
      <c r="Y117" s="1164" t="n"/>
      <c r="Z117" s="1164" t="n"/>
      <c r="AA117" s="1164" t="n"/>
      <c r="AB117" s="1164" t="n"/>
      <c r="AC117" s="1165" t="n"/>
      <c r="AD117" s="1175" t="n"/>
      <c r="AE117" s="1164" t="n"/>
      <c r="AF117" s="1164" t="n"/>
      <c r="AG117" s="1164" t="n"/>
      <c r="AH117" s="1164" t="n"/>
      <c r="AI117" s="1164" t="n"/>
      <c r="AJ117" s="1164" t="n"/>
      <c r="AK117" s="1165" t="n"/>
      <c r="AL117" s="1175" t="n"/>
      <c r="AM117" s="1164" t="n"/>
      <c r="AN117" s="1164" t="n"/>
      <c r="AO117" s="1164" t="n"/>
      <c r="AP117" s="1164" t="n"/>
      <c r="AQ117" s="1164" t="n"/>
      <c r="AR117" s="1164" t="n"/>
      <c r="AS117" s="1165" t="n"/>
    </row>
    <row r="118">
      <c r="C118" s="1163">
        <f>C117+1</f>
        <v/>
      </c>
      <c r="D118" s="1164" t="n"/>
      <c r="E118" s="1164" t="inlineStr">
        <is>
          <t>Comp 29</t>
        </is>
      </c>
      <c r="F118" s="1175" t="n"/>
      <c r="G118" s="1164" t="n"/>
      <c r="H118" s="1164" t="n"/>
      <c r="I118" s="1164" t="n"/>
      <c r="J118" s="1164" t="n"/>
      <c r="K118" s="1164" t="n"/>
      <c r="L118" s="1164" t="n"/>
      <c r="M118" s="1165" t="n"/>
      <c r="N118" s="1175" t="n"/>
      <c r="O118" s="1164" t="n"/>
      <c r="P118" s="1164" t="n"/>
      <c r="Q118" s="1164" t="n"/>
      <c r="R118" s="1164" t="n"/>
      <c r="S118" s="1164" t="n"/>
      <c r="T118" s="1164" t="n"/>
      <c r="U118" s="1165" t="n"/>
      <c r="V118" s="1175" t="n"/>
      <c r="W118" s="1164" t="n"/>
      <c r="X118" s="1164" t="n"/>
      <c r="Y118" s="1164" t="n"/>
      <c r="Z118" s="1164" t="n"/>
      <c r="AA118" s="1164" t="n"/>
      <c r="AB118" s="1164" t="n"/>
      <c r="AC118" s="1165" t="n"/>
      <c r="AD118" s="1175" t="n"/>
      <c r="AE118" s="1164" t="n"/>
      <c r="AF118" s="1164" t="n"/>
      <c r="AG118" s="1164" t="n"/>
      <c r="AH118" s="1164" t="n"/>
      <c r="AI118" s="1164" t="n"/>
      <c r="AJ118" s="1164" t="n"/>
      <c r="AK118" s="1165" t="n"/>
      <c r="AL118" s="1175" t="n"/>
      <c r="AM118" s="1164" t="n"/>
      <c r="AN118" s="1164" t="n"/>
      <c r="AO118" s="1164" t="n"/>
      <c r="AP118" s="1164" t="n"/>
      <c r="AQ118" s="1164" t="n"/>
      <c r="AR118" s="1164" t="n"/>
      <c r="AS118" s="1165" t="n"/>
    </row>
    <row r="119">
      <c r="C119" s="1166">
        <f>C118+1</f>
        <v/>
      </c>
      <c r="D119" s="1167" t="n"/>
      <c r="E119" s="1167" t="inlineStr">
        <is>
          <t>Comp 30</t>
        </is>
      </c>
      <c r="F119" s="1176" t="n"/>
      <c r="G119" s="1167" t="n"/>
      <c r="H119" s="1167" t="n"/>
      <c r="I119" s="1167" t="n"/>
      <c r="J119" s="1167" t="n"/>
      <c r="K119" s="1167" t="n"/>
      <c r="L119" s="1167" t="n"/>
      <c r="M119" s="1168" t="n"/>
      <c r="N119" s="1176" t="n"/>
      <c r="O119" s="1167" t="n"/>
      <c r="P119" s="1167" t="n"/>
      <c r="Q119" s="1167" t="n"/>
      <c r="R119" s="1167" t="n"/>
      <c r="S119" s="1167" t="n"/>
      <c r="T119" s="1167" t="n"/>
      <c r="U119" s="1168" t="n"/>
      <c r="V119" s="1176" t="n"/>
      <c r="W119" s="1167" t="n"/>
      <c r="X119" s="1167" t="n"/>
      <c r="Y119" s="1167" t="n"/>
      <c r="Z119" s="1167" t="n"/>
      <c r="AA119" s="1167" t="n"/>
      <c r="AB119" s="1167" t="n"/>
      <c r="AC119" s="1168" t="n"/>
      <c r="AD119" s="1176" t="n"/>
      <c r="AE119" s="1167" t="n"/>
      <c r="AF119" s="1167" t="n"/>
      <c r="AG119" s="1167" t="n"/>
      <c r="AH119" s="1167" t="n"/>
      <c r="AI119" s="1167" t="n"/>
      <c r="AJ119" s="1167" t="n"/>
      <c r="AK119" s="1168" t="n"/>
      <c r="AL119" s="1176" t="n"/>
      <c r="AM119" s="1167" t="n"/>
      <c r="AN119" s="1167" t="n"/>
      <c r="AO119" s="1167" t="n"/>
      <c r="AP119" s="1167" t="n"/>
      <c r="AQ119" s="1167" t="n"/>
      <c r="AR119" s="1167" t="n"/>
      <c r="AS119" s="1168" t="n"/>
    </row>
    <row r="120">
      <c r="C120" s="1160" t="n"/>
      <c r="D120" s="1160" t="n"/>
      <c r="E120" s="1160" t="n"/>
      <c r="F120" s="1160" t="n"/>
      <c r="G120" s="1160" t="n"/>
      <c r="H120" s="1160" t="n"/>
      <c r="I120" s="1160" t="n"/>
      <c r="J120" s="1160" t="n"/>
      <c r="K120" s="1160" t="n"/>
      <c r="L120" s="1160" t="n"/>
      <c r="M120" s="1160" t="n"/>
      <c r="N120" s="1160" t="n"/>
      <c r="O120" s="1160" t="n"/>
      <c r="P120" s="1160" t="n"/>
      <c r="Q120" s="1160" t="n"/>
      <c r="R120" s="1160" t="n"/>
      <c r="S120" s="1160" t="n"/>
      <c r="T120" s="1160" t="n"/>
      <c r="U120" s="1160" t="n"/>
      <c r="V120" s="1160" t="n"/>
      <c r="W120" s="1160" t="n"/>
      <c r="X120" s="1160" t="n"/>
      <c r="Y120" s="1160" t="n"/>
      <c r="Z120" s="1160" t="n"/>
      <c r="AA120" s="1160" t="n"/>
      <c r="AB120" s="1160" t="n"/>
      <c r="AC120" s="1160" t="n"/>
      <c r="AD120" s="1160" t="n"/>
      <c r="AE120" s="1160" t="n"/>
      <c r="AF120" s="1160" t="n"/>
      <c r="AG120" s="1160" t="n"/>
      <c r="AH120" s="1160" t="n"/>
      <c r="AI120" s="1160" t="n"/>
      <c r="AJ120" s="1160" t="n"/>
      <c r="AK120" s="1160" t="n"/>
      <c r="AL120" s="1160" t="n"/>
    </row>
    <row r="121">
      <c r="C121" s="1189" t="inlineStr">
        <is>
          <t>Table 2A: Historical &amp; Forecast Financials</t>
        </is>
      </c>
      <c r="D121" s="1189" t="n"/>
      <c r="E121" s="1189" t="n"/>
      <c r="F121" s="1189" t="n"/>
      <c r="G121" s="1189" t="n"/>
      <c r="H121" s="1189" t="n"/>
      <c r="I121" s="1189" t="n"/>
      <c r="J121" s="1189" t="n"/>
      <c r="K121" s="1189" t="n"/>
      <c r="L121" s="1189" t="n"/>
      <c r="M121" s="1189" t="n"/>
      <c r="N121" s="1189" t="n"/>
      <c r="O121" s="1189" t="n"/>
      <c r="P121" s="1189" t="n"/>
      <c r="Q121" s="1189" t="n"/>
      <c r="R121" s="1189" t="n"/>
      <c r="S121" s="1189" t="n"/>
      <c r="T121" s="1189" t="n"/>
      <c r="U121" s="1189" t="n"/>
      <c r="V121" s="1189" t="n"/>
      <c r="W121" s="1189" t="n"/>
      <c r="X121" s="1189" t="n"/>
      <c r="Y121" s="1189" t="n"/>
      <c r="Z121" s="1189" t="n"/>
      <c r="AA121" s="1189" t="n"/>
      <c r="AB121" s="1160" t="n"/>
      <c r="AC121" s="1160" t="n"/>
      <c r="AD121" s="1160" t="n"/>
      <c r="AE121" s="1160" t="n"/>
      <c r="AF121" s="1160" t="n"/>
      <c r="AG121" s="1160" t="n"/>
      <c r="AH121" s="1160" t="n"/>
      <c r="AI121" s="1160" t="n"/>
      <c r="AJ121" s="1160" t="n"/>
      <c r="AK121" s="1160" t="n"/>
      <c r="AL121" s="1160" t="n"/>
    </row>
    <row r="122" ht="15.65" customHeight="1">
      <c r="C122" s="1194" t="inlineStr">
        <is>
          <t>S.No.</t>
        </is>
      </c>
      <c r="D122" s="1195" t="inlineStr">
        <is>
          <t>Ticker</t>
        </is>
      </c>
      <c r="E122" s="1195" t="inlineStr">
        <is>
          <t>Company Name</t>
        </is>
      </c>
      <c r="F122" s="1855" t="inlineStr">
        <is>
          <t>Revenue</t>
        </is>
      </c>
      <c r="G122" s="2527" t="n"/>
      <c r="H122" s="2527" t="n"/>
      <c r="I122" s="2527" t="n"/>
      <c r="J122" s="2527" t="n"/>
      <c r="K122" s="2527" t="n"/>
      <c r="L122" s="2527" t="n"/>
      <c r="M122" s="2528" t="n"/>
      <c r="N122" s="1855" t="inlineStr">
        <is>
          <t>EBITDA</t>
        </is>
      </c>
      <c r="O122" s="2527" t="n"/>
      <c r="P122" s="2527" t="n"/>
      <c r="Q122" s="2527" t="n"/>
      <c r="R122" s="2527" t="n"/>
      <c r="S122" s="2527" t="n"/>
      <c r="T122" s="2527" t="n"/>
      <c r="U122" s="2528" t="n"/>
      <c r="V122" s="1855" t="inlineStr">
        <is>
          <t>Debt to Equity Ratio</t>
        </is>
      </c>
      <c r="W122" s="2527" t="n"/>
      <c r="X122" s="2527" t="n"/>
      <c r="Y122" s="2527" t="n"/>
      <c r="Z122" s="2527" t="n"/>
      <c r="AA122" s="2528" t="n"/>
    </row>
    <row r="123">
      <c r="C123" s="1177" t="n"/>
      <c r="D123" s="1178" t="n"/>
      <c r="E123" s="1178" t="n"/>
      <c r="F123" s="1179" t="inlineStr">
        <is>
          <t>FYE-3</t>
        </is>
      </c>
      <c r="G123" s="1179" t="inlineStr">
        <is>
          <t>FYE-2</t>
        </is>
      </c>
      <c r="H123" s="1179" t="inlineStr">
        <is>
          <t>FYE-1</t>
        </is>
      </c>
      <c r="I123" s="1179" t="inlineStr">
        <is>
          <t>FYE</t>
        </is>
      </c>
      <c r="J123" s="1179" t="inlineStr">
        <is>
          <t>TTM</t>
        </is>
      </c>
      <c r="K123" s="1179" t="inlineStr">
        <is>
          <t>FYE+1</t>
        </is>
      </c>
      <c r="L123" s="1179" t="inlineStr">
        <is>
          <t>FYE+2</t>
        </is>
      </c>
      <c r="M123" s="1172" t="inlineStr">
        <is>
          <t>FYE+3</t>
        </is>
      </c>
      <c r="N123" s="1179" t="inlineStr">
        <is>
          <t>FYE-3</t>
        </is>
      </c>
      <c r="O123" s="1179" t="inlineStr">
        <is>
          <t>FYE-2</t>
        </is>
      </c>
      <c r="P123" s="1179" t="inlineStr">
        <is>
          <t>FYE-1</t>
        </is>
      </c>
      <c r="Q123" s="1179" t="inlineStr">
        <is>
          <t>FYE</t>
        </is>
      </c>
      <c r="R123" s="1179" t="inlineStr">
        <is>
          <t>TTM</t>
        </is>
      </c>
      <c r="S123" s="1179" t="inlineStr">
        <is>
          <t>FYE+1</t>
        </is>
      </c>
      <c r="T123" s="1179" t="inlineStr">
        <is>
          <t>FYE+2</t>
        </is>
      </c>
      <c r="U123" s="1172" t="inlineStr">
        <is>
          <t>FYE+3</t>
        </is>
      </c>
      <c r="V123" s="1179" t="inlineStr">
        <is>
          <t>FYE-1</t>
        </is>
      </c>
      <c r="W123" s="1179" t="inlineStr">
        <is>
          <t>FYE</t>
        </is>
      </c>
      <c r="X123" s="1179" t="inlineStr">
        <is>
          <t>TTM</t>
        </is>
      </c>
      <c r="Y123" s="1179" t="inlineStr">
        <is>
          <t>FYE+1</t>
        </is>
      </c>
      <c r="Z123" s="1179" t="inlineStr">
        <is>
          <t>FYE+2</t>
        </is>
      </c>
      <c r="AA123" s="1172" t="inlineStr">
        <is>
          <t>FYE+3</t>
        </is>
      </c>
    </row>
    <row r="124">
      <c r="C124" s="1163">
        <f>C22</f>
        <v/>
      </c>
      <c r="D124" s="2530">
        <f>D22</f>
        <v/>
      </c>
      <c r="E124" s="2530">
        <f>E22</f>
        <v/>
      </c>
      <c r="F124" s="1164" t="n"/>
      <c r="G124" s="1164" t="n"/>
      <c r="H124" s="1164" t="n"/>
      <c r="I124" s="1164" t="n"/>
      <c r="J124" s="1164" t="n"/>
      <c r="K124" s="1164" t="n"/>
      <c r="L124" s="1164" t="n"/>
      <c r="M124" s="1165" t="n"/>
      <c r="N124" s="1164" t="n"/>
      <c r="O124" s="1164" t="n"/>
      <c r="P124" s="1164" t="n"/>
      <c r="Q124" s="1164" t="n"/>
      <c r="R124" s="1164" t="n"/>
      <c r="S124" s="1164" t="n"/>
      <c r="T124" s="1164" t="n"/>
      <c r="U124" s="1165" t="n"/>
      <c r="V124" s="1164" t="n"/>
      <c r="W124" s="1164" t="n"/>
      <c r="X124" s="1164" t="n"/>
      <c r="Y124" s="1164" t="n"/>
      <c r="Z124" s="1164" t="n"/>
      <c r="AA124" s="1165" t="n"/>
    </row>
    <row r="125">
      <c r="C125" s="1163">
        <f>C23</f>
        <v/>
      </c>
      <c r="D125" s="2530">
        <f>D23</f>
        <v/>
      </c>
      <c r="E125" s="2530">
        <f>E23</f>
        <v/>
      </c>
      <c r="F125" s="1164" t="n"/>
      <c r="G125" s="1164" t="n"/>
      <c r="H125" s="1164" t="n"/>
      <c r="I125" s="1164" t="n"/>
      <c r="J125" s="1164" t="n"/>
      <c r="K125" s="1164" t="n"/>
      <c r="L125" s="1164" t="n"/>
      <c r="M125" s="1165" t="n"/>
      <c r="N125" s="1164" t="n"/>
      <c r="O125" s="1164" t="n"/>
      <c r="P125" s="1164" t="n"/>
      <c r="Q125" s="1164" t="n"/>
      <c r="R125" s="1164" t="n"/>
      <c r="S125" s="1164" t="n"/>
      <c r="T125" s="1164" t="n"/>
      <c r="U125" s="1165" t="n"/>
      <c r="V125" s="1164" t="n"/>
      <c r="W125" s="1164" t="n"/>
      <c r="X125" s="1164" t="n"/>
      <c r="Y125" s="1164" t="n"/>
      <c r="Z125" s="1164" t="n"/>
      <c r="AA125" s="1165" t="n"/>
    </row>
    <row r="126">
      <c r="C126" s="1163">
        <f>C24</f>
        <v/>
      </c>
      <c r="D126" s="2530">
        <f>D24</f>
        <v/>
      </c>
      <c r="E126" s="2530">
        <f>E24</f>
        <v/>
      </c>
      <c r="F126" s="1164" t="n"/>
      <c r="G126" s="1164" t="n"/>
      <c r="H126" s="1164" t="n"/>
      <c r="I126" s="1164" t="n"/>
      <c r="J126" s="1164" t="n"/>
      <c r="K126" s="1164" t="n"/>
      <c r="L126" s="1164" t="n"/>
      <c r="M126" s="1165" t="n"/>
      <c r="N126" s="1164" t="n"/>
      <c r="O126" s="1164" t="n"/>
      <c r="P126" s="1164" t="n"/>
      <c r="Q126" s="1164" t="n"/>
      <c r="R126" s="1164" t="n"/>
      <c r="S126" s="1164" t="n"/>
      <c r="T126" s="1164" t="n"/>
      <c r="U126" s="1165" t="n"/>
      <c r="V126" s="1164" t="n"/>
      <c r="W126" s="1164" t="n"/>
      <c r="X126" s="1164" t="n"/>
      <c r="Y126" s="1164" t="n"/>
      <c r="Z126" s="1164" t="n"/>
      <c r="AA126" s="1165" t="n"/>
    </row>
    <row r="127">
      <c r="C127" s="1163">
        <f>C25</f>
        <v/>
      </c>
      <c r="D127" s="2530">
        <f>D25</f>
        <v/>
      </c>
      <c r="E127" s="2530">
        <f>E25</f>
        <v/>
      </c>
      <c r="F127" s="1164" t="n"/>
      <c r="G127" s="1164" t="n"/>
      <c r="H127" s="1164" t="n"/>
      <c r="I127" s="1164" t="n"/>
      <c r="J127" s="1164" t="n"/>
      <c r="K127" s="1164" t="n"/>
      <c r="L127" s="1164" t="n"/>
      <c r="M127" s="1165" t="n"/>
      <c r="N127" s="1164" t="n"/>
      <c r="O127" s="1164" t="n"/>
      <c r="P127" s="1164" t="n"/>
      <c r="Q127" s="1164" t="n"/>
      <c r="R127" s="1164" t="n"/>
      <c r="S127" s="1164" t="n"/>
      <c r="T127" s="1164" t="n"/>
      <c r="U127" s="1165" t="n"/>
      <c r="V127" s="1164" t="n"/>
      <c r="W127" s="1164" t="n"/>
      <c r="X127" s="1164" t="n"/>
      <c r="Y127" s="1164" t="n"/>
      <c r="Z127" s="1164" t="n"/>
      <c r="AA127" s="1165" t="n"/>
    </row>
    <row r="128">
      <c r="C128" s="1163">
        <f>C26</f>
        <v/>
      </c>
      <c r="D128" s="2530">
        <f>D26</f>
        <v/>
      </c>
      <c r="E128" s="2530">
        <f>E26</f>
        <v/>
      </c>
      <c r="F128" s="1164" t="n"/>
      <c r="G128" s="1164" t="n"/>
      <c r="H128" s="1164" t="n"/>
      <c r="I128" s="1164" t="n"/>
      <c r="J128" s="1164" t="n"/>
      <c r="K128" s="1164" t="n"/>
      <c r="L128" s="1164" t="n"/>
      <c r="M128" s="1165" t="n"/>
      <c r="N128" s="1164" t="n"/>
      <c r="O128" s="1164" t="n"/>
      <c r="P128" s="1164" t="n"/>
      <c r="Q128" s="1164" t="n"/>
      <c r="R128" s="1164" t="n"/>
      <c r="S128" s="1164" t="n"/>
      <c r="T128" s="1164" t="n"/>
      <c r="U128" s="1165" t="n"/>
      <c r="V128" s="1164" t="n"/>
      <c r="W128" s="1164" t="n"/>
      <c r="X128" s="1164" t="n"/>
      <c r="Y128" s="1164" t="n"/>
      <c r="Z128" s="1164" t="n"/>
      <c r="AA128" s="1165" t="n"/>
    </row>
    <row r="129">
      <c r="C129" s="1163">
        <f>C27</f>
        <v/>
      </c>
      <c r="D129" s="2530">
        <f>D27</f>
        <v/>
      </c>
      <c r="E129" s="2530">
        <f>E27</f>
        <v/>
      </c>
      <c r="F129" s="1164" t="n"/>
      <c r="G129" s="1164" t="n"/>
      <c r="H129" s="1164" t="n"/>
      <c r="I129" s="1164" t="n"/>
      <c r="J129" s="1164" t="n"/>
      <c r="K129" s="1164" t="n"/>
      <c r="L129" s="1164" t="n"/>
      <c r="M129" s="1165" t="n"/>
      <c r="N129" s="1164" t="n"/>
      <c r="O129" s="1164" t="n"/>
      <c r="P129" s="1164" t="n"/>
      <c r="Q129" s="1164" t="n"/>
      <c r="R129" s="1164" t="n"/>
      <c r="S129" s="1164" t="n"/>
      <c r="T129" s="1164" t="n"/>
      <c r="U129" s="1165" t="n"/>
      <c r="V129" s="1164" t="n"/>
      <c r="W129" s="1164" t="n"/>
      <c r="X129" s="1164" t="n"/>
      <c r="Y129" s="1164" t="n"/>
      <c r="Z129" s="1164" t="n"/>
      <c r="AA129" s="1165" t="n"/>
    </row>
    <row r="130">
      <c r="C130" s="1163">
        <f>C28</f>
        <v/>
      </c>
      <c r="D130" s="2530">
        <f>D28</f>
        <v/>
      </c>
      <c r="E130" s="2530">
        <f>E28</f>
        <v/>
      </c>
      <c r="F130" s="1164" t="n"/>
      <c r="G130" s="1164" t="n"/>
      <c r="H130" s="1164" t="n"/>
      <c r="I130" s="1164" t="n"/>
      <c r="J130" s="1164" t="n"/>
      <c r="K130" s="1164" t="n"/>
      <c r="L130" s="1164" t="n"/>
      <c r="M130" s="1165" t="n"/>
      <c r="N130" s="1164" t="n"/>
      <c r="O130" s="1164" t="n"/>
      <c r="P130" s="1164" t="n"/>
      <c r="Q130" s="1164" t="n"/>
      <c r="R130" s="1164" t="n"/>
      <c r="S130" s="1164" t="n"/>
      <c r="T130" s="1164" t="n"/>
      <c r="U130" s="1165" t="n"/>
      <c r="V130" s="1164" t="n"/>
      <c r="W130" s="1164" t="n"/>
      <c r="X130" s="1164" t="n"/>
      <c r="Y130" s="1164" t="n"/>
      <c r="Z130" s="1164" t="n"/>
      <c r="AA130" s="1165" t="n"/>
    </row>
    <row r="131">
      <c r="C131" s="1163">
        <f>C29</f>
        <v/>
      </c>
      <c r="D131" s="2530">
        <f>D29</f>
        <v/>
      </c>
      <c r="E131" s="2530">
        <f>E29</f>
        <v/>
      </c>
      <c r="F131" s="1164" t="n"/>
      <c r="G131" s="1164" t="n"/>
      <c r="H131" s="1164" t="n"/>
      <c r="I131" s="1164" t="n"/>
      <c r="J131" s="1164" t="n"/>
      <c r="K131" s="1164" t="n"/>
      <c r="L131" s="1164" t="n"/>
      <c r="M131" s="1165" t="n"/>
      <c r="N131" s="1164" t="n"/>
      <c r="O131" s="1164" t="n"/>
      <c r="P131" s="1164" t="n"/>
      <c r="Q131" s="1164" t="n"/>
      <c r="R131" s="1164" t="n"/>
      <c r="S131" s="1164" t="n"/>
      <c r="T131" s="1164" t="n"/>
      <c r="U131" s="1165" t="n"/>
      <c r="V131" s="1164" t="n"/>
      <c r="W131" s="1164" t="n"/>
      <c r="X131" s="1164" t="n"/>
      <c r="Y131" s="1164" t="n"/>
      <c r="Z131" s="1164" t="n"/>
      <c r="AA131" s="1165" t="n"/>
    </row>
    <row r="132">
      <c r="C132" s="1163">
        <f>C30</f>
        <v/>
      </c>
      <c r="D132" s="2530">
        <f>D30</f>
        <v/>
      </c>
      <c r="E132" s="2530">
        <f>E30</f>
        <v/>
      </c>
      <c r="F132" s="1164" t="n"/>
      <c r="G132" s="1164" t="n"/>
      <c r="H132" s="1164" t="n"/>
      <c r="I132" s="1164" t="n"/>
      <c r="J132" s="1164" t="n"/>
      <c r="K132" s="1164" t="n"/>
      <c r="L132" s="1164" t="n"/>
      <c r="M132" s="1165" t="n"/>
      <c r="N132" s="1164" t="n"/>
      <c r="O132" s="1164" t="n"/>
      <c r="P132" s="1164" t="n"/>
      <c r="Q132" s="1164" t="n"/>
      <c r="R132" s="1164" t="n"/>
      <c r="S132" s="1164" t="n"/>
      <c r="T132" s="1164" t="n"/>
      <c r="U132" s="1165" t="n"/>
      <c r="V132" s="1164" t="n"/>
      <c r="W132" s="1164" t="n"/>
      <c r="X132" s="1164" t="n"/>
      <c r="Y132" s="1164" t="n"/>
      <c r="Z132" s="1164" t="n"/>
      <c r="AA132" s="1165" t="n"/>
    </row>
    <row r="133">
      <c r="C133" s="1163">
        <f>C31</f>
        <v/>
      </c>
      <c r="D133" s="2530">
        <f>D31</f>
        <v/>
      </c>
      <c r="E133" s="2530">
        <f>E31</f>
        <v/>
      </c>
      <c r="F133" s="1164" t="n"/>
      <c r="G133" s="1164" t="n"/>
      <c r="H133" s="1164" t="n"/>
      <c r="I133" s="1164" t="n"/>
      <c r="J133" s="1164" t="n"/>
      <c r="K133" s="1164" t="n"/>
      <c r="L133" s="1164" t="n"/>
      <c r="M133" s="1165" t="n"/>
      <c r="N133" s="1164" t="n"/>
      <c r="O133" s="1164" t="n"/>
      <c r="P133" s="1164" t="n"/>
      <c r="Q133" s="1164" t="n"/>
      <c r="R133" s="1164" t="n"/>
      <c r="S133" s="1164" t="n"/>
      <c r="T133" s="1164" t="n"/>
      <c r="U133" s="1165" t="n"/>
      <c r="V133" s="1164" t="n"/>
      <c r="W133" s="1164" t="n"/>
      <c r="X133" s="1164" t="n"/>
      <c r="Y133" s="1164" t="n"/>
      <c r="Z133" s="1164" t="n"/>
      <c r="AA133" s="1165" t="n"/>
    </row>
    <row r="134">
      <c r="C134" s="1163">
        <f>C32</f>
        <v/>
      </c>
      <c r="D134" s="2530">
        <f>D32</f>
        <v/>
      </c>
      <c r="E134" s="2530">
        <f>E32</f>
        <v/>
      </c>
      <c r="F134" s="1164" t="n"/>
      <c r="G134" s="1164" t="n"/>
      <c r="H134" s="1164" t="n"/>
      <c r="I134" s="1164" t="n"/>
      <c r="J134" s="1164" t="n"/>
      <c r="K134" s="1164" t="n"/>
      <c r="L134" s="1164" t="n"/>
      <c r="M134" s="1165" t="n"/>
      <c r="N134" s="1164" t="n"/>
      <c r="O134" s="1164" t="n"/>
      <c r="P134" s="1164" t="n"/>
      <c r="Q134" s="1164" t="n"/>
      <c r="R134" s="1164" t="n"/>
      <c r="S134" s="1164" t="n"/>
      <c r="T134" s="1164" t="n"/>
      <c r="U134" s="1165" t="n"/>
      <c r="V134" s="1164" t="n"/>
      <c r="W134" s="1164" t="n"/>
      <c r="X134" s="1164" t="n"/>
      <c r="Y134" s="1164" t="n"/>
      <c r="Z134" s="1164" t="n"/>
      <c r="AA134" s="1165" t="n"/>
    </row>
    <row r="135">
      <c r="C135" s="1163">
        <f>C33</f>
        <v/>
      </c>
      <c r="D135" s="2530">
        <f>D33</f>
        <v/>
      </c>
      <c r="E135" s="2530">
        <f>E33</f>
        <v/>
      </c>
      <c r="F135" s="1164" t="n"/>
      <c r="G135" s="1164" t="n"/>
      <c r="H135" s="1164" t="n"/>
      <c r="I135" s="1164" t="n"/>
      <c r="J135" s="1164" t="n"/>
      <c r="K135" s="1164" t="n"/>
      <c r="L135" s="1164" t="n"/>
      <c r="M135" s="1165" t="n"/>
      <c r="N135" s="1164" t="n"/>
      <c r="O135" s="1164" t="n"/>
      <c r="P135" s="1164" t="n"/>
      <c r="Q135" s="1164" t="n"/>
      <c r="R135" s="1164" t="n"/>
      <c r="S135" s="1164" t="n"/>
      <c r="T135" s="1164" t="n"/>
      <c r="U135" s="1165" t="n"/>
      <c r="V135" s="1164" t="n"/>
      <c r="W135" s="1164" t="n"/>
      <c r="X135" s="1164" t="n"/>
      <c r="Y135" s="1164" t="n"/>
      <c r="Z135" s="1164" t="n"/>
      <c r="AA135" s="1165" t="n"/>
    </row>
    <row r="136">
      <c r="C136" s="1163">
        <f>C34</f>
        <v/>
      </c>
      <c r="D136" s="2530">
        <f>D34</f>
        <v/>
      </c>
      <c r="E136" s="2530">
        <f>E34</f>
        <v/>
      </c>
      <c r="F136" s="1164" t="n"/>
      <c r="G136" s="1164" t="n"/>
      <c r="H136" s="1164" t="n"/>
      <c r="I136" s="1164" t="n"/>
      <c r="J136" s="1164" t="n"/>
      <c r="K136" s="1164" t="n"/>
      <c r="L136" s="1164" t="n"/>
      <c r="M136" s="1165" t="n"/>
      <c r="N136" s="1164" t="n"/>
      <c r="O136" s="1164" t="n"/>
      <c r="P136" s="1164" t="n"/>
      <c r="Q136" s="1164" t="n"/>
      <c r="R136" s="1164" t="n"/>
      <c r="S136" s="1164" t="n"/>
      <c r="T136" s="1164" t="n"/>
      <c r="U136" s="1165" t="n"/>
      <c r="V136" s="1164" t="n"/>
      <c r="W136" s="1164" t="n"/>
      <c r="X136" s="1164" t="n"/>
      <c r="Y136" s="1164" t="n"/>
      <c r="Z136" s="1164" t="n"/>
      <c r="AA136" s="1165" t="n"/>
    </row>
    <row r="137">
      <c r="C137" s="1163">
        <f>C35</f>
        <v/>
      </c>
      <c r="D137" s="2530">
        <f>D35</f>
        <v/>
      </c>
      <c r="E137" s="2530">
        <f>E35</f>
        <v/>
      </c>
      <c r="F137" s="1164" t="n"/>
      <c r="G137" s="1164" t="n"/>
      <c r="H137" s="1164" t="n"/>
      <c r="I137" s="1164" t="n"/>
      <c r="J137" s="1164" t="n"/>
      <c r="K137" s="1164" t="n"/>
      <c r="L137" s="1164" t="n"/>
      <c r="M137" s="1165" t="n"/>
      <c r="N137" s="1164" t="n"/>
      <c r="O137" s="1164" t="n"/>
      <c r="P137" s="1164" t="n"/>
      <c r="Q137" s="1164" t="n"/>
      <c r="R137" s="1164" t="n"/>
      <c r="S137" s="1164" t="n"/>
      <c r="T137" s="1164" t="n"/>
      <c r="U137" s="1165" t="n"/>
      <c r="V137" s="1164" t="n"/>
      <c r="W137" s="1164" t="n"/>
      <c r="X137" s="1164" t="n"/>
      <c r="Y137" s="1164" t="n"/>
      <c r="Z137" s="1164" t="n"/>
      <c r="AA137" s="1165" t="n"/>
    </row>
    <row r="138">
      <c r="C138" s="1163">
        <f>C36</f>
        <v/>
      </c>
      <c r="D138" s="2530">
        <f>D36</f>
        <v/>
      </c>
      <c r="E138" s="2530">
        <f>E36</f>
        <v/>
      </c>
      <c r="F138" s="1164" t="n"/>
      <c r="G138" s="1164" t="n"/>
      <c r="H138" s="1164" t="n"/>
      <c r="I138" s="1164" t="n"/>
      <c r="J138" s="1164" t="n"/>
      <c r="K138" s="1164" t="n"/>
      <c r="L138" s="1164" t="n"/>
      <c r="M138" s="1165" t="n"/>
      <c r="N138" s="1164" t="n"/>
      <c r="O138" s="1164" t="n"/>
      <c r="P138" s="1164" t="n"/>
      <c r="Q138" s="1164" t="n"/>
      <c r="R138" s="1164" t="n"/>
      <c r="S138" s="1164" t="n"/>
      <c r="T138" s="1164" t="n"/>
      <c r="U138" s="1165" t="n"/>
      <c r="V138" s="1164" t="n"/>
      <c r="W138" s="1164" t="n"/>
      <c r="X138" s="1164" t="n"/>
      <c r="Y138" s="1164" t="n"/>
      <c r="Z138" s="1164" t="n"/>
      <c r="AA138" s="1165" t="n"/>
    </row>
    <row r="139">
      <c r="C139" s="1163">
        <f>C37</f>
        <v/>
      </c>
      <c r="D139" s="2530">
        <f>D37</f>
        <v/>
      </c>
      <c r="E139" s="2530">
        <f>E37</f>
        <v/>
      </c>
      <c r="F139" s="1164" t="n"/>
      <c r="G139" s="1164" t="n"/>
      <c r="H139" s="1164" t="n"/>
      <c r="I139" s="1164" t="n"/>
      <c r="J139" s="1164" t="n"/>
      <c r="K139" s="1164" t="n"/>
      <c r="L139" s="1164" t="n"/>
      <c r="M139" s="1165" t="n"/>
      <c r="N139" s="1164" t="n"/>
      <c r="O139" s="1164" t="n"/>
      <c r="P139" s="1164" t="n"/>
      <c r="Q139" s="1164" t="n"/>
      <c r="R139" s="1164" t="n"/>
      <c r="S139" s="1164" t="n"/>
      <c r="T139" s="1164" t="n"/>
      <c r="U139" s="1165" t="n"/>
      <c r="V139" s="1164" t="n"/>
      <c r="W139" s="1164" t="n"/>
      <c r="X139" s="1164" t="n"/>
      <c r="Y139" s="1164" t="n"/>
      <c r="Z139" s="1164" t="n"/>
      <c r="AA139" s="1165" t="n"/>
    </row>
    <row r="140">
      <c r="C140" s="1163">
        <f>C38</f>
        <v/>
      </c>
      <c r="D140" s="2530">
        <f>D38</f>
        <v/>
      </c>
      <c r="E140" s="2530">
        <f>E38</f>
        <v/>
      </c>
      <c r="F140" s="1164" t="n"/>
      <c r="G140" s="1164" t="n"/>
      <c r="H140" s="1164" t="n"/>
      <c r="I140" s="1164" t="n"/>
      <c r="J140" s="1164" t="n"/>
      <c r="K140" s="1164" t="n"/>
      <c r="L140" s="1164" t="n"/>
      <c r="M140" s="1165" t="n"/>
      <c r="N140" s="1164" t="n"/>
      <c r="O140" s="1164" t="n"/>
      <c r="P140" s="1164" t="n"/>
      <c r="Q140" s="1164" t="n"/>
      <c r="R140" s="1164" t="n"/>
      <c r="S140" s="1164" t="n"/>
      <c r="T140" s="1164" t="n"/>
      <c r="U140" s="1165" t="n"/>
      <c r="V140" s="1164" t="n"/>
      <c r="W140" s="1164" t="n"/>
      <c r="X140" s="1164" t="n"/>
      <c r="Y140" s="1164" t="n"/>
      <c r="Z140" s="1164" t="n"/>
      <c r="AA140" s="1165" t="n"/>
    </row>
    <row r="141">
      <c r="C141" s="1163">
        <f>C39</f>
        <v/>
      </c>
      <c r="D141" s="2530">
        <f>D39</f>
        <v/>
      </c>
      <c r="E141" s="2530">
        <f>E39</f>
        <v/>
      </c>
      <c r="F141" s="1164" t="n"/>
      <c r="G141" s="1164" t="n"/>
      <c r="H141" s="1164" t="n"/>
      <c r="I141" s="1164" t="n"/>
      <c r="J141" s="1164" t="n"/>
      <c r="K141" s="1164" t="n"/>
      <c r="L141" s="1164" t="n"/>
      <c r="M141" s="1165" t="n"/>
      <c r="N141" s="1164" t="n"/>
      <c r="O141" s="1164" t="n"/>
      <c r="P141" s="1164" t="n"/>
      <c r="Q141" s="1164" t="n"/>
      <c r="R141" s="1164" t="n"/>
      <c r="S141" s="1164" t="n"/>
      <c r="T141" s="1164" t="n"/>
      <c r="U141" s="1165" t="n"/>
      <c r="V141" s="1164" t="n"/>
      <c r="W141" s="1164" t="n"/>
      <c r="X141" s="1164" t="n"/>
      <c r="Y141" s="1164" t="n"/>
      <c r="Z141" s="1164" t="n"/>
      <c r="AA141" s="1165" t="n"/>
    </row>
    <row r="142">
      <c r="C142" s="1163">
        <f>C40</f>
        <v/>
      </c>
      <c r="D142" s="2530">
        <f>D40</f>
        <v/>
      </c>
      <c r="E142" s="2530">
        <f>E40</f>
        <v/>
      </c>
      <c r="F142" s="1164" t="n"/>
      <c r="G142" s="1164" t="n"/>
      <c r="H142" s="1164" t="n"/>
      <c r="I142" s="1164" t="n"/>
      <c r="J142" s="1164" t="n"/>
      <c r="K142" s="1164" t="n"/>
      <c r="L142" s="1164" t="n"/>
      <c r="M142" s="1165" t="n"/>
      <c r="N142" s="1164" t="n"/>
      <c r="O142" s="1164" t="n"/>
      <c r="P142" s="1164" t="n"/>
      <c r="Q142" s="1164" t="n"/>
      <c r="R142" s="1164" t="n"/>
      <c r="S142" s="1164" t="n"/>
      <c r="T142" s="1164" t="n"/>
      <c r="U142" s="1165" t="n"/>
      <c r="V142" s="1164" t="n"/>
      <c r="W142" s="1164" t="n"/>
      <c r="X142" s="1164" t="n"/>
      <c r="Y142" s="1164" t="n"/>
      <c r="Z142" s="1164" t="n"/>
      <c r="AA142" s="1165" t="n"/>
    </row>
    <row r="143">
      <c r="C143" s="1163">
        <f>C41</f>
        <v/>
      </c>
      <c r="D143" s="2530">
        <f>D41</f>
        <v/>
      </c>
      <c r="E143" s="2530">
        <f>E41</f>
        <v/>
      </c>
      <c r="F143" s="1164" t="n"/>
      <c r="G143" s="1164" t="n"/>
      <c r="H143" s="1164" t="n"/>
      <c r="I143" s="1164" t="n"/>
      <c r="J143" s="1164" t="n"/>
      <c r="K143" s="1164" t="n"/>
      <c r="L143" s="1164" t="n"/>
      <c r="M143" s="1165" t="n"/>
      <c r="N143" s="1164" t="n"/>
      <c r="O143" s="1164" t="n"/>
      <c r="P143" s="1164" t="n"/>
      <c r="Q143" s="1164" t="n"/>
      <c r="R143" s="1164" t="n"/>
      <c r="S143" s="1164" t="n"/>
      <c r="T143" s="1164" t="n"/>
      <c r="U143" s="1165" t="n"/>
      <c r="V143" s="1164" t="n"/>
      <c r="W143" s="1164" t="n"/>
      <c r="X143" s="1164" t="n"/>
      <c r="Y143" s="1164" t="n"/>
      <c r="Z143" s="1164" t="n"/>
      <c r="AA143" s="1165" t="n"/>
    </row>
    <row r="144">
      <c r="C144" s="1163">
        <f>C42</f>
        <v/>
      </c>
      <c r="D144" s="2530">
        <f>D42</f>
        <v/>
      </c>
      <c r="E144" s="2530">
        <f>E42</f>
        <v/>
      </c>
      <c r="F144" s="1164" t="n"/>
      <c r="G144" s="1164" t="n"/>
      <c r="H144" s="1164" t="n"/>
      <c r="I144" s="1164" t="n"/>
      <c r="J144" s="1164" t="n"/>
      <c r="K144" s="1164" t="n"/>
      <c r="L144" s="1164" t="n"/>
      <c r="M144" s="1165" t="n"/>
      <c r="N144" s="1164" t="n"/>
      <c r="O144" s="1164" t="n"/>
      <c r="P144" s="1164" t="n"/>
      <c r="Q144" s="1164" t="n"/>
      <c r="R144" s="1164" t="n"/>
      <c r="S144" s="1164" t="n"/>
      <c r="T144" s="1164" t="n"/>
      <c r="U144" s="1165" t="n"/>
      <c r="V144" s="1164" t="n"/>
      <c r="W144" s="1164" t="n"/>
      <c r="X144" s="1164" t="n"/>
      <c r="Y144" s="1164" t="n"/>
      <c r="Z144" s="1164" t="n"/>
      <c r="AA144" s="1165" t="n"/>
    </row>
    <row r="145">
      <c r="C145" s="1163">
        <f>C43</f>
        <v/>
      </c>
      <c r="D145" s="2530">
        <f>D43</f>
        <v/>
      </c>
      <c r="E145" s="2530">
        <f>E43</f>
        <v/>
      </c>
      <c r="F145" s="1164" t="n"/>
      <c r="G145" s="1164" t="n"/>
      <c r="H145" s="1164" t="n"/>
      <c r="I145" s="1164" t="n"/>
      <c r="J145" s="1164" t="n"/>
      <c r="K145" s="1164" t="n"/>
      <c r="L145" s="1164" t="n"/>
      <c r="M145" s="1165" t="n"/>
      <c r="N145" s="1164" t="n"/>
      <c r="O145" s="1164" t="n"/>
      <c r="P145" s="1164" t="n"/>
      <c r="Q145" s="1164" t="n"/>
      <c r="R145" s="1164" t="n"/>
      <c r="S145" s="1164" t="n"/>
      <c r="T145" s="1164" t="n"/>
      <c r="U145" s="1165" t="n"/>
      <c r="V145" s="1164" t="n"/>
      <c r="W145" s="1164" t="n"/>
      <c r="X145" s="1164" t="n"/>
      <c r="Y145" s="1164" t="n"/>
      <c r="Z145" s="1164" t="n"/>
      <c r="AA145" s="1165" t="n"/>
    </row>
    <row r="146">
      <c r="C146" s="1163">
        <f>C44</f>
        <v/>
      </c>
      <c r="D146" s="2530">
        <f>D44</f>
        <v/>
      </c>
      <c r="E146" s="2530">
        <f>E44</f>
        <v/>
      </c>
      <c r="F146" s="1164" t="n"/>
      <c r="G146" s="1164" t="n"/>
      <c r="H146" s="1164" t="n"/>
      <c r="I146" s="1164" t="n"/>
      <c r="J146" s="1164" t="n"/>
      <c r="K146" s="1164" t="n"/>
      <c r="L146" s="1164" t="n"/>
      <c r="M146" s="1165" t="n"/>
      <c r="N146" s="1164" t="n"/>
      <c r="O146" s="1164" t="n"/>
      <c r="P146" s="1164" t="n"/>
      <c r="Q146" s="1164" t="n"/>
      <c r="R146" s="1164" t="n"/>
      <c r="S146" s="1164" t="n"/>
      <c r="T146" s="1164" t="n"/>
      <c r="U146" s="1165" t="n"/>
      <c r="V146" s="1164" t="n"/>
      <c r="W146" s="1164" t="n"/>
      <c r="X146" s="1164" t="n"/>
      <c r="Y146" s="1164" t="n"/>
      <c r="Z146" s="1164" t="n"/>
      <c r="AA146" s="1165" t="n"/>
    </row>
    <row r="147">
      <c r="C147" s="1163">
        <f>C45</f>
        <v/>
      </c>
      <c r="D147" s="2530">
        <f>D45</f>
        <v/>
      </c>
      <c r="E147" s="2530">
        <f>E45</f>
        <v/>
      </c>
      <c r="F147" s="1164" t="n"/>
      <c r="G147" s="1164" t="n"/>
      <c r="H147" s="1164" t="n"/>
      <c r="I147" s="1164" t="n"/>
      <c r="J147" s="1164" t="n"/>
      <c r="K147" s="1164" t="n"/>
      <c r="L147" s="1164" t="n"/>
      <c r="M147" s="1165" t="n"/>
      <c r="N147" s="1164" t="n"/>
      <c r="O147" s="1164" t="n"/>
      <c r="P147" s="1164" t="n"/>
      <c r="Q147" s="1164" t="n"/>
      <c r="R147" s="1164" t="n"/>
      <c r="S147" s="1164" t="n"/>
      <c r="T147" s="1164" t="n"/>
      <c r="U147" s="1165" t="n"/>
      <c r="V147" s="1164" t="n"/>
      <c r="W147" s="1164" t="n"/>
      <c r="X147" s="1164" t="n"/>
      <c r="Y147" s="1164" t="n"/>
      <c r="Z147" s="1164" t="n"/>
      <c r="AA147" s="1165" t="n"/>
    </row>
    <row r="148">
      <c r="C148" s="1163">
        <f>C46</f>
        <v/>
      </c>
      <c r="D148" s="2530">
        <f>D46</f>
        <v/>
      </c>
      <c r="E148" s="2530">
        <f>E46</f>
        <v/>
      </c>
      <c r="F148" s="1164" t="n"/>
      <c r="G148" s="1164" t="n"/>
      <c r="H148" s="1164" t="n"/>
      <c r="I148" s="1164" t="n"/>
      <c r="J148" s="1164" t="n"/>
      <c r="K148" s="1164" t="n"/>
      <c r="L148" s="1164" t="n"/>
      <c r="M148" s="1165" t="n"/>
      <c r="N148" s="1164" t="n"/>
      <c r="O148" s="1164" t="n"/>
      <c r="P148" s="1164" t="n"/>
      <c r="Q148" s="1164" t="n"/>
      <c r="R148" s="1164" t="n"/>
      <c r="S148" s="1164" t="n"/>
      <c r="T148" s="1164" t="n"/>
      <c r="U148" s="1165" t="n"/>
      <c r="V148" s="1164" t="n"/>
      <c r="W148" s="1164" t="n"/>
      <c r="X148" s="1164" t="n"/>
      <c r="Y148" s="1164" t="n"/>
      <c r="Z148" s="1164" t="n"/>
      <c r="AA148" s="1165" t="n"/>
    </row>
    <row r="149">
      <c r="C149" s="1163">
        <f>C47</f>
        <v/>
      </c>
      <c r="D149" s="2530">
        <f>D47</f>
        <v/>
      </c>
      <c r="E149" s="2530">
        <f>E47</f>
        <v/>
      </c>
      <c r="F149" s="1164" t="n"/>
      <c r="G149" s="1164" t="n"/>
      <c r="H149" s="1164" t="n"/>
      <c r="I149" s="1164" t="n"/>
      <c r="J149" s="1164" t="n"/>
      <c r="K149" s="1164" t="n"/>
      <c r="L149" s="1164" t="n"/>
      <c r="M149" s="1165" t="n"/>
      <c r="N149" s="1164" t="n"/>
      <c r="O149" s="1164" t="n"/>
      <c r="P149" s="1164" t="n"/>
      <c r="Q149" s="1164" t="n"/>
      <c r="R149" s="1164" t="n"/>
      <c r="S149" s="1164" t="n"/>
      <c r="T149" s="1164" t="n"/>
      <c r="U149" s="1165" t="n"/>
      <c r="V149" s="1164" t="n"/>
      <c r="W149" s="1164" t="n"/>
      <c r="X149" s="1164" t="n"/>
      <c r="Y149" s="1164" t="n"/>
      <c r="Z149" s="1164" t="n"/>
      <c r="AA149" s="1165" t="n"/>
    </row>
    <row r="150">
      <c r="C150" s="1163">
        <f>C48</f>
        <v/>
      </c>
      <c r="D150" s="2530">
        <f>D48</f>
        <v/>
      </c>
      <c r="E150" s="2530">
        <f>E48</f>
        <v/>
      </c>
      <c r="F150" s="1164" t="n"/>
      <c r="G150" s="1164" t="n"/>
      <c r="H150" s="1164" t="n"/>
      <c r="I150" s="1164" t="n"/>
      <c r="J150" s="1164" t="n"/>
      <c r="K150" s="1164" t="n"/>
      <c r="L150" s="1164" t="n"/>
      <c r="M150" s="1165" t="n"/>
      <c r="N150" s="1164" t="n"/>
      <c r="O150" s="1164" t="n"/>
      <c r="P150" s="1164" t="n"/>
      <c r="Q150" s="1164" t="n"/>
      <c r="R150" s="1164" t="n"/>
      <c r="S150" s="1164" t="n"/>
      <c r="T150" s="1164" t="n"/>
      <c r="U150" s="1165" t="n"/>
      <c r="V150" s="1164" t="n"/>
      <c r="W150" s="1164" t="n"/>
      <c r="X150" s="1164" t="n"/>
      <c r="Y150" s="1164" t="n"/>
      <c r="Z150" s="1164" t="n"/>
      <c r="AA150" s="1165" t="n"/>
    </row>
    <row r="151">
      <c r="C151" s="1163">
        <f>C49</f>
        <v/>
      </c>
      <c r="D151" s="2530">
        <f>D49</f>
        <v/>
      </c>
      <c r="E151" s="2530">
        <f>E49</f>
        <v/>
      </c>
      <c r="F151" s="1164" t="n"/>
      <c r="G151" s="1164" t="n"/>
      <c r="H151" s="1164" t="n"/>
      <c r="I151" s="1164" t="n"/>
      <c r="J151" s="1164" t="n"/>
      <c r="K151" s="1164" t="n"/>
      <c r="L151" s="1164" t="n"/>
      <c r="M151" s="1165" t="n"/>
      <c r="N151" s="1164" t="n"/>
      <c r="O151" s="1164" t="n"/>
      <c r="P151" s="1164" t="n"/>
      <c r="Q151" s="1164" t="n"/>
      <c r="R151" s="1164" t="n"/>
      <c r="S151" s="1164" t="n"/>
      <c r="T151" s="1164" t="n"/>
      <c r="U151" s="1165" t="n"/>
      <c r="V151" s="1164" t="n"/>
      <c r="W151" s="1164" t="n"/>
      <c r="X151" s="1164" t="n"/>
      <c r="Y151" s="1164" t="n"/>
      <c r="Z151" s="1164" t="n"/>
      <c r="AA151" s="1165" t="n"/>
    </row>
    <row r="152">
      <c r="C152" s="1163">
        <f>C50</f>
        <v/>
      </c>
      <c r="D152" s="2530">
        <f>D50</f>
        <v/>
      </c>
      <c r="E152" s="2530">
        <f>E50</f>
        <v/>
      </c>
      <c r="F152" s="1164" t="n"/>
      <c r="G152" s="1164" t="n"/>
      <c r="H152" s="1164" t="n"/>
      <c r="I152" s="1164" t="n"/>
      <c r="J152" s="1164" t="n"/>
      <c r="K152" s="1164" t="n"/>
      <c r="L152" s="1164" t="n"/>
      <c r="M152" s="1165" t="n"/>
      <c r="N152" s="1164" t="n"/>
      <c r="O152" s="1164" t="n"/>
      <c r="P152" s="1164" t="n"/>
      <c r="Q152" s="1164" t="n"/>
      <c r="R152" s="1164" t="n"/>
      <c r="S152" s="1164" t="n"/>
      <c r="T152" s="1164" t="n"/>
      <c r="U152" s="1165" t="n"/>
      <c r="V152" s="1164" t="n"/>
      <c r="W152" s="1164" t="n"/>
      <c r="X152" s="1164" t="n"/>
      <c r="Y152" s="1164" t="n"/>
      <c r="Z152" s="1164" t="n"/>
      <c r="AA152" s="1165" t="n"/>
    </row>
    <row r="153">
      <c r="C153" s="1166">
        <f>C51</f>
        <v/>
      </c>
      <c r="D153" s="2531">
        <f>D51</f>
        <v/>
      </c>
      <c r="E153" s="2531">
        <f>E51</f>
        <v/>
      </c>
      <c r="F153" s="1167" t="n"/>
      <c r="G153" s="1167" t="n"/>
      <c r="H153" s="1167" t="n"/>
      <c r="I153" s="1167" t="n"/>
      <c r="J153" s="1167" t="n"/>
      <c r="K153" s="1167" t="n"/>
      <c r="L153" s="1167" t="n"/>
      <c r="M153" s="1168" t="n"/>
      <c r="N153" s="1167" t="n"/>
      <c r="O153" s="1167" t="n"/>
      <c r="P153" s="1167" t="n"/>
      <c r="Q153" s="1167" t="n"/>
      <c r="R153" s="1167" t="n"/>
      <c r="S153" s="1167" t="n"/>
      <c r="T153" s="1167" t="n"/>
      <c r="U153" s="1168" t="n"/>
      <c r="V153" s="1167" t="n"/>
      <c r="W153" s="1167" t="n"/>
      <c r="X153" s="1167" t="n"/>
      <c r="Y153" s="1167" t="n"/>
      <c r="Z153" s="1167" t="n"/>
      <c r="AA153" s="1168" t="n"/>
    </row>
    <row r="154">
      <c r="C154" s="1182" t="n"/>
      <c r="D154" s="1182" t="n"/>
      <c r="E154" s="1182" t="n"/>
      <c r="F154" s="1160" t="n"/>
      <c r="G154" s="1160" t="n"/>
      <c r="H154" s="1160" t="n"/>
      <c r="I154" s="1160" t="n"/>
      <c r="J154" s="1160" t="n"/>
      <c r="K154" s="1160" t="n"/>
      <c r="L154" s="1160" t="n"/>
      <c r="M154" s="1160" t="n"/>
      <c r="N154" s="1160" t="n"/>
      <c r="O154" s="1160" t="n"/>
      <c r="P154" s="1160" t="n"/>
      <c r="Q154" s="1160" t="n"/>
      <c r="R154" s="1160" t="n"/>
      <c r="S154" s="1160" t="n"/>
      <c r="T154" s="1160" t="n"/>
      <c r="U154" s="1160" t="n"/>
      <c r="V154" s="1160" t="n"/>
      <c r="W154" s="1160" t="n"/>
      <c r="X154" s="1160" t="n"/>
      <c r="Y154" s="1160" t="n"/>
      <c r="Z154" s="1160" t="n"/>
      <c r="AA154" s="1160" t="n"/>
      <c r="AB154" s="1160" t="n"/>
      <c r="AC154" s="1160" t="n"/>
      <c r="AD154" s="1160" t="n"/>
      <c r="AE154" s="1160" t="n"/>
      <c r="AF154" s="1160" t="n"/>
      <c r="AG154" s="1160" t="n"/>
      <c r="AJ154" s="1160" t="n"/>
      <c r="AK154" s="1160" t="n"/>
      <c r="AL154" s="1160" t="n"/>
    </row>
    <row r="155">
      <c r="C155" s="1189" t="inlineStr">
        <is>
          <t>Table 2B: Historical &amp; Forecast Financials</t>
        </is>
      </c>
      <c r="D155" s="1189" t="n"/>
      <c r="E155" s="1189" t="n"/>
      <c r="F155" s="1189" t="n"/>
      <c r="G155" s="1189" t="n"/>
      <c r="H155" s="1189" t="n"/>
      <c r="I155" s="1189" t="n"/>
      <c r="J155" s="1189" t="n"/>
      <c r="K155" s="1189" t="n"/>
      <c r="L155" s="1189" t="n"/>
      <c r="M155" s="1189" t="n"/>
      <c r="N155" s="1189" t="n"/>
      <c r="O155" s="1189" t="n"/>
      <c r="P155" s="1189" t="n"/>
      <c r="Q155" s="1189" t="n"/>
      <c r="R155" s="1189" t="n"/>
      <c r="S155" s="1189" t="n"/>
      <c r="T155" s="1189" t="n"/>
      <c r="U155" s="1189" t="n"/>
      <c r="V155" s="1189" t="n"/>
      <c r="W155" s="1189" t="n"/>
      <c r="X155" s="1189" t="n"/>
      <c r="Y155" s="1189" t="n"/>
      <c r="Z155" s="1189" t="n"/>
      <c r="AA155" s="1189" t="n"/>
      <c r="AB155" s="1189" t="n"/>
      <c r="AC155" s="1189" t="n"/>
      <c r="AD155" s="1189" t="n"/>
      <c r="AE155" s="1189" t="n"/>
      <c r="AF155" s="1189" t="n"/>
      <c r="AG155" s="1189" t="n"/>
      <c r="AH155" s="1189" t="n"/>
      <c r="AI155" s="1189" t="n"/>
      <c r="AJ155" s="1189" t="n"/>
      <c r="AK155" s="1189" t="n"/>
      <c r="AL155" s="1189" t="n"/>
    </row>
    <row r="156">
      <c r="C156" s="1194" t="inlineStr">
        <is>
          <t>S.No.</t>
        </is>
      </c>
      <c r="D156" s="1195" t="inlineStr">
        <is>
          <t>Ticker</t>
        </is>
      </c>
      <c r="E156" s="1195" t="inlineStr">
        <is>
          <t>Company Name</t>
        </is>
      </c>
      <c r="F156" s="1855" t="inlineStr">
        <is>
          <t>EBIT</t>
        </is>
      </c>
      <c r="G156" s="2527" t="n"/>
      <c r="H156" s="2527" t="n"/>
      <c r="I156" s="2527" t="n"/>
      <c r="J156" s="2527" t="n"/>
      <c r="K156" s="2528" t="n"/>
      <c r="L156" s="1855" t="inlineStr">
        <is>
          <t>Net Income</t>
        </is>
      </c>
      <c r="M156" s="2527" t="n"/>
      <c r="N156" s="2527" t="n"/>
      <c r="O156" s="2527" t="n"/>
      <c r="P156" s="2527" t="n"/>
      <c r="Q156" s="2528" t="n"/>
      <c r="R156" s="1856" t="inlineStr">
        <is>
          <t>Capital Expenditures</t>
        </is>
      </c>
      <c r="S156" s="2527" t="n"/>
      <c r="T156" s="2527" t="n"/>
      <c r="U156" s="2527" t="n"/>
      <c r="V156" s="2527" t="n"/>
      <c r="W156" s="2527" t="n"/>
      <c r="X156" s="2527" t="n"/>
      <c r="Y156" s="2527" t="n"/>
      <c r="Z156" s="1856" t="inlineStr">
        <is>
          <t>Depreciation</t>
        </is>
      </c>
      <c r="AA156" s="2527" t="n"/>
      <c r="AB156" s="2527" t="n"/>
      <c r="AC156" s="2527" t="n"/>
      <c r="AD156" s="2527" t="n"/>
      <c r="AE156" s="2527" t="n"/>
      <c r="AF156" s="2527" t="n"/>
      <c r="AG156" s="2527" t="n"/>
      <c r="AH156" s="2532" t="inlineStr">
        <is>
          <t>Working Capital as a % of Revenue</t>
        </is>
      </c>
      <c r="AI156" s="2527" t="n"/>
      <c r="AJ156" s="2527" t="n"/>
      <c r="AK156" s="2527" t="n"/>
      <c r="AL156" s="2528" t="n"/>
    </row>
    <row r="157">
      <c r="C157" s="1177" t="n"/>
      <c r="D157" s="1178" t="n"/>
      <c r="E157" s="1178" t="n"/>
      <c r="F157" s="1179" t="inlineStr">
        <is>
          <t>FYE-1</t>
        </is>
      </c>
      <c r="G157" s="1179" t="inlineStr">
        <is>
          <t>FYE</t>
        </is>
      </c>
      <c r="H157" s="1179" t="inlineStr">
        <is>
          <t>TTM</t>
        </is>
      </c>
      <c r="I157" s="1179" t="inlineStr">
        <is>
          <t>FYE+1</t>
        </is>
      </c>
      <c r="J157" s="1179" t="inlineStr">
        <is>
          <t>FYE+2</t>
        </is>
      </c>
      <c r="K157" s="1172" t="inlineStr">
        <is>
          <t>FYE+3</t>
        </is>
      </c>
      <c r="L157" s="1179" t="inlineStr">
        <is>
          <t>FYE-1</t>
        </is>
      </c>
      <c r="M157" s="1179" t="inlineStr">
        <is>
          <t>FYE</t>
        </is>
      </c>
      <c r="N157" s="1179" t="inlineStr">
        <is>
          <t>TTM</t>
        </is>
      </c>
      <c r="O157" s="1179" t="inlineStr">
        <is>
          <t>FYE+1</t>
        </is>
      </c>
      <c r="P157" s="1179" t="inlineStr">
        <is>
          <t>FYE+2</t>
        </is>
      </c>
      <c r="Q157" s="1172" t="inlineStr">
        <is>
          <t>FYE+3</t>
        </is>
      </c>
      <c r="R157" s="1179" t="inlineStr">
        <is>
          <t>FYE-3</t>
        </is>
      </c>
      <c r="S157" s="1179" t="inlineStr">
        <is>
          <t>FYE-2</t>
        </is>
      </c>
      <c r="T157" s="1179" t="inlineStr">
        <is>
          <t>FYE-1</t>
        </is>
      </c>
      <c r="U157" s="1179" t="inlineStr">
        <is>
          <t>FYE</t>
        </is>
      </c>
      <c r="V157" s="1179" t="inlineStr">
        <is>
          <t>TTM</t>
        </is>
      </c>
      <c r="W157" s="1179" t="inlineStr">
        <is>
          <t>FYE+1</t>
        </is>
      </c>
      <c r="X157" s="1179" t="inlineStr">
        <is>
          <t>FYE+2</t>
        </is>
      </c>
      <c r="Y157" s="1172" t="inlineStr">
        <is>
          <t>FYE+3</t>
        </is>
      </c>
      <c r="Z157" s="1179" t="inlineStr">
        <is>
          <t>FYE-3</t>
        </is>
      </c>
      <c r="AA157" s="1179" t="inlineStr">
        <is>
          <t>FYE-2</t>
        </is>
      </c>
      <c r="AB157" s="1179" t="inlineStr">
        <is>
          <t>FYE-1</t>
        </is>
      </c>
      <c r="AC157" s="1179" t="inlineStr">
        <is>
          <t>FYE</t>
        </is>
      </c>
      <c r="AD157" s="1179" t="inlineStr">
        <is>
          <t>TTM</t>
        </is>
      </c>
      <c r="AE157" s="1179" t="inlineStr">
        <is>
          <t>FYE+1</t>
        </is>
      </c>
      <c r="AF157" s="1179" t="inlineStr">
        <is>
          <t>FYE+2</t>
        </is>
      </c>
      <c r="AG157" s="1172" t="inlineStr">
        <is>
          <t>FYE+3</t>
        </is>
      </c>
      <c r="AH157" s="1179" t="inlineStr">
        <is>
          <t>FYE-3</t>
        </is>
      </c>
      <c r="AI157" s="1179" t="inlineStr">
        <is>
          <t>FYE-2</t>
        </is>
      </c>
      <c r="AJ157" s="1179" t="inlineStr">
        <is>
          <t>FYE-1</t>
        </is>
      </c>
      <c r="AK157" s="1179" t="inlineStr">
        <is>
          <t>FYE</t>
        </is>
      </c>
      <c r="AL157" s="1172" t="inlineStr">
        <is>
          <t>TTM</t>
        </is>
      </c>
    </row>
    <row r="158">
      <c r="C158" s="1163">
        <f>C124</f>
        <v/>
      </c>
      <c r="D158" s="2530">
        <f>D124</f>
        <v/>
      </c>
      <c r="E158" s="2530">
        <f>E124</f>
        <v/>
      </c>
      <c r="F158" s="1164" t="n"/>
      <c r="G158" s="1164" t="n"/>
      <c r="H158" s="1164" t="n"/>
      <c r="I158" s="1164" t="n"/>
      <c r="J158" s="1164" t="n"/>
      <c r="K158" s="1165" t="n"/>
      <c r="L158" s="1164" t="n"/>
      <c r="M158" s="1164" t="n"/>
      <c r="N158" s="1164" t="n"/>
      <c r="O158" s="1164" t="n"/>
      <c r="P158" s="1164" t="n"/>
      <c r="Q158" s="1165" t="n"/>
      <c r="R158" s="1164" t="n"/>
      <c r="S158" s="1164" t="n"/>
      <c r="T158" s="1164" t="n"/>
      <c r="U158" s="1164" t="n"/>
      <c r="V158" s="1164" t="n"/>
      <c r="W158" s="1164" t="n"/>
      <c r="X158" s="1164" t="n"/>
      <c r="Y158" s="1165" t="n"/>
      <c r="Z158" s="1164" t="n"/>
      <c r="AA158" s="1164" t="n"/>
      <c r="AB158" s="1164" t="n"/>
      <c r="AC158" s="1164" t="n"/>
      <c r="AD158" s="1164" t="n"/>
      <c r="AE158" s="1164" t="n"/>
      <c r="AF158" s="1164" t="n"/>
      <c r="AG158" s="1165" t="n"/>
      <c r="AH158" s="1164" t="n"/>
      <c r="AI158" s="1164" t="n"/>
      <c r="AJ158" s="1164" t="n"/>
      <c r="AK158" s="1164" t="n"/>
      <c r="AL158" s="1165" t="n"/>
    </row>
    <row r="159">
      <c r="C159" s="1163">
        <f>C125</f>
        <v/>
      </c>
      <c r="D159" s="2530">
        <f>D125</f>
        <v/>
      </c>
      <c r="E159" s="2530">
        <f>E125</f>
        <v/>
      </c>
      <c r="F159" s="1164" t="n"/>
      <c r="G159" s="1164" t="n"/>
      <c r="H159" s="1164" t="n"/>
      <c r="I159" s="1164" t="n"/>
      <c r="J159" s="1164" t="n"/>
      <c r="K159" s="1165" t="n"/>
      <c r="L159" s="1164" t="n"/>
      <c r="M159" s="1164" t="n"/>
      <c r="N159" s="1164" t="n"/>
      <c r="O159" s="1164" t="n"/>
      <c r="P159" s="1164" t="n"/>
      <c r="Q159" s="1165" t="n"/>
      <c r="R159" s="1164" t="n"/>
      <c r="S159" s="1164" t="n"/>
      <c r="T159" s="1164" t="n"/>
      <c r="U159" s="1164" t="n"/>
      <c r="V159" s="1164" t="n"/>
      <c r="W159" s="1164" t="n"/>
      <c r="X159" s="1164" t="n"/>
      <c r="Y159" s="1165" t="n"/>
      <c r="Z159" s="1164" t="n"/>
      <c r="AA159" s="1164" t="n"/>
      <c r="AB159" s="1164" t="n"/>
      <c r="AC159" s="1164" t="n"/>
      <c r="AD159" s="1164" t="n"/>
      <c r="AE159" s="1164" t="n"/>
      <c r="AF159" s="1164" t="n"/>
      <c r="AG159" s="1165" t="n"/>
      <c r="AH159" s="1164" t="n"/>
      <c r="AI159" s="1164" t="n"/>
      <c r="AJ159" s="1164" t="n"/>
      <c r="AK159" s="1164" t="n"/>
      <c r="AL159" s="1165" t="n"/>
    </row>
    <row r="160">
      <c r="C160" s="1163">
        <f>C126</f>
        <v/>
      </c>
      <c r="D160" s="2530">
        <f>D126</f>
        <v/>
      </c>
      <c r="E160" s="2530">
        <f>E126</f>
        <v/>
      </c>
      <c r="F160" s="1164" t="n"/>
      <c r="G160" s="1164" t="n"/>
      <c r="H160" s="1164" t="n"/>
      <c r="I160" s="1164" t="n"/>
      <c r="J160" s="1164" t="n"/>
      <c r="K160" s="1165" t="n"/>
      <c r="L160" s="1164" t="n"/>
      <c r="M160" s="1164" t="n"/>
      <c r="N160" s="1164" t="n"/>
      <c r="O160" s="1164" t="n"/>
      <c r="P160" s="1164" t="n"/>
      <c r="Q160" s="1165" t="n"/>
      <c r="R160" s="1164" t="n"/>
      <c r="S160" s="1164" t="n"/>
      <c r="T160" s="1164" t="n"/>
      <c r="U160" s="1164" t="n"/>
      <c r="V160" s="1164" t="n"/>
      <c r="W160" s="1164" t="n"/>
      <c r="X160" s="1164" t="n"/>
      <c r="Y160" s="1165" t="n"/>
      <c r="Z160" s="1164" t="n"/>
      <c r="AA160" s="1164" t="n"/>
      <c r="AB160" s="1164" t="n"/>
      <c r="AC160" s="1164" t="n"/>
      <c r="AD160" s="1164" t="n"/>
      <c r="AE160" s="1164" t="n"/>
      <c r="AF160" s="1164" t="n"/>
      <c r="AG160" s="1165" t="n"/>
      <c r="AH160" s="1164" t="n"/>
      <c r="AI160" s="1164" t="n"/>
      <c r="AJ160" s="1164" t="n"/>
      <c r="AK160" s="1164" t="n"/>
      <c r="AL160" s="1165" t="n"/>
    </row>
    <row r="161">
      <c r="C161" s="1163">
        <f>C127</f>
        <v/>
      </c>
      <c r="D161" s="2530">
        <f>D127</f>
        <v/>
      </c>
      <c r="E161" s="2530">
        <f>E127</f>
        <v/>
      </c>
      <c r="F161" s="1164" t="n"/>
      <c r="G161" s="1164" t="n"/>
      <c r="H161" s="1164" t="n"/>
      <c r="I161" s="1164" t="n"/>
      <c r="J161" s="1164" t="n"/>
      <c r="K161" s="1165" t="n"/>
      <c r="L161" s="1164" t="n"/>
      <c r="M161" s="1164" t="n"/>
      <c r="N161" s="1164" t="n"/>
      <c r="O161" s="1164" t="n"/>
      <c r="P161" s="1164" t="n"/>
      <c r="Q161" s="1165" t="n"/>
      <c r="R161" s="1164" t="n"/>
      <c r="S161" s="1164" t="n"/>
      <c r="T161" s="1164" t="n"/>
      <c r="U161" s="1164" t="n"/>
      <c r="V161" s="1164" t="n"/>
      <c r="W161" s="1164" t="n"/>
      <c r="X161" s="1164" t="n"/>
      <c r="Y161" s="1165" t="n"/>
      <c r="Z161" s="1164" t="n"/>
      <c r="AA161" s="1164" t="n"/>
      <c r="AB161" s="1164" t="n"/>
      <c r="AC161" s="1164" t="n"/>
      <c r="AD161" s="1164" t="n"/>
      <c r="AE161" s="1164" t="n"/>
      <c r="AF161" s="1164" t="n"/>
      <c r="AG161" s="1165" t="n"/>
      <c r="AH161" s="1164" t="n"/>
      <c r="AI161" s="1164" t="n"/>
      <c r="AJ161" s="1164" t="n"/>
      <c r="AK161" s="1164" t="n"/>
      <c r="AL161" s="1165" t="n"/>
    </row>
    <row r="162">
      <c r="C162" s="1163">
        <f>C128</f>
        <v/>
      </c>
      <c r="D162" s="2530">
        <f>D128</f>
        <v/>
      </c>
      <c r="E162" s="2530">
        <f>E128</f>
        <v/>
      </c>
      <c r="F162" s="1164" t="n"/>
      <c r="G162" s="1164" t="n"/>
      <c r="H162" s="1164" t="n"/>
      <c r="I162" s="1164" t="n"/>
      <c r="J162" s="1164" t="n"/>
      <c r="K162" s="1165" t="n"/>
      <c r="L162" s="1164" t="n"/>
      <c r="M162" s="1164" t="n"/>
      <c r="N162" s="1164" t="n"/>
      <c r="O162" s="1164" t="n"/>
      <c r="P162" s="1164" t="n"/>
      <c r="Q162" s="1165" t="n"/>
      <c r="R162" s="1164" t="n"/>
      <c r="S162" s="1164" t="n"/>
      <c r="T162" s="1164" t="n"/>
      <c r="U162" s="1164" t="n"/>
      <c r="V162" s="1164" t="n"/>
      <c r="W162" s="1164" t="n"/>
      <c r="X162" s="1164" t="n"/>
      <c r="Y162" s="1165" t="n"/>
      <c r="Z162" s="1164" t="n"/>
      <c r="AA162" s="1164" t="n"/>
      <c r="AB162" s="1164" t="n"/>
      <c r="AC162" s="1164" t="n"/>
      <c r="AD162" s="1164" t="n"/>
      <c r="AE162" s="1164" t="n"/>
      <c r="AF162" s="1164" t="n"/>
      <c r="AG162" s="1165" t="n"/>
      <c r="AH162" s="1164" t="n"/>
      <c r="AI162" s="1164" t="n"/>
      <c r="AJ162" s="1164" t="n"/>
      <c r="AK162" s="1164" t="n"/>
      <c r="AL162" s="1165" t="n"/>
    </row>
    <row r="163">
      <c r="C163" s="1163">
        <f>C129</f>
        <v/>
      </c>
      <c r="D163" s="2530">
        <f>D129</f>
        <v/>
      </c>
      <c r="E163" s="2530">
        <f>E129</f>
        <v/>
      </c>
      <c r="F163" s="1164" t="n"/>
      <c r="G163" s="1164" t="n"/>
      <c r="H163" s="1164" t="n"/>
      <c r="I163" s="1164" t="n"/>
      <c r="J163" s="1164" t="n"/>
      <c r="K163" s="1165" t="n"/>
      <c r="L163" s="1164" t="n"/>
      <c r="M163" s="1164" t="n"/>
      <c r="N163" s="1164" t="n"/>
      <c r="O163" s="1164" t="n"/>
      <c r="P163" s="1164" t="n"/>
      <c r="Q163" s="1165" t="n"/>
      <c r="R163" s="1164" t="n"/>
      <c r="S163" s="1164" t="n"/>
      <c r="T163" s="1164" t="n"/>
      <c r="U163" s="1164" t="n"/>
      <c r="V163" s="1164" t="n"/>
      <c r="W163" s="1164" t="n"/>
      <c r="X163" s="1164" t="n"/>
      <c r="Y163" s="1165" t="n"/>
      <c r="Z163" s="1164" t="n"/>
      <c r="AA163" s="1164" t="n"/>
      <c r="AB163" s="1164" t="n"/>
      <c r="AC163" s="1164" t="n"/>
      <c r="AD163" s="1164" t="n"/>
      <c r="AE163" s="1164" t="n"/>
      <c r="AF163" s="1164" t="n"/>
      <c r="AG163" s="1165" t="n"/>
      <c r="AH163" s="1164" t="n"/>
      <c r="AI163" s="1164" t="n"/>
      <c r="AJ163" s="1164" t="n"/>
      <c r="AK163" s="1164" t="n"/>
      <c r="AL163" s="1165" t="n"/>
    </row>
    <row r="164">
      <c r="C164" s="1163">
        <f>C130</f>
        <v/>
      </c>
      <c r="D164" s="2530">
        <f>D130</f>
        <v/>
      </c>
      <c r="E164" s="2530">
        <f>E130</f>
        <v/>
      </c>
      <c r="F164" s="1164" t="n"/>
      <c r="G164" s="1164" t="n"/>
      <c r="H164" s="1164" t="n"/>
      <c r="I164" s="1164" t="n"/>
      <c r="J164" s="1164" t="n"/>
      <c r="K164" s="1165" t="n"/>
      <c r="L164" s="1164" t="n"/>
      <c r="M164" s="1164" t="n"/>
      <c r="N164" s="1164" t="n"/>
      <c r="O164" s="1164" t="n"/>
      <c r="P164" s="1164" t="n"/>
      <c r="Q164" s="1165" t="n"/>
      <c r="R164" s="1164" t="n"/>
      <c r="S164" s="1164" t="n"/>
      <c r="T164" s="1164" t="n"/>
      <c r="U164" s="1164" t="n"/>
      <c r="V164" s="1164" t="n"/>
      <c r="W164" s="1164" t="n"/>
      <c r="X164" s="1164" t="n"/>
      <c r="Y164" s="1165" t="n"/>
      <c r="Z164" s="1164" t="n"/>
      <c r="AA164" s="1164" t="n"/>
      <c r="AB164" s="1164" t="n"/>
      <c r="AC164" s="1164" t="n"/>
      <c r="AD164" s="1164" t="n"/>
      <c r="AE164" s="1164" t="n"/>
      <c r="AF164" s="1164" t="n"/>
      <c r="AG164" s="1165" t="n"/>
      <c r="AH164" s="1164" t="n"/>
      <c r="AI164" s="1164" t="n"/>
      <c r="AJ164" s="1164" t="n"/>
      <c r="AK164" s="1164" t="n"/>
      <c r="AL164" s="1165" t="n"/>
    </row>
    <row r="165">
      <c r="C165" s="1163">
        <f>C131</f>
        <v/>
      </c>
      <c r="D165" s="2530">
        <f>D131</f>
        <v/>
      </c>
      <c r="E165" s="2530">
        <f>E131</f>
        <v/>
      </c>
      <c r="F165" s="1164" t="n"/>
      <c r="G165" s="1164" t="n"/>
      <c r="H165" s="1164" t="n"/>
      <c r="I165" s="1164" t="n"/>
      <c r="J165" s="1164" t="n"/>
      <c r="K165" s="1165" t="n"/>
      <c r="L165" s="1164" t="n"/>
      <c r="M165" s="1164" t="n"/>
      <c r="N165" s="1164" t="n"/>
      <c r="O165" s="1164" t="n"/>
      <c r="P165" s="1164" t="n"/>
      <c r="Q165" s="1165" t="n"/>
      <c r="R165" s="1164" t="n"/>
      <c r="S165" s="1164" t="n"/>
      <c r="T165" s="1164" t="n"/>
      <c r="U165" s="1164" t="n"/>
      <c r="V165" s="1164" t="n"/>
      <c r="W165" s="1164" t="n"/>
      <c r="X165" s="1164" t="n"/>
      <c r="Y165" s="1165" t="n"/>
      <c r="Z165" s="1164" t="n"/>
      <c r="AA165" s="1164" t="n"/>
      <c r="AB165" s="1164" t="n"/>
      <c r="AC165" s="1164" t="n"/>
      <c r="AD165" s="1164" t="n"/>
      <c r="AE165" s="1164" t="n"/>
      <c r="AF165" s="1164" t="n"/>
      <c r="AG165" s="1165" t="n"/>
      <c r="AH165" s="1164" t="n"/>
      <c r="AI165" s="1164" t="n"/>
      <c r="AJ165" s="1164" t="n"/>
      <c r="AK165" s="1164" t="n"/>
      <c r="AL165" s="1165" t="n"/>
    </row>
    <row r="166">
      <c r="C166" s="1163">
        <f>C132</f>
        <v/>
      </c>
      <c r="D166" s="2530">
        <f>D132</f>
        <v/>
      </c>
      <c r="E166" s="2530">
        <f>E132</f>
        <v/>
      </c>
      <c r="F166" s="1164" t="n"/>
      <c r="G166" s="1164" t="n"/>
      <c r="H166" s="1164" t="n"/>
      <c r="I166" s="1164" t="n"/>
      <c r="J166" s="1164" t="n"/>
      <c r="K166" s="1165" t="n"/>
      <c r="L166" s="1164" t="n"/>
      <c r="M166" s="1164" t="n"/>
      <c r="N166" s="1164" t="n"/>
      <c r="O166" s="1164" t="n"/>
      <c r="P166" s="1164" t="n"/>
      <c r="Q166" s="1165" t="n"/>
      <c r="R166" s="1164" t="n"/>
      <c r="S166" s="1164" t="n"/>
      <c r="T166" s="1164" t="n"/>
      <c r="U166" s="1164" t="n"/>
      <c r="V166" s="1164" t="n"/>
      <c r="W166" s="1164" t="n"/>
      <c r="X166" s="1164" t="n"/>
      <c r="Y166" s="1165" t="n"/>
      <c r="Z166" s="1164" t="n"/>
      <c r="AA166" s="1164" t="n"/>
      <c r="AB166" s="1164" t="n"/>
      <c r="AC166" s="1164" t="n"/>
      <c r="AD166" s="1164" t="n"/>
      <c r="AE166" s="1164" t="n"/>
      <c r="AF166" s="1164" t="n"/>
      <c r="AG166" s="1165" t="n"/>
      <c r="AH166" s="1164" t="n"/>
      <c r="AI166" s="1164" t="n"/>
      <c r="AJ166" s="1164" t="n"/>
      <c r="AK166" s="1164" t="n"/>
      <c r="AL166" s="1165" t="n"/>
    </row>
    <row r="167">
      <c r="C167" s="1163">
        <f>C133</f>
        <v/>
      </c>
      <c r="D167" s="2530">
        <f>D133</f>
        <v/>
      </c>
      <c r="E167" s="2530">
        <f>E133</f>
        <v/>
      </c>
      <c r="F167" s="1164" t="n"/>
      <c r="G167" s="1164" t="n"/>
      <c r="H167" s="1164" t="n"/>
      <c r="I167" s="1164" t="n"/>
      <c r="J167" s="1164" t="n"/>
      <c r="K167" s="1165" t="n"/>
      <c r="L167" s="1164" t="n"/>
      <c r="M167" s="1164" t="n"/>
      <c r="N167" s="1164" t="n"/>
      <c r="O167" s="1164" t="n"/>
      <c r="P167" s="1164" t="n"/>
      <c r="Q167" s="1165" t="n"/>
      <c r="R167" s="1164" t="n"/>
      <c r="S167" s="1164" t="n"/>
      <c r="T167" s="1164" t="n"/>
      <c r="U167" s="1164" t="n"/>
      <c r="V167" s="1164" t="n"/>
      <c r="W167" s="1164" t="n"/>
      <c r="X167" s="1164" t="n"/>
      <c r="Y167" s="1165" t="n"/>
      <c r="Z167" s="1164" t="n"/>
      <c r="AA167" s="1164" t="n"/>
      <c r="AB167" s="1164" t="n"/>
      <c r="AC167" s="1164" t="n"/>
      <c r="AD167" s="1164" t="n"/>
      <c r="AE167" s="1164" t="n"/>
      <c r="AF167" s="1164" t="n"/>
      <c r="AG167" s="1165" t="n"/>
      <c r="AH167" s="1164" t="n"/>
      <c r="AI167" s="1164" t="n"/>
      <c r="AJ167" s="1164" t="n"/>
      <c r="AK167" s="1164" t="n"/>
      <c r="AL167" s="1165" t="n"/>
    </row>
    <row r="168">
      <c r="C168" s="1163">
        <f>C134</f>
        <v/>
      </c>
      <c r="D168" s="2530">
        <f>D134</f>
        <v/>
      </c>
      <c r="E168" s="2530">
        <f>E134</f>
        <v/>
      </c>
      <c r="F168" s="1164" t="n"/>
      <c r="G168" s="1164" t="n"/>
      <c r="H168" s="1164" t="n"/>
      <c r="I168" s="1164" t="n"/>
      <c r="J168" s="1164" t="n"/>
      <c r="K168" s="1165" t="n"/>
      <c r="L168" s="1164" t="n"/>
      <c r="M168" s="1164" t="n"/>
      <c r="N168" s="1164" t="n"/>
      <c r="O168" s="1164" t="n"/>
      <c r="P168" s="1164" t="n"/>
      <c r="Q168" s="1165" t="n"/>
      <c r="R168" s="1164" t="n"/>
      <c r="S168" s="1164" t="n"/>
      <c r="T168" s="1164" t="n"/>
      <c r="U168" s="1164" t="n"/>
      <c r="V168" s="1164" t="n"/>
      <c r="W168" s="1164" t="n"/>
      <c r="X168" s="1164" t="n"/>
      <c r="Y168" s="1165" t="n"/>
      <c r="Z168" s="1164" t="n"/>
      <c r="AA168" s="1164" t="n"/>
      <c r="AB168" s="1164" t="n"/>
      <c r="AC168" s="1164" t="n"/>
      <c r="AD168" s="1164" t="n"/>
      <c r="AE168" s="1164" t="n"/>
      <c r="AF168" s="1164" t="n"/>
      <c r="AG168" s="1165" t="n"/>
      <c r="AH168" s="1164" t="n"/>
      <c r="AI168" s="1164" t="n"/>
      <c r="AJ168" s="1164" t="n"/>
      <c r="AK168" s="1164" t="n"/>
      <c r="AL168" s="1165" t="n"/>
    </row>
    <row r="169">
      <c r="C169" s="1163">
        <f>C135</f>
        <v/>
      </c>
      <c r="D169" s="2530">
        <f>D135</f>
        <v/>
      </c>
      <c r="E169" s="2530">
        <f>E135</f>
        <v/>
      </c>
      <c r="F169" s="1164" t="n"/>
      <c r="G169" s="1164" t="n"/>
      <c r="H169" s="1164" t="n"/>
      <c r="I169" s="1164" t="n"/>
      <c r="J169" s="1164" t="n"/>
      <c r="K169" s="1165" t="n"/>
      <c r="L169" s="1164" t="n"/>
      <c r="M169" s="1164" t="n"/>
      <c r="N169" s="1164" t="n"/>
      <c r="O169" s="1164" t="n"/>
      <c r="P169" s="1164" t="n"/>
      <c r="Q169" s="1165" t="n"/>
      <c r="R169" s="1164" t="n"/>
      <c r="S169" s="1164" t="n"/>
      <c r="T169" s="1164" t="n"/>
      <c r="U169" s="1164" t="n"/>
      <c r="V169" s="1164" t="n"/>
      <c r="W169" s="1164" t="n"/>
      <c r="X169" s="1164" t="n"/>
      <c r="Y169" s="1165" t="n"/>
      <c r="Z169" s="1164" t="n"/>
      <c r="AA169" s="1164" t="n"/>
      <c r="AB169" s="1164" t="n"/>
      <c r="AC169" s="1164" t="n"/>
      <c r="AD169" s="1164" t="n"/>
      <c r="AE169" s="1164" t="n"/>
      <c r="AF169" s="1164" t="n"/>
      <c r="AG169" s="1165" t="n"/>
      <c r="AH169" s="1164" t="n"/>
      <c r="AI169" s="1164" t="n"/>
      <c r="AJ169" s="1164" t="n"/>
      <c r="AK169" s="1164" t="n"/>
      <c r="AL169" s="1165" t="n"/>
    </row>
    <row r="170">
      <c r="C170" s="1163">
        <f>C136</f>
        <v/>
      </c>
      <c r="D170" s="2530">
        <f>D136</f>
        <v/>
      </c>
      <c r="E170" s="2530">
        <f>E136</f>
        <v/>
      </c>
      <c r="F170" s="1164" t="n"/>
      <c r="G170" s="1164" t="n"/>
      <c r="H170" s="1164" t="n"/>
      <c r="I170" s="1164" t="n"/>
      <c r="J170" s="1164" t="n"/>
      <c r="K170" s="1165" t="n"/>
      <c r="L170" s="1164" t="n"/>
      <c r="M170" s="1164" t="n"/>
      <c r="N170" s="1164" t="n"/>
      <c r="O170" s="1164" t="n"/>
      <c r="P170" s="1164" t="n"/>
      <c r="Q170" s="1165" t="n"/>
      <c r="R170" s="1164" t="n"/>
      <c r="S170" s="1164" t="n"/>
      <c r="T170" s="1164" t="n"/>
      <c r="U170" s="1164" t="n"/>
      <c r="V170" s="1164" t="n"/>
      <c r="W170" s="1164" t="n"/>
      <c r="X170" s="1164" t="n"/>
      <c r="Y170" s="1165" t="n"/>
      <c r="Z170" s="1164" t="n"/>
      <c r="AA170" s="1164" t="n"/>
      <c r="AB170" s="1164" t="n"/>
      <c r="AC170" s="1164" t="n"/>
      <c r="AD170" s="1164" t="n"/>
      <c r="AE170" s="1164" t="n"/>
      <c r="AF170" s="1164" t="n"/>
      <c r="AG170" s="1165" t="n"/>
      <c r="AH170" s="1164" t="n"/>
      <c r="AI170" s="1164" t="n"/>
      <c r="AJ170" s="1164" t="n"/>
      <c r="AK170" s="1164" t="n"/>
      <c r="AL170" s="1165" t="n"/>
    </row>
    <row r="171">
      <c r="C171" s="1163">
        <f>C137</f>
        <v/>
      </c>
      <c r="D171" s="2530">
        <f>D137</f>
        <v/>
      </c>
      <c r="E171" s="2530">
        <f>E137</f>
        <v/>
      </c>
      <c r="F171" s="1164" t="n"/>
      <c r="G171" s="1164" t="n"/>
      <c r="H171" s="1164" t="n"/>
      <c r="I171" s="1164" t="n"/>
      <c r="J171" s="1164" t="n"/>
      <c r="K171" s="1165" t="n"/>
      <c r="L171" s="1164" t="n"/>
      <c r="M171" s="1164" t="n"/>
      <c r="N171" s="1164" t="n"/>
      <c r="O171" s="1164" t="n"/>
      <c r="P171" s="1164" t="n"/>
      <c r="Q171" s="1165" t="n"/>
      <c r="R171" s="1164" t="n"/>
      <c r="S171" s="1164" t="n"/>
      <c r="T171" s="1164" t="n"/>
      <c r="U171" s="1164" t="n"/>
      <c r="V171" s="1164" t="n"/>
      <c r="W171" s="1164" t="n"/>
      <c r="X171" s="1164" t="n"/>
      <c r="Y171" s="1165" t="n"/>
      <c r="Z171" s="1164" t="n"/>
      <c r="AA171" s="1164" t="n"/>
      <c r="AB171" s="1164" t="n"/>
      <c r="AC171" s="1164" t="n"/>
      <c r="AD171" s="1164" t="n"/>
      <c r="AE171" s="1164" t="n"/>
      <c r="AF171" s="1164" t="n"/>
      <c r="AG171" s="1165" t="n"/>
      <c r="AH171" s="1164" t="n"/>
      <c r="AI171" s="1164" t="n"/>
      <c r="AJ171" s="1164" t="n"/>
      <c r="AK171" s="1164" t="n"/>
      <c r="AL171" s="1165" t="n"/>
    </row>
    <row r="172">
      <c r="C172" s="1163">
        <f>C138</f>
        <v/>
      </c>
      <c r="D172" s="2530">
        <f>D138</f>
        <v/>
      </c>
      <c r="E172" s="2530">
        <f>E138</f>
        <v/>
      </c>
      <c r="F172" s="1164" t="n"/>
      <c r="G172" s="1164" t="n"/>
      <c r="H172" s="1164" t="n"/>
      <c r="I172" s="1164" t="n"/>
      <c r="J172" s="1164" t="n"/>
      <c r="K172" s="1165" t="n"/>
      <c r="L172" s="1164" t="n"/>
      <c r="M172" s="1164" t="n"/>
      <c r="N172" s="1164" t="n"/>
      <c r="O172" s="1164" t="n"/>
      <c r="P172" s="1164" t="n"/>
      <c r="Q172" s="1165" t="n"/>
      <c r="R172" s="1164" t="n"/>
      <c r="S172" s="1164" t="n"/>
      <c r="T172" s="1164" t="n"/>
      <c r="U172" s="1164" t="n"/>
      <c r="V172" s="1164" t="n"/>
      <c r="W172" s="1164" t="n"/>
      <c r="X172" s="1164" t="n"/>
      <c r="Y172" s="1165" t="n"/>
      <c r="Z172" s="1164" t="n"/>
      <c r="AA172" s="1164" t="n"/>
      <c r="AB172" s="1164" t="n"/>
      <c r="AC172" s="1164" t="n"/>
      <c r="AD172" s="1164" t="n"/>
      <c r="AE172" s="1164" t="n"/>
      <c r="AF172" s="1164" t="n"/>
      <c r="AG172" s="1165" t="n"/>
      <c r="AH172" s="1164" t="n"/>
      <c r="AI172" s="1164" t="n"/>
      <c r="AJ172" s="1164" t="n"/>
      <c r="AK172" s="1164" t="n"/>
      <c r="AL172" s="1165" t="n"/>
    </row>
    <row r="173">
      <c r="C173" s="1163">
        <f>C139</f>
        <v/>
      </c>
      <c r="D173" s="2530">
        <f>D139</f>
        <v/>
      </c>
      <c r="E173" s="2530">
        <f>E139</f>
        <v/>
      </c>
      <c r="F173" s="1164" t="n"/>
      <c r="G173" s="1164" t="n"/>
      <c r="H173" s="1164" t="n"/>
      <c r="I173" s="1164" t="n"/>
      <c r="J173" s="1164" t="n"/>
      <c r="K173" s="1165" t="n"/>
      <c r="L173" s="1164" t="n"/>
      <c r="M173" s="1164" t="n"/>
      <c r="N173" s="1164" t="n"/>
      <c r="O173" s="1164" t="n"/>
      <c r="P173" s="1164" t="n"/>
      <c r="Q173" s="1165" t="n"/>
      <c r="R173" s="1164" t="n"/>
      <c r="S173" s="1164" t="n"/>
      <c r="T173" s="1164" t="n"/>
      <c r="U173" s="1164" t="n"/>
      <c r="V173" s="1164" t="n"/>
      <c r="W173" s="1164" t="n"/>
      <c r="X173" s="1164" t="n"/>
      <c r="Y173" s="1165" t="n"/>
      <c r="Z173" s="1164" t="n"/>
      <c r="AA173" s="1164" t="n"/>
      <c r="AB173" s="1164" t="n"/>
      <c r="AC173" s="1164" t="n"/>
      <c r="AD173" s="1164" t="n"/>
      <c r="AE173" s="1164" t="n"/>
      <c r="AF173" s="1164" t="n"/>
      <c r="AG173" s="1165" t="n"/>
      <c r="AH173" s="1164" t="n"/>
      <c r="AI173" s="1164" t="n"/>
      <c r="AJ173" s="1164" t="n"/>
      <c r="AK173" s="1164" t="n"/>
      <c r="AL173" s="1165" t="n"/>
    </row>
    <row r="174">
      <c r="C174" s="1163">
        <f>C140</f>
        <v/>
      </c>
      <c r="D174" s="2530">
        <f>D140</f>
        <v/>
      </c>
      <c r="E174" s="2530">
        <f>E140</f>
        <v/>
      </c>
      <c r="F174" s="1164" t="n"/>
      <c r="G174" s="1164" t="n"/>
      <c r="H174" s="1164" t="n"/>
      <c r="I174" s="1164" t="n"/>
      <c r="J174" s="1164" t="n"/>
      <c r="K174" s="1165" t="n"/>
      <c r="L174" s="1164" t="n"/>
      <c r="M174" s="1164" t="n"/>
      <c r="N174" s="1164" t="n"/>
      <c r="O174" s="1164" t="n"/>
      <c r="P174" s="1164" t="n"/>
      <c r="Q174" s="1165" t="n"/>
      <c r="R174" s="1164" t="n"/>
      <c r="S174" s="1164" t="n"/>
      <c r="T174" s="1164" t="n"/>
      <c r="U174" s="1164" t="n"/>
      <c r="V174" s="1164" t="n"/>
      <c r="W174" s="1164" t="n"/>
      <c r="X174" s="1164" t="n"/>
      <c r="Y174" s="1165" t="n"/>
      <c r="Z174" s="1164" t="n"/>
      <c r="AA174" s="1164" t="n"/>
      <c r="AB174" s="1164" t="n"/>
      <c r="AC174" s="1164" t="n"/>
      <c r="AD174" s="1164" t="n"/>
      <c r="AE174" s="1164" t="n"/>
      <c r="AF174" s="1164" t="n"/>
      <c r="AG174" s="1165" t="n"/>
      <c r="AH174" s="1164" t="n"/>
      <c r="AI174" s="1164" t="n"/>
      <c r="AJ174" s="1164" t="n"/>
      <c r="AK174" s="1164" t="n"/>
      <c r="AL174" s="1165" t="n"/>
    </row>
    <row r="175">
      <c r="C175" s="1163">
        <f>C141</f>
        <v/>
      </c>
      <c r="D175" s="2530">
        <f>D141</f>
        <v/>
      </c>
      <c r="E175" s="2530">
        <f>E141</f>
        <v/>
      </c>
      <c r="F175" s="1164" t="n"/>
      <c r="G175" s="1164" t="n"/>
      <c r="H175" s="1164" t="n"/>
      <c r="I175" s="1164" t="n"/>
      <c r="J175" s="1164" t="n"/>
      <c r="K175" s="1165" t="n"/>
      <c r="L175" s="1164" t="n"/>
      <c r="M175" s="1164" t="n"/>
      <c r="N175" s="1164" t="n"/>
      <c r="O175" s="1164" t="n"/>
      <c r="P175" s="1164" t="n"/>
      <c r="Q175" s="1165" t="n"/>
      <c r="R175" s="1164" t="n"/>
      <c r="S175" s="1164" t="n"/>
      <c r="T175" s="1164" t="n"/>
      <c r="U175" s="1164" t="n"/>
      <c r="V175" s="1164" t="n"/>
      <c r="W175" s="1164" t="n"/>
      <c r="X175" s="1164" t="n"/>
      <c r="Y175" s="1165" t="n"/>
      <c r="Z175" s="1164" t="n"/>
      <c r="AA175" s="1164" t="n"/>
      <c r="AB175" s="1164" t="n"/>
      <c r="AC175" s="1164" t="n"/>
      <c r="AD175" s="1164" t="n"/>
      <c r="AE175" s="1164" t="n"/>
      <c r="AF175" s="1164" t="n"/>
      <c r="AG175" s="1165" t="n"/>
      <c r="AH175" s="1164" t="n"/>
      <c r="AI175" s="1164" t="n"/>
      <c r="AJ175" s="1164" t="n"/>
      <c r="AK175" s="1164" t="n"/>
      <c r="AL175" s="1165" t="n"/>
    </row>
    <row r="176">
      <c r="C176" s="1163">
        <f>C142</f>
        <v/>
      </c>
      <c r="D176" s="2530">
        <f>D142</f>
        <v/>
      </c>
      <c r="E176" s="2530">
        <f>E142</f>
        <v/>
      </c>
      <c r="F176" s="1164" t="n"/>
      <c r="G176" s="1164" t="n"/>
      <c r="H176" s="1164" t="n"/>
      <c r="I176" s="1164" t="n"/>
      <c r="J176" s="1164" t="n"/>
      <c r="K176" s="1165" t="n"/>
      <c r="L176" s="1164" t="n"/>
      <c r="M176" s="1164" t="n"/>
      <c r="N176" s="1164" t="n"/>
      <c r="O176" s="1164" t="n"/>
      <c r="P176" s="1164" t="n"/>
      <c r="Q176" s="1165" t="n"/>
      <c r="R176" s="1164" t="n"/>
      <c r="S176" s="1164" t="n"/>
      <c r="T176" s="1164" t="n"/>
      <c r="U176" s="1164" t="n"/>
      <c r="V176" s="1164" t="n"/>
      <c r="W176" s="1164" t="n"/>
      <c r="X176" s="1164" t="n"/>
      <c r="Y176" s="1165" t="n"/>
      <c r="Z176" s="1164" t="n"/>
      <c r="AA176" s="1164" t="n"/>
      <c r="AB176" s="1164" t="n"/>
      <c r="AC176" s="1164" t="n"/>
      <c r="AD176" s="1164" t="n"/>
      <c r="AE176" s="1164" t="n"/>
      <c r="AF176" s="1164" t="n"/>
      <c r="AG176" s="1165" t="n"/>
      <c r="AH176" s="1164" t="n"/>
      <c r="AI176" s="1164" t="n"/>
      <c r="AJ176" s="1164" t="n"/>
      <c r="AK176" s="1164" t="n"/>
      <c r="AL176" s="1165" t="n"/>
    </row>
    <row r="177">
      <c r="C177" s="1163">
        <f>C143</f>
        <v/>
      </c>
      <c r="D177" s="2530">
        <f>D143</f>
        <v/>
      </c>
      <c r="E177" s="2530">
        <f>E143</f>
        <v/>
      </c>
      <c r="F177" s="1164" t="n"/>
      <c r="G177" s="1164" t="n"/>
      <c r="H177" s="1164" t="n"/>
      <c r="I177" s="1164" t="n"/>
      <c r="J177" s="1164" t="n"/>
      <c r="K177" s="1165" t="n"/>
      <c r="L177" s="1164" t="n"/>
      <c r="M177" s="1164" t="n"/>
      <c r="N177" s="1164" t="n"/>
      <c r="O177" s="1164" t="n"/>
      <c r="P177" s="1164" t="n"/>
      <c r="Q177" s="1165" t="n"/>
      <c r="R177" s="1164" t="n"/>
      <c r="S177" s="1164" t="n"/>
      <c r="T177" s="1164" t="n"/>
      <c r="U177" s="1164" t="n"/>
      <c r="V177" s="1164" t="n"/>
      <c r="W177" s="1164" t="n"/>
      <c r="X177" s="1164" t="n"/>
      <c r="Y177" s="1165" t="n"/>
      <c r="Z177" s="1164" t="n"/>
      <c r="AA177" s="1164" t="n"/>
      <c r="AB177" s="1164" t="n"/>
      <c r="AC177" s="1164" t="n"/>
      <c r="AD177" s="1164" t="n"/>
      <c r="AE177" s="1164" t="n"/>
      <c r="AF177" s="1164" t="n"/>
      <c r="AG177" s="1165" t="n"/>
      <c r="AH177" s="1164" t="n"/>
      <c r="AI177" s="1164" t="n"/>
      <c r="AJ177" s="1164" t="n"/>
      <c r="AK177" s="1164" t="n"/>
      <c r="AL177" s="1165" t="n"/>
    </row>
    <row r="178">
      <c r="C178" s="1163">
        <f>C144</f>
        <v/>
      </c>
      <c r="D178" s="2530">
        <f>D144</f>
        <v/>
      </c>
      <c r="E178" s="2530">
        <f>E144</f>
        <v/>
      </c>
      <c r="F178" s="1164" t="n"/>
      <c r="G178" s="1164" t="n"/>
      <c r="H178" s="1164" t="n"/>
      <c r="I178" s="1164" t="n"/>
      <c r="J178" s="1164" t="n"/>
      <c r="K178" s="1165" t="n"/>
      <c r="L178" s="1164" t="n"/>
      <c r="M178" s="1164" t="n"/>
      <c r="N178" s="1164" t="n"/>
      <c r="O178" s="1164" t="n"/>
      <c r="P178" s="1164" t="n"/>
      <c r="Q178" s="1165" t="n"/>
      <c r="R178" s="1164" t="n"/>
      <c r="S178" s="1164" t="n"/>
      <c r="T178" s="1164" t="n"/>
      <c r="U178" s="1164" t="n"/>
      <c r="V178" s="1164" t="n"/>
      <c r="W178" s="1164" t="n"/>
      <c r="X178" s="1164" t="n"/>
      <c r="Y178" s="1165" t="n"/>
      <c r="Z178" s="1164" t="n"/>
      <c r="AA178" s="1164" t="n"/>
      <c r="AB178" s="1164" t="n"/>
      <c r="AC178" s="1164" t="n"/>
      <c r="AD178" s="1164" t="n"/>
      <c r="AE178" s="1164" t="n"/>
      <c r="AF178" s="1164" t="n"/>
      <c r="AG178" s="1165" t="n"/>
      <c r="AH178" s="1164" t="n"/>
      <c r="AI178" s="1164" t="n"/>
      <c r="AJ178" s="1164" t="n"/>
      <c r="AK178" s="1164" t="n"/>
      <c r="AL178" s="1165" t="n"/>
    </row>
    <row r="179">
      <c r="C179" s="1163">
        <f>C145</f>
        <v/>
      </c>
      <c r="D179" s="2530">
        <f>D145</f>
        <v/>
      </c>
      <c r="E179" s="2530">
        <f>E145</f>
        <v/>
      </c>
      <c r="F179" s="1164" t="n"/>
      <c r="G179" s="1164" t="n"/>
      <c r="H179" s="1164" t="n"/>
      <c r="I179" s="1164" t="n"/>
      <c r="J179" s="1164" t="n"/>
      <c r="K179" s="1165" t="n"/>
      <c r="L179" s="1164" t="n"/>
      <c r="M179" s="1164" t="n"/>
      <c r="N179" s="1164" t="n"/>
      <c r="O179" s="1164" t="n"/>
      <c r="P179" s="1164" t="n"/>
      <c r="Q179" s="1165" t="n"/>
      <c r="R179" s="1164" t="n"/>
      <c r="S179" s="1164" t="n"/>
      <c r="T179" s="1164" t="n"/>
      <c r="U179" s="1164" t="n"/>
      <c r="V179" s="1164" t="n"/>
      <c r="W179" s="1164" t="n"/>
      <c r="X179" s="1164" t="n"/>
      <c r="Y179" s="1165" t="n"/>
      <c r="Z179" s="1164" t="n"/>
      <c r="AA179" s="1164" t="n"/>
      <c r="AB179" s="1164" t="n"/>
      <c r="AC179" s="1164" t="n"/>
      <c r="AD179" s="1164" t="n"/>
      <c r="AE179" s="1164" t="n"/>
      <c r="AF179" s="1164" t="n"/>
      <c r="AG179" s="1165" t="n"/>
      <c r="AH179" s="1164" t="n"/>
      <c r="AI179" s="1164" t="n"/>
      <c r="AJ179" s="1164" t="n"/>
      <c r="AK179" s="1164" t="n"/>
      <c r="AL179" s="1165" t="n"/>
    </row>
    <row r="180">
      <c r="C180" s="1163">
        <f>C146</f>
        <v/>
      </c>
      <c r="D180" s="2530">
        <f>D146</f>
        <v/>
      </c>
      <c r="E180" s="2530">
        <f>E146</f>
        <v/>
      </c>
      <c r="F180" s="1164" t="n"/>
      <c r="G180" s="1164" t="n"/>
      <c r="H180" s="1164" t="n"/>
      <c r="I180" s="1164" t="n"/>
      <c r="J180" s="1164" t="n"/>
      <c r="K180" s="1165" t="n"/>
      <c r="L180" s="1164" t="n"/>
      <c r="M180" s="1164" t="n"/>
      <c r="N180" s="1164" t="n"/>
      <c r="O180" s="1164" t="n"/>
      <c r="P180" s="1164" t="n"/>
      <c r="Q180" s="1165" t="n"/>
      <c r="R180" s="1164" t="n"/>
      <c r="S180" s="1164" t="n"/>
      <c r="T180" s="1164" t="n"/>
      <c r="U180" s="1164" t="n"/>
      <c r="V180" s="1164" t="n"/>
      <c r="W180" s="1164" t="n"/>
      <c r="X180" s="1164" t="n"/>
      <c r="Y180" s="1165" t="n"/>
      <c r="Z180" s="1164" t="n"/>
      <c r="AA180" s="1164" t="n"/>
      <c r="AB180" s="1164" t="n"/>
      <c r="AC180" s="1164" t="n"/>
      <c r="AD180" s="1164" t="n"/>
      <c r="AE180" s="1164" t="n"/>
      <c r="AF180" s="1164" t="n"/>
      <c r="AG180" s="1165" t="n"/>
      <c r="AH180" s="1164" t="n"/>
      <c r="AI180" s="1164" t="n"/>
      <c r="AJ180" s="1164" t="n"/>
      <c r="AK180" s="1164" t="n"/>
      <c r="AL180" s="1165" t="n"/>
    </row>
    <row r="181">
      <c r="C181" s="1163">
        <f>C147</f>
        <v/>
      </c>
      <c r="D181" s="2530">
        <f>D147</f>
        <v/>
      </c>
      <c r="E181" s="2530">
        <f>E147</f>
        <v/>
      </c>
      <c r="F181" s="1164" t="n"/>
      <c r="G181" s="1164" t="n"/>
      <c r="H181" s="1164" t="n"/>
      <c r="I181" s="1164" t="n"/>
      <c r="J181" s="1164" t="n"/>
      <c r="K181" s="1165" t="n"/>
      <c r="L181" s="1164" t="n"/>
      <c r="M181" s="1164" t="n"/>
      <c r="N181" s="1164" t="n"/>
      <c r="O181" s="1164" t="n"/>
      <c r="P181" s="1164" t="n"/>
      <c r="Q181" s="1165" t="n"/>
      <c r="R181" s="1164" t="n"/>
      <c r="S181" s="1164" t="n"/>
      <c r="T181" s="1164" t="n"/>
      <c r="U181" s="1164" t="n"/>
      <c r="V181" s="1164" t="n"/>
      <c r="W181" s="1164" t="n"/>
      <c r="X181" s="1164" t="n"/>
      <c r="Y181" s="1165" t="n"/>
      <c r="Z181" s="1164" t="n"/>
      <c r="AA181" s="1164" t="n"/>
      <c r="AB181" s="1164" t="n"/>
      <c r="AC181" s="1164" t="n"/>
      <c r="AD181" s="1164" t="n"/>
      <c r="AE181" s="1164" t="n"/>
      <c r="AF181" s="1164" t="n"/>
      <c r="AG181" s="1165" t="n"/>
      <c r="AH181" s="1164" t="n"/>
      <c r="AI181" s="1164" t="n"/>
      <c r="AJ181" s="1164" t="n"/>
      <c r="AK181" s="1164" t="n"/>
      <c r="AL181" s="1165" t="n"/>
    </row>
    <row r="182">
      <c r="C182" s="1163">
        <f>C148</f>
        <v/>
      </c>
      <c r="D182" s="2530">
        <f>D148</f>
        <v/>
      </c>
      <c r="E182" s="2530">
        <f>E148</f>
        <v/>
      </c>
      <c r="F182" s="1164" t="n"/>
      <c r="G182" s="1164" t="n"/>
      <c r="H182" s="1164" t="n"/>
      <c r="I182" s="1164" t="n"/>
      <c r="J182" s="1164" t="n"/>
      <c r="K182" s="1165" t="n"/>
      <c r="L182" s="1164" t="n"/>
      <c r="M182" s="1164" t="n"/>
      <c r="N182" s="1164" t="n"/>
      <c r="O182" s="1164" t="n"/>
      <c r="P182" s="1164" t="n"/>
      <c r="Q182" s="1165" t="n"/>
      <c r="R182" s="1164" t="n"/>
      <c r="S182" s="1164" t="n"/>
      <c r="T182" s="1164" t="n"/>
      <c r="U182" s="1164" t="n"/>
      <c r="V182" s="1164" t="n"/>
      <c r="W182" s="1164" t="n"/>
      <c r="X182" s="1164" t="n"/>
      <c r="Y182" s="1165" t="n"/>
      <c r="Z182" s="1164" t="n"/>
      <c r="AA182" s="1164" t="n"/>
      <c r="AB182" s="1164" t="n"/>
      <c r="AC182" s="1164" t="n"/>
      <c r="AD182" s="1164" t="n"/>
      <c r="AE182" s="1164" t="n"/>
      <c r="AF182" s="1164" t="n"/>
      <c r="AG182" s="1165" t="n"/>
      <c r="AH182" s="1164" t="n"/>
      <c r="AI182" s="1164" t="n"/>
      <c r="AJ182" s="1164" t="n"/>
      <c r="AK182" s="1164" t="n"/>
      <c r="AL182" s="1165" t="n"/>
    </row>
    <row r="183">
      <c r="C183" s="1163">
        <f>C149</f>
        <v/>
      </c>
      <c r="D183" s="2530">
        <f>D149</f>
        <v/>
      </c>
      <c r="E183" s="2530">
        <f>E149</f>
        <v/>
      </c>
      <c r="F183" s="1164" t="n"/>
      <c r="G183" s="1164" t="n"/>
      <c r="H183" s="1164" t="n"/>
      <c r="I183" s="1164" t="n"/>
      <c r="J183" s="1164" t="n"/>
      <c r="K183" s="1165" t="n"/>
      <c r="L183" s="1164" t="n"/>
      <c r="M183" s="1164" t="n"/>
      <c r="N183" s="1164" t="n"/>
      <c r="O183" s="1164" t="n"/>
      <c r="P183" s="1164" t="n"/>
      <c r="Q183" s="1165" t="n"/>
      <c r="R183" s="1164" t="n"/>
      <c r="S183" s="1164" t="n"/>
      <c r="T183" s="1164" t="n"/>
      <c r="U183" s="1164" t="n"/>
      <c r="V183" s="1164" t="n"/>
      <c r="W183" s="1164" t="n"/>
      <c r="X183" s="1164" t="n"/>
      <c r="Y183" s="1165" t="n"/>
      <c r="Z183" s="1164" t="n"/>
      <c r="AA183" s="1164" t="n"/>
      <c r="AB183" s="1164" t="n"/>
      <c r="AC183" s="1164" t="n"/>
      <c r="AD183" s="1164" t="n"/>
      <c r="AE183" s="1164" t="n"/>
      <c r="AF183" s="1164" t="n"/>
      <c r="AG183" s="1165" t="n"/>
      <c r="AH183" s="1164" t="n"/>
      <c r="AI183" s="1164" t="n"/>
      <c r="AJ183" s="1164" t="n"/>
      <c r="AK183" s="1164" t="n"/>
      <c r="AL183" s="1165" t="n"/>
    </row>
    <row r="184">
      <c r="C184" s="1163">
        <f>C150</f>
        <v/>
      </c>
      <c r="D184" s="2530">
        <f>D150</f>
        <v/>
      </c>
      <c r="E184" s="2530">
        <f>E150</f>
        <v/>
      </c>
      <c r="F184" s="1164" t="n"/>
      <c r="G184" s="1164" t="n"/>
      <c r="H184" s="1164" t="n"/>
      <c r="I184" s="1164" t="n"/>
      <c r="J184" s="1164" t="n"/>
      <c r="K184" s="1165" t="n"/>
      <c r="L184" s="1164" t="n"/>
      <c r="M184" s="1164" t="n"/>
      <c r="N184" s="1164" t="n"/>
      <c r="O184" s="1164" t="n"/>
      <c r="P184" s="1164" t="n"/>
      <c r="Q184" s="1165" t="n"/>
      <c r="R184" s="1164" t="n"/>
      <c r="S184" s="1164" t="n"/>
      <c r="T184" s="1164" t="n"/>
      <c r="U184" s="1164" t="n"/>
      <c r="V184" s="1164" t="n"/>
      <c r="W184" s="1164" t="n"/>
      <c r="X184" s="1164" t="n"/>
      <c r="Y184" s="1165" t="n"/>
      <c r="Z184" s="1164" t="n"/>
      <c r="AA184" s="1164" t="n"/>
      <c r="AB184" s="1164" t="n"/>
      <c r="AC184" s="1164" t="n"/>
      <c r="AD184" s="1164" t="n"/>
      <c r="AE184" s="1164" t="n"/>
      <c r="AF184" s="1164" t="n"/>
      <c r="AG184" s="1165" t="n"/>
      <c r="AH184" s="1164" t="n"/>
      <c r="AI184" s="1164" t="n"/>
      <c r="AJ184" s="1164" t="n"/>
      <c r="AK184" s="1164" t="n"/>
      <c r="AL184" s="1165" t="n"/>
    </row>
    <row r="185">
      <c r="C185" s="1163">
        <f>C151</f>
        <v/>
      </c>
      <c r="D185" s="2530">
        <f>D151</f>
        <v/>
      </c>
      <c r="E185" s="2530">
        <f>E151</f>
        <v/>
      </c>
      <c r="F185" s="1164" t="n"/>
      <c r="G185" s="1164" t="n"/>
      <c r="H185" s="1164" t="n"/>
      <c r="I185" s="1164" t="n"/>
      <c r="J185" s="1164" t="n"/>
      <c r="K185" s="1165" t="n"/>
      <c r="L185" s="1164" t="n"/>
      <c r="M185" s="1164" t="n"/>
      <c r="N185" s="1164" t="n"/>
      <c r="O185" s="1164" t="n"/>
      <c r="P185" s="1164" t="n"/>
      <c r="Q185" s="1165" t="n"/>
      <c r="R185" s="1164" t="n"/>
      <c r="S185" s="1164" t="n"/>
      <c r="T185" s="1164" t="n"/>
      <c r="U185" s="1164" t="n"/>
      <c r="V185" s="1164" t="n"/>
      <c r="W185" s="1164" t="n"/>
      <c r="X185" s="1164" t="n"/>
      <c r="Y185" s="1165" t="n"/>
      <c r="Z185" s="1164" t="n"/>
      <c r="AA185" s="1164" t="n"/>
      <c r="AB185" s="1164" t="n"/>
      <c r="AC185" s="1164" t="n"/>
      <c r="AD185" s="1164" t="n"/>
      <c r="AE185" s="1164" t="n"/>
      <c r="AF185" s="1164" t="n"/>
      <c r="AG185" s="1165" t="n"/>
      <c r="AH185" s="1164" t="n"/>
      <c r="AI185" s="1164" t="n"/>
      <c r="AJ185" s="1164" t="n"/>
      <c r="AK185" s="1164" t="n"/>
      <c r="AL185" s="1165" t="n"/>
    </row>
    <row r="186">
      <c r="C186" s="1163">
        <f>C152</f>
        <v/>
      </c>
      <c r="D186" s="2530">
        <f>D152</f>
        <v/>
      </c>
      <c r="E186" s="2530">
        <f>E152</f>
        <v/>
      </c>
      <c r="F186" s="1164" t="n"/>
      <c r="G186" s="1164" t="n"/>
      <c r="H186" s="1164" t="n"/>
      <c r="I186" s="1164" t="n"/>
      <c r="J186" s="1164" t="n"/>
      <c r="K186" s="1165" t="n"/>
      <c r="L186" s="1164" t="n"/>
      <c r="M186" s="1164" t="n"/>
      <c r="N186" s="1164" t="n"/>
      <c r="O186" s="1164" t="n"/>
      <c r="P186" s="1164" t="n"/>
      <c r="Q186" s="1165" t="n"/>
      <c r="R186" s="1164" t="n"/>
      <c r="S186" s="1164" t="n"/>
      <c r="T186" s="1164" t="n"/>
      <c r="U186" s="1164" t="n"/>
      <c r="V186" s="1164" t="n"/>
      <c r="W186" s="1164" t="n"/>
      <c r="X186" s="1164" t="n"/>
      <c r="Y186" s="1165" t="n"/>
      <c r="Z186" s="1164" t="n"/>
      <c r="AA186" s="1164" t="n"/>
      <c r="AB186" s="1164" t="n"/>
      <c r="AC186" s="1164" t="n"/>
      <c r="AD186" s="1164" t="n"/>
      <c r="AE186" s="1164" t="n"/>
      <c r="AF186" s="1164" t="n"/>
      <c r="AG186" s="1165" t="n"/>
      <c r="AH186" s="1164" t="n"/>
      <c r="AI186" s="1164" t="n"/>
      <c r="AJ186" s="1164" t="n"/>
      <c r="AK186" s="1164" t="n"/>
      <c r="AL186" s="1165" t="n"/>
    </row>
    <row r="187">
      <c r="C187" s="1166">
        <f>C153</f>
        <v/>
      </c>
      <c r="D187" s="2531">
        <f>D153</f>
        <v/>
      </c>
      <c r="E187" s="2531">
        <f>E153</f>
        <v/>
      </c>
      <c r="F187" s="1167" t="n"/>
      <c r="G187" s="1167" t="n"/>
      <c r="H187" s="1167" t="n"/>
      <c r="I187" s="1167" t="n"/>
      <c r="J187" s="1167" t="n"/>
      <c r="K187" s="1168" t="n"/>
      <c r="L187" s="1167" t="n"/>
      <c r="M187" s="1167" t="n"/>
      <c r="N187" s="1167" t="n"/>
      <c r="O187" s="1167" t="n"/>
      <c r="P187" s="1167" t="n"/>
      <c r="Q187" s="1168" t="n"/>
      <c r="R187" s="1167" t="n"/>
      <c r="S187" s="1167" t="n"/>
      <c r="T187" s="1167" t="n"/>
      <c r="U187" s="1167" t="n"/>
      <c r="V187" s="1167" t="n"/>
      <c r="W187" s="1167" t="n"/>
      <c r="X187" s="1167" t="n"/>
      <c r="Y187" s="1168" t="n"/>
      <c r="Z187" s="1167" t="n"/>
      <c r="AA187" s="1167" t="n"/>
      <c r="AB187" s="1167" t="n"/>
      <c r="AC187" s="1167" t="n"/>
      <c r="AD187" s="1167" t="n"/>
      <c r="AE187" s="1167" t="n"/>
      <c r="AF187" s="1167" t="n"/>
      <c r="AG187" s="1168" t="n"/>
      <c r="AH187" s="1167" t="n"/>
      <c r="AI187" s="1167" t="n"/>
      <c r="AJ187" s="1167" t="n"/>
      <c r="AK187" s="1167" t="n"/>
      <c r="AL187" s="1168" t="n"/>
    </row>
    <row r="188" ht="17.5" customFormat="1" customHeight="1" s="71"/>
    <row r="189">
      <c r="C189" s="1189" t="inlineStr">
        <is>
          <t>Table 2C: Historical &amp; Forecast Margins</t>
        </is>
      </c>
      <c r="D189" s="1189" t="n"/>
      <c r="E189" s="1189" t="n"/>
      <c r="F189" s="1189" t="n"/>
      <c r="G189" s="1189" t="n"/>
      <c r="H189" s="1189" t="n"/>
      <c r="I189" s="1189" t="n"/>
      <c r="J189" s="1189" t="n"/>
      <c r="K189" s="1189" t="n"/>
      <c r="L189" s="1189" t="n"/>
      <c r="M189" s="1189" t="n"/>
      <c r="N189" s="1189" t="n"/>
      <c r="O189" s="1189" t="n"/>
      <c r="P189" s="1189" t="n"/>
      <c r="Q189" s="1189" t="n"/>
      <c r="R189" s="1189" t="n"/>
      <c r="S189" s="1189" t="n"/>
      <c r="T189" s="1189" t="n"/>
      <c r="U189" s="1189" t="n"/>
      <c r="V189" s="1189" t="n"/>
      <c r="W189" s="1189" t="n"/>
      <c r="X189" s="1189" t="n"/>
      <c r="Y189" s="1189" t="n"/>
      <c r="Z189" s="1189" t="n"/>
      <c r="AA189" s="1189" t="n"/>
      <c r="AB189" s="1189" t="n"/>
      <c r="AC189" s="1189" t="n"/>
      <c r="AD189" s="1189" t="n"/>
      <c r="AE189" s="1189" t="n"/>
      <c r="AF189" s="1189" t="n"/>
      <c r="AG189" s="1189" t="n"/>
      <c r="AH189" s="1189" t="n"/>
      <c r="AI189" s="1189" t="n"/>
      <c r="AJ189" s="1160" t="n"/>
      <c r="AK189" s="1160" t="n"/>
      <c r="AL189" s="1160" t="n"/>
    </row>
    <row r="190" ht="15.65" customHeight="1">
      <c r="C190" s="1194">
        <f>C122</f>
        <v/>
      </c>
      <c r="D190" s="1195">
        <f>D122</f>
        <v/>
      </c>
      <c r="E190" s="1195">
        <f>E122</f>
        <v/>
      </c>
      <c r="F190" s="1855" t="inlineStr">
        <is>
          <t>Gross Margin</t>
        </is>
      </c>
      <c r="G190" s="2527" t="n"/>
      <c r="H190" s="2527" t="n"/>
      <c r="I190" s="2527" t="n"/>
      <c r="J190" s="2527" t="n"/>
      <c r="K190" s="2528" t="n"/>
      <c r="L190" s="1855" t="inlineStr">
        <is>
          <t>EBITDA Margin</t>
        </is>
      </c>
      <c r="M190" s="2527" t="n"/>
      <c r="N190" s="2527" t="n"/>
      <c r="O190" s="2527" t="n"/>
      <c r="P190" s="2527" t="n"/>
      <c r="Q190" s="2527" t="n"/>
      <c r="R190" s="2527" t="n"/>
      <c r="S190" s="2527" t="n"/>
      <c r="T190" s="2528" t="n"/>
      <c r="U190" s="1855" t="inlineStr">
        <is>
          <t>EBIT Margin</t>
        </is>
      </c>
      <c r="V190" s="2527" t="n"/>
      <c r="W190" s="2527" t="n"/>
      <c r="X190" s="2527" t="n"/>
      <c r="Y190" s="2527" t="n"/>
      <c r="Z190" s="2527" t="n"/>
      <c r="AA190" s="2527" t="n"/>
      <c r="AB190" s="2527" t="n"/>
      <c r="AC190" s="2528" t="n"/>
      <c r="AD190" s="1855" t="inlineStr">
        <is>
          <t>Net Margin</t>
        </is>
      </c>
      <c r="AE190" s="2527" t="n"/>
      <c r="AF190" s="2527" t="n"/>
      <c r="AG190" s="2527" t="n"/>
      <c r="AH190" s="2527" t="n"/>
      <c r="AI190" s="2528" t="n"/>
      <c r="AJ190" s="1160" t="n"/>
      <c r="AK190" s="1160" t="n"/>
      <c r="AL190" s="1160" t="n"/>
    </row>
    <row r="191">
      <c r="C191" s="1177" t="n"/>
      <c r="D191" s="1178" t="n"/>
      <c r="E191" s="1178" t="n"/>
      <c r="F191" s="1179" t="inlineStr">
        <is>
          <t>FYE-1</t>
        </is>
      </c>
      <c r="G191" s="1179" t="inlineStr">
        <is>
          <t>FYE</t>
        </is>
      </c>
      <c r="H191" s="1179" t="inlineStr">
        <is>
          <t>TTM</t>
        </is>
      </c>
      <c r="I191" s="1179" t="inlineStr">
        <is>
          <t>FYE+1</t>
        </is>
      </c>
      <c r="J191" s="1179" t="inlineStr">
        <is>
          <t>FYE+2</t>
        </is>
      </c>
      <c r="K191" s="1172" t="inlineStr">
        <is>
          <t>FYE+3</t>
        </is>
      </c>
      <c r="L191" s="1179" t="inlineStr">
        <is>
          <t>FYE-3</t>
        </is>
      </c>
      <c r="M191" s="1179" t="inlineStr">
        <is>
          <t>FYE-2</t>
        </is>
      </c>
      <c r="N191" s="1179" t="inlineStr">
        <is>
          <t>FYE-1</t>
        </is>
      </c>
      <c r="O191" s="1179" t="inlineStr">
        <is>
          <t>FYE-1</t>
        </is>
      </c>
      <c r="P191" s="1179" t="inlineStr">
        <is>
          <t>FYE</t>
        </is>
      </c>
      <c r="Q191" s="1179" t="inlineStr">
        <is>
          <t>TTM</t>
        </is>
      </c>
      <c r="R191" s="1179" t="inlineStr">
        <is>
          <t>FYE+1</t>
        </is>
      </c>
      <c r="S191" s="1179" t="inlineStr">
        <is>
          <t>FYE+2</t>
        </is>
      </c>
      <c r="T191" s="1172" t="inlineStr">
        <is>
          <t>FYE+3</t>
        </is>
      </c>
      <c r="U191" s="1179" t="inlineStr">
        <is>
          <t>FYE-3</t>
        </is>
      </c>
      <c r="V191" s="1179" t="inlineStr">
        <is>
          <t>FYE-2</t>
        </is>
      </c>
      <c r="W191" s="1179" t="inlineStr">
        <is>
          <t>FYE-1</t>
        </is>
      </c>
      <c r="X191" s="1179" t="inlineStr">
        <is>
          <t>FYE-1</t>
        </is>
      </c>
      <c r="Y191" s="1179" t="inlineStr">
        <is>
          <t>FYE</t>
        </is>
      </c>
      <c r="Z191" s="1179" t="inlineStr">
        <is>
          <t>TTM</t>
        </is>
      </c>
      <c r="AA191" s="1179" t="inlineStr">
        <is>
          <t>FYE+1</t>
        </is>
      </c>
      <c r="AB191" s="1179" t="inlineStr">
        <is>
          <t>FYE+2</t>
        </is>
      </c>
      <c r="AC191" s="1172" t="inlineStr">
        <is>
          <t>FYE+3</t>
        </is>
      </c>
      <c r="AD191" s="1179" t="inlineStr">
        <is>
          <t>FYE-1</t>
        </is>
      </c>
      <c r="AE191" s="1179" t="inlineStr">
        <is>
          <t>FYE</t>
        </is>
      </c>
      <c r="AF191" s="1179" t="inlineStr">
        <is>
          <t>TTM</t>
        </is>
      </c>
      <c r="AG191" s="1179" t="inlineStr">
        <is>
          <t>FYE+1</t>
        </is>
      </c>
      <c r="AH191" s="1179" t="inlineStr">
        <is>
          <t>FYE+2</t>
        </is>
      </c>
      <c r="AI191" s="1172" t="inlineStr">
        <is>
          <t>FYE+3</t>
        </is>
      </c>
      <c r="AJ191" s="1160" t="n"/>
      <c r="AK191" s="1160" t="n"/>
      <c r="AL191" s="1160" t="n"/>
    </row>
    <row r="192">
      <c r="C192" s="1163">
        <f>C124</f>
        <v/>
      </c>
      <c r="D192" s="2530">
        <f>D124</f>
        <v/>
      </c>
      <c r="E192" s="2530">
        <f>E124</f>
        <v/>
      </c>
      <c r="F192" s="1164" t="n"/>
      <c r="G192" s="1164" t="n"/>
      <c r="H192" s="1164" t="n"/>
      <c r="I192" s="1164" t="n"/>
      <c r="J192" s="1164" t="n"/>
      <c r="K192" s="1165" t="n"/>
      <c r="L192" s="1164" t="n"/>
      <c r="M192" s="1164" t="n"/>
      <c r="N192" s="1164" t="n"/>
      <c r="O192" s="1164" t="n"/>
      <c r="P192" s="1164" t="n"/>
      <c r="Q192" s="1164" t="n"/>
      <c r="R192" s="1164" t="n"/>
      <c r="S192" s="1164" t="n"/>
      <c r="T192" s="1165" t="n"/>
      <c r="U192" s="1164" t="n"/>
      <c r="V192" s="1164" t="n"/>
      <c r="W192" s="1164" t="n"/>
      <c r="X192" s="1164" t="n"/>
      <c r="Y192" s="1164" t="n"/>
      <c r="Z192" s="1164" t="n"/>
      <c r="AA192" s="1164" t="n"/>
      <c r="AB192" s="1164" t="n"/>
      <c r="AC192" s="1165" t="n"/>
      <c r="AD192" s="1164" t="n"/>
      <c r="AE192" s="1164" t="n"/>
      <c r="AF192" s="1164" t="n"/>
      <c r="AG192" s="1164" t="n"/>
      <c r="AH192" s="1164" t="n"/>
      <c r="AI192" s="1165" t="n"/>
      <c r="AJ192" s="1160" t="n"/>
      <c r="AK192" s="1160" t="n"/>
      <c r="AL192" s="1160" t="n"/>
    </row>
    <row r="193">
      <c r="C193" s="1163">
        <f>C125</f>
        <v/>
      </c>
      <c r="D193" s="2530">
        <f>D125</f>
        <v/>
      </c>
      <c r="E193" s="2530">
        <f>E125</f>
        <v/>
      </c>
      <c r="F193" s="1164" t="n"/>
      <c r="G193" s="1164" t="n"/>
      <c r="H193" s="1164" t="n"/>
      <c r="I193" s="1164" t="n"/>
      <c r="J193" s="1164" t="n"/>
      <c r="K193" s="1165" t="n"/>
      <c r="L193" s="1164" t="n"/>
      <c r="M193" s="1164" t="n"/>
      <c r="N193" s="1164" t="n"/>
      <c r="O193" s="1164" t="n"/>
      <c r="P193" s="1164" t="n"/>
      <c r="Q193" s="1164" t="n"/>
      <c r="R193" s="1164" t="n"/>
      <c r="S193" s="1164" t="n"/>
      <c r="T193" s="1165" t="n"/>
      <c r="U193" s="1164" t="n"/>
      <c r="V193" s="1164" t="n"/>
      <c r="W193" s="1164" t="n"/>
      <c r="X193" s="1164" t="n"/>
      <c r="Y193" s="1164" t="n"/>
      <c r="Z193" s="1164" t="n"/>
      <c r="AA193" s="1164" t="n"/>
      <c r="AB193" s="1164" t="n"/>
      <c r="AC193" s="1165" t="n"/>
      <c r="AD193" s="1164" t="n"/>
      <c r="AE193" s="1164" t="n"/>
      <c r="AF193" s="1164" t="n"/>
      <c r="AG193" s="1164" t="n"/>
      <c r="AH193" s="1164" t="n"/>
      <c r="AI193" s="1165" t="n"/>
      <c r="AJ193" s="1160" t="n"/>
      <c r="AK193" s="1160" t="n"/>
      <c r="AL193" s="1160" t="n"/>
    </row>
    <row r="194">
      <c r="C194" s="1163">
        <f>C126</f>
        <v/>
      </c>
      <c r="D194" s="2530">
        <f>D126</f>
        <v/>
      </c>
      <c r="E194" s="2530">
        <f>E126</f>
        <v/>
      </c>
      <c r="F194" s="1164" t="n"/>
      <c r="G194" s="1164" t="n"/>
      <c r="H194" s="1164" t="n"/>
      <c r="I194" s="1164" t="n"/>
      <c r="J194" s="1164" t="n"/>
      <c r="K194" s="1165" t="n"/>
      <c r="L194" s="1164" t="n"/>
      <c r="M194" s="1164" t="n"/>
      <c r="N194" s="1164" t="n"/>
      <c r="O194" s="1164" t="n"/>
      <c r="P194" s="1164" t="n"/>
      <c r="Q194" s="1164" t="n"/>
      <c r="R194" s="1164" t="n"/>
      <c r="S194" s="1164" t="n"/>
      <c r="T194" s="1165" t="n"/>
      <c r="U194" s="1164" t="n"/>
      <c r="V194" s="1164" t="n"/>
      <c r="W194" s="1164" t="n"/>
      <c r="X194" s="1164" t="n"/>
      <c r="Y194" s="1164" t="n"/>
      <c r="Z194" s="1164" t="n"/>
      <c r="AA194" s="1164" t="n"/>
      <c r="AB194" s="1164" t="n"/>
      <c r="AC194" s="1165" t="n"/>
      <c r="AD194" s="1164" t="n"/>
      <c r="AE194" s="1164" t="n"/>
      <c r="AF194" s="1164" t="n"/>
      <c r="AG194" s="1164" t="n"/>
      <c r="AH194" s="1164" t="n"/>
      <c r="AI194" s="1165" t="n"/>
      <c r="AJ194" s="1160" t="n"/>
      <c r="AK194" s="1160" t="n"/>
      <c r="AL194" s="1160" t="n"/>
    </row>
    <row r="195">
      <c r="C195" s="1163">
        <f>C127</f>
        <v/>
      </c>
      <c r="D195" s="2530">
        <f>D127</f>
        <v/>
      </c>
      <c r="E195" s="2530">
        <f>E127</f>
        <v/>
      </c>
      <c r="F195" s="1164" t="n"/>
      <c r="G195" s="1164" t="n"/>
      <c r="H195" s="1164" t="n"/>
      <c r="I195" s="1164" t="n"/>
      <c r="J195" s="1164" t="n"/>
      <c r="K195" s="1165" t="n"/>
      <c r="L195" s="1164" t="n"/>
      <c r="M195" s="1164" t="n"/>
      <c r="N195" s="1164" t="n"/>
      <c r="O195" s="1164" t="n"/>
      <c r="P195" s="1164" t="n"/>
      <c r="Q195" s="1164" t="n"/>
      <c r="R195" s="1164" t="n"/>
      <c r="S195" s="1164" t="n"/>
      <c r="T195" s="1165" t="n"/>
      <c r="U195" s="1164" t="n"/>
      <c r="V195" s="1164" t="n"/>
      <c r="W195" s="1164" t="n"/>
      <c r="X195" s="1164" t="n"/>
      <c r="Y195" s="1164" t="n"/>
      <c r="Z195" s="1164" t="n"/>
      <c r="AA195" s="1164" t="n"/>
      <c r="AB195" s="1164" t="n"/>
      <c r="AC195" s="1165" t="n"/>
      <c r="AD195" s="1164" t="n"/>
      <c r="AE195" s="1164" t="n"/>
      <c r="AF195" s="1164" t="n"/>
      <c r="AG195" s="1164" t="n"/>
      <c r="AH195" s="1164" t="n"/>
      <c r="AI195" s="1165" t="n"/>
      <c r="AJ195" s="1160" t="n"/>
      <c r="AK195" s="1160" t="n"/>
      <c r="AL195" s="1160" t="n"/>
    </row>
    <row r="196">
      <c r="C196" s="1163">
        <f>C128</f>
        <v/>
      </c>
      <c r="D196" s="2530">
        <f>D128</f>
        <v/>
      </c>
      <c r="E196" s="2530">
        <f>E128</f>
        <v/>
      </c>
      <c r="F196" s="1164" t="n"/>
      <c r="G196" s="1164" t="n"/>
      <c r="H196" s="1164" t="n"/>
      <c r="I196" s="1164" t="n"/>
      <c r="J196" s="1164" t="n"/>
      <c r="K196" s="1165" t="n"/>
      <c r="L196" s="1164" t="n"/>
      <c r="M196" s="1164" t="n"/>
      <c r="N196" s="1164" t="n"/>
      <c r="O196" s="1164" t="n"/>
      <c r="P196" s="1164" t="n"/>
      <c r="Q196" s="1164" t="n"/>
      <c r="R196" s="1164" t="n"/>
      <c r="S196" s="1164" t="n"/>
      <c r="T196" s="1165" t="n"/>
      <c r="U196" s="1164" t="n"/>
      <c r="V196" s="1164" t="n"/>
      <c r="W196" s="1164" t="n"/>
      <c r="X196" s="1164" t="n"/>
      <c r="Y196" s="1164" t="n"/>
      <c r="Z196" s="1164" t="n"/>
      <c r="AA196" s="1164" t="n"/>
      <c r="AB196" s="1164" t="n"/>
      <c r="AC196" s="1165" t="n"/>
      <c r="AD196" s="1164" t="n"/>
      <c r="AE196" s="1164" t="n"/>
      <c r="AF196" s="1164" t="n"/>
      <c r="AG196" s="1164" t="n"/>
      <c r="AH196" s="1164" t="n"/>
      <c r="AI196" s="1165" t="n"/>
      <c r="AJ196" s="1160" t="n"/>
      <c r="AK196" s="1160" t="n"/>
      <c r="AL196" s="1160" t="n"/>
    </row>
    <row r="197">
      <c r="C197" s="1163">
        <f>C129</f>
        <v/>
      </c>
      <c r="D197" s="2530">
        <f>D129</f>
        <v/>
      </c>
      <c r="E197" s="2530">
        <f>E129</f>
        <v/>
      </c>
      <c r="F197" s="1164" t="n"/>
      <c r="G197" s="1164" t="n"/>
      <c r="H197" s="1164" t="n"/>
      <c r="I197" s="1164" t="n"/>
      <c r="J197" s="1164" t="n"/>
      <c r="K197" s="1165" t="n"/>
      <c r="L197" s="1164" t="n"/>
      <c r="M197" s="1164" t="n"/>
      <c r="N197" s="1164" t="n"/>
      <c r="O197" s="1164" t="n"/>
      <c r="P197" s="1164" t="n"/>
      <c r="Q197" s="1164" t="n"/>
      <c r="R197" s="1164" t="n"/>
      <c r="S197" s="1164" t="n"/>
      <c r="T197" s="1165" t="n"/>
      <c r="U197" s="1164" t="n"/>
      <c r="V197" s="1164" t="n"/>
      <c r="W197" s="1164" t="n"/>
      <c r="X197" s="1164" t="n"/>
      <c r="Y197" s="1164" t="n"/>
      <c r="Z197" s="1164" t="n"/>
      <c r="AA197" s="1164" t="n"/>
      <c r="AB197" s="1164" t="n"/>
      <c r="AC197" s="1165" t="n"/>
      <c r="AD197" s="1164" t="n"/>
      <c r="AE197" s="1164" t="n"/>
      <c r="AF197" s="1164" t="n"/>
      <c r="AG197" s="1164" t="n"/>
      <c r="AH197" s="1164" t="n"/>
      <c r="AI197" s="1165" t="n"/>
      <c r="AJ197" s="1160" t="n"/>
      <c r="AK197" s="1160" t="n"/>
      <c r="AL197" s="1160" t="n"/>
    </row>
    <row r="198">
      <c r="C198" s="1163">
        <f>C130</f>
        <v/>
      </c>
      <c r="D198" s="2530">
        <f>D130</f>
        <v/>
      </c>
      <c r="E198" s="2530">
        <f>E130</f>
        <v/>
      </c>
      <c r="F198" s="1164" t="n"/>
      <c r="G198" s="1164" t="n"/>
      <c r="H198" s="1164" t="n"/>
      <c r="I198" s="1164" t="n"/>
      <c r="J198" s="1164" t="n"/>
      <c r="K198" s="1165" t="n"/>
      <c r="L198" s="1164" t="n"/>
      <c r="M198" s="1164" t="n"/>
      <c r="N198" s="1164" t="n"/>
      <c r="O198" s="1164" t="n"/>
      <c r="P198" s="1164" t="n"/>
      <c r="Q198" s="1164" t="n"/>
      <c r="R198" s="1164" t="n"/>
      <c r="S198" s="1164" t="n"/>
      <c r="T198" s="1165" t="n"/>
      <c r="U198" s="1164" t="n"/>
      <c r="V198" s="1164" t="n"/>
      <c r="W198" s="1164" t="n"/>
      <c r="X198" s="1164" t="n"/>
      <c r="Y198" s="1164" t="n"/>
      <c r="Z198" s="1164" t="n"/>
      <c r="AA198" s="1164" t="n"/>
      <c r="AB198" s="1164" t="n"/>
      <c r="AC198" s="1165" t="n"/>
      <c r="AD198" s="1164" t="n"/>
      <c r="AE198" s="1164" t="n"/>
      <c r="AF198" s="1164" t="n"/>
      <c r="AG198" s="1164" t="n"/>
      <c r="AH198" s="1164" t="n"/>
      <c r="AI198" s="1165" t="n"/>
      <c r="AJ198" s="1160" t="n"/>
      <c r="AK198" s="1160" t="n"/>
      <c r="AL198" s="1160" t="n"/>
    </row>
    <row r="199">
      <c r="C199" s="1163">
        <f>C131</f>
        <v/>
      </c>
      <c r="D199" s="2530">
        <f>D131</f>
        <v/>
      </c>
      <c r="E199" s="2530">
        <f>E131</f>
        <v/>
      </c>
      <c r="F199" s="1164" t="n"/>
      <c r="G199" s="1164" t="n"/>
      <c r="H199" s="1164" t="n"/>
      <c r="I199" s="1164" t="n"/>
      <c r="J199" s="1164" t="n"/>
      <c r="K199" s="1165" t="n"/>
      <c r="L199" s="1164" t="n"/>
      <c r="M199" s="1164" t="n"/>
      <c r="N199" s="1164" t="n"/>
      <c r="O199" s="1164" t="n"/>
      <c r="P199" s="1164" t="n"/>
      <c r="Q199" s="1164" t="n"/>
      <c r="R199" s="1164" t="n"/>
      <c r="S199" s="1164" t="n"/>
      <c r="T199" s="1165" t="n"/>
      <c r="U199" s="1164" t="n"/>
      <c r="V199" s="1164" t="n"/>
      <c r="W199" s="1164" t="n"/>
      <c r="X199" s="1164" t="n"/>
      <c r="Y199" s="1164" t="n"/>
      <c r="Z199" s="1164" t="n"/>
      <c r="AA199" s="1164" t="n"/>
      <c r="AB199" s="1164" t="n"/>
      <c r="AC199" s="1165" t="n"/>
      <c r="AD199" s="1164" t="n"/>
      <c r="AE199" s="1164" t="n"/>
      <c r="AF199" s="1164" t="n"/>
      <c r="AG199" s="1164" t="n"/>
      <c r="AH199" s="1164" t="n"/>
      <c r="AI199" s="1165" t="n"/>
      <c r="AJ199" s="1160" t="n"/>
      <c r="AK199" s="1160" t="n"/>
      <c r="AL199" s="1160" t="n"/>
    </row>
    <row r="200">
      <c r="C200" s="1163">
        <f>C132</f>
        <v/>
      </c>
      <c r="D200" s="2530">
        <f>D132</f>
        <v/>
      </c>
      <c r="E200" s="2530">
        <f>E132</f>
        <v/>
      </c>
      <c r="F200" s="1164" t="n"/>
      <c r="G200" s="1164" t="n"/>
      <c r="H200" s="1164" t="n"/>
      <c r="I200" s="1164" t="n"/>
      <c r="J200" s="1164" t="n"/>
      <c r="K200" s="1165" t="n"/>
      <c r="L200" s="1164" t="n"/>
      <c r="M200" s="1164" t="n"/>
      <c r="N200" s="1164" t="n"/>
      <c r="O200" s="1164" t="n"/>
      <c r="P200" s="1164" t="n"/>
      <c r="Q200" s="1164" t="n"/>
      <c r="R200" s="1164" t="n"/>
      <c r="S200" s="1164" t="n"/>
      <c r="T200" s="1165" t="n"/>
      <c r="U200" s="1164" t="n"/>
      <c r="V200" s="1164" t="n"/>
      <c r="W200" s="1164" t="n"/>
      <c r="X200" s="1164" t="n"/>
      <c r="Y200" s="1164" t="n"/>
      <c r="Z200" s="1164" t="n"/>
      <c r="AA200" s="1164" t="n"/>
      <c r="AB200" s="1164" t="n"/>
      <c r="AC200" s="1165" t="n"/>
      <c r="AD200" s="1164" t="n"/>
      <c r="AE200" s="1164" t="n"/>
      <c r="AF200" s="1164" t="n"/>
      <c r="AG200" s="1164" t="n"/>
      <c r="AH200" s="1164" t="n"/>
      <c r="AI200" s="1165" t="n"/>
      <c r="AJ200" s="1160" t="n"/>
      <c r="AK200" s="1160" t="n"/>
      <c r="AL200" s="1160" t="n"/>
    </row>
    <row r="201">
      <c r="C201" s="1163">
        <f>C133</f>
        <v/>
      </c>
      <c r="D201" s="2530">
        <f>D133</f>
        <v/>
      </c>
      <c r="E201" s="2530">
        <f>E133</f>
        <v/>
      </c>
      <c r="F201" s="1164" t="n"/>
      <c r="G201" s="1164" t="n"/>
      <c r="H201" s="1164" t="n"/>
      <c r="I201" s="1164" t="n"/>
      <c r="J201" s="1164" t="n"/>
      <c r="K201" s="1165" t="n"/>
      <c r="L201" s="1164" t="n"/>
      <c r="M201" s="1164" t="n"/>
      <c r="N201" s="1164" t="n"/>
      <c r="O201" s="1164" t="n"/>
      <c r="P201" s="1164" t="n"/>
      <c r="Q201" s="1164" t="n"/>
      <c r="R201" s="1164" t="n"/>
      <c r="S201" s="1164" t="n"/>
      <c r="T201" s="1165" t="n"/>
      <c r="U201" s="1164" t="n"/>
      <c r="V201" s="1164" t="n"/>
      <c r="W201" s="1164" t="n"/>
      <c r="X201" s="1164" t="n"/>
      <c r="Y201" s="1164" t="n"/>
      <c r="Z201" s="1164" t="n"/>
      <c r="AA201" s="1164" t="n"/>
      <c r="AB201" s="1164" t="n"/>
      <c r="AC201" s="1165" t="n"/>
      <c r="AD201" s="1164" t="n"/>
      <c r="AE201" s="1164" t="n"/>
      <c r="AF201" s="1164" t="n"/>
      <c r="AG201" s="1164" t="n"/>
      <c r="AH201" s="1164" t="n"/>
      <c r="AI201" s="1165" t="n"/>
      <c r="AJ201" s="1160" t="n"/>
      <c r="AK201" s="1160" t="n"/>
      <c r="AL201" s="1160" t="n"/>
    </row>
    <row r="202">
      <c r="C202" s="1163">
        <f>C134</f>
        <v/>
      </c>
      <c r="D202" s="2530">
        <f>D134</f>
        <v/>
      </c>
      <c r="E202" s="2530">
        <f>E134</f>
        <v/>
      </c>
      <c r="F202" s="1164" t="n"/>
      <c r="G202" s="1164" t="n"/>
      <c r="H202" s="1164" t="n"/>
      <c r="I202" s="1164" t="n"/>
      <c r="J202" s="1164" t="n"/>
      <c r="K202" s="1165" t="n"/>
      <c r="L202" s="1164" t="n"/>
      <c r="M202" s="1164" t="n"/>
      <c r="N202" s="1164" t="n"/>
      <c r="O202" s="1164" t="n"/>
      <c r="P202" s="1164" t="n"/>
      <c r="Q202" s="1164" t="n"/>
      <c r="R202" s="1164" t="n"/>
      <c r="S202" s="1164" t="n"/>
      <c r="T202" s="1165" t="n"/>
      <c r="U202" s="1164" t="n"/>
      <c r="V202" s="1164" t="n"/>
      <c r="W202" s="1164" t="n"/>
      <c r="X202" s="1164" t="n"/>
      <c r="Y202" s="1164" t="n"/>
      <c r="Z202" s="1164" t="n"/>
      <c r="AA202" s="1164" t="n"/>
      <c r="AB202" s="1164" t="n"/>
      <c r="AC202" s="1165" t="n"/>
      <c r="AD202" s="1164" t="n"/>
      <c r="AE202" s="1164" t="n"/>
      <c r="AF202" s="1164" t="n"/>
      <c r="AG202" s="1164" t="n"/>
      <c r="AH202" s="1164" t="n"/>
      <c r="AI202" s="1165" t="n"/>
      <c r="AJ202" s="1160" t="n"/>
      <c r="AK202" s="1160" t="n"/>
      <c r="AL202" s="1160" t="n"/>
    </row>
    <row r="203">
      <c r="C203" s="1163">
        <f>C135</f>
        <v/>
      </c>
      <c r="D203" s="2530">
        <f>D135</f>
        <v/>
      </c>
      <c r="E203" s="2530">
        <f>E135</f>
        <v/>
      </c>
      <c r="F203" s="1164" t="n"/>
      <c r="G203" s="1164" t="n"/>
      <c r="H203" s="1164" t="n"/>
      <c r="I203" s="1164" t="n"/>
      <c r="J203" s="1164" t="n"/>
      <c r="K203" s="1165" t="n"/>
      <c r="L203" s="1164" t="n"/>
      <c r="M203" s="1164" t="n"/>
      <c r="N203" s="1164" t="n"/>
      <c r="O203" s="1164" t="n"/>
      <c r="P203" s="1164" t="n"/>
      <c r="Q203" s="1164" t="n"/>
      <c r="R203" s="1164" t="n"/>
      <c r="S203" s="1164" t="n"/>
      <c r="T203" s="1165" t="n"/>
      <c r="U203" s="1164" t="n"/>
      <c r="V203" s="1164" t="n"/>
      <c r="W203" s="1164" t="n"/>
      <c r="X203" s="1164" t="n"/>
      <c r="Y203" s="1164" t="n"/>
      <c r="Z203" s="1164" t="n"/>
      <c r="AA203" s="1164" t="n"/>
      <c r="AB203" s="1164" t="n"/>
      <c r="AC203" s="1165" t="n"/>
      <c r="AD203" s="1164" t="n"/>
      <c r="AE203" s="1164" t="n"/>
      <c r="AF203" s="1164" t="n"/>
      <c r="AG203" s="1164" t="n"/>
      <c r="AH203" s="1164" t="n"/>
      <c r="AI203" s="1165" t="n"/>
      <c r="AJ203" s="1160" t="n"/>
      <c r="AK203" s="1160" t="n"/>
      <c r="AL203" s="1160" t="n"/>
    </row>
    <row r="204">
      <c r="C204" s="1163">
        <f>C136</f>
        <v/>
      </c>
      <c r="D204" s="2530">
        <f>D136</f>
        <v/>
      </c>
      <c r="E204" s="2530">
        <f>E136</f>
        <v/>
      </c>
      <c r="F204" s="1164" t="n"/>
      <c r="G204" s="1164" t="n"/>
      <c r="H204" s="1164" t="n"/>
      <c r="I204" s="1164" t="n"/>
      <c r="J204" s="1164" t="n"/>
      <c r="K204" s="1165" t="n"/>
      <c r="L204" s="1164" t="n"/>
      <c r="M204" s="1164" t="n"/>
      <c r="N204" s="1164" t="n"/>
      <c r="O204" s="1164" t="n"/>
      <c r="P204" s="1164" t="n"/>
      <c r="Q204" s="1164" t="n"/>
      <c r="R204" s="1164" t="n"/>
      <c r="S204" s="1164" t="n"/>
      <c r="T204" s="1165" t="n"/>
      <c r="U204" s="1164" t="n"/>
      <c r="V204" s="1164" t="n"/>
      <c r="W204" s="1164" t="n"/>
      <c r="X204" s="1164" t="n"/>
      <c r="Y204" s="1164" t="n"/>
      <c r="Z204" s="1164" t="n"/>
      <c r="AA204" s="1164" t="n"/>
      <c r="AB204" s="1164" t="n"/>
      <c r="AC204" s="1165" t="n"/>
      <c r="AD204" s="1164" t="n"/>
      <c r="AE204" s="1164" t="n"/>
      <c r="AF204" s="1164" t="n"/>
      <c r="AG204" s="1164" t="n"/>
      <c r="AH204" s="1164" t="n"/>
      <c r="AI204" s="1165" t="n"/>
      <c r="AJ204" s="1160" t="n"/>
      <c r="AK204" s="1160" t="n"/>
      <c r="AL204" s="1160" t="n"/>
    </row>
    <row r="205">
      <c r="C205" s="1163">
        <f>C137</f>
        <v/>
      </c>
      <c r="D205" s="2530">
        <f>D137</f>
        <v/>
      </c>
      <c r="E205" s="2530">
        <f>E137</f>
        <v/>
      </c>
      <c r="F205" s="1164" t="n"/>
      <c r="G205" s="1164" t="n"/>
      <c r="H205" s="1164" t="n"/>
      <c r="I205" s="1164" t="n"/>
      <c r="J205" s="1164" t="n"/>
      <c r="K205" s="1165" t="n"/>
      <c r="L205" s="1164" t="n"/>
      <c r="M205" s="1164" t="n"/>
      <c r="N205" s="1164" t="n"/>
      <c r="O205" s="1164" t="n"/>
      <c r="P205" s="1164" t="n"/>
      <c r="Q205" s="1164" t="n"/>
      <c r="R205" s="1164" t="n"/>
      <c r="S205" s="1164" t="n"/>
      <c r="T205" s="1165" t="n"/>
      <c r="U205" s="1164" t="n"/>
      <c r="V205" s="1164" t="n"/>
      <c r="W205" s="1164" t="n"/>
      <c r="X205" s="1164" t="n"/>
      <c r="Y205" s="1164" t="n"/>
      <c r="Z205" s="1164" t="n"/>
      <c r="AA205" s="1164" t="n"/>
      <c r="AB205" s="1164" t="n"/>
      <c r="AC205" s="1165" t="n"/>
      <c r="AD205" s="1164" t="n"/>
      <c r="AE205" s="1164" t="n"/>
      <c r="AF205" s="1164" t="n"/>
      <c r="AG205" s="1164" t="n"/>
      <c r="AH205" s="1164" t="n"/>
      <c r="AI205" s="1165" t="n"/>
      <c r="AJ205" s="1160" t="n"/>
      <c r="AK205" s="1160" t="n"/>
      <c r="AL205" s="1160" t="n"/>
    </row>
    <row r="206">
      <c r="C206" s="1163">
        <f>C138</f>
        <v/>
      </c>
      <c r="D206" s="2530">
        <f>D138</f>
        <v/>
      </c>
      <c r="E206" s="2530">
        <f>E138</f>
        <v/>
      </c>
      <c r="F206" s="1164" t="n"/>
      <c r="G206" s="1164" t="n"/>
      <c r="H206" s="1164" t="n"/>
      <c r="I206" s="1164" t="n"/>
      <c r="J206" s="1164" t="n"/>
      <c r="K206" s="1165" t="n"/>
      <c r="L206" s="1164" t="n"/>
      <c r="M206" s="1164" t="n"/>
      <c r="N206" s="1164" t="n"/>
      <c r="O206" s="1164" t="n"/>
      <c r="P206" s="1164" t="n"/>
      <c r="Q206" s="1164" t="n"/>
      <c r="R206" s="1164" t="n"/>
      <c r="S206" s="1164" t="n"/>
      <c r="T206" s="1165" t="n"/>
      <c r="U206" s="1164" t="n"/>
      <c r="V206" s="1164" t="n"/>
      <c r="W206" s="1164" t="n"/>
      <c r="X206" s="1164" t="n"/>
      <c r="Y206" s="1164" t="n"/>
      <c r="Z206" s="1164" t="n"/>
      <c r="AA206" s="1164" t="n"/>
      <c r="AB206" s="1164" t="n"/>
      <c r="AC206" s="1165" t="n"/>
      <c r="AD206" s="1164" t="n"/>
      <c r="AE206" s="1164" t="n"/>
      <c r="AF206" s="1164" t="n"/>
      <c r="AG206" s="1164" t="n"/>
      <c r="AH206" s="1164" t="n"/>
      <c r="AI206" s="1165" t="n"/>
      <c r="AJ206" s="1160" t="n"/>
      <c r="AK206" s="1160" t="n"/>
      <c r="AL206" s="1160" t="n"/>
    </row>
    <row r="207">
      <c r="C207" s="1163">
        <f>C139</f>
        <v/>
      </c>
      <c r="D207" s="2530">
        <f>D139</f>
        <v/>
      </c>
      <c r="E207" s="2530">
        <f>E139</f>
        <v/>
      </c>
      <c r="F207" s="1164" t="n"/>
      <c r="G207" s="1164" t="n"/>
      <c r="H207" s="1164" t="n"/>
      <c r="I207" s="1164" t="n"/>
      <c r="J207" s="1164" t="n"/>
      <c r="K207" s="1165" t="n"/>
      <c r="L207" s="1164" t="n"/>
      <c r="M207" s="1164" t="n"/>
      <c r="N207" s="1164" t="n"/>
      <c r="O207" s="1164" t="n"/>
      <c r="P207" s="1164" t="n"/>
      <c r="Q207" s="1164" t="n"/>
      <c r="R207" s="1164" t="n"/>
      <c r="S207" s="1164" t="n"/>
      <c r="T207" s="1165" t="n"/>
      <c r="U207" s="1164" t="n"/>
      <c r="V207" s="1164" t="n"/>
      <c r="W207" s="1164" t="n"/>
      <c r="X207" s="1164" t="n"/>
      <c r="Y207" s="1164" t="n"/>
      <c r="Z207" s="1164" t="n"/>
      <c r="AA207" s="1164" t="n"/>
      <c r="AB207" s="1164" t="n"/>
      <c r="AC207" s="1165" t="n"/>
      <c r="AD207" s="1164" t="n"/>
      <c r="AE207" s="1164" t="n"/>
      <c r="AF207" s="1164" t="n"/>
      <c r="AG207" s="1164" t="n"/>
      <c r="AH207" s="1164" t="n"/>
      <c r="AI207" s="1165" t="n"/>
      <c r="AJ207" s="1160" t="n"/>
      <c r="AK207" s="1160" t="n"/>
      <c r="AL207" s="1160" t="n"/>
    </row>
    <row r="208">
      <c r="C208" s="1163">
        <f>C140</f>
        <v/>
      </c>
      <c r="D208" s="2530">
        <f>D140</f>
        <v/>
      </c>
      <c r="E208" s="2530">
        <f>E140</f>
        <v/>
      </c>
      <c r="F208" s="1164" t="n"/>
      <c r="G208" s="1164" t="n"/>
      <c r="H208" s="1164" t="n"/>
      <c r="I208" s="1164" t="n"/>
      <c r="J208" s="1164" t="n"/>
      <c r="K208" s="1165" t="n"/>
      <c r="L208" s="1164" t="n"/>
      <c r="M208" s="1164" t="n"/>
      <c r="N208" s="1164" t="n"/>
      <c r="O208" s="1164" t="n"/>
      <c r="P208" s="1164" t="n"/>
      <c r="Q208" s="1164" t="n"/>
      <c r="R208" s="1164" t="n"/>
      <c r="S208" s="1164" t="n"/>
      <c r="T208" s="1165" t="n"/>
      <c r="U208" s="1164" t="n"/>
      <c r="V208" s="1164" t="n"/>
      <c r="W208" s="1164" t="n"/>
      <c r="X208" s="1164" t="n"/>
      <c r="Y208" s="1164" t="n"/>
      <c r="Z208" s="1164" t="n"/>
      <c r="AA208" s="1164" t="n"/>
      <c r="AB208" s="1164" t="n"/>
      <c r="AC208" s="1165" t="n"/>
      <c r="AD208" s="1164" t="n"/>
      <c r="AE208" s="1164" t="n"/>
      <c r="AF208" s="1164" t="n"/>
      <c r="AG208" s="1164" t="n"/>
      <c r="AH208" s="1164" t="n"/>
      <c r="AI208" s="1165" t="n"/>
      <c r="AJ208" s="1160" t="n"/>
      <c r="AK208" s="1160" t="n"/>
      <c r="AL208" s="1160" t="n"/>
    </row>
    <row r="209">
      <c r="C209" s="1163">
        <f>C141</f>
        <v/>
      </c>
      <c r="D209" s="2530">
        <f>D141</f>
        <v/>
      </c>
      <c r="E209" s="2530">
        <f>E141</f>
        <v/>
      </c>
      <c r="F209" s="1164" t="n"/>
      <c r="G209" s="1164" t="n"/>
      <c r="H209" s="1164" t="n"/>
      <c r="I209" s="1164" t="n"/>
      <c r="J209" s="1164" t="n"/>
      <c r="K209" s="1165" t="n"/>
      <c r="L209" s="1164" t="n"/>
      <c r="M209" s="1164" t="n"/>
      <c r="N209" s="1164" t="n"/>
      <c r="O209" s="1164" t="n"/>
      <c r="P209" s="1164" t="n"/>
      <c r="Q209" s="1164" t="n"/>
      <c r="R209" s="1164" t="n"/>
      <c r="S209" s="1164" t="n"/>
      <c r="T209" s="1165" t="n"/>
      <c r="U209" s="1164" t="n"/>
      <c r="V209" s="1164" t="n"/>
      <c r="W209" s="1164" t="n"/>
      <c r="X209" s="1164" t="n"/>
      <c r="Y209" s="1164" t="n"/>
      <c r="Z209" s="1164" t="n"/>
      <c r="AA209" s="1164" t="n"/>
      <c r="AB209" s="1164" t="n"/>
      <c r="AC209" s="1165" t="n"/>
      <c r="AD209" s="1164" t="n"/>
      <c r="AE209" s="1164" t="n"/>
      <c r="AF209" s="1164" t="n"/>
      <c r="AG209" s="1164" t="n"/>
      <c r="AH209" s="1164" t="n"/>
      <c r="AI209" s="1165" t="n"/>
      <c r="AJ209" s="1160" t="n"/>
      <c r="AK209" s="1160" t="n"/>
      <c r="AL209" s="1160" t="n"/>
    </row>
    <row r="210">
      <c r="C210" s="1163">
        <f>C142</f>
        <v/>
      </c>
      <c r="D210" s="2530">
        <f>D142</f>
        <v/>
      </c>
      <c r="E210" s="2530">
        <f>E142</f>
        <v/>
      </c>
      <c r="F210" s="1164" t="n"/>
      <c r="G210" s="1164" t="n"/>
      <c r="H210" s="1164" t="n"/>
      <c r="I210" s="1164" t="n"/>
      <c r="J210" s="1164" t="n"/>
      <c r="K210" s="1165" t="n"/>
      <c r="L210" s="1164" t="n"/>
      <c r="M210" s="1164" t="n"/>
      <c r="N210" s="1164" t="n"/>
      <c r="O210" s="1164" t="n"/>
      <c r="P210" s="1164" t="n"/>
      <c r="Q210" s="1164" t="n"/>
      <c r="R210" s="1164" t="n"/>
      <c r="S210" s="1164" t="n"/>
      <c r="T210" s="1165" t="n"/>
      <c r="U210" s="1164" t="n"/>
      <c r="V210" s="1164" t="n"/>
      <c r="W210" s="1164" t="n"/>
      <c r="X210" s="1164" t="n"/>
      <c r="Y210" s="1164" t="n"/>
      <c r="Z210" s="1164" t="n"/>
      <c r="AA210" s="1164" t="n"/>
      <c r="AB210" s="1164" t="n"/>
      <c r="AC210" s="1165" t="n"/>
      <c r="AD210" s="1164" t="n"/>
      <c r="AE210" s="1164" t="n"/>
      <c r="AF210" s="1164" t="n"/>
      <c r="AG210" s="1164" t="n"/>
      <c r="AH210" s="1164" t="n"/>
      <c r="AI210" s="1165" t="n"/>
      <c r="AJ210" s="1160" t="n"/>
      <c r="AK210" s="1160" t="n"/>
      <c r="AL210" s="1160" t="n"/>
    </row>
    <row r="211">
      <c r="C211" s="1163">
        <f>C143</f>
        <v/>
      </c>
      <c r="D211" s="2530">
        <f>D143</f>
        <v/>
      </c>
      <c r="E211" s="2530">
        <f>E143</f>
        <v/>
      </c>
      <c r="F211" s="1164" t="n"/>
      <c r="G211" s="1164" t="n"/>
      <c r="H211" s="1164" t="n"/>
      <c r="I211" s="1164" t="n"/>
      <c r="J211" s="1164" t="n"/>
      <c r="K211" s="1165" t="n"/>
      <c r="L211" s="1164" t="n"/>
      <c r="M211" s="1164" t="n"/>
      <c r="N211" s="1164" t="n"/>
      <c r="O211" s="1164" t="n"/>
      <c r="P211" s="1164" t="n"/>
      <c r="Q211" s="1164" t="n"/>
      <c r="R211" s="1164" t="n"/>
      <c r="S211" s="1164" t="n"/>
      <c r="T211" s="1165" t="n"/>
      <c r="U211" s="1164" t="n"/>
      <c r="V211" s="1164" t="n"/>
      <c r="W211" s="1164" t="n"/>
      <c r="X211" s="1164" t="n"/>
      <c r="Y211" s="1164" t="n"/>
      <c r="Z211" s="1164" t="n"/>
      <c r="AA211" s="1164" t="n"/>
      <c r="AB211" s="1164" t="n"/>
      <c r="AC211" s="1165" t="n"/>
      <c r="AD211" s="1164" t="n"/>
      <c r="AE211" s="1164" t="n"/>
      <c r="AF211" s="1164" t="n"/>
      <c r="AG211" s="1164" t="n"/>
      <c r="AH211" s="1164" t="n"/>
      <c r="AI211" s="1165" t="n"/>
      <c r="AJ211" s="1160" t="n"/>
      <c r="AK211" s="1160" t="n"/>
      <c r="AL211" s="1160" t="n"/>
    </row>
    <row r="212">
      <c r="C212" s="1163">
        <f>C144</f>
        <v/>
      </c>
      <c r="D212" s="2530">
        <f>D144</f>
        <v/>
      </c>
      <c r="E212" s="2530">
        <f>E144</f>
        <v/>
      </c>
      <c r="F212" s="1164" t="n"/>
      <c r="G212" s="1164" t="n"/>
      <c r="H212" s="1164" t="n"/>
      <c r="I212" s="1164" t="n"/>
      <c r="J212" s="1164" t="n"/>
      <c r="K212" s="1165" t="n"/>
      <c r="L212" s="1164" t="n"/>
      <c r="M212" s="1164" t="n"/>
      <c r="N212" s="1164" t="n"/>
      <c r="O212" s="1164" t="n"/>
      <c r="P212" s="1164" t="n"/>
      <c r="Q212" s="1164" t="n"/>
      <c r="R212" s="1164" t="n"/>
      <c r="S212" s="1164" t="n"/>
      <c r="T212" s="1165" t="n"/>
      <c r="U212" s="1164" t="n"/>
      <c r="V212" s="1164" t="n"/>
      <c r="W212" s="1164" t="n"/>
      <c r="X212" s="1164" t="n"/>
      <c r="Y212" s="1164" t="n"/>
      <c r="Z212" s="1164" t="n"/>
      <c r="AA212" s="1164" t="n"/>
      <c r="AB212" s="1164" t="n"/>
      <c r="AC212" s="1165" t="n"/>
      <c r="AD212" s="1164" t="n"/>
      <c r="AE212" s="1164" t="n"/>
      <c r="AF212" s="1164" t="n"/>
      <c r="AG212" s="1164" t="n"/>
      <c r="AH212" s="1164" t="n"/>
      <c r="AI212" s="1165" t="n"/>
      <c r="AJ212" s="1160" t="n"/>
      <c r="AK212" s="1160" t="n"/>
      <c r="AL212" s="1160" t="n"/>
    </row>
    <row r="213">
      <c r="C213" s="1163">
        <f>C145</f>
        <v/>
      </c>
      <c r="D213" s="2530">
        <f>D145</f>
        <v/>
      </c>
      <c r="E213" s="2530">
        <f>E145</f>
        <v/>
      </c>
      <c r="F213" s="1164" t="n"/>
      <c r="G213" s="1164" t="n"/>
      <c r="H213" s="1164" t="n"/>
      <c r="I213" s="1164" t="n"/>
      <c r="J213" s="1164" t="n"/>
      <c r="K213" s="1165" t="n"/>
      <c r="L213" s="1164" t="n"/>
      <c r="M213" s="1164" t="n"/>
      <c r="N213" s="1164" t="n"/>
      <c r="O213" s="1164" t="n"/>
      <c r="P213" s="1164" t="n"/>
      <c r="Q213" s="1164" t="n"/>
      <c r="R213" s="1164" t="n"/>
      <c r="S213" s="1164" t="n"/>
      <c r="T213" s="1165" t="n"/>
      <c r="U213" s="1164" t="n"/>
      <c r="V213" s="1164" t="n"/>
      <c r="W213" s="1164" t="n"/>
      <c r="X213" s="1164" t="n"/>
      <c r="Y213" s="1164" t="n"/>
      <c r="Z213" s="1164" t="n"/>
      <c r="AA213" s="1164" t="n"/>
      <c r="AB213" s="1164" t="n"/>
      <c r="AC213" s="1165" t="n"/>
      <c r="AD213" s="1164" t="n"/>
      <c r="AE213" s="1164" t="n"/>
      <c r="AF213" s="1164" t="n"/>
      <c r="AG213" s="1164" t="n"/>
      <c r="AH213" s="1164" t="n"/>
      <c r="AI213" s="1165" t="n"/>
      <c r="AJ213" s="1160" t="n"/>
      <c r="AK213" s="1160" t="n"/>
      <c r="AL213" s="1160" t="n"/>
    </row>
    <row r="214">
      <c r="C214" s="1163">
        <f>C146</f>
        <v/>
      </c>
      <c r="D214" s="2530">
        <f>D146</f>
        <v/>
      </c>
      <c r="E214" s="2530">
        <f>E146</f>
        <v/>
      </c>
      <c r="F214" s="1164" t="n"/>
      <c r="G214" s="1164" t="n"/>
      <c r="H214" s="1164" t="n"/>
      <c r="I214" s="1164" t="n"/>
      <c r="J214" s="1164" t="n"/>
      <c r="K214" s="1165" t="n"/>
      <c r="L214" s="1164" t="n"/>
      <c r="M214" s="1164" t="n"/>
      <c r="N214" s="1164" t="n"/>
      <c r="O214" s="1164" t="n"/>
      <c r="P214" s="1164" t="n"/>
      <c r="Q214" s="1164" t="n"/>
      <c r="R214" s="1164" t="n"/>
      <c r="S214" s="1164" t="n"/>
      <c r="T214" s="1165" t="n"/>
      <c r="U214" s="1164" t="n"/>
      <c r="V214" s="1164" t="n"/>
      <c r="W214" s="1164" t="n"/>
      <c r="X214" s="1164" t="n"/>
      <c r="Y214" s="1164" t="n"/>
      <c r="Z214" s="1164" t="n"/>
      <c r="AA214" s="1164" t="n"/>
      <c r="AB214" s="1164" t="n"/>
      <c r="AC214" s="1165" t="n"/>
      <c r="AD214" s="1164" t="n"/>
      <c r="AE214" s="1164" t="n"/>
      <c r="AF214" s="1164" t="n"/>
      <c r="AG214" s="1164" t="n"/>
      <c r="AH214" s="1164" t="n"/>
      <c r="AI214" s="1165" t="n"/>
      <c r="AJ214" s="1160" t="n"/>
      <c r="AK214" s="1160" t="n"/>
      <c r="AL214" s="1160" t="n"/>
    </row>
    <row r="215">
      <c r="C215" s="1163">
        <f>C147</f>
        <v/>
      </c>
      <c r="D215" s="2530">
        <f>D147</f>
        <v/>
      </c>
      <c r="E215" s="2530">
        <f>E147</f>
        <v/>
      </c>
      <c r="F215" s="1164" t="n"/>
      <c r="G215" s="1164" t="n"/>
      <c r="H215" s="1164" t="n"/>
      <c r="I215" s="1164" t="n"/>
      <c r="J215" s="1164" t="n"/>
      <c r="K215" s="1165" t="n"/>
      <c r="L215" s="1164" t="n"/>
      <c r="M215" s="1164" t="n"/>
      <c r="N215" s="1164" t="n"/>
      <c r="O215" s="1164" t="n"/>
      <c r="P215" s="1164" t="n"/>
      <c r="Q215" s="1164" t="n"/>
      <c r="R215" s="1164" t="n"/>
      <c r="S215" s="1164" t="n"/>
      <c r="T215" s="1165" t="n"/>
      <c r="U215" s="1164" t="n"/>
      <c r="V215" s="1164" t="n"/>
      <c r="W215" s="1164" t="n"/>
      <c r="X215" s="1164" t="n"/>
      <c r="Y215" s="1164" t="n"/>
      <c r="Z215" s="1164" t="n"/>
      <c r="AA215" s="1164" t="n"/>
      <c r="AB215" s="1164" t="n"/>
      <c r="AC215" s="1165" t="n"/>
      <c r="AD215" s="1164" t="n"/>
      <c r="AE215" s="1164" t="n"/>
      <c r="AF215" s="1164" t="n"/>
      <c r="AG215" s="1164" t="n"/>
      <c r="AH215" s="1164" t="n"/>
      <c r="AI215" s="1165" t="n"/>
      <c r="AJ215" s="1160" t="n"/>
      <c r="AK215" s="1160" t="n"/>
      <c r="AL215" s="1160" t="n"/>
    </row>
    <row r="216">
      <c r="C216" s="1163">
        <f>C148</f>
        <v/>
      </c>
      <c r="D216" s="2530">
        <f>D148</f>
        <v/>
      </c>
      <c r="E216" s="2530">
        <f>E148</f>
        <v/>
      </c>
      <c r="F216" s="1164" t="n"/>
      <c r="G216" s="1164" t="n"/>
      <c r="H216" s="1164" t="n"/>
      <c r="I216" s="1164" t="n"/>
      <c r="J216" s="1164" t="n"/>
      <c r="K216" s="1165" t="n"/>
      <c r="L216" s="1164" t="n"/>
      <c r="M216" s="1164" t="n"/>
      <c r="N216" s="1164" t="n"/>
      <c r="O216" s="1164" t="n"/>
      <c r="P216" s="1164" t="n"/>
      <c r="Q216" s="1164" t="n"/>
      <c r="R216" s="1164" t="n"/>
      <c r="S216" s="1164" t="n"/>
      <c r="T216" s="1165" t="n"/>
      <c r="U216" s="1164" t="n"/>
      <c r="V216" s="1164" t="n"/>
      <c r="W216" s="1164" t="n"/>
      <c r="X216" s="1164" t="n"/>
      <c r="Y216" s="1164" t="n"/>
      <c r="Z216" s="1164" t="n"/>
      <c r="AA216" s="1164" t="n"/>
      <c r="AB216" s="1164" t="n"/>
      <c r="AC216" s="1165" t="n"/>
      <c r="AD216" s="1164" t="n"/>
      <c r="AE216" s="1164" t="n"/>
      <c r="AF216" s="1164" t="n"/>
      <c r="AG216" s="1164" t="n"/>
      <c r="AH216" s="1164" t="n"/>
      <c r="AI216" s="1165" t="n"/>
      <c r="AJ216" s="1160" t="n"/>
      <c r="AK216" s="1160" t="n"/>
      <c r="AL216" s="1160" t="n"/>
    </row>
    <row r="217">
      <c r="C217" s="1163">
        <f>C149</f>
        <v/>
      </c>
      <c r="D217" s="2530">
        <f>D149</f>
        <v/>
      </c>
      <c r="E217" s="2530">
        <f>E149</f>
        <v/>
      </c>
      <c r="F217" s="1164" t="n"/>
      <c r="G217" s="1164" t="n"/>
      <c r="H217" s="1164" t="n"/>
      <c r="I217" s="1164" t="n"/>
      <c r="J217" s="1164" t="n"/>
      <c r="K217" s="1165" t="n"/>
      <c r="L217" s="1164" t="n"/>
      <c r="M217" s="1164" t="n"/>
      <c r="N217" s="1164" t="n"/>
      <c r="O217" s="1164" t="n"/>
      <c r="P217" s="1164" t="n"/>
      <c r="Q217" s="1164" t="n"/>
      <c r="R217" s="1164" t="n"/>
      <c r="S217" s="1164" t="n"/>
      <c r="T217" s="1165" t="n"/>
      <c r="U217" s="1164" t="n"/>
      <c r="V217" s="1164" t="n"/>
      <c r="W217" s="1164" t="n"/>
      <c r="X217" s="1164" t="n"/>
      <c r="Y217" s="1164" t="n"/>
      <c r="Z217" s="1164" t="n"/>
      <c r="AA217" s="1164" t="n"/>
      <c r="AB217" s="1164" t="n"/>
      <c r="AC217" s="1165" t="n"/>
      <c r="AD217" s="1164" t="n"/>
      <c r="AE217" s="1164" t="n"/>
      <c r="AF217" s="1164" t="n"/>
      <c r="AG217" s="1164" t="n"/>
      <c r="AH217" s="1164" t="n"/>
      <c r="AI217" s="1165" t="n"/>
      <c r="AJ217" s="1160" t="n"/>
      <c r="AK217" s="1160" t="n"/>
      <c r="AL217" s="1160" t="n"/>
    </row>
    <row r="218">
      <c r="C218" s="1163">
        <f>C150</f>
        <v/>
      </c>
      <c r="D218" s="2530">
        <f>D150</f>
        <v/>
      </c>
      <c r="E218" s="2530">
        <f>E150</f>
        <v/>
      </c>
      <c r="F218" s="1164" t="n"/>
      <c r="G218" s="1164" t="n"/>
      <c r="H218" s="1164" t="n"/>
      <c r="I218" s="1164" t="n"/>
      <c r="J218" s="1164" t="n"/>
      <c r="K218" s="1165" t="n"/>
      <c r="L218" s="1164" t="n"/>
      <c r="M218" s="1164" t="n"/>
      <c r="N218" s="1164" t="n"/>
      <c r="O218" s="1164" t="n"/>
      <c r="P218" s="1164" t="n"/>
      <c r="Q218" s="1164" t="n"/>
      <c r="R218" s="1164" t="n"/>
      <c r="S218" s="1164" t="n"/>
      <c r="T218" s="1165" t="n"/>
      <c r="U218" s="1164" t="n"/>
      <c r="V218" s="1164" t="n"/>
      <c r="W218" s="1164" t="n"/>
      <c r="X218" s="1164" t="n"/>
      <c r="Y218" s="1164" t="n"/>
      <c r="Z218" s="1164" t="n"/>
      <c r="AA218" s="1164" t="n"/>
      <c r="AB218" s="1164" t="n"/>
      <c r="AC218" s="1165" t="n"/>
      <c r="AD218" s="1164" t="n"/>
      <c r="AE218" s="1164" t="n"/>
      <c r="AF218" s="1164" t="n"/>
      <c r="AG218" s="1164" t="n"/>
      <c r="AH218" s="1164" t="n"/>
      <c r="AI218" s="1165" t="n"/>
      <c r="AJ218" s="1160" t="n"/>
      <c r="AK218" s="1160" t="n"/>
      <c r="AL218" s="1160" t="n"/>
    </row>
    <row r="219">
      <c r="C219" s="1163">
        <f>C151</f>
        <v/>
      </c>
      <c r="D219" s="2530">
        <f>D151</f>
        <v/>
      </c>
      <c r="E219" s="2530">
        <f>E151</f>
        <v/>
      </c>
      <c r="F219" s="1164" t="n"/>
      <c r="G219" s="1164" t="n"/>
      <c r="H219" s="1164" t="n"/>
      <c r="I219" s="1164" t="n"/>
      <c r="J219" s="1164" t="n"/>
      <c r="K219" s="1165" t="n"/>
      <c r="L219" s="1164" t="n"/>
      <c r="M219" s="1164" t="n"/>
      <c r="N219" s="1164" t="n"/>
      <c r="O219" s="1164" t="n"/>
      <c r="P219" s="1164" t="n"/>
      <c r="Q219" s="1164" t="n"/>
      <c r="R219" s="1164" t="n"/>
      <c r="S219" s="1164" t="n"/>
      <c r="T219" s="1165" t="n"/>
      <c r="U219" s="1164" t="n"/>
      <c r="V219" s="1164" t="n"/>
      <c r="W219" s="1164" t="n"/>
      <c r="X219" s="1164" t="n"/>
      <c r="Y219" s="1164" t="n"/>
      <c r="Z219" s="1164" t="n"/>
      <c r="AA219" s="1164" t="n"/>
      <c r="AB219" s="1164" t="n"/>
      <c r="AC219" s="1165" t="n"/>
      <c r="AD219" s="1164" t="n"/>
      <c r="AE219" s="1164" t="n"/>
      <c r="AF219" s="1164" t="n"/>
      <c r="AG219" s="1164" t="n"/>
      <c r="AH219" s="1164" t="n"/>
      <c r="AI219" s="1165" t="n"/>
      <c r="AJ219" s="1160" t="n"/>
      <c r="AK219" s="1160" t="n"/>
      <c r="AL219" s="1160" t="n"/>
    </row>
    <row r="220">
      <c r="C220" s="1163">
        <f>C152</f>
        <v/>
      </c>
      <c r="D220" s="2530">
        <f>D152</f>
        <v/>
      </c>
      <c r="E220" s="2530">
        <f>E152</f>
        <v/>
      </c>
      <c r="F220" s="1164" t="n"/>
      <c r="G220" s="1164" t="n"/>
      <c r="H220" s="1164" t="n"/>
      <c r="I220" s="1164" t="n"/>
      <c r="J220" s="1164" t="n"/>
      <c r="K220" s="1165" t="n"/>
      <c r="L220" s="1164" t="n"/>
      <c r="M220" s="1164" t="n"/>
      <c r="N220" s="1164" t="n"/>
      <c r="O220" s="1164" t="n"/>
      <c r="P220" s="1164" t="n"/>
      <c r="Q220" s="1164" t="n"/>
      <c r="R220" s="1164" t="n"/>
      <c r="S220" s="1164" t="n"/>
      <c r="T220" s="1165" t="n"/>
      <c r="U220" s="1164" t="n"/>
      <c r="V220" s="1164" t="n"/>
      <c r="W220" s="1164" t="n"/>
      <c r="X220" s="1164" t="n"/>
      <c r="Y220" s="1164" t="n"/>
      <c r="Z220" s="1164" t="n"/>
      <c r="AA220" s="1164" t="n"/>
      <c r="AB220" s="1164" t="n"/>
      <c r="AC220" s="1165" t="n"/>
      <c r="AD220" s="1164" t="n"/>
      <c r="AE220" s="1164" t="n"/>
      <c r="AF220" s="1164" t="n"/>
      <c r="AG220" s="1164" t="n"/>
      <c r="AH220" s="1164" t="n"/>
      <c r="AI220" s="1165" t="n"/>
      <c r="AJ220" s="1160" t="n"/>
      <c r="AK220" s="1160" t="n"/>
      <c r="AL220" s="1160" t="n"/>
    </row>
    <row r="221">
      <c r="C221" s="1166">
        <f>C153</f>
        <v/>
      </c>
      <c r="D221" s="2531">
        <f>D153</f>
        <v/>
      </c>
      <c r="E221" s="2531">
        <f>E153</f>
        <v/>
      </c>
      <c r="F221" s="1167" t="n"/>
      <c r="G221" s="1167" t="n"/>
      <c r="H221" s="1167" t="n"/>
      <c r="I221" s="1167" t="n"/>
      <c r="J221" s="1167" t="n"/>
      <c r="K221" s="1168" t="n"/>
      <c r="L221" s="1167" t="n"/>
      <c r="M221" s="1167" t="n"/>
      <c r="N221" s="1167" t="n"/>
      <c r="O221" s="1167" t="n"/>
      <c r="P221" s="1167" t="n"/>
      <c r="Q221" s="1167" t="n"/>
      <c r="R221" s="1167" t="n"/>
      <c r="S221" s="1167" t="n"/>
      <c r="T221" s="1168" t="n"/>
      <c r="U221" s="1167" t="n"/>
      <c r="V221" s="1167" t="n"/>
      <c r="W221" s="1167" t="n"/>
      <c r="X221" s="1167" t="n"/>
      <c r="Y221" s="1167" t="n"/>
      <c r="Z221" s="1167" t="n"/>
      <c r="AA221" s="1167" t="n"/>
      <c r="AB221" s="1167" t="n"/>
      <c r="AC221" s="1168" t="n"/>
      <c r="AD221" s="1167" t="n"/>
      <c r="AE221" s="1167" t="n"/>
      <c r="AF221" s="1167" t="n"/>
      <c r="AG221" s="1167" t="n"/>
      <c r="AH221" s="1167" t="n"/>
      <c r="AI221" s="1168" t="n"/>
      <c r="AJ221" s="1160" t="n"/>
      <c r="AK221" s="1160" t="n"/>
      <c r="AL221" s="1160" t="n"/>
    </row>
    <row r="222">
      <c r="F222" s="1160" t="n"/>
      <c r="G222" s="1160" t="n"/>
      <c r="H222" s="1160" t="n"/>
      <c r="I222" s="1160" t="n"/>
      <c r="J222" s="1160" t="n"/>
      <c r="K222" s="1160" t="n"/>
      <c r="L222" s="1160" t="n"/>
      <c r="M222" s="1160" t="n"/>
      <c r="N222" s="1160" t="n"/>
      <c r="R222" s="1160" t="n"/>
      <c r="S222" s="1160" t="n"/>
      <c r="T222" s="1160" t="n"/>
      <c r="U222" s="1160" t="n"/>
      <c r="V222" s="1160" t="n"/>
      <c r="W222" s="1160" t="n"/>
      <c r="X222" s="1160" t="n"/>
      <c r="Y222" s="1160" t="n"/>
      <c r="Z222" s="1160" t="n"/>
      <c r="AA222" s="1160" t="n"/>
      <c r="AB222" s="1160" t="n"/>
      <c r="AC222" s="1160" t="n"/>
      <c r="AD222" s="1160" t="n"/>
      <c r="AE222" s="1160" t="n"/>
      <c r="AF222" s="1160" t="n"/>
      <c r="AG222" s="1160" t="n"/>
      <c r="AH222" s="1160" t="n"/>
      <c r="AI222" s="1160" t="n"/>
      <c r="AJ222" s="1160" t="n"/>
      <c r="AK222" s="1160" t="n"/>
      <c r="AL222" s="1160" t="n"/>
    </row>
    <row r="223">
      <c r="C223" s="1189" t="inlineStr">
        <is>
          <t>Table 2D: Historical Ratios</t>
        </is>
      </c>
      <c r="D223" s="1189" t="n"/>
      <c r="E223" s="1189" t="n"/>
      <c r="F223" s="1189" t="n"/>
      <c r="G223" s="1189" t="n"/>
      <c r="H223" s="1189" t="n"/>
      <c r="I223" s="1189" t="n"/>
      <c r="J223" s="1189" t="n"/>
      <c r="K223" s="1189" t="n"/>
      <c r="L223" s="1189" t="n"/>
      <c r="M223" s="1189" t="n"/>
      <c r="N223" s="1189" t="n"/>
      <c r="O223" s="1189" t="n"/>
      <c r="P223" s="1189" t="n"/>
      <c r="Q223" s="1189" t="n"/>
      <c r="R223" s="1189" t="n"/>
      <c r="S223" s="1189" t="n"/>
      <c r="T223" s="1189" t="n"/>
      <c r="U223" s="1189" t="n"/>
      <c r="V223" s="1189" t="n"/>
      <c r="W223" s="1189" t="n"/>
      <c r="X223" s="1189" t="n"/>
      <c r="Y223" s="1189" t="n"/>
      <c r="Z223" s="1189" t="n"/>
      <c r="AA223" s="1189" t="n"/>
      <c r="AB223" s="1189" t="n"/>
      <c r="AC223" s="1189" t="n"/>
      <c r="AD223" s="1189" t="n"/>
      <c r="AE223" s="1189" t="n"/>
      <c r="AF223" s="1189" t="n"/>
      <c r="AG223" s="1189" t="n"/>
      <c r="AH223" s="1189" t="n"/>
      <c r="AI223" s="1189" t="n"/>
      <c r="AJ223" s="1189" t="n"/>
      <c r="AK223" s="1189" t="n"/>
      <c r="AL223" s="1189" t="n"/>
      <c r="AM223" s="1189" t="n"/>
      <c r="AN223" s="1189" t="n"/>
      <c r="AO223" s="1189" t="n"/>
      <c r="AP223" s="1189" t="n"/>
    </row>
    <row r="224">
      <c r="C224" s="1194">
        <f>C156</f>
        <v/>
      </c>
      <c r="D224" s="1195">
        <f>D156</f>
        <v/>
      </c>
      <c r="E224" s="1195">
        <f>E156</f>
        <v/>
      </c>
      <c r="F224" s="1196" t="n"/>
      <c r="G224" s="1196" t="n"/>
      <c r="H224" s="1196" t="n"/>
      <c r="I224" s="1196" t="n"/>
      <c r="J224" s="1196" t="n"/>
      <c r="K224" s="1196" t="n"/>
      <c r="L224" s="1196" t="n"/>
      <c r="M224" s="1196" t="n"/>
      <c r="N224" s="1196" t="n"/>
      <c r="O224" s="1196" t="n"/>
      <c r="P224" s="1196" t="n"/>
      <c r="Q224" s="1196" t="n"/>
      <c r="R224" s="1196" t="n"/>
      <c r="S224" s="1196" t="n"/>
      <c r="T224" s="1196" t="n"/>
      <c r="U224" s="1196" t="n"/>
      <c r="V224" s="1196" t="n"/>
      <c r="W224" s="1196" t="n"/>
      <c r="X224" s="1196" t="n"/>
      <c r="Y224" s="1196" t="n"/>
      <c r="Z224" s="1196" t="n"/>
      <c r="AA224" s="1196" t="n"/>
      <c r="AB224" s="1196" t="n"/>
      <c r="AC224" s="1196" t="n"/>
      <c r="AD224" s="1196" t="n"/>
      <c r="AE224" s="2533" t="inlineStr">
        <is>
          <t>Revenue Growth</t>
        </is>
      </c>
      <c r="AH224" s="2533" t="inlineStr">
        <is>
          <t>Net Income Growth</t>
        </is>
      </c>
      <c r="AK224" s="2533" t="inlineStr">
        <is>
          <t>EBITDA Growth</t>
        </is>
      </c>
      <c r="AN224" s="2533" t="inlineStr">
        <is>
          <t>Equity Growth</t>
        </is>
      </c>
    </row>
    <row r="225" ht="51.65" customHeight="1">
      <c r="C225" s="1177" t="n"/>
      <c r="D225" s="1178" t="n"/>
      <c r="E225" s="1178" t="n"/>
      <c r="F225" s="1183" t="inlineStr">
        <is>
          <t>Current Ratio</t>
        </is>
      </c>
      <c r="G225" s="1183" t="inlineStr">
        <is>
          <t>Quick Ratio</t>
        </is>
      </c>
      <c r="H225" s="1183" t="inlineStr">
        <is>
          <t>Interest Coverage Before Tax</t>
        </is>
      </c>
      <c r="I225" s="1183" t="inlineStr">
        <is>
          <t>Interest Coverage After Tax</t>
        </is>
      </c>
      <c r="J225" s="1183" t="inlineStr">
        <is>
          <t>Long-Term Debt / Equity</t>
        </is>
      </c>
      <c r="K225" s="1183" t="inlineStr">
        <is>
          <t>Total Debt / Invested Capital</t>
        </is>
      </c>
      <c r="L225" s="1183" t="inlineStr">
        <is>
          <t>Total Debt / Total Assets</t>
        </is>
      </c>
      <c r="M225" s="1183" t="inlineStr">
        <is>
          <t>Total Liabilities / Equity</t>
        </is>
      </c>
      <c r="N225" s="1183" t="inlineStr">
        <is>
          <t>Total Debt / Total Market Capitalization</t>
        </is>
      </c>
      <c r="O225" s="1183" t="inlineStr">
        <is>
          <t>Revenue / Total Assets</t>
        </is>
      </c>
      <c r="P225" s="1183" t="inlineStr">
        <is>
          <t>Revenue / Receivables</t>
        </is>
      </c>
      <c r="Q225" s="1183" t="inlineStr">
        <is>
          <t>Receivable Turnover (Days)</t>
        </is>
      </c>
      <c r="R225" s="1183" t="inlineStr">
        <is>
          <t>Working Capital as % of Revenue</t>
        </is>
      </c>
      <c r="S225" s="1183" t="inlineStr">
        <is>
          <t>COGS / Inventory</t>
        </is>
      </c>
      <c r="T225" s="1183" t="inlineStr">
        <is>
          <t>Inventory Turnover (Days)</t>
        </is>
      </c>
      <c r="U225" s="1183" t="inlineStr">
        <is>
          <t>COGS / Payables</t>
        </is>
      </c>
      <c r="V225" s="1183" t="inlineStr">
        <is>
          <t>Payable Turnover (Days)</t>
        </is>
      </c>
      <c r="W225" s="1183" t="inlineStr">
        <is>
          <t>Return on Assets</t>
        </is>
      </c>
      <c r="X225" s="1183" t="inlineStr">
        <is>
          <t>Return on Equity</t>
        </is>
      </c>
      <c r="Y225" s="1183" t="inlineStr">
        <is>
          <t>Return on Invested Capital</t>
        </is>
      </c>
      <c r="Z225" s="1183" t="inlineStr">
        <is>
          <t>Return on Market Value of Equity</t>
        </is>
      </c>
      <c r="AA225" s="1183" t="inlineStr">
        <is>
          <t>EBITDA Margin</t>
        </is>
      </c>
      <c r="AB225" s="1183" t="inlineStr">
        <is>
          <t>EBIT Margin</t>
        </is>
      </c>
      <c r="AC225" s="1183" t="inlineStr">
        <is>
          <t>Pretax Profit Margin</t>
        </is>
      </c>
      <c r="AD225" s="1183" t="inlineStr">
        <is>
          <t>Net Profit Margin</t>
        </is>
      </c>
      <c r="AE225" s="1183" t="inlineStr">
        <is>
          <t>Previous Fiscal Year</t>
        </is>
      </c>
      <c r="AF225" s="1183" t="inlineStr">
        <is>
          <t>Latest Fiscal Year</t>
        </is>
      </c>
      <c r="AG225" s="1183" t="inlineStr">
        <is>
          <t>Three-year Historic CAGR</t>
        </is>
      </c>
      <c r="AH225" s="1183" t="inlineStr">
        <is>
          <t>Previous Fiscal Year</t>
        </is>
      </c>
      <c r="AI225" s="1183" t="inlineStr">
        <is>
          <t>Latest Fiscal Year</t>
        </is>
      </c>
      <c r="AJ225" s="1183" t="inlineStr">
        <is>
          <t>Three-year Historic CAGR</t>
        </is>
      </c>
      <c r="AK225" s="1183" t="inlineStr">
        <is>
          <t>Previous Fiscal Year</t>
        </is>
      </c>
      <c r="AL225" s="1183" t="inlineStr">
        <is>
          <t>Latest Fiscal Year</t>
        </is>
      </c>
      <c r="AM225" s="1183" t="inlineStr">
        <is>
          <t>Three-year Historic CAGR</t>
        </is>
      </c>
      <c r="AN225" s="1183" t="inlineStr">
        <is>
          <t>Previous Fiscal Year</t>
        </is>
      </c>
      <c r="AO225" s="1183" t="inlineStr">
        <is>
          <t>Latest Fiscal Year</t>
        </is>
      </c>
      <c r="AP225" s="1184" t="inlineStr">
        <is>
          <t>Three-year Historic CAGR</t>
        </is>
      </c>
    </row>
    <row r="226">
      <c r="C226" s="1163">
        <f>C158</f>
        <v/>
      </c>
      <c r="D226" s="2530">
        <f>D158</f>
        <v/>
      </c>
      <c r="E226" s="2530">
        <f>E158</f>
        <v/>
      </c>
      <c r="F226" s="1164" t="n"/>
      <c r="G226" s="1164" t="n"/>
      <c r="H226" s="1164" t="n"/>
      <c r="I226" s="1164" t="n"/>
      <c r="J226" s="1164" t="n"/>
      <c r="K226" s="1164" t="n"/>
      <c r="L226" s="1164" t="n"/>
      <c r="M226" s="1164" t="n"/>
      <c r="N226" s="1164" t="n"/>
      <c r="O226" s="1164" t="n"/>
      <c r="P226" s="1164" t="n"/>
      <c r="Q226" s="1164" t="n"/>
      <c r="R226" s="1164" t="n"/>
      <c r="S226" s="1164" t="n"/>
      <c r="T226" s="1164" t="n"/>
      <c r="U226" s="1164" t="n"/>
      <c r="V226" s="1164" t="n"/>
      <c r="W226" s="1164" t="n"/>
      <c r="X226" s="1164" t="n"/>
      <c r="Y226" s="1164" t="n"/>
      <c r="Z226" s="1164" t="n"/>
      <c r="AA226" s="1164" t="n"/>
      <c r="AB226" s="1164" t="n"/>
      <c r="AC226" s="1164" t="n"/>
      <c r="AD226" s="1164" t="n"/>
      <c r="AE226" s="1164" t="n"/>
      <c r="AF226" s="1164" t="n"/>
      <c r="AG226" s="1164" t="n"/>
      <c r="AH226" s="1164" t="n"/>
      <c r="AI226" s="1164" t="n"/>
      <c r="AJ226" s="1164" t="n"/>
      <c r="AK226" s="1164" t="n"/>
      <c r="AL226" s="1164" t="n"/>
      <c r="AM226" s="1164" t="n"/>
      <c r="AN226" s="1164" t="n"/>
      <c r="AO226" s="1164" t="n"/>
      <c r="AP226" s="1165" t="n"/>
    </row>
    <row r="227">
      <c r="C227" s="1163">
        <f>C159</f>
        <v/>
      </c>
      <c r="D227" s="2530">
        <f>D159</f>
        <v/>
      </c>
      <c r="E227" s="2530">
        <f>E159</f>
        <v/>
      </c>
      <c r="F227" s="1164" t="n"/>
      <c r="G227" s="1164" t="n"/>
      <c r="H227" s="1164" t="n"/>
      <c r="I227" s="1164" t="n"/>
      <c r="J227" s="1164" t="n"/>
      <c r="K227" s="1164" t="n"/>
      <c r="L227" s="1164" t="n"/>
      <c r="M227" s="1164" t="n"/>
      <c r="N227" s="1164" t="n"/>
      <c r="O227" s="1164" t="n"/>
      <c r="P227" s="1164" t="n"/>
      <c r="Q227" s="1164" t="n"/>
      <c r="R227" s="1164" t="n"/>
      <c r="S227" s="1164" t="n"/>
      <c r="T227" s="1164" t="n"/>
      <c r="U227" s="1164" t="n"/>
      <c r="V227" s="1164" t="n"/>
      <c r="W227" s="1164" t="n"/>
      <c r="X227" s="1164" t="n"/>
      <c r="Y227" s="1164" t="n"/>
      <c r="Z227" s="1164" t="n"/>
      <c r="AA227" s="1164" t="n"/>
      <c r="AB227" s="1164" t="n"/>
      <c r="AC227" s="1164" t="n"/>
      <c r="AD227" s="1164" t="n"/>
      <c r="AE227" s="1164" t="n"/>
      <c r="AF227" s="1164" t="n"/>
      <c r="AG227" s="1164" t="n"/>
      <c r="AH227" s="1164" t="n"/>
      <c r="AI227" s="1164" t="n"/>
      <c r="AJ227" s="1164" t="n"/>
      <c r="AK227" s="1164" t="n"/>
      <c r="AL227" s="1164" t="n"/>
      <c r="AM227" s="1164" t="n"/>
      <c r="AN227" s="1164" t="n"/>
      <c r="AO227" s="1164" t="n"/>
      <c r="AP227" s="1165" t="n"/>
    </row>
    <row r="228">
      <c r="C228" s="1163">
        <f>C160</f>
        <v/>
      </c>
      <c r="D228" s="2530">
        <f>D160</f>
        <v/>
      </c>
      <c r="E228" s="2530">
        <f>E160</f>
        <v/>
      </c>
      <c r="F228" s="1164" t="n"/>
      <c r="G228" s="1164" t="n"/>
      <c r="H228" s="1164" t="n"/>
      <c r="I228" s="1164" t="n"/>
      <c r="J228" s="1164" t="n"/>
      <c r="K228" s="1164" t="n"/>
      <c r="L228" s="1164" t="n"/>
      <c r="M228" s="1164" t="n"/>
      <c r="N228" s="1164" t="n"/>
      <c r="O228" s="1164" t="n"/>
      <c r="P228" s="1164" t="n"/>
      <c r="Q228" s="1164" t="n"/>
      <c r="R228" s="1164" t="n"/>
      <c r="S228" s="1164" t="n"/>
      <c r="T228" s="1164" t="n"/>
      <c r="U228" s="1164" t="n"/>
      <c r="V228" s="1164" t="n"/>
      <c r="W228" s="1164" t="n"/>
      <c r="X228" s="1164" t="n"/>
      <c r="Y228" s="1164" t="n"/>
      <c r="Z228" s="1164" t="n"/>
      <c r="AA228" s="1164" t="n"/>
      <c r="AB228" s="1164" t="n"/>
      <c r="AC228" s="1164" t="n"/>
      <c r="AD228" s="1164" t="n"/>
      <c r="AE228" s="1164" t="n"/>
      <c r="AF228" s="1164" t="n"/>
      <c r="AG228" s="1164" t="n"/>
      <c r="AH228" s="1164" t="n"/>
      <c r="AI228" s="1164" t="n"/>
      <c r="AJ228" s="1164" t="n"/>
      <c r="AK228" s="1164" t="n"/>
      <c r="AL228" s="1164" t="n"/>
      <c r="AM228" s="1164" t="n"/>
      <c r="AN228" s="1164" t="n"/>
      <c r="AO228" s="1164" t="n"/>
      <c r="AP228" s="1165" t="n"/>
    </row>
    <row r="229">
      <c r="C229" s="1163">
        <f>C161</f>
        <v/>
      </c>
      <c r="D229" s="2530">
        <f>D161</f>
        <v/>
      </c>
      <c r="E229" s="2530">
        <f>E161</f>
        <v/>
      </c>
      <c r="F229" s="1164" t="n"/>
      <c r="G229" s="1164" t="n"/>
      <c r="H229" s="1164" t="n"/>
      <c r="I229" s="1164" t="n"/>
      <c r="J229" s="1164" t="n"/>
      <c r="K229" s="1164" t="n"/>
      <c r="L229" s="1164" t="n"/>
      <c r="M229" s="1164" t="n"/>
      <c r="N229" s="1164" t="n"/>
      <c r="O229" s="1164" t="n"/>
      <c r="P229" s="1164" t="n"/>
      <c r="Q229" s="1164" t="n"/>
      <c r="R229" s="1164" t="n"/>
      <c r="S229" s="1164" t="n"/>
      <c r="T229" s="1164" t="n"/>
      <c r="U229" s="1164" t="n"/>
      <c r="V229" s="1164" t="n"/>
      <c r="W229" s="1164" t="n"/>
      <c r="X229" s="1164" t="n"/>
      <c r="Y229" s="1164" t="n"/>
      <c r="Z229" s="1164" t="n"/>
      <c r="AA229" s="1164" t="n"/>
      <c r="AB229" s="1164" t="n"/>
      <c r="AC229" s="1164" t="n"/>
      <c r="AD229" s="1164" t="n"/>
      <c r="AE229" s="1164" t="n"/>
      <c r="AF229" s="1164" t="n"/>
      <c r="AG229" s="1164" t="n"/>
      <c r="AH229" s="1164" t="n"/>
      <c r="AI229" s="1164" t="n"/>
      <c r="AJ229" s="1164" t="n"/>
      <c r="AK229" s="1164" t="n"/>
      <c r="AL229" s="1164" t="n"/>
      <c r="AM229" s="1164" t="n"/>
      <c r="AN229" s="1164" t="n"/>
      <c r="AO229" s="1164" t="n"/>
      <c r="AP229" s="1165" t="n"/>
    </row>
    <row r="230">
      <c r="C230" s="1163">
        <f>C162</f>
        <v/>
      </c>
      <c r="D230" s="2530">
        <f>D162</f>
        <v/>
      </c>
      <c r="E230" s="2530">
        <f>E162</f>
        <v/>
      </c>
      <c r="F230" s="1164" t="n"/>
      <c r="G230" s="1164" t="n"/>
      <c r="H230" s="1164" t="n"/>
      <c r="I230" s="1164" t="n"/>
      <c r="J230" s="1164" t="n"/>
      <c r="K230" s="1164" t="n"/>
      <c r="L230" s="1164" t="n"/>
      <c r="M230" s="1164" t="n"/>
      <c r="N230" s="1164" t="n"/>
      <c r="O230" s="1164" t="n"/>
      <c r="P230" s="1164" t="n"/>
      <c r="Q230" s="1164" t="n"/>
      <c r="R230" s="1164" t="n"/>
      <c r="S230" s="1164" t="n"/>
      <c r="T230" s="1164" t="n"/>
      <c r="U230" s="1164" t="n"/>
      <c r="V230" s="1164" t="n"/>
      <c r="W230" s="1164" t="n"/>
      <c r="X230" s="1164" t="n"/>
      <c r="Y230" s="1164" t="n"/>
      <c r="Z230" s="1164" t="n"/>
      <c r="AA230" s="1164" t="n"/>
      <c r="AB230" s="1164" t="n"/>
      <c r="AC230" s="1164" t="n"/>
      <c r="AD230" s="1164" t="n"/>
      <c r="AE230" s="1164" t="n"/>
      <c r="AF230" s="1164" t="n"/>
      <c r="AG230" s="1164" t="n"/>
      <c r="AH230" s="1164" t="n"/>
      <c r="AI230" s="1164" t="n"/>
      <c r="AJ230" s="1164" t="n"/>
      <c r="AK230" s="1164" t="n"/>
      <c r="AL230" s="1164" t="n"/>
      <c r="AM230" s="1164" t="n"/>
      <c r="AN230" s="1164" t="n"/>
      <c r="AO230" s="1164" t="n"/>
      <c r="AP230" s="1165" t="n"/>
    </row>
    <row r="231">
      <c r="C231" s="1163">
        <f>C163</f>
        <v/>
      </c>
      <c r="D231" s="2530">
        <f>D163</f>
        <v/>
      </c>
      <c r="E231" s="2530">
        <f>E163</f>
        <v/>
      </c>
      <c r="F231" s="1164" t="n"/>
      <c r="G231" s="1164" t="n"/>
      <c r="H231" s="1164" t="n"/>
      <c r="I231" s="1164" t="n"/>
      <c r="J231" s="1164" t="n"/>
      <c r="K231" s="1164" t="n"/>
      <c r="L231" s="1164" t="n"/>
      <c r="M231" s="1164" t="n"/>
      <c r="N231" s="1164" t="n"/>
      <c r="O231" s="1164" t="n"/>
      <c r="P231" s="1164" t="n"/>
      <c r="Q231" s="1164" t="n"/>
      <c r="R231" s="1164" t="n"/>
      <c r="S231" s="1164" t="n"/>
      <c r="T231" s="1164" t="n"/>
      <c r="U231" s="1164" t="n"/>
      <c r="V231" s="1164" t="n"/>
      <c r="W231" s="1164" t="n"/>
      <c r="X231" s="1164" t="n"/>
      <c r="Y231" s="1164" t="n"/>
      <c r="Z231" s="1164" t="n"/>
      <c r="AA231" s="1164" t="n"/>
      <c r="AB231" s="1164" t="n"/>
      <c r="AC231" s="1164" t="n"/>
      <c r="AD231" s="1164" t="n"/>
      <c r="AE231" s="1164" t="n"/>
      <c r="AF231" s="1164" t="n"/>
      <c r="AG231" s="1164" t="n"/>
      <c r="AH231" s="1164" t="n"/>
      <c r="AI231" s="1164" t="n"/>
      <c r="AJ231" s="1164" t="n"/>
      <c r="AK231" s="1164" t="n"/>
      <c r="AL231" s="1164" t="n"/>
      <c r="AM231" s="1164" t="n"/>
      <c r="AN231" s="1164" t="n"/>
      <c r="AO231" s="1164" t="n"/>
      <c r="AP231" s="1165" t="n"/>
    </row>
    <row r="232">
      <c r="C232" s="1163">
        <f>C164</f>
        <v/>
      </c>
      <c r="D232" s="2530">
        <f>D164</f>
        <v/>
      </c>
      <c r="E232" s="2530">
        <f>E164</f>
        <v/>
      </c>
      <c r="F232" s="1164" t="n"/>
      <c r="G232" s="1164" t="n"/>
      <c r="H232" s="1164" t="n"/>
      <c r="I232" s="1164" t="n"/>
      <c r="J232" s="1164" t="n"/>
      <c r="K232" s="1164" t="n"/>
      <c r="L232" s="1164" t="n"/>
      <c r="M232" s="1164" t="n"/>
      <c r="N232" s="1164" t="n"/>
      <c r="O232" s="1164" t="n"/>
      <c r="P232" s="1164" t="n"/>
      <c r="Q232" s="1164" t="n"/>
      <c r="R232" s="1164" t="n"/>
      <c r="S232" s="1164" t="n"/>
      <c r="T232" s="1164" t="n"/>
      <c r="U232" s="1164" t="n"/>
      <c r="V232" s="1164" t="n"/>
      <c r="W232" s="1164" t="n"/>
      <c r="X232" s="1164" t="n"/>
      <c r="Y232" s="1164" t="n"/>
      <c r="Z232" s="1164" t="n"/>
      <c r="AA232" s="1164" t="n"/>
      <c r="AB232" s="1164" t="n"/>
      <c r="AC232" s="1164" t="n"/>
      <c r="AD232" s="1164" t="n"/>
      <c r="AE232" s="1164" t="n"/>
      <c r="AF232" s="1164" t="n"/>
      <c r="AG232" s="1164" t="n"/>
      <c r="AH232" s="1164" t="n"/>
      <c r="AI232" s="1164" t="n"/>
      <c r="AJ232" s="1164" t="n"/>
      <c r="AK232" s="1164" t="n"/>
      <c r="AL232" s="1164" t="n"/>
      <c r="AM232" s="1164" t="n"/>
      <c r="AN232" s="1164" t="n"/>
      <c r="AO232" s="1164" t="n"/>
      <c r="AP232" s="1165" t="n"/>
    </row>
    <row r="233">
      <c r="C233" s="1163">
        <f>C165</f>
        <v/>
      </c>
      <c r="D233" s="2530">
        <f>D165</f>
        <v/>
      </c>
      <c r="E233" s="2530">
        <f>E165</f>
        <v/>
      </c>
      <c r="F233" s="1164" t="n"/>
      <c r="G233" s="1164" t="n"/>
      <c r="H233" s="1164" t="n"/>
      <c r="I233" s="1164" t="n"/>
      <c r="J233" s="1164" t="n"/>
      <c r="K233" s="1164" t="n"/>
      <c r="L233" s="1164" t="n"/>
      <c r="M233" s="1164" t="n"/>
      <c r="N233" s="1164" t="n"/>
      <c r="O233" s="1164" t="n"/>
      <c r="P233" s="1164" t="n"/>
      <c r="Q233" s="1164" t="n"/>
      <c r="R233" s="1164" t="n"/>
      <c r="S233" s="1164" t="n"/>
      <c r="T233" s="1164" t="n"/>
      <c r="U233" s="1164" t="n"/>
      <c r="V233" s="1164" t="n"/>
      <c r="W233" s="1164" t="n"/>
      <c r="X233" s="1164" t="n"/>
      <c r="Y233" s="1164" t="n"/>
      <c r="Z233" s="1164" t="n"/>
      <c r="AA233" s="1164" t="n"/>
      <c r="AB233" s="1164" t="n"/>
      <c r="AC233" s="1164" t="n"/>
      <c r="AD233" s="1164" t="n"/>
      <c r="AE233" s="1164" t="n"/>
      <c r="AF233" s="1164" t="n"/>
      <c r="AG233" s="1164" t="n"/>
      <c r="AH233" s="1164" t="n"/>
      <c r="AI233" s="1164" t="n"/>
      <c r="AJ233" s="1164" t="n"/>
      <c r="AK233" s="1164" t="n"/>
      <c r="AL233" s="1164" t="n"/>
      <c r="AM233" s="1164" t="n"/>
      <c r="AN233" s="1164" t="n"/>
      <c r="AO233" s="1164" t="n"/>
      <c r="AP233" s="1165" t="n"/>
    </row>
    <row r="234">
      <c r="C234" s="1163">
        <f>C166</f>
        <v/>
      </c>
      <c r="D234" s="2530">
        <f>D166</f>
        <v/>
      </c>
      <c r="E234" s="2530">
        <f>E166</f>
        <v/>
      </c>
      <c r="F234" s="1164" t="n"/>
      <c r="G234" s="1164" t="n"/>
      <c r="H234" s="1164" t="n"/>
      <c r="I234" s="1164" t="n"/>
      <c r="J234" s="1164" t="n"/>
      <c r="K234" s="1164" t="n"/>
      <c r="L234" s="1164" t="n"/>
      <c r="M234" s="1164" t="n"/>
      <c r="N234" s="1164" t="n"/>
      <c r="O234" s="1164" t="n"/>
      <c r="P234" s="1164" t="n"/>
      <c r="Q234" s="1164" t="n"/>
      <c r="R234" s="1164" t="n"/>
      <c r="S234" s="1164" t="n"/>
      <c r="T234" s="1164" t="n"/>
      <c r="U234" s="1164" t="n"/>
      <c r="V234" s="1164" t="n"/>
      <c r="W234" s="1164" t="n"/>
      <c r="X234" s="1164" t="n"/>
      <c r="Y234" s="1164" t="n"/>
      <c r="Z234" s="1164" t="n"/>
      <c r="AA234" s="1164" t="n"/>
      <c r="AB234" s="1164" t="n"/>
      <c r="AC234" s="1164" t="n"/>
      <c r="AD234" s="1164" t="n"/>
      <c r="AE234" s="1164" t="n"/>
      <c r="AF234" s="1164" t="n"/>
      <c r="AG234" s="1164" t="n"/>
      <c r="AH234" s="1164" t="n"/>
      <c r="AI234" s="1164" t="n"/>
      <c r="AJ234" s="1164" t="n"/>
      <c r="AK234" s="1164" t="n"/>
      <c r="AL234" s="1164" t="n"/>
      <c r="AM234" s="1164" t="n"/>
      <c r="AN234" s="1164" t="n"/>
      <c r="AO234" s="1164" t="n"/>
      <c r="AP234" s="1165" t="n"/>
    </row>
    <row r="235">
      <c r="C235" s="1163">
        <f>C167</f>
        <v/>
      </c>
      <c r="D235" s="2530">
        <f>D167</f>
        <v/>
      </c>
      <c r="E235" s="2530">
        <f>E167</f>
        <v/>
      </c>
      <c r="F235" s="1164" t="n"/>
      <c r="G235" s="1164" t="n"/>
      <c r="H235" s="1164" t="n"/>
      <c r="I235" s="1164" t="n"/>
      <c r="J235" s="1164" t="n"/>
      <c r="K235" s="1164" t="n"/>
      <c r="L235" s="1164" t="n"/>
      <c r="M235" s="1164" t="n"/>
      <c r="N235" s="1164" t="n"/>
      <c r="O235" s="1164" t="n"/>
      <c r="P235" s="1164" t="n"/>
      <c r="Q235" s="1164" t="n"/>
      <c r="R235" s="1164" t="n"/>
      <c r="S235" s="1164" t="n"/>
      <c r="T235" s="1164" t="n"/>
      <c r="U235" s="1164" t="n"/>
      <c r="V235" s="1164" t="n"/>
      <c r="W235" s="1164" t="n"/>
      <c r="X235" s="1164" t="n"/>
      <c r="Y235" s="1164" t="n"/>
      <c r="Z235" s="1164" t="n"/>
      <c r="AA235" s="1164" t="n"/>
      <c r="AB235" s="1164" t="n"/>
      <c r="AC235" s="1164" t="n"/>
      <c r="AD235" s="1164" t="n"/>
      <c r="AE235" s="1164" t="n"/>
      <c r="AF235" s="1164" t="n"/>
      <c r="AG235" s="1164" t="n"/>
      <c r="AH235" s="1164" t="n"/>
      <c r="AI235" s="1164" t="n"/>
      <c r="AJ235" s="1164" t="n"/>
      <c r="AK235" s="1164" t="n"/>
      <c r="AL235" s="1164" t="n"/>
      <c r="AM235" s="1164" t="n"/>
      <c r="AN235" s="1164" t="n"/>
      <c r="AO235" s="1164" t="n"/>
      <c r="AP235" s="1165" t="n"/>
    </row>
    <row r="236">
      <c r="C236" s="1163">
        <f>C168</f>
        <v/>
      </c>
      <c r="D236" s="2530">
        <f>D168</f>
        <v/>
      </c>
      <c r="E236" s="2530">
        <f>E168</f>
        <v/>
      </c>
      <c r="F236" s="1164" t="n"/>
      <c r="G236" s="1164" t="n"/>
      <c r="H236" s="1164" t="n"/>
      <c r="I236" s="1164" t="n"/>
      <c r="J236" s="1164" t="n"/>
      <c r="K236" s="1164" t="n"/>
      <c r="L236" s="1164" t="n"/>
      <c r="M236" s="1164" t="n"/>
      <c r="N236" s="1164" t="n"/>
      <c r="O236" s="1164" t="n"/>
      <c r="P236" s="1164" t="n"/>
      <c r="Q236" s="1164" t="n"/>
      <c r="R236" s="1164" t="n"/>
      <c r="S236" s="1164" t="n"/>
      <c r="T236" s="1164" t="n"/>
      <c r="U236" s="1164" t="n"/>
      <c r="V236" s="1164" t="n"/>
      <c r="W236" s="1164" t="n"/>
      <c r="X236" s="1164" t="n"/>
      <c r="Y236" s="1164" t="n"/>
      <c r="Z236" s="1164" t="n"/>
      <c r="AA236" s="1164" t="n"/>
      <c r="AB236" s="1164" t="n"/>
      <c r="AC236" s="1164" t="n"/>
      <c r="AD236" s="1164" t="n"/>
      <c r="AE236" s="1164" t="n"/>
      <c r="AF236" s="1164" t="n"/>
      <c r="AG236" s="1164" t="n"/>
      <c r="AH236" s="1164" t="n"/>
      <c r="AI236" s="1164" t="n"/>
      <c r="AJ236" s="1164" t="n"/>
      <c r="AK236" s="1164" t="n"/>
      <c r="AL236" s="1164" t="n"/>
      <c r="AM236" s="1164" t="n"/>
      <c r="AN236" s="1164" t="n"/>
      <c r="AO236" s="1164" t="n"/>
      <c r="AP236" s="1165" t="n"/>
    </row>
    <row r="237">
      <c r="C237" s="1163">
        <f>C169</f>
        <v/>
      </c>
      <c r="D237" s="2530">
        <f>D169</f>
        <v/>
      </c>
      <c r="E237" s="2530">
        <f>E169</f>
        <v/>
      </c>
      <c r="F237" s="1164" t="n"/>
      <c r="G237" s="1164" t="n"/>
      <c r="H237" s="1164" t="n"/>
      <c r="I237" s="1164" t="n"/>
      <c r="J237" s="1164" t="n"/>
      <c r="K237" s="1164" t="n"/>
      <c r="L237" s="1164" t="n"/>
      <c r="M237" s="1164" t="n"/>
      <c r="N237" s="1164" t="n"/>
      <c r="O237" s="1164" t="n"/>
      <c r="P237" s="1164" t="n"/>
      <c r="Q237" s="1164" t="n"/>
      <c r="R237" s="1164" t="n"/>
      <c r="S237" s="1164" t="n"/>
      <c r="T237" s="1164" t="n"/>
      <c r="U237" s="1164" t="n"/>
      <c r="V237" s="1164" t="n"/>
      <c r="W237" s="1164" t="n"/>
      <c r="X237" s="1164" t="n"/>
      <c r="Y237" s="1164" t="n"/>
      <c r="Z237" s="1164" t="n"/>
      <c r="AA237" s="1164" t="n"/>
      <c r="AB237" s="1164" t="n"/>
      <c r="AC237" s="1164" t="n"/>
      <c r="AD237" s="1164" t="n"/>
      <c r="AE237" s="1164" t="n"/>
      <c r="AF237" s="1164" t="n"/>
      <c r="AG237" s="1164" t="n"/>
      <c r="AH237" s="1164" t="n"/>
      <c r="AI237" s="1164" t="n"/>
      <c r="AJ237" s="1164" t="n"/>
      <c r="AK237" s="1164" t="n"/>
      <c r="AL237" s="1164" t="n"/>
      <c r="AM237" s="1164" t="n"/>
      <c r="AN237" s="1164" t="n"/>
      <c r="AO237" s="1164" t="n"/>
      <c r="AP237" s="1165" t="n"/>
    </row>
    <row r="238">
      <c r="C238" s="1163">
        <f>C170</f>
        <v/>
      </c>
      <c r="D238" s="2530">
        <f>D170</f>
        <v/>
      </c>
      <c r="E238" s="2530">
        <f>E170</f>
        <v/>
      </c>
      <c r="F238" s="1164" t="n"/>
      <c r="G238" s="1164" t="n"/>
      <c r="H238" s="1164" t="n"/>
      <c r="I238" s="1164" t="n"/>
      <c r="J238" s="1164" t="n"/>
      <c r="K238" s="1164" t="n"/>
      <c r="L238" s="1164" t="n"/>
      <c r="M238" s="1164" t="n"/>
      <c r="N238" s="1164" t="n"/>
      <c r="O238" s="1164" t="n"/>
      <c r="P238" s="1164" t="n"/>
      <c r="Q238" s="1164" t="n"/>
      <c r="R238" s="1164" t="n"/>
      <c r="S238" s="1164" t="n"/>
      <c r="T238" s="1164" t="n"/>
      <c r="U238" s="1164" t="n"/>
      <c r="V238" s="1164" t="n"/>
      <c r="W238" s="1164" t="n"/>
      <c r="X238" s="1164" t="n"/>
      <c r="Y238" s="1164" t="n"/>
      <c r="Z238" s="1164" t="n"/>
      <c r="AA238" s="1164" t="n"/>
      <c r="AB238" s="1164" t="n"/>
      <c r="AC238" s="1164" t="n"/>
      <c r="AD238" s="1164" t="n"/>
      <c r="AE238" s="1164" t="n"/>
      <c r="AF238" s="1164" t="n"/>
      <c r="AG238" s="1164" t="n"/>
      <c r="AH238" s="1164" t="n"/>
      <c r="AI238" s="1164" t="n"/>
      <c r="AJ238" s="1164" t="n"/>
      <c r="AK238" s="1164" t="n"/>
      <c r="AL238" s="1164" t="n"/>
      <c r="AM238" s="1164" t="n"/>
      <c r="AN238" s="1164" t="n"/>
      <c r="AO238" s="1164" t="n"/>
      <c r="AP238" s="1165" t="n"/>
    </row>
    <row r="239">
      <c r="C239" s="1163">
        <f>C171</f>
        <v/>
      </c>
      <c r="D239" s="2530">
        <f>D171</f>
        <v/>
      </c>
      <c r="E239" s="2530">
        <f>E171</f>
        <v/>
      </c>
      <c r="F239" s="1164" t="n"/>
      <c r="G239" s="1164" t="n"/>
      <c r="H239" s="1164" t="n"/>
      <c r="I239" s="1164" t="n"/>
      <c r="J239" s="1164" t="n"/>
      <c r="K239" s="1164" t="n"/>
      <c r="L239" s="1164" t="n"/>
      <c r="M239" s="1164" t="n"/>
      <c r="N239" s="1164" t="n"/>
      <c r="O239" s="1164" t="n"/>
      <c r="P239" s="1164" t="n"/>
      <c r="Q239" s="1164" t="n"/>
      <c r="R239" s="1164" t="n"/>
      <c r="S239" s="1164" t="n"/>
      <c r="T239" s="1164" t="n"/>
      <c r="U239" s="1164" t="n"/>
      <c r="V239" s="1164" t="n"/>
      <c r="W239" s="1164" t="n"/>
      <c r="X239" s="1164" t="n"/>
      <c r="Y239" s="1164" t="n"/>
      <c r="Z239" s="1164" t="n"/>
      <c r="AA239" s="1164" t="n"/>
      <c r="AB239" s="1164" t="n"/>
      <c r="AC239" s="1164" t="n"/>
      <c r="AD239" s="1164" t="n"/>
      <c r="AE239" s="1164" t="n"/>
      <c r="AF239" s="1164" t="n"/>
      <c r="AG239" s="1164" t="n"/>
      <c r="AH239" s="1164" t="n"/>
      <c r="AI239" s="1164" t="n"/>
      <c r="AJ239" s="1164" t="n"/>
      <c r="AK239" s="1164" t="n"/>
      <c r="AL239" s="1164" t="n"/>
      <c r="AM239" s="1164" t="n"/>
      <c r="AN239" s="1164" t="n"/>
      <c r="AO239" s="1164" t="n"/>
      <c r="AP239" s="1165" t="n"/>
    </row>
    <row r="240">
      <c r="C240" s="1163">
        <f>C172</f>
        <v/>
      </c>
      <c r="D240" s="2530">
        <f>D172</f>
        <v/>
      </c>
      <c r="E240" s="2530">
        <f>E172</f>
        <v/>
      </c>
      <c r="F240" s="1164" t="n"/>
      <c r="G240" s="1164" t="n"/>
      <c r="H240" s="1164" t="n"/>
      <c r="I240" s="1164" t="n"/>
      <c r="J240" s="1164" t="n"/>
      <c r="K240" s="1164" t="n"/>
      <c r="L240" s="1164" t="n"/>
      <c r="M240" s="1164" t="n"/>
      <c r="N240" s="1164" t="n"/>
      <c r="O240" s="1164" t="n"/>
      <c r="P240" s="1164" t="n"/>
      <c r="Q240" s="1164" t="n"/>
      <c r="R240" s="1164" t="n"/>
      <c r="S240" s="1164" t="n"/>
      <c r="T240" s="1164" t="n"/>
      <c r="U240" s="1164" t="n"/>
      <c r="V240" s="1164" t="n"/>
      <c r="W240" s="1164" t="n"/>
      <c r="X240" s="1164" t="n"/>
      <c r="Y240" s="1164" t="n"/>
      <c r="Z240" s="1164" t="n"/>
      <c r="AA240" s="1164" t="n"/>
      <c r="AB240" s="1164" t="n"/>
      <c r="AC240" s="1164" t="n"/>
      <c r="AD240" s="1164" t="n"/>
      <c r="AE240" s="1164" t="n"/>
      <c r="AF240" s="1164" t="n"/>
      <c r="AG240" s="1164" t="n"/>
      <c r="AH240" s="1164" t="n"/>
      <c r="AI240" s="1164" t="n"/>
      <c r="AJ240" s="1164" t="n"/>
      <c r="AK240" s="1164" t="n"/>
      <c r="AL240" s="1164" t="n"/>
      <c r="AM240" s="1164" t="n"/>
      <c r="AN240" s="1164" t="n"/>
      <c r="AO240" s="1164" t="n"/>
      <c r="AP240" s="1165" t="n"/>
    </row>
    <row r="241">
      <c r="C241" s="1163">
        <f>C173</f>
        <v/>
      </c>
      <c r="D241" s="2530">
        <f>D173</f>
        <v/>
      </c>
      <c r="E241" s="2530">
        <f>E173</f>
        <v/>
      </c>
      <c r="F241" s="1164" t="n"/>
      <c r="G241" s="1164" t="n"/>
      <c r="H241" s="1164" t="n"/>
      <c r="I241" s="1164" t="n"/>
      <c r="J241" s="1164" t="n"/>
      <c r="K241" s="1164" t="n"/>
      <c r="L241" s="1164" t="n"/>
      <c r="M241" s="1164" t="n"/>
      <c r="N241" s="1164" t="n"/>
      <c r="O241" s="1164" t="n"/>
      <c r="P241" s="1164" t="n"/>
      <c r="Q241" s="1164" t="n"/>
      <c r="R241" s="1164" t="n"/>
      <c r="S241" s="1164" t="n"/>
      <c r="T241" s="1164" t="n"/>
      <c r="U241" s="1164" t="n"/>
      <c r="V241" s="1164" t="n"/>
      <c r="W241" s="1164" t="n"/>
      <c r="X241" s="1164" t="n"/>
      <c r="Y241" s="1164" t="n"/>
      <c r="Z241" s="1164" t="n"/>
      <c r="AA241" s="1164" t="n"/>
      <c r="AB241" s="1164" t="n"/>
      <c r="AC241" s="1164" t="n"/>
      <c r="AD241" s="1164" t="n"/>
      <c r="AE241" s="1164" t="n"/>
      <c r="AF241" s="1164" t="n"/>
      <c r="AG241" s="1164" t="n"/>
      <c r="AH241" s="1164" t="n"/>
      <c r="AI241" s="1164" t="n"/>
      <c r="AJ241" s="1164" t="n"/>
      <c r="AK241" s="1164" t="n"/>
      <c r="AL241" s="1164" t="n"/>
      <c r="AM241" s="1164" t="n"/>
      <c r="AN241" s="1164" t="n"/>
      <c r="AO241" s="1164" t="n"/>
      <c r="AP241" s="1165" t="n"/>
    </row>
    <row r="242">
      <c r="C242" s="1163">
        <f>C174</f>
        <v/>
      </c>
      <c r="D242" s="2530">
        <f>D174</f>
        <v/>
      </c>
      <c r="E242" s="2530">
        <f>E174</f>
        <v/>
      </c>
      <c r="F242" s="1164" t="n"/>
      <c r="G242" s="1164" t="n"/>
      <c r="H242" s="1164" t="n"/>
      <c r="I242" s="1164" t="n"/>
      <c r="J242" s="1164" t="n"/>
      <c r="K242" s="1164" t="n"/>
      <c r="L242" s="1164" t="n"/>
      <c r="M242" s="1164" t="n"/>
      <c r="N242" s="1164" t="n"/>
      <c r="O242" s="1164" t="n"/>
      <c r="P242" s="1164" t="n"/>
      <c r="Q242" s="1164" t="n"/>
      <c r="R242" s="1164" t="n"/>
      <c r="S242" s="1164" t="n"/>
      <c r="T242" s="1164" t="n"/>
      <c r="U242" s="1164" t="n"/>
      <c r="V242" s="1164" t="n"/>
      <c r="W242" s="1164" t="n"/>
      <c r="X242" s="1164" t="n"/>
      <c r="Y242" s="1164" t="n"/>
      <c r="Z242" s="1164" t="n"/>
      <c r="AA242" s="1164" t="n"/>
      <c r="AB242" s="1164" t="n"/>
      <c r="AC242" s="1164" t="n"/>
      <c r="AD242" s="1164" t="n"/>
      <c r="AE242" s="1164" t="n"/>
      <c r="AF242" s="1164" t="n"/>
      <c r="AG242" s="1164" t="n"/>
      <c r="AH242" s="1164" t="n"/>
      <c r="AI242" s="1164" t="n"/>
      <c r="AJ242" s="1164" t="n"/>
      <c r="AK242" s="1164" t="n"/>
      <c r="AL242" s="1164" t="n"/>
      <c r="AM242" s="1164" t="n"/>
      <c r="AN242" s="1164" t="n"/>
      <c r="AO242" s="1164" t="n"/>
      <c r="AP242" s="1165" t="n"/>
    </row>
    <row r="243">
      <c r="C243" s="1163">
        <f>C175</f>
        <v/>
      </c>
      <c r="D243" s="2530">
        <f>D175</f>
        <v/>
      </c>
      <c r="E243" s="2530">
        <f>E175</f>
        <v/>
      </c>
      <c r="F243" s="1164" t="n"/>
      <c r="G243" s="1164" t="n"/>
      <c r="H243" s="1164" t="n"/>
      <c r="I243" s="1164" t="n"/>
      <c r="J243" s="1164" t="n"/>
      <c r="K243" s="1164" t="n"/>
      <c r="L243" s="1164" t="n"/>
      <c r="M243" s="1164" t="n"/>
      <c r="N243" s="1164" t="n"/>
      <c r="O243" s="1164" t="n"/>
      <c r="P243" s="1164" t="n"/>
      <c r="Q243" s="1164" t="n"/>
      <c r="R243" s="1164" t="n"/>
      <c r="S243" s="1164" t="n"/>
      <c r="T243" s="1164" t="n"/>
      <c r="U243" s="1164" t="n"/>
      <c r="V243" s="1164" t="n"/>
      <c r="W243" s="1164" t="n"/>
      <c r="X243" s="1164" t="n"/>
      <c r="Y243" s="1164" t="n"/>
      <c r="Z243" s="1164" t="n"/>
      <c r="AA243" s="1164" t="n"/>
      <c r="AB243" s="1164" t="n"/>
      <c r="AC243" s="1164" t="n"/>
      <c r="AD243" s="1164" t="n"/>
      <c r="AE243" s="1164" t="n"/>
      <c r="AF243" s="1164" t="n"/>
      <c r="AG243" s="1164" t="n"/>
      <c r="AH243" s="1164" t="n"/>
      <c r="AI243" s="1164" t="n"/>
      <c r="AJ243" s="1164" t="n"/>
      <c r="AK243" s="1164" t="n"/>
      <c r="AL243" s="1164" t="n"/>
      <c r="AM243" s="1164" t="n"/>
      <c r="AN243" s="1164" t="n"/>
      <c r="AO243" s="1164" t="n"/>
      <c r="AP243" s="1165" t="n"/>
    </row>
    <row r="244">
      <c r="C244" s="1163">
        <f>C176</f>
        <v/>
      </c>
      <c r="D244" s="2530">
        <f>D176</f>
        <v/>
      </c>
      <c r="E244" s="2530">
        <f>E176</f>
        <v/>
      </c>
      <c r="F244" s="1164" t="n"/>
      <c r="G244" s="1164" t="n"/>
      <c r="H244" s="1164" t="n"/>
      <c r="I244" s="1164" t="n"/>
      <c r="J244" s="1164" t="n"/>
      <c r="K244" s="1164" t="n"/>
      <c r="L244" s="1164" t="n"/>
      <c r="M244" s="1164" t="n"/>
      <c r="N244" s="1164" t="n"/>
      <c r="O244" s="1164" t="n"/>
      <c r="P244" s="1164" t="n"/>
      <c r="Q244" s="1164" t="n"/>
      <c r="R244" s="1164" t="n"/>
      <c r="S244" s="1164" t="n"/>
      <c r="T244" s="1164" t="n"/>
      <c r="U244" s="1164" t="n"/>
      <c r="V244" s="1164" t="n"/>
      <c r="W244" s="1164" t="n"/>
      <c r="X244" s="1164" t="n"/>
      <c r="Y244" s="1164" t="n"/>
      <c r="Z244" s="1164" t="n"/>
      <c r="AA244" s="1164" t="n"/>
      <c r="AB244" s="1164" t="n"/>
      <c r="AC244" s="1164" t="n"/>
      <c r="AD244" s="1164" t="n"/>
      <c r="AE244" s="1164" t="n"/>
      <c r="AF244" s="1164" t="n"/>
      <c r="AG244" s="1164" t="n"/>
      <c r="AH244" s="1164" t="n"/>
      <c r="AI244" s="1164" t="n"/>
      <c r="AJ244" s="1164" t="n"/>
      <c r="AK244" s="1164" t="n"/>
      <c r="AL244" s="1164" t="n"/>
      <c r="AM244" s="1164" t="n"/>
      <c r="AN244" s="1164" t="n"/>
      <c r="AO244" s="1164" t="n"/>
      <c r="AP244" s="1165" t="n"/>
    </row>
    <row r="245">
      <c r="C245" s="1163">
        <f>C177</f>
        <v/>
      </c>
      <c r="D245" s="2530">
        <f>D177</f>
        <v/>
      </c>
      <c r="E245" s="2530">
        <f>E177</f>
        <v/>
      </c>
      <c r="F245" s="1164" t="n"/>
      <c r="G245" s="1164" t="n"/>
      <c r="H245" s="1164" t="n"/>
      <c r="I245" s="1164" t="n"/>
      <c r="J245" s="1164" t="n"/>
      <c r="K245" s="1164" t="n"/>
      <c r="L245" s="1164" t="n"/>
      <c r="M245" s="1164" t="n"/>
      <c r="N245" s="1164" t="n"/>
      <c r="O245" s="1164" t="n"/>
      <c r="P245" s="1164" t="n"/>
      <c r="Q245" s="1164" t="n"/>
      <c r="R245" s="1164" t="n"/>
      <c r="S245" s="1164" t="n"/>
      <c r="T245" s="1164" t="n"/>
      <c r="U245" s="1164" t="n"/>
      <c r="V245" s="1164" t="n"/>
      <c r="W245" s="1164" t="n"/>
      <c r="X245" s="1164" t="n"/>
      <c r="Y245" s="1164" t="n"/>
      <c r="Z245" s="1164" t="n"/>
      <c r="AA245" s="1164" t="n"/>
      <c r="AB245" s="1164" t="n"/>
      <c r="AC245" s="1164" t="n"/>
      <c r="AD245" s="1164" t="n"/>
      <c r="AE245" s="1164" t="n"/>
      <c r="AF245" s="1164" t="n"/>
      <c r="AG245" s="1164" t="n"/>
      <c r="AH245" s="1164" t="n"/>
      <c r="AI245" s="1164" t="n"/>
      <c r="AJ245" s="1164" t="n"/>
      <c r="AK245" s="1164" t="n"/>
      <c r="AL245" s="1164" t="n"/>
      <c r="AM245" s="1164" t="n"/>
      <c r="AN245" s="1164" t="n"/>
      <c r="AO245" s="1164" t="n"/>
      <c r="AP245" s="1165" t="n"/>
    </row>
    <row r="246">
      <c r="C246" s="1163">
        <f>C178</f>
        <v/>
      </c>
      <c r="D246" s="2530">
        <f>D178</f>
        <v/>
      </c>
      <c r="E246" s="2530">
        <f>E178</f>
        <v/>
      </c>
      <c r="F246" s="1164" t="n"/>
      <c r="G246" s="1164" t="n"/>
      <c r="H246" s="1164" t="n"/>
      <c r="I246" s="1164" t="n"/>
      <c r="J246" s="1164" t="n"/>
      <c r="K246" s="1164" t="n"/>
      <c r="L246" s="1164" t="n"/>
      <c r="M246" s="1164" t="n"/>
      <c r="N246" s="1164" t="n"/>
      <c r="O246" s="1164" t="n"/>
      <c r="P246" s="1164" t="n"/>
      <c r="Q246" s="1164" t="n"/>
      <c r="R246" s="1164" t="n"/>
      <c r="S246" s="1164" t="n"/>
      <c r="T246" s="1164" t="n"/>
      <c r="U246" s="1164" t="n"/>
      <c r="V246" s="1164" t="n"/>
      <c r="W246" s="1164" t="n"/>
      <c r="X246" s="1164" t="n"/>
      <c r="Y246" s="1164" t="n"/>
      <c r="Z246" s="1164" t="n"/>
      <c r="AA246" s="1164" t="n"/>
      <c r="AB246" s="1164" t="n"/>
      <c r="AC246" s="1164" t="n"/>
      <c r="AD246" s="1164" t="n"/>
      <c r="AE246" s="1164" t="n"/>
      <c r="AF246" s="1164" t="n"/>
      <c r="AG246" s="1164" t="n"/>
      <c r="AH246" s="1164" t="n"/>
      <c r="AI246" s="1164" t="n"/>
      <c r="AJ246" s="1164" t="n"/>
      <c r="AK246" s="1164" t="n"/>
      <c r="AL246" s="1164" t="n"/>
      <c r="AM246" s="1164" t="n"/>
      <c r="AN246" s="1164" t="n"/>
      <c r="AO246" s="1164" t="n"/>
      <c r="AP246" s="1165" t="n"/>
    </row>
    <row r="247">
      <c r="C247" s="1163">
        <f>C179</f>
        <v/>
      </c>
      <c r="D247" s="2530">
        <f>D179</f>
        <v/>
      </c>
      <c r="E247" s="2530">
        <f>E179</f>
        <v/>
      </c>
      <c r="F247" s="1164" t="n"/>
      <c r="G247" s="1164" t="n"/>
      <c r="H247" s="1164" t="n"/>
      <c r="I247" s="1164" t="n"/>
      <c r="J247" s="1164" t="n"/>
      <c r="K247" s="1164" t="n"/>
      <c r="L247" s="1164" t="n"/>
      <c r="M247" s="1164" t="n"/>
      <c r="N247" s="1164" t="n"/>
      <c r="O247" s="1164" t="n"/>
      <c r="P247" s="1164" t="n"/>
      <c r="Q247" s="1164" t="n"/>
      <c r="R247" s="1164" t="n"/>
      <c r="S247" s="1164" t="n"/>
      <c r="T247" s="1164" t="n"/>
      <c r="U247" s="1164" t="n"/>
      <c r="V247" s="1164" t="n"/>
      <c r="W247" s="1164" t="n"/>
      <c r="X247" s="1164" t="n"/>
      <c r="Y247" s="1164" t="n"/>
      <c r="Z247" s="1164" t="n"/>
      <c r="AA247" s="1164" t="n"/>
      <c r="AB247" s="1164" t="n"/>
      <c r="AC247" s="1164" t="n"/>
      <c r="AD247" s="1164" t="n"/>
      <c r="AE247" s="1164" t="n"/>
      <c r="AF247" s="1164" t="n"/>
      <c r="AG247" s="1164" t="n"/>
      <c r="AH247" s="1164" t="n"/>
      <c r="AI247" s="1164" t="n"/>
      <c r="AJ247" s="1164" t="n"/>
      <c r="AK247" s="1164" t="n"/>
      <c r="AL247" s="1164" t="n"/>
      <c r="AM247" s="1164" t="n"/>
      <c r="AN247" s="1164" t="n"/>
      <c r="AO247" s="1164" t="n"/>
      <c r="AP247" s="1165" t="n"/>
    </row>
    <row r="248">
      <c r="C248" s="1163">
        <f>C180</f>
        <v/>
      </c>
      <c r="D248" s="2530">
        <f>D180</f>
        <v/>
      </c>
      <c r="E248" s="2530">
        <f>E180</f>
        <v/>
      </c>
      <c r="F248" s="1164" t="n"/>
      <c r="G248" s="1164" t="n"/>
      <c r="H248" s="1164" t="n"/>
      <c r="I248" s="1164" t="n"/>
      <c r="J248" s="1164" t="n"/>
      <c r="K248" s="1164" t="n"/>
      <c r="L248" s="1164" t="n"/>
      <c r="M248" s="1164" t="n"/>
      <c r="N248" s="1164" t="n"/>
      <c r="O248" s="1164" t="n"/>
      <c r="P248" s="1164" t="n"/>
      <c r="Q248" s="1164" t="n"/>
      <c r="R248" s="1164" t="n"/>
      <c r="S248" s="1164" t="n"/>
      <c r="T248" s="1164" t="n"/>
      <c r="U248" s="1164" t="n"/>
      <c r="V248" s="1164" t="n"/>
      <c r="W248" s="1164" t="n"/>
      <c r="X248" s="1164" t="n"/>
      <c r="Y248" s="1164" t="n"/>
      <c r="Z248" s="1164" t="n"/>
      <c r="AA248" s="1164" t="n"/>
      <c r="AB248" s="1164" t="n"/>
      <c r="AC248" s="1164" t="n"/>
      <c r="AD248" s="1164" t="n"/>
      <c r="AE248" s="1164" t="n"/>
      <c r="AF248" s="1164" t="n"/>
      <c r="AG248" s="1164" t="n"/>
      <c r="AH248" s="1164" t="n"/>
      <c r="AI248" s="1164" t="n"/>
      <c r="AJ248" s="1164" t="n"/>
      <c r="AK248" s="1164" t="n"/>
      <c r="AL248" s="1164" t="n"/>
      <c r="AM248" s="1164" t="n"/>
      <c r="AN248" s="1164" t="n"/>
      <c r="AO248" s="1164" t="n"/>
      <c r="AP248" s="1165" t="n"/>
    </row>
    <row r="249">
      <c r="C249" s="1163">
        <f>C181</f>
        <v/>
      </c>
      <c r="D249" s="2530">
        <f>D181</f>
        <v/>
      </c>
      <c r="E249" s="2530">
        <f>E181</f>
        <v/>
      </c>
      <c r="F249" s="1164" t="n"/>
      <c r="G249" s="1164" t="n"/>
      <c r="H249" s="1164" t="n"/>
      <c r="I249" s="1164" t="n"/>
      <c r="J249" s="1164" t="n"/>
      <c r="K249" s="1164" t="n"/>
      <c r="L249" s="1164" t="n"/>
      <c r="M249" s="1164" t="n"/>
      <c r="N249" s="1164" t="n"/>
      <c r="O249" s="1164" t="n"/>
      <c r="P249" s="1164" t="n"/>
      <c r="Q249" s="1164" t="n"/>
      <c r="R249" s="1164" t="n"/>
      <c r="S249" s="1164" t="n"/>
      <c r="T249" s="1164" t="n"/>
      <c r="U249" s="1164" t="n"/>
      <c r="V249" s="1164" t="n"/>
      <c r="W249" s="1164" t="n"/>
      <c r="X249" s="1164" t="n"/>
      <c r="Y249" s="1164" t="n"/>
      <c r="Z249" s="1164" t="n"/>
      <c r="AA249" s="1164" t="n"/>
      <c r="AB249" s="1164" t="n"/>
      <c r="AC249" s="1164" t="n"/>
      <c r="AD249" s="1164" t="n"/>
      <c r="AE249" s="1164" t="n"/>
      <c r="AF249" s="1164" t="n"/>
      <c r="AG249" s="1164" t="n"/>
      <c r="AH249" s="1164" t="n"/>
      <c r="AI249" s="1164" t="n"/>
      <c r="AJ249" s="1164" t="n"/>
      <c r="AK249" s="1164" t="n"/>
      <c r="AL249" s="1164" t="n"/>
      <c r="AM249" s="1164" t="n"/>
      <c r="AN249" s="1164" t="n"/>
      <c r="AO249" s="1164" t="n"/>
      <c r="AP249" s="1165" t="n"/>
    </row>
    <row r="250">
      <c r="C250" s="1163">
        <f>C182</f>
        <v/>
      </c>
      <c r="D250" s="2530">
        <f>D182</f>
        <v/>
      </c>
      <c r="E250" s="2530">
        <f>E182</f>
        <v/>
      </c>
      <c r="F250" s="1164" t="n"/>
      <c r="G250" s="1164" t="n"/>
      <c r="H250" s="1164" t="n"/>
      <c r="I250" s="1164" t="n"/>
      <c r="J250" s="1164" t="n"/>
      <c r="K250" s="1164" t="n"/>
      <c r="L250" s="1164" t="n"/>
      <c r="M250" s="1164" t="n"/>
      <c r="N250" s="1164" t="n"/>
      <c r="O250" s="1164" t="n"/>
      <c r="P250" s="1164" t="n"/>
      <c r="Q250" s="1164" t="n"/>
      <c r="R250" s="1164" t="n"/>
      <c r="S250" s="1164" t="n"/>
      <c r="T250" s="1164" t="n"/>
      <c r="U250" s="1164" t="n"/>
      <c r="V250" s="1164" t="n"/>
      <c r="W250" s="1164" t="n"/>
      <c r="X250" s="1164" t="n"/>
      <c r="Y250" s="1164" t="n"/>
      <c r="Z250" s="1164" t="n"/>
      <c r="AA250" s="1164" t="n"/>
      <c r="AB250" s="1164" t="n"/>
      <c r="AC250" s="1164" t="n"/>
      <c r="AD250" s="1164" t="n"/>
      <c r="AE250" s="1164" t="n"/>
      <c r="AF250" s="1164" t="n"/>
      <c r="AG250" s="1164" t="n"/>
      <c r="AH250" s="1164" t="n"/>
      <c r="AI250" s="1164" t="n"/>
      <c r="AJ250" s="1164" t="n"/>
      <c r="AK250" s="1164" t="n"/>
      <c r="AL250" s="1164" t="n"/>
      <c r="AM250" s="1164" t="n"/>
      <c r="AN250" s="1164" t="n"/>
      <c r="AO250" s="1164" t="n"/>
      <c r="AP250" s="1165" t="n"/>
    </row>
    <row r="251">
      <c r="C251" s="1163">
        <f>C183</f>
        <v/>
      </c>
      <c r="D251" s="2530">
        <f>D183</f>
        <v/>
      </c>
      <c r="E251" s="2530">
        <f>E183</f>
        <v/>
      </c>
      <c r="F251" s="1164" t="n"/>
      <c r="G251" s="1164" t="n"/>
      <c r="H251" s="1164" t="n"/>
      <c r="I251" s="1164" t="n"/>
      <c r="J251" s="1164" t="n"/>
      <c r="K251" s="1164" t="n"/>
      <c r="L251" s="1164" t="n"/>
      <c r="M251" s="1164" t="n"/>
      <c r="N251" s="1164" t="n"/>
      <c r="O251" s="1164" t="n"/>
      <c r="P251" s="1164" t="n"/>
      <c r="Q251" s="1164" t="n"/>
      <c r="R251" s="1164" t="n"/>
      <c r="S251" s="1164" t="n"/>
      <c r="T251" s="1164" t="n"/>
      <c r="U251" s="1164" t="n"/>
      <c r="V251" s="1164" t="n"/>
      <c r="W251" s="1164" t="n"/>
      <c r="X251" s="1164" t="n"/>
      <c r="Y251" s="1164" t="n"/>
      <c r="Z251" s="1164" t="n"/>
      <c r="AA251" s="1164" t="n"/>
      <c r="AB251" s="1164" t="n"/>
      <c r="AC251" s="1164" t="n"/>
      <c r="AD251" s="1164" t="n"/>
      <c r="AE251" s="1164" t="n"/>
      <c r="AF251" s="1164" t="n"/>
      <c r="AG251" s="1164" t="n"/>
      <c r="AH251" s="1164" t="n"/>
      <c r="AI251" s="1164" t="n"/>
      <c r="AJ251" s="1164" t="n"/>
      <c r="AK251" s="1164" t="n"/>
      <c r="AL251" s="1164" t="n"/>
      <c r="AM251" s="1164" t="n"/>
      <c r="AN251" s="1164" t="n"/>
      <c r="AO251" s="1164" t="n"/>
      <c r="AP251" s="1165" t="n"/>
    </row>
    <row r="252">
      <c r="C252" s="1163">
        <f>C184</f>
        <v/>
      </c>
      <c r="D252" s="2530">
        <f>D184</f>
        <v/>
      </c>
      <c r="E252" s="2530">
        <f>E184</f>
        <v/>
      </c>
      <c r="F252" s="1164" t="n"/>
      <c r="G252" s="1164" t="n"/>
      <c r="H252" s="1164" t="n"/>
      <c r="I252" s="1164" t="n"/>
      <c r="J252" s="1164" t="n"/>
      <c r="K252" s="1164" t="n"/>
      <c r="L252" s="1164" t="n"/>
      <c r="M252" s="1164" t="n"/>
      <c r="N252" s="1164" t="n"/>
      <c r="O252" s="1164" t="n"/>
      <c r="P252" s="1164" t="n"/>
      <c r="Q252" s="1164" t="n"/>
      <c r="R252" s="1164" t="n"/>
      <c r="S252" s="1164" t="n"/>
      <c r="T252" s="1164" t="n"/>
      <c r="U252" s="1164" t="n"/>
      <c r="V252" s="1164" t="n"/>
      <c r="W252" s="1164" t="n"/>
      <c r="X252" s="1164" t="n"/>
      <c r="Y252" s="1164" t="n"/>
      <c r="Z252" s="1164" t="n"/>
      <c r="AA252" s="1164" t="n"/>
      <c r="AB252" s="1164" t="n"/>
      <c r="AC252" s="1164" t="n"/>
      <c r="AD252" s="1164" t="n"/>
      <c r="AE252" s="1164" t="n"/>
      <c r="AF252" s="1164" t="n"/>
      <c r="AG252" s="1164" t="n"/>
      <c r="AH252" s="1164" t="n"/>
      <c r="AI252" s="1164" t="n"/>
      <c r="AJ252" s="1164" t="n"/>
      <c r="AK252" s="1164" t="n"/>
      <c r="AL252" s="1164" t="n"/>
      <c r="AM252" s="1164" t="n"/>
      <c r="AN252" s="1164" t="n"/>
      <c r="AO252" s="1164" t="n"/>
      <c r="AP252" s="1165" t="n"/>
    </row>
    <row r="253">
      <c r="C253" s="1163">
        <f>C185</f>
        <v/>
      </c>
      <c r="D253" s="2530">
        <f>D185</f>
        <v/>
      </c>
      <c r="E253" s="2530">
        <f>E185</f>
        <v/>
      </c>
      <c r="F253" s="1164" t="n"/>
      <c r="G253" s="1164" t="n"/>
      <c r="H253" s="1164" t="n"/>
      <c r="I253" s="1164" t="n"/>
      <c r="J253" s="1164" t="n"/>
      <c r="K253" s="1164" t="n"/>
      <c r="L253" s="1164" t="n"/>
      <c r="M253" s="1164" t="n"/>
      <c r="N253" s="1164" t="n"/>
      <c r="O253" s="1164" t="n"/>
      <c r="P253" s="1164" t="n"/>
      <c r="Q253" s="1164" t="n"/>
      <c r="R253" s="1164" t="n"/>
      <c r="S253" s="1164" t="n"/>
      <c r="T253" s="1164" t="n"/>
      <c r="U253" s="1164" t="n"/>
      <c r="V253" s="1164" t="n"/>
      <c r="W253" s="1164" t="n"/>
      <c r="X253" s="1164" t="n"/>
      <c r="Y253" s="1164" t="n"/>
      <c r="Z253" s="1164" t="n"/>
      <c r="AA253" s="1164" t="n"/>
      <c r="AB253" s="1164" t="n"/>
      <c r="AC253" s="1164" t="n"/>
      <c r="AD253" s="1164" t="n"/>
      <c r="AE253" s="1164" t="n"/>
      <c r="AF253" s="1164" t="n"/>
      <c r="AG253" s="1164" t="n"/>
      <c r="AH253" s="1164" t="n"/>
      <c r="AI253" s="1164" t="n"/>
      <c r="AJ253" s="1164" t="n"/>
      <c r="AK253" s="1164" t="n"/>
      <c r="AL253" s="1164" t="n"/>
      <c r="AM253" s="1164" t="n"/>
      <c r="AN253" s="1164" t="n"/>
      <c r="AO253" s="1164" t="n"/>
      <c r="AP253" s="1165" t="n"/>
    </row>
    <row r="254">
      <c r="C254" s="1163">
        <f>C186</f>
        <v/>
      </c>
      <c r="D254" s="2530">
        <f>D186</f>
        <v/>
      </c>
      <c r="E254" s="2530">
        <f>E186</f>
        <v/>
      </c>
      <c r="F254" s="1164" t="n"/>
      <c r="G254" s="1164" t="n"/>
      <c r="H254" s="1164" t="n"/>
      <c r="I254" s="1164" t="n"/>
      <c r="J254" s="1164" t="n"/>
      <c r="K254" s="1164" t="n"/>
      <c r="L254" s="1164" t="n"/>
      <c r="M254" s="1164" t="n"/>
      <c r="N254" s="1164" t="n"/>
      <c r="O254" s="1164" t="n"/>
      <c r="P254" s="1164" t="n"/>
      <c r="Q254" s="1164" t="n"/>
      <c r="R254" s="1164" t="n"/>
      <c r="S254" s="1164" t="n"/>
      <c r="T254" s="1164" t="n"/>
      <c r="U254" s="1164" t="n"/>
      <c r="V254" s="1164" t="n"/>
      <c r="W254" s="1164" t="n"/>
      <c r="X254" s="1164" t="n"/>
      <c r="Y254" s="1164" t="n"/>
      <c r="Z254" s="1164" t="n"/>
      <c r="AA254" s="1164" t="n"/>
      <c r="AB254" s="1164" t="n"/>
      <c r="AC254" s="1164" t="n"/>
      <c r="AD254" s="1164" t="n"/>
      <c r="AE254" s="1164" t="n"/>
      <c r="AF254" s="1164" t="n"/>
      <c r="AG254" s="1164" t="n"/>
      <c r="AH254" s="1164" t="n"/>
      <c r="AI254" s="1164" t="n"/>
      <c r="AJ254" s="1164" t="n"/>
      <c r="AK254" s="1164" t="n"/>
      <c r="AL254" s="1164" t="n"/>
      <c r="AM254" s="1164" t="n"/>
      <c r="AN254" s="1164" t="n"/>
      <c r="AO254" s="1164" t="n"/>
      <c r="AP254" s="1165" t="n"/>
    </row>
    <row r="255">
      <c r="C255" s="1166">
        <f>C187</f>
        <v/>
      </c>
      <c r="D255" s="2531">
        <f>D187</f>
        <v/>
      </c>
      <c r="E255" s="2531">
        <f>E187</f>
        <v/>
      </c>
      <c r="F255" s="1167" t="n"/>
      <c r="G255" s="1167" t="n"/>
      <c r="H255" s="1167" t="n"/>
      <c r="I255" s="1167" t="n"/>
      <c r="J255" s="1167" t="n"/>
      <c r="K255" s="1167" t="n"/>
      <c r="L255" s="1167" t="n"/>
      <c r="M255" s="1167" t="n"/>
      <c r="N255" s="1167" t="n"/>
      <c r="O255" s="1167" t="n"/>
      <c r="P255" s="1167" t="n"/>
      <c r="Q255" s="1167" t="n"/>
      <c r="R255" s="1167" t="n"/>
      <c r="S255" s="1167" t="n"/>
      <c r="T255" s="1167" t="n"/>
      <c r="U255" s="1167" t="n"/>
      <c r="V255" s="1167" t="n"/>
      <c r="W255" s="1167" t="n"/>
      <c r="X255" s="1167" t="n"/>
      <c r="Y255" s="1167" t="n"/>
      <c r="Z255" s="1167" t="n"/>
      <c r="AA255" s="1167" t="n"/>
      <c r="AB255" s="1167" t="n"/>
      <c r="AC255" s="1167" t="n"/>
      <c r="AD255" s="1167" t="n"/>
      <c r="AE255" s="1167" t="n"/>
      <c r="AF255" s="1167" t="n"/>
      <c r="AG255" s="1167" t="n"/>
      <c r="AH255" s="1167" t="n"/>
      <c r="AI255" s="1167" t="n"/>
      <c r="AJ255" s="1167" t="n"/>
      <c r="AK255" s="1167" t="n"/>
      <c r="AL255" s="1167" t="n"/>
      <c r="AM255" s="1167" t="n"/>
      <c r="AN255" s="1167" t="n"/>
      <c r="AO255" s="1167" t="n"/>
      <c r="AP255" s="1168" t="n"/>
    </row>
    <row r="256">
      <c r="F256" s="1160" t="n"/>
      <c r="G256" s="1160" t="n"/>
      <c r="H256" s="1160" t="n"/>
      <c r="I256" s="1160" t="n"/>
      <c r="J256" s="1160" t="n"/>
      <c r="K256" s="1160" t="n"/>
      <c r="L256" s="1160" t="n"/>
      <c r="M256" s="1160" t="n"/>
      <c r="N256" s="1160" t="n"/>
      <c r="R256" s="1160" t="n"/>
      <c r="S256" s="1160" t="n"/>
      <c r="T256" s="1160" t="n"/>
      <c r="U256" s="1160" t="n"/>
      <c r="V256" s="1160" t="n"/>
      <c r="W256" s="1160" t="n"/>
      <c r="X256" s="1160" t="n"/>
      <c r="Y256" s="1160" t="n"/>
      <c r="Z256" s="1160" t="n"/>
      <c r="AA256" s="1160" t="n"/>
      <c r="AB256" s="1160" t="n"/>
      <c r="AC256" s="1160" t="n"/>
      <c r="AD256" s="1160" t="n"/>
      <c r="AE256" s="1160" t="n"/>
      <c r="AF256" s="1160" t="n"/>
      <c r="AG256" s="1160" t="n"/>
      <c r="AH256" s="1160" t="n"/>
      <c r="AI256" s="1160" t="n"/>
      <c r="AJ256" s="1160" t="n"/>
      <c r="AK256" s="1160" t="n"/>
      <c r="AL256" s="1160" t="n"/>
    </row>
    <row r="257">
      <c r="C257" s="1189" t="inlineStr">
        <is>
          <t>Table 4A: Valuation Metrics</t>
        </is>
      </c>
      <c r="D257" s="1189" t="n"/>
      <c r="E257" s="1189" t="n"/>
      <c r="F257" s="1189" t="n"/>
      <c r="G257" s="1189" t="n"/>
      <c r="H257" s="1189" t="n"/>
      <c r="I257" s="1189" t="n"/>
      <c r="J257" s="1189" t="n"/>
      <c r="K257" s="1189" t="n"/>
      <c r="L257" s="1189" t="n"/>
      <c r="M257" s="1189" t="n"/>
      <c r="N257" s="1189" t="n"/>
      <c r="O257" s="1189" t="n"/>
      <c r="P257" s="1189" t="n"/>
      <c r="Q257" s="1189" t="n"/>
      <c r="R257" s="1189" t="n"/>
      <c r="S257" s="1189" t="n"/>
      <c r="T257" s="1189" t="n"/>
      <c r="U257" s="1189" t="n"/>
      <c r="V257" s="1189" t="n"/>
      <c r="W257" s="1189" t="n"/>
      <c r="X257" s="1160" t="n"/>
      <c r="Y257" s="1160" t="n"/>
      <c r="Z257" s="1160" t="n"/>
      <c r="AA257" s="1160" t="n"/>
      <c r="AB257" s="1160" t="n"/>
      <c r="AC257" s="1160" t="n"/>
      <c r="AD257" s="1160" t="n"/>
      <c r="AE257" s="1160" t="n"/>
      <c r="AF257" s="1160" t="n"/>
      <c r="AG257" s="1160" t="n"/>
      <c r="AH257" s="1160" t="n"/>
      <c r="AI257" s="1160" t="n"/>
      <c r="AJ257" s="1160" t="n"/>
      <c r="AK257" s="1160" t="n"/>
      <c r="AL257" s="1160" t="n"/>
    </row>
    <row r="258">
      <c r="C258" s="1194" t="inlineStr">
        <is>
          <t>S.No.</t>
        </is>
      </c>
      <c r="D258" s="1195" t="inlineStr">
        <is>
          <t>Ticker</t>
        </is>
      </c>
      <c r="E258" s="1195" t="inlineStr">
        <is>
          <t>Company Name</t>
        </is>
      </c>
      <c r="F258" s="1854" t="inlineStr">
        <is>
          <t>EV/Revenue</t>
        </is>
      </c>
      <c r="G258" s="2527" t="n"/>
      <c r="H258" s="2527" t="n"/>
      <c r="I258" s="2527" t="n"/>
      <c r="J258" s="2527" t="n"/>
      <c r="K258" s="2527" t="n"/>
      <c r="L258" s="1854" t="inlineStr">
        <is>
          <t>EV/EBITDA</t>
        </is>
      </c>
      <c r="M258" s="2527" t="n"/>
      <c r="N258" s="2527" t="n"/>
      <c r="O258" s="2527" t="n"/>
      <c r="P258" s="2527" t="n"/>
      <c r="Q258" s="2527" t="n"/>
      <c r="R258" s="1855" t="inlineStr">
        <is>
          <t>EV/EBIT</t>
        </is>
      </c>
      <c r="S258" s="2527" t="n"/>
      <c r="T258" s="2527" t="n"/>
      <c r="U258" s="2527" t="n"/>
      <c r="V258" s="2527" t="n"/>
      <c r="W258" s="2528" t="n"/>
      <c r="X258" s="1160" t="n"/>
      <c r="Y258" s="1160" t="n"/>
      <c r="Z258" s="1160" t="n"/>
      <c r="AA258" s="1160" t="n"/>
      <c r="AB258" s="1160" t="n"/>
      <c r="AC258" s="1160" t="n"/>
      <c r="AD258" s="1160" t="n"/>
      <c r="AE258" s="1160" t="n"/>
      <c r="AF258" s="1160" t="n"/>
      <c r="AG258" s="1160" t="n"/>
      <c r="AH258" s="1160" t="n"/>
      <c r="AI258" s="1160" t="n"/>
      <c r="AJ258" s="1160" t="n"/>
      <c r="AK258" s="1160" t="n"/>
      <c r="AL258" s="1160" t="n"/>
    </row>
    <row r="259">
      <c r="C259" s="1177" t="n"/>
      <c r="D259" s="1178" t="n"/>
      <c r="E259" s="1178" t="n"/>
      <c r="F259" s="1179" t="inlineStr">
        <is>
          <t>FYE-1</t>
        </is>
      </c>
      <c r="G259" s="1179" t="inlineStr">
        <is>
          <t>FYE</t>
        </is>
      </c>
      <c r="H259" s="1179" t="inlineStr">
        <is>
          <t>TTM</t>
        </is>
      </c>
      <c r="I259" s="1179" t="inlineStr">
        <is>
          <t>FYE+1</t>
        </is>
      </c>
      <c r="J259" s="1179" t="inlineStr">
        <is>
          <t>FYE+2</t>
        </is>
      </c>
      <c r="K259" s="1179" t="inlineStr">
        <is>
          <t>FYE+3</t>
        </is>
      </c>
      <c r="L259" s="1179" t="inlineStr">
        <is>
          <t>FYE-1</t>
        </is>
      </c>
      <c r="M259" s="1179" t="inlineStr">
        <is>
          <t>FYE</t>
        </is>
      </c>
      <c r="N259" s="1179" t="inlineStr">
        <is>
          <t>TTM</t>
        </is>
      </c>
      <c r="O259" s="1179" t="inlineStr">
        <is>
          <t>FYE+1</t>
        </is>
      </c>
      <c r="P259" s="1179" t="inlineStr">
        <is>
          <t>FYE+2</t>
        </is>
      </c>
      <c r="Q259" s="1179" t="inlineStr">
        <is>
          <t>FYE+3</t>
        </is>
      </c>
      <c r="R259" s="1179" t="inlineStr">
        <is>
          <t>FYE-1</t>
        </is>
      </c>
      <c r="S259" s="1179" t="inlineStr">
        <is>
          <t>FYE</t>
        </is>
      </c>
      <c r="T259" s="1179" t="inlineStr">
        <is>
          <t>TTM</t>
        </is>
      </c>
      <c r="U259" s="1179" t="inlineStr">
        <is>
          <t>FYE+1</t>
        </is>
      </c>
      <c r="V259" s="1179" t="inlineStr">
        <is>
          <t>FYE+2</t>
        </is>
      </c>
      <c r="W259" s="1172" t="inlineStr">
        <is>
          <t>FYE+3</t>
        </is>
      </c>
      <c r="X259" s="1160" t="n"/>
      <c r="Y259" s="1160" t="n"/>
      <c r="Z259" s="1160" t="n"/>
      <c r="AA259" s="1160" t="n"/>
      <c r="AB259" s="1160" t="n"/>
      <c r="AC259" s="1160" t="n"/>
      <c r="AD259" s="1160" t="n"/>
      <c r="AE259" s="1160" t="n"/>
      <c r="AF259" s="1160" t="n"/>
      <c r="AG259" s="1160" t="n"/>
      <c r="AH259" s="1160" t="n"/>
      <c r="AI259" s="1160" t="n"/>
      <c r="AJ259" s="1160" t="n"/>
      <c r="AK259" s="1160" t="n"/>
      <c r="AL259" s="1160" t="n"/>
    </row>
    <row r="260">
      <c r="C260" s="1163">
        <f>C226</f>
        <v/>
      </c>
      <c r="D260" s="2530">
        <f>D226</f>
        <v/>
      </c>
      <c r="E260" s="2530">
        <f>E226</f>
        <v/>
      </c>
      <c r="F260" s="1164" t="n"/>
      <c r="G260" s="1164" t="n">
        <v>3</v>
      </c>
      <c r="H260" s="1164" t="n"/>
      <c r="I260" s="1164" t="n"/>
      <c r="J260" s="1164" t="n"/>
      <c r="K260" s="1164" t="n"/>
      <c r="L260" s="1164" t="n"/>
      <c r="M260" s="1164" t="n">
        <v>6</v>
      </c>
      <c r="N260" s="1164" t="n"/>
      <c r="O260" s="1164" t="n"/>
      <c r="P260" s="1164" t="n"/>
      <c r="Q260" s="1164" t="n"/>
      <c r="R260" s="1164" t="n"/>
      <c r="S260" s="1164" t="n"/>
      <c r="T260" s="1164" t="n"/>
      <c r="U260" s="1164" t="n"/>
      <c r="V260" s="1164" t="n"/>
      <c r="W260" s="1165" t="n"/>
      <c r="X260" s="1160" t="n"/>
      <c r="Y260" s="1160" t="n"/>
      <c r="Z260" s="1160" t="n"/>
      <c r="AA260" s="1160" t="n"/>
      <c r="AB260" s="1160" t="n"/>
      <c r="AC260" s="1160" t="n"/>
      <c r="AD260" s="1160" t="n"/>
      <c r="AE260" s="1160" t="n"/>
      <c r="AF260" s="1160" t="n"/>
      <c r="AG260" s="1160" t="n"/>
      <c r="AH260" s="1160" t="n"/>
      <c r="AI260" s="1160" t="n"/>
      <c r="AJ260" s="1160" t="n"/>
      <c r="AK260" s="1160" t="n"/>
      <c r="AL260" s="1160" t="n"/>
    </row>
    <row r="261">
      <c r="C261" s="1163">
        <f>C227</f>
        <v/>
      </c>
      <c r="D261" s="2530">
        <f>D227</f>
        <v/>
      </c>
      <c r="E261" s="2530">
        <f>E227</f>
        <v/>
      </c>
      <c r="F261" s="1164" t="n"/>
      <c r="G261" s="1164" t="n">
        <v>4</v>
      </c>
      <c r="H261" s="1164" t="n"/>
      <c r="I261" s="1164" t="n"/>
      <c r="J261" s="1164" t="n"/>
      <c r="K261" s="1164" t="n"/>
      <c r="L261" s="1164" t="n"/>
      <c r="M261" s="1164" t="n">
        <v>5</v>
      </c>
      <c r="N261" s="1164" t="n"/>
      <c r="O261" s="1164" t="n"/>
      <c r="P261" s="1164" t="n"/>
      <c r="Q261" s="1164" t="n"/>
      <c r="R261" s="1164" t="n"/>
      <c r="S261" s="1164" t="n"/>
      <c r="T261" s="1164" t="n"/>
      <c r="U261" s="1164" t="n"/>
      <c r="V261" s="1164" t="n"/>
      <c r="W261" s="1165" t="n"/>
      <c r="X261" s="1160" t="n"/>
      <c r="Y261" s="1160" t="n"/>
      <c r="Z261" s="1160" t="n"/>
      <c r="AA261" s="1160" t="n"/>
      <c r="AB261" s="1160" t="n"/>
      <c r="AC261" s="1160" t="n"/>
      <c r="AD261" s="1160" t="n"/>
      <c r="AE261" s="1160" t="n"/>
      <c r="AF261" s="1160" t="n"/>
      <c r="AG261" s="1160" t="n"/>
      <c r="AH261" s="1160" t="n"/>
      <c r="AI261" s="1160" t="n"/>
      <c r="AJ261" s="1160" t="n"/>
      <c r="AK261" s="1160" t="n"/>
      <c r="AL261" s="1160" t="n"/>
    </row>
    <row r="262">
      <c r="C262" s="1163">
        <f>C228</f>
        <v/>
      </c>
      <c r="D262" s="2530">
        <f>D228</f>
        <v/>
      </c>
      <c r="E262" s="2530">
        <f>E228</f>
        <v/>
      </c>
      <c r="F262" s="1164" t="n"/>
      <c r="G262" s="1164" t="n">
        <v>5</v>
      </c>
      <c r="H262" s="1164" t="n"/>
      <c r="I262" s="1164" t="n"/>
      <c r="J262" s="1164" t="n"/>
      <c r="K262" s="1164" t="n"/>
      <c r="L262" s="1164" t="n"/>
      <c r="M262" s="1164" t="n">
        <v>6</v>
      </c>
      <c r="N262" s="1164" t="n"/>
      <c r="O262" s="1164" t="n"/>
      <c r="P262" s="1164" t="n"/>
      <c r="Q262" s="1164" t="n"/>
      <c r="R262" s="1164" t="n"/>
      <c r="S262" s="1164" t="n"/>
      <c r="T262" s="1164" t="n"/>
      <c r="U262" s="1164" t="n"/>
      <c r="V262" s="1164" t="n"/>
      <c r="W262" s="1165" t="n"/>
      <c r="X262" s="1160" t="n"/>
      <c r="Y262" s="1160" t="n"/>
      <c r="Z262" s="1160" t="n"/>
      <c r="AA262" s="1160" t="n"/>
      <c r="AB262" s="1160" t="n"/>
      <c r="AC262" s="1160" t="n"/>
      <c r="AD262" s="1160" t="n"/>
      <c r="AE262" s="1160" t="n"/>
      <c r="AF262" s="1160" t="n"/>
      <c r="AG262" s="1160" t="n"/>
      <c r="AH262" s="1160" t="n"/>
      <c r="AI262" s="1160" t="n"/>
      <c r="AJ262" s="1160" t="n"/>
      <c r="AK262" s="1160" t="n"/>
      <c r="AL262" s="1160" t="n"/>
    </row>
    <row r="263">
      <c r="C263" s="1163">
        <f>C229</f>
        <v/>
      </c>
      <c r="D263" s="2530">
        <f>D229</f>
        <v/>
      </c>
      <c r="E263" s="2530">
        <f>E229</f>
        <v/>
      </c>
      <c r="F263" s="1164" t="n"/>
      <c r="G263" s="1164" t="n">
        <v>6</v>
      </c>
      <c r="H263" s="1164" t="n"/>
      <c r="I263" s="1164" t="n"/>
      <c r="J263" s="1164" t="n"/>
      <c r="K263" s="1164" t="n"/>
      <c r="L263" s="1164" t="n"/>
      <c r="M263" s="1164" t="n">
        <v>7</v>
      </c>
      <c r="N263" s="1164" t="n"/>
      <c r="O263" s="1164" t="n"/>
      <c r="P263" s="1164" t="n"/>
      <c r="Q263" s="1164" t="n"/>
      <c r="R263" s="1164" t="n"/>
      <c r="S263" s="1164" t="n"/>
      <c r="T263" s="1164" t="n"/>
      <c r="U263" s="1164" t="n"/>
      <c r="V263" s="1164" t="n"/>
      <c r="W263" s="1165" t="n"/>
      <c r="X263" s="1160" t="n"/>
      <c r="Y263" s="1160" t="n"/>
      <c r="Z263" s="1160" t="n"/>
      <c r="AA263" s="1160" t="n"/>
      <c r="AB263" s="1160" t="n"/>
      <c r="AC263" s="1160" t="n"/>
      <c r="AD263" s="1160" t="n"/>
      <c r="AE263" s="1160" t="n"/>
      <c r="AF263" s="1160" t="n"/>
      <c r="AG263" s="1160" t="n"/>
      <c r="AH263" s="1160" t="n"/>
      <c r="AI263" s="1160" t="n"/>
      <c r="AJ263" s="1160" t="n"/>
      <c r="AK263" s="1160" t="n"/>
      <c r="AL263" s="1160" t="n"/>
    </row>
    <row r="264">
      <c r="C264" s="1163">
        <f>C230</f>
        <v/>
      </c>
      <c r="D264" s="2530">
        <f>D230</f>
        <v/>
      </c>
      <c r="E264" s="2530">
        <f>E230</f>
        <v/>
      </c>
      <c r="F264" s="1164" t="n"/>
      <c r="G264" s="1164" t="n">
        <v>3</v>
      </c>
      <c r="H264" s="1164" t="n"/>
      <c r="I264" s="1164" t="n"/>
      <c r="J264" s="1164" t="n"/>
      <c r="K264" s="1164" t="n"/>
      <c r="L264" s="1164" t="n"/>
      <c r="M264" s="1164" t="n">
        <v>9</v>
      </c>
      <c r="N264" s="1164" t="n"/>
      <c r="O264" s="1164" t="n"/>
      <c r="P264" s="1164" t="n"/>
      <c r="Q264" s="1164" t="n"/>
      <c r="R264" s="1164" t="n"/>
      <c r="S264" s="1164" t="n"/>
      <c r="T264" s="1164" t="n"/>
      <c r="U264" s="1164" t="n"/>
      <c r="V264" s="1164" t="n"/>
      <c r="W264" s="1165" t="n"/>
      <c r="X264" s="1160" t="n"/>
      <c r="Y264" s="1160" t="n"/>
      <c r="Z264" s="1160" t="n"/>
      <c r="AA264" s="1160" t="n"/>
      <c r="AB264" s="1160" t="n"/>
      <c r="AC264" s="1160" t="n"/>
      <c r="AD264" s="1160" t="n"/>
      <c r="AE264" s="1160" t="n"/>
      <c r="AF264" s="1160" t="n"/>
      <c r="AG264" s="1160" t="n"/>
      <c r="AH264" s="1160" t="n"/>
      <c r="AI264" s="1160" t="n"/>
      <c r="AJ264" s="1160" t="n"/>
      <c r="AK264" s="1160" t="n"/>
      <c r="AL264" s="1160" t="n"/>
    </row>
    <row r="265">
      <c r="C265" s="1163">
        <f>C231</f>
        <v/>
      </c>
      <c r="D265" s="2530">
        <f>D231</f>
        <v/>
      </c>
      <c r="E265" s="2530">
        <f>E231</f>
        <v/>
      </c>
      <c r="F265" s="1164" t="n"/>
      <c r="G265" s="1164" t="n">
        <v>2</v>
      </c>
      <c r="H265" s="1164" t="n"/>
      <c r="I265" s="1164" t="n"/>
      <c r="J265" s="1164" t="n"/>
      <c r="K265" s="1164" t="n"/>
      <c r="L265" s="1164" t="n"/>
      <c r="M265" s="1164" t="n">
        <v>6</v>
      </c>
      <c r="N265" s="1164" t="n"/>
      <c r="O265" s="1164" t="n"/>
      <c r="P265" s="1164" t="n"/>
      <c r="Q265" s="1164" t="n"/>
      <c r="R265" s="1164" t="n"/>
      <c r="S265" s="1164" t="n"/>
      <c r="T265" s="1164" t="n"/>
      <c r="U265" s="1164" t="n"/>
      <c r="V265" s="1164" t="n"/>
      <c r="W265" s="1165" t="n"/>
      <c r="X265" s="1160" t="n"/>
      <c r="Y265" s="1160" t="n"/>
      <c r="Z265" s="1160" t="n"/>
      <c r="AA265" s="1160" t="n"/>
      <c r="AB265" s="1160" t="n"/>
      <c r="AC265" s="1160" t="n"/>
      <c r="AD265" s="1160" t="n"/>
      <c r="AE265" s="1160" t="n"/>
      <c r="AF265" s="1160" t="n"/>
      <c r="AG265" s="1160" t="n"/>
      <c r="AH265" s="1160" t="n"/>
      <c r="AI265" s="1160" t="n"/>
      <c r="AJ265" s="1160" t="n"/>
      <c r="AK265" s="1160" t="n"/>
      <c r="AL265" s="1160" t="n"/>
    </row>
    <row r="266">
      <c r="C266" s="1163">
        <f>C232</f>
        <v/>
      </c>
      <c r="D266" s="2530">
        <f>D232</f>
        <v/>
      </c>
      <c r="E266" s="2530">
        <f>E232</f>
        <v/>
      </c>
      <c r="F266" s="1164" t="n"/>
      <c r="G266" s="1164" t="n">
        <v>4</v>
      </c>
      <c r="H266" s="1164" t="n"/>
      <c r="I266" s="1164" t="n"/>
      <c r="J266" s="1164" t="n"/>
      <c r="K266" s="1164" t="n"/>
      <c r="L266" s="1164" t="n"/>
      <c r="M266" s="1164" t="n">
        <v>4</v>
      </c>
      <c r="N266" s="1164" t="n"/>
      <c r="O266" s="1164" t="n"/>
      <c r="P266" s="1164" t="n"/>
      <c r="Q266" s="1164" t="n"/>
      <c r="R266" s="1164" t="n"/>
      <c r="S266" s="1164" t="n"/>
      <c r="T266" s="1164" t="n"/>
      <c r="U266" s="1164" t="n"/>
      <c r="V266" s="1164" t="n"/>
      <c r="W266" s="1165" t="n"/>
      <c r="X266" s="1160" t="n"/>
      <c r="Y266" s="1160" t="n"/>
      <c r="Z266" s="1160" t="n"/>
      <c r="AA266" s="1160" t="n"/>
      <c r="AB266" s="1160" t="n"/>
      <c r="AC266" s="1160" t="n"/>
      <c r="AD266" s="1160" t="n"/>
      <c r="AE266" s="1160" t="n"/>
      <c r="AF266" s="1160" t="n"/>
      <c r="AG266" s="1160" t="n"/>
      <c r="AH266" s="1160" t="n"/>
      <c r="AI266" s="1160" t="n"/>
      <c r="AJ266" s="1160" t="n"/>
      <c r="AK266" s="1160" t="n"/>
      <c r="AL266" s="1160" t="n"/>
    </row>
    <row r="267">
      <c r="C267" s="1163">
        <f>C233</f>
        <v/>
      </c>
      <c r="D267" s="2530">
        <f>D233</f>
        <v/>
      </c>
      <c r="E267" s="2530">
        <f>E233</f>
        <v/>
      </c>
      <c r="F267" s="1164" t="n"/>
      <c r="G267" s="1164" t="n">
        <v>5</v>
      </c>
      <c r="H267" s="1164" t="n"/>
      <c r="I267" s="1164" t="n"/>
      <c r="J267" s="1164" t="n"/>
      <c r="K267" s="1164" t="n"/>
      <c r="L267" s="1164" t="n"/>
      <c r="M267" s="1164" t="n">
        <v>0</v>
      </c>
      <c r="N267" s="1164" t="n"/>
      <c r="O267" s="1164" t="n"/>
      <c r="P267" s="1164" t="n"/>
      <c r="Q267" s="1164" t="n"/>
      <c r="R267" s="1164" t="n"/>
      <c r="S267" s="1164" t="n"/>
      <c r="T267" s="1164" t="n"/>
      <c r="U267" s="1164" t="n"/>
      <c r="V267" s="1164" t="n"/>
      <c r="W267" s="1165" t="n"/>
      <c r="X267" s="1160" t="n"/>
      <c r="Y267" s="1160" t="n"/>
      <c r="Z267" s="1160" t="n"/>
      <c r="AA267" s="1160" t="n"/>
      <c r="AB267" s="1160" t="n"/>
      <c r="AC267" s="1160" t="n"/>
      <c r="AD267" s="1160" t="n"/>
      <c r="AE267" s="1160" t="n"/>
      <c r="AF267" s="1160" t="n"/>
      <c r="AG267" s="1160" t="n"/>
      <c r="AH267" s="1160" t="n"/>
      <c r="AI267" s="1160" t="n"/>
      <c r="AJ267" s="1160" t="n"/>
      <c r="AK267" s="1160" t="n"/>
      <c r="AL267" s="1160" t="n"/>
    </row>
    <row r="268">
      <c r="C268" s="1163">
        <f>C234</f>
        <v/>
      </c>
      <c r="D268" s="2530">
        <f>D234</f>
        <v/>
      </c>
      <c r="E268" s="2530">
        <f>E234</f>
        <v/>
      </c>
      <c r="F268" s="1164" t="n"/>
      <c r="G268" s="1164" t="n">
        <v>3</v>
      </c>
      <c r="H268" s="1164" t="n"/>
      <c r="I268" s="1164" t="n"/>
      <c r="J268" s="1164" t="n"/>
      <c r="K268" s="1164" t="n"/>
      <c r="L268" s="1164" t="n"/>
      <c r="M268" s="1164" t="n">
        <v>2</v>
      </c>
      <c r="N268" s="1164" t="n"/>
      <c r="O268" s="1164" t="n"/>
      <c r="P268" s="1164" t="n"/>
      <c r="Q268" s="1164" t="n"/>
      <c r="R268" s="1164" t="n"/>
      <c r="S268" s="1164" t="n"/>
      <c r="T268" s="1164" t="n"/>
      <c r="U268" s="1164" t="n"/>
      <c r="V268" s="1164" t="n"/>
      <c r="W268" s="1165" t="n"/>
      <c r="X268" s="1160" t="n"/>
      <c r="Y268" s="1160" t="n"/>
      <c r="Z268" s="1160" t="n"/>
      <c r="AA268" s="1160" t="n"/>
      <c r="AB268" s="1160" t="n"/>
      <c r="AC268" s="1160" t="n"/>
      <c r="AD268" s="1160" t="n"/>
      <c r="AE268" s="1160" t="n"/>
      <c r="AF268" s="1160" t="n"/>
      <c r="AG268" s="1160" t="n"/>
      <c r="AH268" s="1160" t="n"/>
      <c r="AI268" s="1160" t="n"/>
      <c r="AJ268" s="1160" t="n"/>
      <c r="AK268" s="1160" t="n"/>
      <c r="AL268" s="1160" t="n"/>
    </row>
    <row r="269">
      <c r="C269" s="1163">
        <f>C235</f>
        <v/>
      </c>
      <c r="D269" s="2530">
        <f>D235</f>
        <v/>
      </c>
      <c r="E269" s="2530">
        <f>E235</f>
        <v/>
      </c>
      <c r="F269" s="1164" t="n"/>
      <c r="G269" s="1164" t="n">
        <v>2</v>
      </c>
      <c r="H269" s="1164" t="n"/>
      <c r="I269" s="1164" t="n"/>
      <c r="J269" s="1164" t="n"/>
      <c r="K269" s="1164" t="n"/>
      <c r="L269" s="1164" t="n"/>
      <c r="M269" s="1164" t="n">
        <v>2</v>
      </c>
      <c r="N269" s="1164" t="n"/>
      <c r="O269" s="1164" t="n"/>
      <c r="P269" s="1164" t="n"/>
      <c r="Q269" s="1164" t="n"/>
      <c r="R269" s="1164" t="n"/>
      <c r="S269" s="1164" t="n"/>
      <c r="T269" s="1164" t="n"/>
      <c r="U269" s="1164" t="n"/>
      <c r="V269" s="1164" t="n"/>
      <c r="W269" s="1165" t="n"/>
      <c r="X269" s="1160" t="n"/>
      <c r="Y269" s="1160" t="n"/>
      <c r="Z269" s="1160" t="n"/>
      <c r="AA269" s="1160" t="n"/>
      <c r="AB269" s="1160" t="n"/>
      <c r="AC269" s="1160" t="n"/>
      <c r="AD269" s="1160" t="n"/>
      <c r="AE269" s="1160" t="n"/>
      <c r="AF269" s="1160" t="n"/>
      <c r="AG269" s="1160" t="n"/>
      <c r="AH269" s="1160" t="n"/>
      <c r="AI269" s="1160" t="n"/>
      <c r="AJ269" s="1160" t="n"/>
      <c r="AK269" s="1160" t="n"/>
      <c r="AL269" s="1160" t="n"/>
    </row>
    <row r="270">
      <c r="C270" s="1163">
        <f>C236</f>
        <v/>
      </c>
      <c r="D270" s="2530">
        <f>D236</f>
        <v/>
      </c>
      <c r="E270" s="2530">
        <f>E236</f>
        <v/>
      </c>
      <c r="F270" s="1164" t="n"/>
      <c r="G270" s="1164" t="n">
        <v>2</v>
      </c>
      <c r="H270" s="1164" t="n"/>
      <c r="I270" s="1164" t="n"/>
      <c r="J270" s="1164" t="n"/>
      <c r="K270" s="1164" t="n"/>
      <c r="L270" s="1164" t="n"/>
      <c r="M270" s="1164" t="n">
        <v>3</v>
      </c>
      <c r="N270" s="1164" t="n"/>
      <c r="O270" s="1164" t="n"/>
      <c r="P270" s="1164" t="n"/>
      <c r="Q270" s="1164" t="n"/>
      <c r="R270" s="1164" t="n"/>
      <c r="S270" s="1164" t="n"/>
      <c r="T270" s="1164" t="n"/>
      <c r="U270" s="1164" t="n"/>
      <c r="V270" s="1164" t="n"/>
      <c r="W270" s="1165" t="n"/>
      <c r="X270" s="1160" t="n"/>
      <c r="Y270" s="1160" t="n"/>
      <c r="Z270" s="1160" t="n"/>
      <c r="AA270" s="1160" t="n"/>
      <c r="AB270" s="1160" t="n"/>
      <c r="AC270" s="1160" t="n"/>
      <c r="AD270" s="1160" t="n"/>
      <c r="AE270" s="1160" t="n"/>
      <c r="AF270" s="1160" t="n"/>
      <c r="AG270" s="1160" t="n"/>
      <c r="AH270" s="1160" t="n"/>
      <c r="AI270" s="1160" t="n"/>
      <c r="AJ270" s="1160" t="n"/>
      <c r="AK270" s="1160" t="n"/>
      <c r="AL270" s="1160" t="n"/>
    </row>
    <row r="271">
      <c r="C271" s="1163">
        <f>C237</f>
        <v/>
      </c>
      <c r="D271" s="2530">
        <f>D237</f>
        <v/>
      </c>
      <c r="E271" s="2530">
        <f>E237</f>
        <v/>
      </c>
      <c r="F271" s="1164" t="n"/>
      <c r="G271" s="1164" t="n">
        <v>3</v>
      </c>
      <c r="H271" s="1164" t="n"/>
      <c r="I271" s="1164" t="n"/>
      <c r="J271" s="1164" t="n"/>
      <c r="K271" s="1164" t="n"/>
      <c r="L271" s="1164" t="n"/>
      <c r="M271" s="1164" t="n">
        <v>12</v>
      </c>
      <c r="N271" s="1164" t="n"/>
      <c r="O271" s="1164" t="n"/>
      <c r="P271" s="1164" t="n"/>
      <c r="Q271" s="1164" t="n"/>
      <c r="R271" s="1164" t="n"/>
      <c r="S271" s="1164" t="n"/>
      <c r="T271" s="1164" t="n"/>
      <c r="U271" s="1164" t="n"/>
      <c r="V271" s="1164" t="n"/>
      <c r="W271" s="1165" t="n"/>
      <c r="X271" s="1160" t="n"/>
      <c r="Y271" s="1160" t="n"/>
      <c r="Z271" s="1160" t="n"/>
      <c r="AA271" s="1160" t="n"/>
      <c r="AB271" s="1160" t="n"/>
      <c r="AC271" s="1160" t="n"/>
      <c r="AD271" s="1160" t="n"/>
      <c r="AE271" s="1160" t="n"/>
      <c r="AF271" s="1160" t="n"/>
      <c r="AG271" s="1160" t="n"/>
      <c r="AH271" s="1160" t="n"/>
      <c r="AI271" s="1160" t="n"/>
      <c r="AJ271" s="1160" t="n"/>
      <c r="AK271" s="1160" t="n"/>
      <c r="AL271" s="1160" t="n"/>
    </row>
    <row r="272" ht="14" customHeight="1">
      <c r="C272" s="1163">
        <f>C238</f>
        <v/>
      </c>
      <c r="D272" s="2530">
        <f>D238</f>
        <v/>
      </c>
      <c r="E272" s="2530">
        <f>E238</f>
        <v/>
      </c>
      <c r="F272" s="1164" t="n"/>
      <c r="G272" s="1164" t="n">
        <v>2</v>
      </c>
      <c r="H272" s="1164" t="n"/>
      <c r="I272" s="1164" t="n"/>
      <c r="J272" s="1164" t="n"/>
      <c r="K272" s="1164" t="n"/>
      <c r="L272" s="1164" t="n"/>
      <c r="M272" s="1164" t="n">
        <v>14</v>
      </c>
      <c r="N272" s="1164" t="n"/>
      <c r="O272" s="1164" t="n"/>
      <c r="P272" s="1164" t="n"/>
      <c r="Q272" s="1164" t="n"/>
      <c r="R272" s="1164" t="n"/>
      <c r="S272" s="1164" t="n"/>
      <c r="T272" s="1164" t="n"/>
      <c r="U272" s="1164" t="n"/>
      <c r="V272" s="1164" t="n"/>
      <c r="W272" s="1165" t="n"/>
      <c r="X272" s="1160" t="n"/>
      <c r="Y272" s="1160" t="n"/>
      <c r="Z272" s="1160" t="n"/>
      <c r="AA272" s="1160" t="n"/>
      <c r="AB272" s="1160" t="n"/>
      <c r="AC272" s="1160" t="n"/>
      <c r="AD272" s="1160" t="n"/>
      <c r="AE272" s="1160" t="n"/>
      <c r="AF272" s="1160" t="n"/>
      <c r="AG272" s="1160" t="n"/>
      <c r="AH272" s="1160" t="n"/>
      <c r="AI272" s="1160" t="n"/>
      <c r="AJ272" s="1160" t="n"/>
      <c r="AK272" s="1160" t="n"/>
      <c r="AL272" s="1160" t="n"/>
    </row>
    <row r="273" ht="14" customHeight="1">
      <c r="C273" s="1163">
        <f>C239</f>
        <v/>
      </c>
      <c r="D273" s="2530">
        <f>D239</f>
        <v/>
      </c>
      <c r="E273" s="2530">
        <f>E239</f>
        <v/>
      </c>
      <c r="F273" s="1164" t="n"/>
      <c r="G273" s="1164" t="n">
        <v>4</v>
      </c>
      <c r="H273" s="1164" t="n"/>
      <c r="I273" s="1164" t="n"/>
      <c r="J273" s="1164" t="n"/>
      <c r="K273" s="1164" t="n"/>
      <c r="L273" s="1164" t="n"/>
      <c r="M273" s="1164" t="n">
        <v>13</v>
      </c>
      <c r="N273" s="1164" t="n"/>
      <c r="O273" s="1164" t="n"/>
      <c r="P273" s="1164" t="n"/>
      <c r="Q273" s="1164" t="n"/>
      <c r="R273" s="1164" t="n"/>
      <c r="S273" s="1164" t="n"/>
      <c r="T273" s="1164" t="n"/>
      <c r="U273" s="1164" t="n"/>
      <c r="V273" s="1164" t="n"/>
      <c r="W273" s="1165" t="n"/>
      <c r="X273" s="1160" t="n"/>
      <c r="Y273" s="1160" t="n"/>
      <c r="Z273" s="1160" t="n"/>
      <c r="AA273" s="1160" t="n"/>
      <c r="AB273" s="1160" t="n"/>
      <c r="AC273" s="1160" t="n"/>
      <c r="AD273" s="1160" t="n"/>
      <c r="AE273" s="1160" t="n"/>
      <c r="AF273" s="1160" t="n"/>
      <c r="AG273" s="1160" t="n"/>
      <c r="AH273" s="1160" t="n"/>
      <c r="AI273" s="1160" t="n"/>
      <c r="AJ273" s="1160" t="n"/>
      <c r="AK273" s="1160" t="n"/>
      <c r="AL273" s="1160" t="n"/>
    </row>
    <row r="274" ht="14" customHeight="1">
      <c r="C274" s="1163">
        <f>C240</f>
        <v/>
      </c>
      <c r="D274" s="2530">
        <f>D240</f>
        <v/>
      </c>
      <c r="E274" s="2530">
        <f>E240</f>
        <v/>
      </c>
      <c r="F274" s="1164" t="n"/>
      <c r="G274" s="1164" t="n">
        <v>2</v>
      </c>
      <c r="H274" s="1164" t="n"/>
      <c r="I274" s="1164" t="n"/>
      <c r="J274" s="1164" t="n"/>
      <c r="K274" s="1164" t="n"/>
      <c r="L274" s="1164" t="n"/>
      <c r="M274" s="1164" t="n">
        <v>13</v>
      </c>
      <c r="N274" s="1164" t="n"/>
      <c r="O274" s="1164" t="n"/>
      <c r="P274" s="1164" t="n"/>
      <c r="Q274" s="1164" t="n"/>
      <c r="R274" s="1164" t="n"/>
      <c r="S274" s="1164" t="n"/>
      <c r="T274" s="1164" t="n"/>
      <c r="U274" s="1164" t="n"/>
      <c r="V274" s="1164" t="n"/>
      <c r="W274" s="1165" t="n"/>
      <c r="X274" s="1160" t="n"/>
      <c r="Y274" s="1160" t="n"/>
      <c r="Z274" s="1160" t="n"/>
      <c r="AA274" s="1160" t="n"/>
      <c r="AB274" s="1160" t="n"/>
      <c r="AC274" s="1160" t="n"/>
      <c r="AD274" s="1160" t="n"/>
      <c r="AE274" s="1160" t="n"/>
      <c r="AF274" s="1160" t="n"/>
      <c r="AG274" s="1160" t="n"/>
      <c r="AH274" s="1160" t="n"/>
      <c r="AI274" s="1160" t="n"/>
      <c r="AJ274" s="1160" t="n"/>
      <c r="AK274" s="1160" t="n"/>
      <c r="AL274" s="1160" t="n"/>
    </row>
    <row r="275" ht="14" customHeight="1">
      <c r="C275" s="1163">
        <f>C241</f>
        <v/>
      </c>
      <c r="D275" s="2530">
        <f>D241</f>
        <v/>
      </c>
      <c r="E275" s="2530">
        <f>E241</f>
        <v/>
      </c>
      <c r="F275" s="1164" t="n"/>
      <c r="G275" s="1164" t="n"/>
      <c r="H275" s="1164" t="n"/>
      <c r="I275" s="1164" t="n"/>
      <c r="J275" s="1164" t="n"/>
      <c r="K275" s="1164" t="n"/>
      <c r="L275" s="1164" t="n"/>
      <c r="M275" s="1164" t="n"/>
      <c r="N275" s="1164" t="n"/>
      <c r="O275" s="1164" t="n"/>
      <c r="P275" s="1164" t="n"/>
      <c r="Q275" s="1164" t="n"/>
      <c r="R275" s="1164" t="n"/>
      <c r="S275" s="1164" t="n"/>
      <c r="T275" s="1164" t="n"/>
      <c r="U275" s="1164" t="n"/>
      <c r="V275" s="1164" t="n"/>
      <c r="W275" s="1165" t="n"/>
      <c r="X275" s="1160" t="n"/>
      <c r="Y275" s="1160" t="n"/>
      <c r="Z275" s="1160" t="n"/>
      <c r="AA275" s="1160" t="n"/>
      <c r="AB275" s="1160" t="n"/>
      <c r="AC275" s="1160" t="n"/>
      <c r="AD275" s="1160" t="n"/>
      <c r="AE275" s="1160" t="n"/>
      <c r="AF275" s="1160" t="n"/>
      <c r="AG275" s="1160" t="n"/>
      <c r="AH275" s="1160" t="n"/>
      <c r="AI275" s="1160" t="n"/>
      <c r="AJ275" s="1160" t="n"/>
      <c r="AK275" s="1160" t="n"/>
      <c r="AL275" s="1160" t="n"/>
    </row>
    <row r="276" ht="14" customHeight="1">
      <c r="C276" s="1163">
        <f>C242</f>
        <v/>
      </c>
      <c r="D276" s="2530">
        <f>D242</f>
        <v/>
      </c>
      <c r="E276" s="2530">
        <f>E242</f>
        <v/>
      </c>
      <c r="F276" s="1164" t="n"/>
      <c r="G276" s="1164" t="n"/>
      <c r="H276" s="1164" t="n"/>
      <c r="I276" s="1164" t="n"/>
      <c r="J276" s="1164" t="n"/>
      <c r="K276" s="1164" t="n"/>
      <c r="L276" s="1164" t="n"/>
      <c r="M276" s="1164" t="n"/>
      <c r="N276" s="1164" t="n"/>
      <c r="O276" s="1164" t="n"/>
      <c r="P276" s="1164" t="n"/>
      <c r="Q276" s="1164" t="n"/>
      <c r="R276" s="1164" t="n"/>
      <c r="S276" s="1164" t="n"/>
      <c r="T276" s="1164" t="n"/>
      <c r="U276" s="1164" t="n"/>
      <c r="V276" s="1164" t="n"/>
      <c r="W276" s="1165" t="n"/>
      <c r="X276" s="1160" t="n"/>
      <c r="Y276" s="1160" t="n"/>
      <c r="Z276" s="1160" t="n"/>
      <c r="AA276" s="1160" t="n"/>
      <c r="AB276" s="1160" t="n"/>
      <c r="AC276" s="1160" t="n"/>
      <c r="AD276" s="1160" t="n"/>
      <c r="AE276" s="1160" t="n"/>
      <c r="AF276" s="1160" t="n"/>
      <c r="AG276" s="1160" t="n"/>
      <c r="AH276" s="1160" t="n"/>
      <c r="AI276" s="1160" t="n"/>
      <c r="AJ276" s="1160" t="n"/>
      <c r="AK276" s="1160" t="n"/>
      <c r="AL276" s="1160" t="n"/>
    </row>
    <row r="277" ht="14" customHeight="1">
      <c r="C277" s="1163">
        <f>C243</f>
        <v/>
      </c>
      <c r="D277" s="2530">
        <f>D243</f>
        <v/>
      </c>
      <c r="E277" s="2530">
        <f>E243</f>
        <v/>
      </c>
      <c r="F277" s="1164" t="n"/>
      <c r="G277" s="1164" t="n"/>
      <c r="H277" s="1164" t="n"/>
      <c r="I277" s="1164" t="n"/>
      <c r="J277" s="1164" t="n"/>
      <c r="K277" s="1164" t="n"/>
      <c r="L277" s="1164" t="n"/>
      <c r="M277" s="1164" t="n"/>
      <c r="N277" s="1164" t="n"/>
      <c r="O277" s="1164" t="n"/>
      <c r="P277" s="1164" t="n"/>
      <c r="Q277" s="1164" t="n"/>
      <c r="R277" s="1164" t="n"/>
      <c r="S277" s="1164" t="n"/>
      <c r="T277" s="1164" t="n"/>
      <c r="U277" s="1164" t="n"/>
      <c r="V277" s="1164" t="n"/>
      <c r="W277" s="1165" t="n"/>
      <c r="X277" s="1160" t="n"/>
      <c r="Y277" s="1160" t="n"/>
      <c r="Z277" s="1160" t="n"/>
      <c r="AA277" s="1160" t="n"/>
      <c r="AB277" s="1160" t="n"/>
      <c r="AC277" s="1160" t="n"/>
      <c r="AD277" s="1160" t="n"/>
      <c r="AE277" s="1160" t="n"/>
      <c r="AF277" s="1160" t="n"/>
      <c r="AG277" s="1160" t="n"/>
      <c r="AH277" s="1160" t="n"/>
      <c r="AI277" s="1160" t="n"/>
      <c r="AJ277" s="1160" t="n"/>
      <c r="AK277" s="1160" t="n"/>
      <c r="AL277" s="1160" t="n"/>
    </row>
    <row r="278" ht="14" customHeight="1">
      <c r="C278" s="1163">
        <f>C244</f>
        <v/>
      </c>
      <c r="D278" s="2530">
        <f>D244</f>
        <v/>
      </c>
      <c r="E278" s="2530">
        <f>E244</f>
        <v/>
      </c>
      <c r="F278" s="1164" t="n"/>
      <c r="G278" s="1164" t="n"/>
      <c r="H278" s="1164" t="n"/>
      <c r="I278" s="1164" t="n"/>
      <c r="J278" s="1164" t="n"/>
      <c r="K278" s="1164" t="n"/>
      <c r="L278" s="1164" t="n"/>
      <c r="M278" s="1164" t="n"/>
      <c r="N278" s="1164" t="n"/>
      <c r="O278" s="1164" t="n"/>
      <c r="P278" s="1164" t="n"/>
      <c r="Q278" s="1164" t="n"/>
      <c r="R278" s="1164" t="n"/>
      <c r="S278" s="1164" t="n"/>
      <c r="T278" s="1164" t="n"/>
      <c r="U278" s="1164" t="n"/>
      <c r="V278" s="1164" t="n"/>
      <c r="W278" s="1165" t="n"/>
      <c r="X278" s="1160" t="n"/>
      <c r="Y278" s="1160" t="n"/>
      <c r="Z278" s="1160" t="n"/>
      <c r="AA278" s="1160" t="n"/>
      <c r="AB278" s="1160" t="n"/>
      <c r="AC278" s="1160" t="n"/>
      <c r="AD278" s="1160" t="n"/>
      <c r="AE278" s="1160" t="n"/>
      <c r="AF278" s="1160" t="n"/>
      <c r="AG278" s="1160" t="n"/>
      <c r="AH278" s="1160" t="n"/>
      <c r="AI278" s="1160" t="n"/>
      <c r="AJ278" s="1160" t="n"/>
      <c r="AK278" s="1160" t="n"/>
      <c r="AL278" s="1160" t="n"/>
    </row>
    <row r="279" ht="14" customHeight="1">
      <c r="C279" s="1163">
        <f>C245</f>
        <v/>
      </c>
      <c r="D279" s="2530">
        <f>D245</f>
        <v/>
      </c>
      <c r="E279" s="2530">
        <f>E245</f>
        <v/>
      </c>
      <c r="F279" s="1164" t="n"/>
      <c r="G279" s="1164" t="n"/>
      <c r="H279" s="1164" t="n"/>
      <c r="I279" s="1164" t="n"/>
      <c r="J279" s="1164" t="n"/>
      <c r="K279" s="1164" t="n"/>
      <c r="L279" s="1164" t="n"/>
      <c r="M279" s="1164" t="n"/>
      <c r="N279" s="1164" t="n"/>
      <c r="O279" s="1164" t="n"/>
      <c r="P279" s="1164" t="n"/>
      <c r="Q279" s="1164" t="n"/>
      <c r="R279" s="1164" t="n"/>
      <c r="S279" s="1164" t="n"/>
      <c r="T279" s="1164" t="n"/>
      <c r="U279" s="1164" t="n"/>
      <c r="V279" s="1164" t="n"/>
      <c r="W279" s="1165" t="n"/>
      <c r="X279" s="1160" t="n"/>
      <c r="Y279" s="1160" t="n"/>
      <c r="Z279" s="1160" t="n"/>
      <c r="AA279" s="1160" t="n"/>
      <c r="AB279" s="1160" t="n"/>
      <c r="AC279" s="1160" t="n"/>
      <c r="AD279" s="1160" t="n"/>
      <c r="AE279" s="1160" t="n"/>
      <c r="AF279" s="1160" t="n"/>
      <c r="AG279" s="1160" t="n"/>
      <c r="AH279" s="1160" t="n"/>
      <c r="AI279" s="1160" t="n"/>
      <c r="AJ279" s="1160" t="n"/>
      <c r="AK279" s="1160" t="n"/>
      <c r="AL279" s="1160" t="n"/>
    </row>
    <row r="280" ht="14" customHeight="1">
      <c r="C280" s="1163">
        <f>C246</f>
        <v/>
      </c>
      <c r="D280" s="2530">
        <f>D246</f>
        <v/>
      </c>
      <c r="E280" s="2530">
        <f>E246</f>
        <v/>
      </c>
      <c r="F280" s="1164" t="n"/>
      <c r="G280" s="1164" t="n"/>
      <c r="H280" s="1164" t="n"/>
      <c r="I280" s="1164" t="n"/>
      <c r="J280" s="1164" t="n"/>
      <c r="K280" s="1164" t="n"/>
      <c r="L280" s="1164" t="n"/>
      <c r="M280" s="1164" t="n"/>
      <c r="N280" s="1164" t="n"/>
      <c r="O280" s="1164" t="n"/>
      <c r="P280" s="1164" t="n"/>
      <c r="Q280" s="1164" t="n"/>
      <c r="R280" s="1164" t="n"/>
      <c r="S280" s="1164" t="n"/>
      <c r="T280" s="1164" t="n"/>
      <c r="U280" s="1164" t="n"/>
      <c r="V280" s="1164" t="n"/>
      <c r="W280" s="1165" t="n"/>
      <c r="X280" s="1160" t="n"/>
      <c r="Y280" s="1160" t="n"/>
      <c r="Z280" s="1160" t="n"/>
      <c r="AA280" s="1160" t="n"/>
      <c r="AB280" s="1160" t="n"/>
      <c r="AC280" s="1160" t="n"/>
      <c r="AD280" s="1160" t="n"/>
      <c r="AE280" s="1160" t="n"/>
      <c r="AF280" s="1160" t="n"/>
      <c r="AG280" s="1160" t="n"/>
      <c r="AH280" s="1160" t="n"/>
      <c r="AI280" s="1160" t="n"/>
      <c r="AJ280" s="1160" t="n"/>
      <c r="AK280" s="1160" t="n"/>
      <c r="AL280" s="1160" t="n"/>
    </row>
    <row r="281" ht="14" customHeight="1">
      <c r="C281" s="1163">
        <f>C247</f>
        <v/>
      </c>
      <c r="D281" s="2530">
        <f>D247</f>
        <v/>
      </c>
      <c r="E281" s="2530">
        <f>E247</f>
        <v/>
      </c>
      <c r="F281" s="1164" t="n"/>
      <c r="G281" s="1164" t="n"/>
      <c r="H281" s="1164" t="n"/>
      <c r="I281" s="1164" t="n"/>
      <c r="J281" s="1164" t="n"/>
      <c r="K281" s="1164" t="n"/>
      <c r="L281" s="1164" t="n"/>
      <c r="M281" s="1164" t="n"/>
      <c r="N281" s="1164" t="n"/>
      <c r="O281" s="1164" t="n"/>
      <c r="P281" s="1164" t="n"/>
      <c r="Q281" s="1164" t="n"/>
      <c r="R281" s="1164" t="n"/>
      <c r="S281" s="1164" t="n"/>
      <c r="T281" s="1164" t="n"/>
      <c r="U281" s="1164" t="n"/>
      <c r="V281" s="1164" t="n"/>
      <c r="W281" s="1165" t="n"/>
      <c r="X281" s="1160" t="n"/>
      <c r="Y281" s="1160" t="n"/>
      <c r="Z281" s="1160" t="n"/>
      <c r="AA281" s="1160" t="n"/>
      <c r="AB281" s="1160" t="n"/>
      <c r="AC281" s="1160" t="n"/>
      <c r="AD281" s="1160" t="n"/>
      <c r="AE281" s="1160" t="n"/>
      <c r="AF281" s="1160" t="n"/>
      <c r="AG281" s="1160" t="n"/>
      <c r="AH281" s="1160" t="n"/>
      <c r="AI281" s="1160" t="n"/>
      <c r="AJ281" s="1160" t="n"/>
      <c r="AK281" s="1160" t="n"/>
      <c r="AL281" s="1160" t="n"/>
    </row>
    <row r="282" ht="14" customHeight="1">
      <c r="C282" s="1163">
        <f>C248</f>
        <v/>
      </c>
      <c r="D282" s="2530">
        <f>D248</f>
        <v/>
      </c>
      <c r="E282" s="2530">
        <f>E248</f>
        <v/>
      </c>
      <c r="F282" s="1164" t="n"/>
      <c r="G282" s="1164" t="n"/>
      <c r="H282" s="1164" t="n"/>
      <c r="I282" s="1164" t="n"/>
      <c r="J282" s="1164" t="n"/>
      <c r="K282" s="1164" t="n"/>
      <c r="L282" s="1164" t="n"/>
      <c r="M282" s="1164" t="n"/>
      <c r="N282" s="1164" t="n"/>
      <c r="O282" s="1164" t="n"/>
      <c r="P282" s="1164" t="n"/>
      <c r="Q282" s="1164" t="n"/>
      <c r="R282" s="1164" t="n"/>
      <c r="S282" s="1164" t="n"/>
      <c r="T282" s="1164" t="n"/>
      <c r="U282" s="1164" t="n"/>
      <c r="V282" s="1164" t="n"/>
      <c r="W282" s="1165" t="n"/>
      <c r="X282" s="1160" t="n"/>
      <c r="Y282" s="1160" t="n"/>
      <c r="Z282" s="1160" t="n"/>
      <c r="AA282" s="1160" t="n"/>
      <c r="AB282" s="1160" t="n"/>
      <c r="AC282" s="1160" t="n"/>
      <c r="AD282" s="1160" t="n"/>
      <c r="AE282" s="1160" t="n"/>
      <c r="AF282" s="1160" t="n"/>
      <c r="AG282" s="1160" t="n"/>
      <c r="AH282" s="1160" t="n"/>
      <c r="AI282" s="1160" t="n"/>
      <c r="AJ282" s="1160" t="n"/>
      <c r="AK282" s="1160" t="n"/>
      <c r="AL282" s="1160" t="n"/>
    </row>
    <row r="283" ht="14" customHeight="1">
      <c r="C283" s="1163">
        <f>C249</f>
        <v/>
      </c>
      <c r="D283" s="2530">
        <f>D249</f>
        <v/>
      </c>
      <c r="E283" s="2530">
        <f>E249</f>
        <v/>
      </c>
      <c r="F283" s="1164" t="n"/>
      <c r="G283" s="1164" t="n"/>
      <c r="H283" s="1164" t="n"/>
      <c r="I283" s="1164" t="n"/>
      <c r="J283" s="1164" t="n"/>
      <c r="K283" s="1164" t="n"/>
      <c r="L283" s="1164" t="n"/>
      <c r="M283" s="1164" t="n"/>
      <c r="N283" s="1164" t="n"/>
      <c r="O283" s="1164" t="n"/>
      <c r="P283" s="1164" t="n"/>
      <c r="Q283" s="1164" t="n"/>
      <c r="R283" s="1164" t="n"/>
      <c r="S283" s="1164" t="n"/>
      <c r="T283" s="1164" t="n"/>
      <c r="U283" s="1164" t="n"/>
      <c r="V283" s="1164" t="n"/>
      <c r="W283" s="1165" t="n"/>
      <c r="X283" s="1160" t="n"/>
      <c r="Y283" s="1160" t="n"/>
      <c r="Z283" s="1160" t="n"/>
      <c r="AA283" s="1160" t="n"/>
      <c r="AB283" s="1160" t="n"/>
      <c r="AC283" s="1160" t="n"/>
      <c r="AD283" s="1160" t="n"/>
      <c r="AE283" s="1160" t="n"/>
      <c r="AF283" s="1160" t="n"/>
      <c r="AG283" s="1160" t="n"/>
      <c r="AH283" s="1160" t="n"/>
      <c r="AI283" s="1160" t="n"/>
      <c r="AJ283" s="1160" t="n"/>
      <c r="AK283" s="1160" t="n"/>
      <c r="AL283" s="1160" t="n"/>
    </row>
    <row r="284" ht="14" customHeight="1">
      <c r="C284" s="1163">
        <f>C250</f>
        <v/>
      </c>
      <c r="D284" s="2530">
        <f>D250</f>
        <v/>
      </c>
      <c r="E284" s="2530">
        <f>E250</f>
        <v/>
      </c>
      <c r="F284" s="1164" t="n"/>
      <c r="G284" s="1164" t="n"/>
      <c r="H284" s="1164" t="n"/>
      <c r="I284" s="1164" t="n"/>
      <c r="J284" s="1164" t="n"/>
      <c r="K284" s="1164" t="n"/>
      <c r="L284" s="1164" t="n"/>
      <c r="M284" s="1164" t="n"/>
      <c r="N284" s="1164" t="n"/>
      <c r="O284" s="1164" t="n"/>
      <c r="P284" s="1164" t="n"/>
      <c r="Q284" s="1164" t="n"/>
      <c r="R284" s="1164" t="n"/>
      <c r="S284" s="1164" t="n"/>
      <c r="T284" s="1164" t="n"/>
      <c r="U284" s="1164" t="n"/>
      <c r="V284" s="1164" t="n"/>
      <c r="W284" s="1165" t="n"/>
      <c r="X284" s="1160" t="n"/>
      <c r="Y284" s="1160" t="n"/>
      <c r="Z284" s="1160" t="n"/>
      <c r="AA284" s="1160" t="n"/>
      <c r="AB284" s="1160" t="n"/>
      <c r="AC284" s="1160" t="n"/>
      <c r="AD284" s="1160" t="n"/>
      <c r="AE284" s="1160" t="n"/>
      <c r="AF284" s="1160" t="n"/>
      <c r="AG284" s="1160" t="n"/>
      <c r="AH284" s="1160" t="n"/>
      <c r="AI284" s="1160" t="n"/>
      <c r="AJ284" s="1160" t="n"/>
      <c r="AK284" s="1160" t="n"/>
      <c r="AL284" s="1160" t="n"/>
    </row>
    <row r="285" ht="14" customHeight="1">
      <c r="C285" s="1163">
        <f>C251</f>
        <v/>
      </c>
      <c r="D285" s="2530">
        <f>D251</f>
        <v/>
      </c>
      <c r="E285" s="2530">
        <f>E251</f>
        <v/>
      </c>
      <c r="F285" s="1164" t="n"/>
      <c r="G285" s="1164" t="n"/>
      <c r="H285" s="1164" t="n"/>
      <c r="I285" s="1164" t="n"/>
      <c r="J285" s="1164" t="n"/>
      <c r="K285" s="1164" t="n"/>
      <c r="L285" s="1164" t="n"/>
      <c r="M285" s="1164" t="n"/>
      <c r="N285" s="1164" t="n"/>
      <c r="O285" s="1164" t="n"/>
      <c r="P285" s="1164" t="n"/>
      <c r="Q285" s="1164" t="n"/>
      <c r="R285" s="1164" t="n"/>
      <c r="S285" s="1164" t="n"/>
      <c r="T285" s="1164" t="n"/>
      <c r="U285" s="1164" t="n"/>
      <c r="V285" s="1164" t="n"/>
      <c r="W285" s="1165" t="n"/>
      <c r="X285" s="1160" t="n"/>
      <c r="Y285" s="1160" t="n"/>
      <c r="Z285" s="1160" t="n"/>
      <c r="AA285" s="1160" t="n"/>
      <c r="AB285" s="1160" t="n"/>
      <c r="AC285" s="1160" t="n"/>
      <c r="AD285" s="1160" t="n"/>
      <c r="AE285" s="1160" t="n"/>
      <c r="AF285" s="1160" t="n"/>
      <c r="AG285" s="1160" t="n"/>
      <c r="AH285" s="1160" t="n"/>
      <c r="AI285" s="1160" t="n"/>
      <c r="AJ285" s="1160" t="n"/>
      <c r="AK285" s="1160" t="n"/>
      <c r="AL285" s="1160" t="n"/>
    </row>
    <row r="286" ht="14" customHeight="1">
      <c r="C286" s="1163">
        <f>C252</f>
        <v/>
      </c>
      <c r="D286" s="2530">
        <f>D252</f>
        <v/>
      </c>
      <c r="E286" s="2530">
        <f>E252</f>
        <v/>
      </c>
      <c r="F286" s="1164" t="n"/>
      <c r="G286" s="1164" t="n"/>
      <c r="H286" s="1164" t="n"/>
      <c r="I286" s="1164" t="n"/>
      <c r="J286" s="1164" t="n"/>
      <c r="K286" s="1164" t="n"/>
      <c r="L286" s="1164" t="n"/>
      <c r="M286" s="1164" t="n"/>
      <c r="N286" s="1164" t="n"/>
      <c r="O286" s="1164" t="n"/>
      <c r="P286" s="1164" t="n"/>
      <c r="Q286" s="1164" t="n"/>
      <c r="R286" s="1164" t="n"/>
      <c r="S286" s="1164" t="n"/>
      <c r="T286" s="1164" t="n"/>
      <c r="U286" s="1164" t="n"/>
      <c r="V286" s="1164" t="n"/>
      <c r="W286" s="1165" t="n"/>
      <c r="X286" s="1160" t="n"/>
      <c r="Y286" s="1160" t="n"/>
      <c r="Z286" s="1160" t="n"/>
      <c r="AA286" s="1160" t="n"/>
      <c r="AB286" s="1160" t="n"/>
      <c r="AC286" s="1160" t="n"/>
      <c r="AD286" s="1160" t="n"/>
      <c r="AE286" s="1160" t="n"/>
      <c r="AF286" s="1160" t="n"/>
      <c r="AG286" s="1160" t="n"/>
      <c r="AH286" s="1160" t="n"/>
      <c r="AI286" s="1160" t="n"/>
      <c r="AJ286" s="1160" t="n"/>
      <c r="AK286" s="1160" t="n"/>
      <c r="AL286" s="1160" t="n"/>
    </row>
    <row r="287" ht="14" customHeight="1">
      <c r="C287" s="1163">
        <f>C253</f>
        <v/>
      </c>
      <c r="D287" s="2530">
        <f>D253</f>
        <v/>
      </c>
      <c r="E287" s="2530">
        <f>E253</f>
        <v/>
      </c>
      <c r="F287" s="1164" t="n"/>
      <c r="G287" s="1164" t="n"/>
      <c r="H287" s="1164" t="n"/>
      <c r="I287" s="1164" t="n"/>
      <c r="J287" s="1164" t="n"/>
      <c r="K287" s="1164" t="n"/>
      <c r="L287" s="1164" t="n"/>
      <c r="M287" s="1164" t="n"/>
      <c r="N287" s="1164" t="n"/>
      <c r="O287" s="1164" t="n"/>
      <c r="P287" s="1164" t="n"/>
      <c r="Q287" s="1164" t="n"/>
      <c r="R287" s="1164" t="n"/>
      <c r="S287" s="1164" t="n"/>
      <c r="T287" s="1164" t="n"/>
      <c r="U287" s="1164" t="n"/>
      <c r="V287" s="1164" t="n"/>
      <c r="W287" s="1165" t="n"/>
      <c r="X287" s="1160" t="n"/>
      <c r="Y287" s="1160" t="n"/>
      <c r="Z287" s="1160" t="n"/>
      <c r="AA287" s="1160" t="n"/>
      <c r="AB287" s="1160" t="n"/>
      <c r="AC287" s="1160" t="n"/>
      <c r="AD287" s="1160" t="n"/>
      <c r="AE287" s="1160" t="n"/>
      <c r="AF287" s="1160" t="n"/>
      <c r="AG287" s="1160" t="n"/>
      <c r="AH287" s="1160" t="n"/>
      <c r="AI287" s="1160" t="n"/>
      <c r="AJ287" s="1160" t="n"/>
      <c r="AK287" s="1160" t="n"/>
      <c r="AL287" s="1160" t="n"/>
    </row>
    <row r="288" ht="14" customHeight="1">
      <c r="C288" s="1163">
        <f>C254</f>
        <v/>
      </c>
      <c r="D288" s="2530">
        <f>D254</f>
        <v/>
      </c>
      <c r="E288" s="2530">
        <f>E254</f>
        <v/>
      </c>
      <c r="F288" s="1164" t="n"/>
      <c r="G288" s="1164" t="n"/>
      <c r="H288" s="1164" t="n"/>
      <c r="I288" s="1164" t="n"/>
      <c r="J288" s="1164" t="n"/>
      <c r="K288" s="1164" t="n"/>
      <c r="L288" s="1164" t="n"/>
      <c r="M288" s="1164" t="n"/>
      <c r="N288" s="1164" t="n"/>
      <c r="O288" s="1164" t="n"/>
      <c r="P288" s="1164" t="n"/>
      <c r="Q288" s="1164" t="n"/>
      <c r="R288" s="1164" t="n"/>
      <c r="S288" s="1164" t="n"/>
      <c r="T288" s="1164" t="n"/>
      <c r="U288" s="1164" t="n"/>
      <c r="V288" s="1164" t="n"/>
      <c r="W288" s="1165" t="n"/>
      <c r="X288" s="1160" t="n"/>
      <c r="Y288" s="1160" t="n"/>
      <c r="Z288" s="1160" t="n"/>
      <c r="AA288" s="1160" t="n"/>
      <c r="AB288" s="1160" t="n"/>
      <c r="AC288" s="1160" t="n"/>
      <c r="AD288" s="1160" t="n"/>
      <c r="AE288" s="1160" t="n"/>
      <c r="AF288" s="1160" t="n"/>
      <c r="AG288" s="1160" t="n"/>
      <c r="AH288" s="1160" t="n"/>
      <c r="AI288" s="1160" t="n"/>
      <c r="AJ288" s="1160" t="n"/>
      <c r="AK288" s="1160" t="n"/>
      <c r="AL288" s="1160" t="n"/>
    </row>
    <row r="289" ht="14" customHeight="1">
      <c r="C289" s="1166">
        <f>C255</f>
        <v/>
      </c>
      <c r="D289" s="2531">
        <f>D255</f>
        <v/>
      </c>
      <c r="E289" s="2531">
        <f>E255</f>
        <v/>
      </c>
      <c r="F289" s="1167" t="n"/>
      <c r="G289" s="1167" t="n"/>
      <c r="H289" s="1167" t="n"/>
      <c r="I289" s="1167" t="n"/>
      <c r="J289" s="1167" t="n"/>
      <c r="K289" s="1167" t="n"/>
      <c r="L289" s="1167" t="n"/>
      <c r="M289" s="1167" t="n"/>
      <c r="N289" s="1167" t="n"/>
      <c r="O289" s="1167" t="n"/>
      <c r="P289" s="1167" t="n"/>
      <c r="Q289" s="1167" t="n"/>
      <c r="R289" s="1167" t="n"/>
      <c r="S289" s="1167" t="n"/>
      <c r="T289" s="1167" t="n"/>
      <c r="U289" s="1167" t="n"/>
      <c r="V289" s="1167" t="n"/>
      <c r="W289" s="1168" t="n"/>
      <c r="X289" s="1160" t="n"/>
      <c r="Y289" s="1160" t="n"/>
      <c r="Z289" s="1160" t="n"/>
      <c r="AA289" s="1160" t="n"/>
      <c r="AB289" s="1160" t="n"/>
      <c r="AC289" s="1160" t="n"/>
      <c r="AD289" s="1160" t="n"/>
      <c r="AE289" s="1160" t="n"/>
      <c r="AF289" s="1160" t="n"/>
      <c r="AG289" s="1160" t="n"/>
      <c r="AH289" s="1160" t="n"/>
      <c r="AI289" s="1160" t="n"/>
      <c r="AJ289" s="1160" t="n"/>
      <c r="AK289" s="1160" t="n"/>
      <c r="AL289" s="1160" t="n"/>
    </row>
    <row r="290" ht="14" customHeight="1">
      <c r="F290" s="1160" t="n"/>
      <c r="G290" s="1160" t="n"/>
      <c r="H290" s="1160" t="n"/>
      <c r="I290" s="1160" t="n"/>
      <c r="J290" s="1160" t="n"/>
      <c r="K290" s="1160" t="n"/>
      <c r="L290" s="1160" t="n"/>
      <c r="M290" s="1160" t="n"/>
      <c r="N290" s="1160" t="n"/>
      <c r="R290" s="1160" t="n"/>
      <c r="S290" s="1160" t="n"/>
      <c r="T290" s="1160" t="n"/>
      <c r="U290" s="1160" t="n"/>
      <c r="V290" s="1160" t="n"/>
      <c r="W290" s="1160" t="n"/>
      <c r="X290" s="1160" t="n"/>
      <c r="Y290" s="1160" t="n"/>
      <c r="Z290" s="1160" t="n"/>
      <c r="AA290" s="1160" t="n"/>
      <c r="AB290" s="1160" t="n"/>
      <c r="AC290" s="1160" t="n"/>
      <c r="AD290" s="1160" t="n"/>
      <c r="AE290" s="1160" t="n"/>
      <c r="AF290" s="1160" t="n"/>
      <c r="AG290" s="1160" t="n"/>
      <c r="AH290" s="1160" t="n"/>
      <c r="AI290" s="1160" t="n"/>
      <c r="AJ290" s="1160" t="n"/>
      <c r="AK290" s="1160" t="n"/>
      <c r="AL290" s="1160" t="n"/>
    </row>
    <row r="291" ht="14" customHeight="1">
      <c r="C291" s="1189" t="inlineStr">
        <is>
          <t>Table 4B: Valuation Metrics</t>
        </is>
      </c>
      <c r="D291" s="1189" t="n"/>
      <c r="E291" s="1189" t="n"/>
      <c r="F291" s="1189" t="n"/>
      <c r="G291" s="1189" t="n"/>
      <c r="H291" s="1189" t="n"/>
      <c r="I291" s="1189" t="n"/>
      <c r="J291" s="1189" t="n"/>
      <c r="K291" s="1189" t="n"/>
      <c r="L291" s="1189" t="n"/>
      <c r="M291" s="1189" t="n"/>
      <c r="N291" s="1189" t="n"/>
      <c r="O291" s="1189" t="n"/>
      <c r="P291" s="1189" t="n"/>
      <c r="Q291" s="1189" t="n"/>
      <c r="R291" s="1189" t="n"/>
      <c r="S291" s="1189" t="n"/>
      <c r="T291" s="1189" t="n"/>
      <c r="U291" s="1189" t="n"/>
      <c r="V291" s="1189" t="n"/>
      <c r="W291" s="1189" t="n"/>
      <c r="X291" s="1189" t="n"/>
      <c r="Y291" s="1189" t="n"/>
      <c r="Z291" s="1189" t="n"/>
      <c r="AA291" s="1189" t="n"/>
      <c r="AB291" s="1189" t="n"/>
      <c r="AC291" s="1189" t="n"/>
      <c r="AD291" s="1160" t="n"/>
      <c r="AE291" s="1160" t="n"/>
      <c r="AF291" s="1160" t="n"/>
      <c r="AG291" s="1160" t="n"/>
      <c r="AH291" s="1160" t="n"/>
      <c r="AI291" s="1160" t="n"/>
      <c r="AJ291" s="1160" t="n"/>
      <c r="AK291" s="1160" t="n"/>
      <c r="AL291" s="1160" t="n"/>
    </row>
    <row r="292" ht="33.65" customHeight="1">
      <c r="C292" s="1194" t="inlineStr">
        <is>
          <t>S.No.</t>
        </is>
      </c>
      <c r="D292" s="1195" t="inlineStr">
        <is>
          <t>Ticker</t>
        </is>
      </c>
      <c r="E292" s="1195" t="inlineStr">
        <is>
          <t>Company Name</t>
        </is>
      </c>
      <c r="F292" s="1195" t="inlineStr">
        <is>
          <t>Enterprise Value as at</t>
        </is>
      </c>
      <c r="G292" s="1195" t="inlineStr">
        <is>
          <t>Total Assets</t>
        </is>
      </c>
      <c r="H292" s="1195" t="inlineStr">
        <is>
          <t>Total debt</t>
        </is>
      </c>
      <c r="I292" s="1195" t="inlineStr">
        <is>
          <t>EV/EBIT</t>
        </is>
      </c>
      <c r="J292" s="1195" t="inlineStr">
        <is>
          <t>EV/Revenue</t>
        </is>
      </c>
      <c r="K292" s="1196" t="inlineStr">
        <is>
          <t>Price/LTM Earnings</t>
        </is>
      </c>
      <c r="L292" s="1196" t="inlineStr">
        <is>
          <t>Price/BV</t>
        </is>
      </c>
      <c r="M292" s="1196" t="inlineStr">
        <is>
          <t>Operating income</t>
        </is>
      </c>
      <c r="N292" s="1196" t="inlineStr">
        <is>
          <t>Total Operating Expense</t>
        </is>
      </c>
      <c r="O292" s="1196" t="inlineStr">
        <is>
          <t>TTM Price</t>
        </is>
      </c>
      <c r="P292" s="1196" t="inlineStr">
        <is>
          <t>Market Price</t>
        </is>
      </c>
      <c r="Q292" s="1196" t="inlineStr">
        <is>
          <t>Diluted Shares Outstanding</t>
        </is>
      </c>
      <c r="R292" s="1196" t="inlineStr">
        <is>
          <t>Market Value of Common Equity</t>
        </is>
      </c>
      <c r="S292" s="1196" t="inlineStr">
        <is>
          <t>Preferred Stock</t>
        </is>
      </c>
      <c r="T292" s="1196" t="inlineStr">
        <is>
          <t>Adjusted Market Value of Stockholders' Equity</t>
        </is>
      </c>
      <c r="U292" s="1196" t="inlineStr">
        <is>
          <t>Minority Interest</t>
        </is>
      </c>
      <c r="V292" s="1196" t="inlineStr">
        <is>
          <t>Total Interest-Bearing Debt</t>
        </is>
      </c>
      <c r="W292" s="1196" t="inlineStr">
        <is>
          <t>Less: Cash &amp; Cash Equivalents</t>
        </is>
      </c>
      <c r="X292" s="1196" t="inlineStr">
        <is>
          <t>Less: Investments in Associated Companies</t>
        </is>
      </c>
      <c r="Y292" s="1196" t="inlineStr">
        <is>
          <t>Market Value of Cash-Adjusted Enterprise Value</t>
        </is>
      </c>
      <c r="Z292" s="1196" t="inlineStr">
        <is>
          <t>Market Capitalisation (Local Currency)</t>
        </is>
      </c>
      <c r="AA292" s="1196" t="inlineStr">
        <is>
          <t>Enterprise Value 
(Local Currency)</t>
        </is>
      </c>
      <c r="AB292" s="1196" t="inlineStr">
        <is>
          <t>Local Currency</t>
        </is>
      </c>
      <c r="AC292" s="1197" t="inlineStr">
        <is>
          <t>Exchange rate (CUR/AED)</t>
        </is>
      </c>
      <c r="AD292" s="1160" t="n"/>
      <c r="AE292" s="1160" t="n"/>
      <c r="AF292" s="1160" t="n"/>
      <c r="AG292" s="1160" t="n"/>
      <c r="AH292" s="1160" t="n"/>
      <c r="AI292" s="1160" t="n"/>
      <c r="AJ292" s="1160" t="n"/>
      <c r="AK292" s="1160" t="n"/>
      <c r="AL292" s="1160" t="n"/>
    </row>
    <row r="293" ht="14" customHeight="1">
      <c r="C293" s="1177" t="n"/>
      <c r="D293" s="1178" t="n"/>
      <c r="E293" s="1178" t="n"/>
      <c r="F293" s="1179" t="n"/>
      <c r="G293" s="1179" t="n"/>
      <c r="H293" s="1179" t="n"/>
      <c r="I293" s="1179" t="n"/>
      <c r="J293" s="1179" t="n"/>
      <c r="K293" s="1179" t="n"/>
      <c r="L293" s="1179" t="n"/>
      <c r="M293" s="1179" t="n"/>
      <c r="N293" s="1179" t="n"/>
      <c r="O293" s="1179" t="n"/>
      <c r="P293" s="1179" t="n"/>
      <c r="Q293" s="1179" t="n"/>
      <c r="R293" s="1179" t="n"/>
      <c r="S293" s="1179" t="n"/>
      <c r="T293" s="1179" t="n"/>
      <c r="U293" s="1179" t="n"/>
      <c r="V293" s="1179" t="n"/>
      <c r="W293" s="1179" t="n"/>
      <c r="X293" s="1179" t="n"/>
      <c r="Y293" s="1179" t="n"/>
      <c r="Z293" s="1179" t="n"/>
      <c r="AA293" s="1179" t="n"/>
      <c r="AB293" s="1179" t="n"/>
      <c r="AC293" s="1172" t="n"/>
      <c r="AD293" s="1160" t="n"/>
      <c r="AE293" s="1160" t="n"/>
      <c r="AF293" s="1160" t="n"/>
      <c r="AG293" s="1160" t="n"/>
      <c r="AH293" s="1160" t="n"/>
      <c r="AI293" s="1160" t="n"/>
      <c r="AJ293" s="1160" t="n"/>
      <c r="AK293" s="1160" t="n"/>
      <c r="AL293" s="1160" t="n"/>
    </row>
    <row r="294" ht="14" customHeight="1">
      <c r="C294" s="1163" t="n">
        <v>1</v>
      </c>
      <c r="D294" s="2530">
        <f>D22</f>
        <v/>
      </c>
      <c r="E294" s="2530">
        <f>E22</f>
        <v/>
      </c>
      <c r="F294" s="1164" t="n"/>
      <c r="G294" s="1164" t="n"/>
      <c r="H294" s="1164" t="n"/>
      <c r="I294" s="1164" t="n"/>
      <c r="J294" s="1164" t="n"/>
      <c r="K294" s="1164" t="n"/>
      <c r="L294" s="1164" t="n"/>
      <c r="M294" s="1164" t="n"/>
      <c r="N294" s="1164" t="n"/>
      <c r="O294" s="1164" t="n"/>
      <c r="P294" s="1164" t="n"/>
      <c r="Q294" s="1164" t="n"/>
      <c r="R294" s="1164" t="n"/>
      <c r="S294" s="1164" t="n"/>
      <c r="T294" s="1164" t="n"/>
      <c r="U294" s="1164" t="n"/>
      <c r="V294" s="1164" t="n"/>
      <c r="W294" s="1164" t="n"/>
      <c r="X294" s="1164" t="n"/>
      <c r="Y294" s="1164" t="n"/>
      <c r="Z294" s="1164" t="n"/>
      <c r="AA294" s="1164" t="n"/>
      <c r="AB294" s="1164" t="n"/>
      <c r="AC294" s="1165" t="n"/>
      <c r="AD294" s="1160" t="n"/>
      <c r="AE294" s="1160" t="n"/>
      <c r="AF294" s="1160" t="n"/>
      <c r="AG294" s="1160" t="n"/>
      <c r="AH294" s="1160" t="n"/>
      <c r="AI294" s="1160" t="n"/>
      <c r="AJ294" s="1160" t="n"/>
      <c r="AK294" s="1160" t="n"/>
      <c r="AL294" s="1160" t="n"/>
    </row>
    <row r="295" ht="14" customHeight="1">
      <c r="C295" s="1163">
        <f>C294+1</f>
        <v/>
      </c>
      <c r="D295" s="2530">
        <f>D23</f>
        <v/>
      </c>
      <c r="E295" s="2530">
        <f>E23</f>
        <v/>
      </c>
      <c r="F295" s="1164" t="n"/>
      <c r="G295" s="1164" t="n"/>
      <c r="H295" s="1164" t="n"/>
      <c r="I295" s="1164" t="n"/>
      <c r="J295" s="1164" t="n"/>
      <c r="K295" s="1164" t="n"/>
      <c r="L295" s="1164" t="n"/>
      <c r="M295" s="1164" t="n"/>
      <c r="N295" s="1164" t="n"/>
      <c r="O295" s="1164" t="n"/>
      <c r="P295" s="1164" t="n"/>
      <c r="Q295" s="1164" t="n"/>
      <c r="R295" s="1164" t="n"/>
      <c r="S295" s="1164" t="n"/>
      <c r="T295" s="1164" t="n"/>
      <c r="U295" s="1164" t="n"/>
      <c r="V295" s="1164" t="n"/>
      <c r="W295" s="1164" t="n"/>
      <c r="X295" s="1164" t="n"/>
      <c r="Y295" s="1164" t="n"/>
      <c r="Z295" s="1164" t="n"/>
      <c r="AA295" s="1164" t="n"/>
      <c r="AB295" s="1164" t="n"/>
      <c r="AC295" s="1165" t="n"/>
      <c r="AD295" s="1160" t="n"/>
      <c r="AE295" s="1160" t="n"/>
      <c r="AF295" s="1160" t="n"/>
      <c r="AG295" s="1160" t="n"/>
      <c r="AH295" s="1160" t="n"/>
      <c r="AI295" s="1160" t="n"/>
      <c r="AJ295" s="1160" t="n"/>
      <c r="AK295" s="1160" t="n"/>
      <c r="AL295" s="1160" t="n"/>
    </row>
    <row r="296" ht="14" customHeight="1">
      <c r="C296" s="1163">
        <f>C295+1</f>
        <v/>
      </c>
      <c r="D296" s="2530">
        <f>D24</f>
        <v/>
      </c>
      <c r="E296" s="2530">
        <f>E24</f>
        <v/>
      </c>
      <c r="F296" s="1164" t="n"/>
      <c r="G296" s="1164" t="n"/>
      <c r="H296" s="1164" t="n"/>
      <c r="I296" s="1164" t="n"/>
      <c r="J296" s="1164" t="n"/>
      <c r="K296" s="1164" t="n"/>
      <c r="L296" s="1164" t="n"/>
      <c r="M296" s="1164" t="n"/>
      <c r="N296" s="1164" t="n"/>
      <c r="O296" s="1164" t="n"/>
      <c r="P296" s="1164" t="n"/>
      <c r="Q296" s="1164" t="n"/>
      <c r="R296" s="1164" t="n"/>
      <c r="S296" s="1164" t="n"/>
      <c r="T296" s="1164" t="n"/>
      <c r="U296" s="1164" t="n"/>
      <c r="V296" s="1164" t="n"/>
      <c r="W296" s="1164" t="n"/>
      <c r="X296" s="1164" t="n"/>
      <c r="Y296" s="1164" t="n"/>
      <c r="Z296" s="1164" t="n"/>
      <c r="AA296" s="1164" t="n"/>
      <c r="AB296" s="1164" t="n"/>
      <c r="AC296" s="1165" t="n"/>
      <c r="AD296" s="1160" t="n"/>
      <c r="AE296" s="1160" t="n"/>
      <c r="AF296" s="1160" t="n"/>
      <c r="AG296" s="1160" t="n"/>
      <c r="AH296" s="1160" t="n"/>
      <c r="AI296" s="1160" t="n"/>
      <c r="AJ296" s="1160" t="n"/>
      <c r="AK296" s="1160" t="n"/>
      <c r="AL296" s="1160" t="n"/>
    </row>
    <row r="297" ht="14" customHeight="1">
      <c r="C297" s="1163">
        <f>C296+1</f>
        <v/>
      </c>
      <c r="D297" s="2530">
        <f>D25</f>
        <v/>
      </c>
      <c r="E297" s="2530">
        <f>E25</f>
        <v/>
      </c>
      <c r="F297" s="1164" t="n"/>
      <c r="G297" s="1164" t="n"/>
      <c r="H297" s="1164" t="n"/>
      <c r="I297" s="1164" t="n"/>
      <c r="J297" s="1164" t="n"/>
      <c r="K297" s="1164" t="n"/>
      <c r="L297" s="1164" t="n"/>
      <c r="M297" s="1164" t="n"/>
      <c r="N297" s="1164" t="n"/>
      <c r="O297" s="1164" t="n"/>
      <c r="P297" s="1164" t="n"/>
      <c r="Q297" s="1164" t="n"/>
      <c r="R297" s="1164" t="n"/>
      <c r="S297" s="1164" t="n"/>
      <c r="T297" s="1164" t="n"/>
      <c r="U297" s="1164" t="n"/>
      <c r="V297" s="1164" t="n"/>
      <c r="W297" s="1164" t="n"/>
      <c r="X297" s="1164" t="n"/>
      <c r="Y297" s="1164" t="n"/>
      <c r="Z297" s="1164" t="n"/>
      <c r="AA297" s="1164" t="n"/>
      <c r="AB297" s="1164" t="n"/>
      <c r="AC297" s="1165" t="n"/>
      <c r="AD297" s="1160" t="n"/>
      <c r="AE297" s="1160" t="n"/>
      <c r="AF297" s="1160" t="n"/>
      <c r="AG297" s="1160" t="n"/>
      <c r="AH297" s="1160" t="n"/>
      <c r="AI297" s="1160" t="n"/>
      <c r="AJ297" s="1160" t="n"/>
      <c r="AK297" s="1160" t="n"/>
      <c r="AL297" s="1160" t="n"/>
    </row>
    <row r="298" ht="14" customHeight="1">
      <c r="C298" s="1163">
        <f>C297+1</f>
        <v/>
      </c>
      <c r="D298" s="2530">
        <f>D26</f>
        <v/>
      </c>
      <c r="E298" s="2530">
        <f>E26</f>
        <v/>
      </c>
      <c r="F298" s="1164" t="n"/>
      <c r="G298" s="1164" t="n"/>
      <c r="H298" s="1164" t="n"/>
      <c r="I298" s="1164" t="n"/>
      <c r="J298" s="1164" t="n"/>
      <c r="K298" s="1164" t="n"/>
      <c r="L298" s="1164" t="n"/>
      <c r="M298" s="1164" t="n"/>
      <c r="N298" s="1164" t="n"/>
      <c r="O298" s="1164" t="n"/>
      <c r="P298" s="1164" t="n"/>
      <c r="Q298" s="1164" t="n"/>
      <c r="R298" s="1164" t="n"/>
      <c r="S298" s="1164" t="n"/>
      <c r="T298" s="1164" t="n"/>
      <c r="U298" s="1164" t="n"/>
      <c r="V298" s="1164" t="n"/>
      <c r="W298" s="1164" t="n"/>
      <c r="X298" s="1164" t="n"/>
      <c r="Y298" s="1164" t="n"/>
      <c r="Z298" s="1164" t="n"/>
      <c r="AA298" s="1164" t="n"/>
      <c r="AB298" s="1164" t="n"/>
      <c r="AC298" s="1165" t="n"/>
      <c r="AD298" s="1160" t="n"/>
      <c r="AE298" s="1160" t="n"/>
      <c r="AF298" s="1160" t="n"/>
      <c r="AG298" s="1160" t="n"/>
      <c r="AH298" s="1160" t="n"/>
      <c r="AI298" s="1160" t="n"/>
      <c r="AJ298" s="1160" t="n"/>
      <c r="AK298" s="1160" t="n"/>
      <c r="AL298" s="1160" t="n"/>
    </row>
    <row r="299" ht="14" customHeight="1">
      <c r="C299" s="1163">
        <f>C298+1</f>
        <v/>
      </c>
      <c r="D299" s="2530">
        <f>D27</f>
        <v/>
      </c>
      <c r="E299" s="2530">
        <f>E27</f>
        <v/>
      </c>
      <c r="F299" s="1164" t="n"/>
      <c r="G299" s="1164" t="n"/>
      <c r="H299" s="1164" t="n"/>
      <c r="I299" s="1164" t="n"/>
      <c r="J299" s="1164" t="n"/>
      <c r="K299" s="1164" t="n"/>
      <c r="L299" s="1164" t="n"/>
      <c r="M299" s="1164" t="n"/>
      <c r="N299" s="1164" t="n"/>
      <c r="O299" s="1164" t="n"/>
      <c r="P299" s="1164" t="n"/>
      <c r="Q299" s="1164" t="n"/>
      <c r="R299" s="1164" t="n"/>
      <c r="S299" s="1164" t="n"/>
      <c r="T299" s="1164" t="n"/>
      <c r="U299" s="1164" t="n"/>
      <c r="V299" s="1164" t="n"/>
      <c r="W299" s="1164" t="n"/>
      <c r="X299" s="1164" t="n"/>
      <c r="Y299" s="1164" t="n"/>
      <c r="Z299" s="1164" t="n"/>
      <c r="AA299" s="1164" t="n"/>
      <c r="AB299" s="1164" t="n"/>
      <c r="AC299" s="1165" t="n"/>
      <c r="AD299" s="1160" t="n"/>
      <c r="AE299" s="1160" t="n"/>
      <c r="AF299" s="1160" t="n"/>
      <c r="AG299" s="1160" t="n"/>
      <c r="AH299" s="1160" t="n"/>
      <c r="AI299" s="1160" t="n"/>
      <c r="AJ299" s="1160" t="n"/>
      <c r="AK299" s="1160" t="n"/>
      <c r="AL299" s="1160" t="n"/>
    </row>
    <row r="300" ht="14" customHeight="1">
      <c r="C300" s="1163">
        <f>C299+1</f>
        <v/>
      </c>
      <c r="D300" s="2530">
        <f>D28</f>
        <v/>
      </c>
      <c r="E300" s="2530">
        <f>E28</f>
        <v/>
      </c>
      <c r="F300" s="1164" t="n"/>
      <c r="G300" s="1164" t="n"/>
      <c r="H300" s="1164" t="n"/>
      <c r="I300" s="1164" t="n"/>
      <c r="J300" s="1164" t="n"/>
      <c r="K300" s="1164" t="n"/>
      <c r="L300" s="1164" t="n"/>
      <c r="M300" s="1164" t="n"/>
      <c r="N300" s="1164" t="n"/>
      <c r="O300" s="1164" t="n"/>
      <c r="P300" s="1164" t="n"/>
      <c r="Q300" s="1164" t="n"/>
      <c r="R300" s="1164" t="n"/>
      <c r="S300" s="1164" t="n"/>
      <c r="T300" s="1164" t="n"/>
      <c r="U300" s="1164" t="n"/>
      <c r="V300" s="1164" t="n"/>
      <c r="W300" s="1164" t="n"/>
      <c r="X300" s="1164" t="n"/>
      <c r="Y300" s="1164" t="n"/>
      <c r="Z300" s="1164" t="n"/>
      <c r="AA300" s="1164" t="n"/>
      <c r="AB300" s="1164" t="n"/>
      <c r="AC300" s="1165" t="n"/>
      <c r="AD300" s="1160" t="n"/>
      <c r="AE300" s="1160" t="n"/>
      <c r="AF300" s="1160" t="n"/>
      <c r="AG300" s="1160" t="n"/>
      <c r="AH300" s="1160" t="n"/>
      <c r="AI300" s="1160" t="n"/>
      <c r="AJ300" s="1160" t="n"/>
      <c r="AK300" s="1160" t="n"/>
      <c r="AL300" s="1160" t="n"/>
    </row>
    <row r="301" ht="14" customHeight="1">
      <c r="C301" s="1163">
        <f>C300+1</f>
        <v/>
      </c>
      <c r="D301" s="2530">
        <f>D29</f>
        <v/>
      </c>
      <c r="E301" s="2530">
        <f>E29</f>
        <v/>
      </c>
      <c r="F301" s="1164" t="n"/>
      <c r="G301" s="1164" t="n"/>
      <c r="H301" s="1164" t="n"/>
      <c r="I301" s="1164" t="n"/>
      <c r="J301" s="1164" t="n"/>
      <c r="K301" s="1164" t="n"/>
      <c r="L301" s="1164" t="n"/>
      <c r="M301" s="1164" t="n"/>
      <c r="N301" s="1164" t="n"/>
      <c r="O301" s="1164" t="n"/>
      <c r="P301" s="1164" t="n"/>
      <c r="Q301" s="1164" t="n"/>
      <c r="R301" s="1164" t="n"/>
      <c r="S301" s="1164" t="n"/>
      <c r="T301" s="1164" t="n"/>
      <c r="U301" s="1164" t="n"/>
      <c r="V301" s="1164" t="n"/>
      <c r="W301" s="1164" t="n"/>
      <c r="X301" s="1164" t="n"/>
      <c r="Y301" s="1164" t="n"/>
      <c r="Z301" s="1164" t="n"/>
      <c r="AA301" s="1164" t="n"/>
      <c r="AB301" s="1164" t="n"/>
      <c r="AC301" s="1165" t="n"/>
      <c r="AD301" s="1160" t="n"/>
      <c r="AE301" s="1160" t="n"/>
      <c r="AF301" s="1160" t="n"/>
      <c r="AG301" s="1160" t="n"/>
      <c r="AH301" s="1160" t="n"/>
      <c r="AI301" s="1160" t="n"/>
      <c r="AJ301" s="1160" t="n"/>
      <c r="AK301" s="1160" t="n"/>
      <c r="AL301" s="1160" t="n"/>
    </row>
    <row r="302" ht="14" customHeight="1">
      <c r="C302" s="1163">
        <f>C301+1</f>
        <v/>
      </c>
      <c r="D302" s="2530">
        <f>D30</f>
        <v/>
      </c>
      <c r="E302" s="2530">
        <f>E30</f>
        <v/>
      </c>
      <c r="F302" s="1164" t="n"/>
      <c r="G302" s="1164" t="n"/>
      <c r="H302" s="1164" t="n"/>
      <c r="I302" s="1164" t="n"/>
      <c r="J302" s="1164" t="n"/>
      <c r="K302" s="1164" t="n"/>
      <c r="L302" s="1164" t="n"/>
      <c r="M302" s="1164" t="n"/>
      <c r="N302" s="1164" t="n"/>
      <c r="O302" s="1164" t="n"/>
      <c r="P302" s="1164" t="n"/>
      <c r="Q302" s="1164" t="n"/>
      <c r="R302" s="1164" t="n"/>
      <c r="S302" s="1164" t="n"/>
      <c r="T302" s="1164" t="n"/>
      <c r="U302" s="1164" t="n"/>
      <c r="V302" s="1164" t="n"/>
      <c r="W302" s="1164" t="n"/>
      <c r="X302" s="1164" t="n"/>
      <c r="Y302" s="1164" t="n"/>
      <c r="Z302" s="1164" t="n"/>
      <c r="AA302" s="1164" t="n"/>
      <c r="AB302" s="1164" t="n"/>
      <c r="AC302" s="1165" t="n"/>
      <c r="AD302" s="1160" t="n"/>
      <c r="AE302" s="1160" t="n"/>
      <c r="AF302" s="1160" t="n"/>
      <c r="AG302" s="1160" t="n"/>
      <c r="AH302" s="1160" t="n"/>
      <c r="AI302" s="1160" t="n"/>
      <c r="AJ302" s="1160" t="n"/>
      <c r="AK302" s="1160" t="n"/>
      <c r="AL302" s="1160" t="n"/>
    </row>
    <row r="303" ht="14" customHeight="1">
      <c r="C303" s="1163">
        <f>C302+1</f>
        <v/>
      </c>
      <c r="D303" s="2530">
        <f>D31</f>
        <v/>
      </c>
      <c r="E303" s="2530">
        <f>E31</f>
        <v/>
      </c>
      <c r="F303" s="1164" t="n"/>
      <c r="G303" s="1164" t="n"/>
      <c r="H303" s="1164" t="n"/>
      <c r="I303" s="1164" t="n"/>
      <c r="J303" s="1164" t="n"/>
      <c r="K303" s="1164" t="n"/>
      <c r="L303" s="1164" t="n"/>
      <c r="M303" s="1164" t="n"/>
      <c r="N303" s="1164" t="n"/>
      <c r="O303" s="1164" t="n"/>
      <c r="P303" s="1164" t="n"/>
      <c r="Q303" s="1164" t="n"/>
      <c r="R303" s="1164" t="n"/>
      <c r="S303" s="1164" t="n"/>
      <c r="T303" s="1164" t="n"/>
      <c r="U303" s="1164" t="n"/>
      <c r="V303" s="1164" t="n"/>
      <c r="W303" s="1164" t="n"/>
      <c r="X303" s="1164" t="n"/>
      <c r="Y303" s="1164" t="n"/>
      <c r="Z303" s="1164" t="n"/>
      <c r="AA303" s="1164" t="n"/>
      <c r="AB303" s="1164" t="n"/>
      <c r="AC303" s="1165" t="n"/>
      <c r="AD303" s="1160" t="n"/>
      <c r="AE303" s="1160" t="n"/>
      <c r="AF303" s="1160" t="n"/>
      <c r="AG303" s="1160" t="n"/>
      <c r="AH303" s="1160" t="n"/>
      <c r="AI303" s="1160" t="n"/>
      <c r="AJ303" s="1160" t="n"/>
      <c r="AK303" s="1160" t="n"/>
      <c r="AL303" s="1160" t="n"/>
    </row>
    <row r="304" ht="14" customHeight="1">
      <c r="C304" s="1163">
        <f>C303+1</f>
        <v/>
      </c>
      <c r="D304" s="2530">
        <f>D32</f>
        <v/>
      </c>
      <c r="E304" s="2530">
        <f>E32</f>
        <v/>
      </c>
      <c r="F304" s="1164" t="n"/>
      <c r="G304" s="1164" t="n"/>
      <c r="H304" s="1164" t="n"/>
      <c r="I304" s="1164" t="n"/>
      <c r="J304" s="1164" t="n"/>
      <c r="K304" s="1164" t="n"/>
      <c r="L304" s="1164" t="n"/>
      <c r="M304" s="1164" t="n"/>
      <c r="N304" s="1164" t="n"/>
      <c r="O304" s="1164" t="n"/>
      <c r="P304" s="1164" t="n"/>
      <c r="Q304" s="1164" t="n"/>
      <c r="R304" s="1164" t="n"/>
      <c r="S304" s="1164" t="n"/>
      <c r="T304" s="1164" t="n"/>
      <c r="U304" s="1164" t="n"/>
      <c r="V304" s="1164" t="n"/>
      <c r="W304" s="1164" t="n"/>
      <c r="X304" s="1164" t="n"/>
      <c r="Y304" s="1164" t="n"/>
      <c r="Z304" s="1164" t="n"/>
      <c r="AA304" s="1164" t="n"/>
      <c r="AB304" s="1164" t="n"/>
      <c r="AC304" s="1165" t="n"/>
      <c r="AD304" s="1160" t="n"/>
      <c r="AE304" s="1160" t="n"/>
      <c r="AF304" s="1160" t="n"/>
      <c r="AG304" s="1160" t="n"/>
      <c r="AH304" s="1160" t="n"/>
      <c r="AI304" s="1160" t="n"/>
      <c r="AJ304" s="1160" t="n"/>
      <c r="AK304" s="1160" t="n"/>
      <c r="AL304" s="1160" t="n"/>
    </row>
    <row r="305" ht="14" customHeight="1">
      <c r="C305" s="1163">
        <f>C304+1</f>
        <v/>
      </c>
      <c r="D305" s="2530">
        <f>D33</f>
        <v/>
      </c>
      <c r="E305" s="2530">
        <f>E33</f>
        <v/>
      </c>
      <c r="F305" s="1164" t="n"/>
      <c r="G305" s="1164" t="n"/>
      <c r="H305" s="1164" t="n"/>
      <c r="I305" s="1164" t="n"/>
      <c r="J305" s="1164" t="n"/>
      <c r="K305" s="1164" t="n"/>
      <c r="L305" s="1164" t="n"/>
      <c r="M305" s="1164" t="n"/>
      <c r="N305" s="1164" t="n"/>
      <c r="O305" s="1164" t="n"/>
      <c r="P305" s="1164" t="n"/>
      <c r="Q305" s="1164" t="n"/>
      <c r="R305" s="1164" t="n"/>
      <c r="S305" s="1164" t="n"/>
      <c r="T305" s="1164" t="n"/>
      <c r="U305" s="1164" t="n"/>
      <c r="V305" s="1164" t="n"/>
      <c r="W305" s="1164" t="n"/>
      <c r="X305" s="1164" t="n"/>
      <c r="Y305" s="1164" t="n"/>
      <c r="Z305" s="1164" t="n"/>
      <c r="AA305" s="1164" t="n"/>
      <c r="AB305" s="1164" t="n"/>
      <c r="AC305" s="1165" t="n"/>
      <c r="AD305" s="1160" t="n"/>
      <c r="AE305" s="1160" t="n"/>
      <c r="AF305" s="1160" t="n"/>
      <c r="AG305" s="1160" t="n"/>
      <c r="AH305" s="1160" t="n"/>
      <c r="AI305" s="1160" t="n"/>
      <c r="AJ305" s="1160" t="n"/>
      <c r="AK305" s="1160" t="n"/>
      <c r="AL305" s="1160" t="n"/>
    </row>
    <row r="306" ht="14" customHeight="1">
      <c r="C306" s="1163">
        <f>C305+1</f>
        <v/>
      </c>
      <c r="D306" s="2530">
        <f>D34</f>
        <v/>
      </c>
      <c r="E306" s="2530">
        <f>E34</f>
        <v/>
      </c>
      <c r="F306" s="1164" t="n"/>
      <c r="G306" s="1164" t="n"/>
      <c r="H306" s="1164" t="n"/>
      <c r="I306" s="1164" t="n"/>
      <c r="J306" s="1164" t="n"/>
      <c r="K306" s="1164" t="n"/>
      <c r="L306" s="1164" t="n"/>
      <c r="M306" s="1164" t="n"/>
      <c r="N306" s="1164" t="n"/>
      <c r="O306" s="1164" t="n"/>
      <c r="P306" s="1164" t="n"/>
      <c r="Q306" s="1164" t="n"/>
      <c r="R306" s="1164" t="n"/>
      <c r="S306" s="1164" t="n"/>
      <c r="T306" s="1164" t="n"/>
      <c r="U306" s="1164" t="n"/>
      <c r="V306" s="1164" t="n"/>
      <c r="W306" s="1164" t="n"/>
      <c r="X306" s="1164" t="n"/>
      <c r="Y306" s="1164" t="n"/>
      <c r="Z306" s="1164" t="n"/>
      <c r="AA306" s="1164" t="n"/>
      <c r="AB306" s="1164" t="n"/>
      <c r="AC306" s="1165" t="n"/>
      <c r="AD306" s="1160" t="n"/>
      <c r="AE306" s="1160" t="n"/>
      <c r="AF306" s="1160" t="n"/>
      <c r="AG306" s="1160" t="n"/>
      <c r="AH306" s="1160" t="n"/>
      <c r="AI306" s="1160" t="n"/>
      <c r="AJ306" s="1160" t="n"/>
      <c r="AK306" s="1160" t="n"/>
      <c r="AL306" s="1160" t="n"/>
    </row>
    <row r="307" ht="14" customHeight="1">
      <c r="C307" s="1163">
        <f>C306+1</f>
        <v/>
      </c>
      <c r="D307" s="2530">
        <f>D35</f>
        <v/>
      </c>
      <c r="E307" s="2530">
        <f>E35</f>
        <v/>
      </c>
      <c r="F307" s="1164" t="n"/>
      <c r="G307" s="1164" t="n"/>
      <c r="H307" s="1164" t="n"/>
      <c r="I307" s="1164" t="n"/>
      <c r="J307" s="1164" t="n"/>
      <c r="K307" s="1164" t="n"/>
      <c r="L307" s="1164" t="n"/>
      <c r="M307" s="1164" t="n"/>
      <c r="N307" s="1164" t="n"/>
      <c r="O307" s="1164" t="n"/>
      <c r="P307" s="1164" t="n"/>
      <c r="Q307" s="1164" t="n"/>
      <c r="R307" s="1164" t="n"/>
      <c r="S307" s="1164" t="n"/>
      <c r="T307" s="1164" t="n"/>
      <c r="U307" s="1164" t="n"/>
      <c r="V307" s="1164" t="n"/>
      <c r="W307" s="1164" t="n"/>
      <c r="X307" s="1164" t="n"/>
      <c r="Y307" s="1164" t="n"/>
      <c r="Z307" s="1164" t="n"/>
      <c r="AA307" s="1164" t="n"/>
      <c r="AB307" s="1164" t="n"/>
      <c r="AC307" s="1165" t="n"/>
      <c r="AD307" s="1160" t="n"/>
      <c r="AE307" s="1160" t="n"/>
      <c r="AF307" s="1160" t="n"/>
      <c r="AG307" s="1160" t="n"/>
      <c r="AH307" s="1160" t="n"/>
      <c r="AI307" s="1160" t="n"/>
      <c r="AJ307" s="1160" t="n"/>
      <c r="AK307" s="1160" t="n"/>
      <c r="AL307" s="1160" t="n"/>
    </row>
    <row r="308" ht="14" customHeight="1">
      <c r="C308" s="1163">
        <f>C307+1</f>
        <v/>
      </c>
      <c r="D308" s="2530">
        <f>D36</f>
        <v/>
      </c>
      <c r="E308" s="2530">
        <f>E36</f>
        <v/>
      </c>
      <c r="F308" s="1164" t="n"/>
      <c r="G308" s="1164" t="n"/>
      <c r="H308" s="1164" t="n"/>
      <c r="I308" s="1164" t="n"/>
      <c r="J308" s="1164" t="n"/>
      <c r="K308" s="1164" t="n"/>
      <c r="L308" s="1164" t="n"/>
      <c r="M308" s="1164" t="n"/>
      <c r="N308" s="1164" t="n"/>
      <c r="O308" s="1164" t="n"/>
      <c r="P308" s="1164" t="n"/>
      <c r="Q308" s="1164" t="n"/>
      <c r="R308" s="1164" t="n"/>
      <c r="S308" s="1164" t="n"/>
      <c r="T308" s="1164" t="n"/>
      <c r="U308" s="1164" t="n"/>
      <c r="V308" s="1164" t="n"/>
      <c r="W308" s="1164" t="n"/>
      <c r="X308" s="1164" t="n"/>
      <c r="Y308" s="1164" t="n"/>
      <c r="Z308" s="1164" t="n"/>
      <c r="AA308" s="1164" t="n"/>
      <c r="AB308" s="1164" t="n"/>
      <c r="AC308" s="1165" t="n"/>
      <c r="AD308" s="1160" t="n"/>
      <c r="AE308" s="1160" t="n"/>
      <c r="AF308" s="1160" t="n"/>
      <c r="AG308" s="1160" t="n"/>
      <c r="AH308" s="1160" t="n"/>
      <c r="AI308" s="1160" t="n"/>
      <c r="AJ308" s="1160" t="n"/>
      <c r="AK308" s="1160" t="n"/>
      <c r="AL308" s="1160" t="n"/>
    </row>
    <row r="309" ht="14" customHeight="1">
      <c r="C309" s="1163">
        <f>C308+1</f>
        <v/>
      </c>
      <c r="D309" s="2530">
        <f>D37</f>
        <v/>
      </c>
      <c r="E309" s="2530">
        <f>E37</f>
        <v/>
      </c>
      <c r="F309" s="1164" t="n"/>
      <c r="G309" s="1164" t="n"/>
      <c r="H309" s="1164" t="n"/>
      <c r="I309" s="1164" t="n"/>
      <c r="J309" s="1164" t="n"/>
      <c r="K309" s="1164" t="n"/>
      <c r="L309" s="1164" t="n"/>
      <c r="M309" s="1164" t="n"/>
      <c r="N309" s="1164" t="n"/>
      <c r="O309" s="1164" t="n"/>
      <c r="P309" s="1164" t="n"/>
      <c r="Q309" s="1164" t="n"/>
      <c r="R309" s="1164" t="n"/>
      <c r="S309" s="1164" t="n"/>
      <c r="T309" s="1164" t="n"/>
      <c r="U309" s="1164" t="n"/>
      <c r="V309" s="1164" t="n"/>
      <c r="W309" s="1164" t="n"/>
      <c r="X309" s="1164" t="n"/>
      <c r="Y309" s="1164" t="n"/>
      <c r="Z309" s="1164" t="n"/>
      <c r="AA309" s="1164" t="n"/>
      <c r="AB309" s="1164" t="n"/>
      <c r="AC309" s="1165" t="n"/>
      <c r="AD309" s="1160" t="n"/>
      <c r="AE309" s="1160" t="n"/>
      <c r="AF309" s="1160" t="n"/>
      <c r="AG309" s="1160" t="n"/>
      <c r="AH309" s="1160" t="n"/>
      <c r="AI309" s="1160" t="n"/>
      <c r="AJ309" s="1160" t="n"/>
      <c r="AK309" s="1160" t="n"/>
      <c r="AL309" s="1160" t="n"/>
    </row>
    <row r="310" ht="14" customHeight="1">
      <c r="C310" s="1163">
        <f>C309+1</f>
        <v/>
      </c>
      <c r="D310" s="2530">
        <f>D38</f>
        <v/>
      </c>
      <c r="E310" s="2530">
        <f>E38</f>
        <v/>
      </c>
      <c r="F310" s="1164" t="n"/>
      <c r="G310" s="1164" t="n"/>
      <c r="H310" s="1164" t="n"/>
      <c r="I310" s="1164" t="n"/>
      <c r="J310" s="1164" t="n"/>
      <c r="K310" s="1164" t="n"/>
      <c r="L310" s="1164" t="n"/>
      <c r="M310" s="1164" t="n"/>
      <c r="N310" s="1164" t="n"/>
      <c r="O310" s="1164" t="n"/>
      <c r="P310" s="1164" t="n"/>
      <c r="Q310" s="1164" t="n"/>
      <c r="R310" s="1164" t="n"/>
      <c r="S310" s="1164" t="n"/>
      <c r="T310" s="1164" t="n"/>
      <c r="U310" s="1164" t="n"/>
      <c r="V310" s="1164" t="n"/>
      <c r="W310" s="1164" t="n"/>
      <c r="X310" s="1164" t="n"/>
      <c r="Y310" s="1164" t="n"/>
      <c r="Z310" s="1164" t="n"/>
      <c r="AA310" s="1164" t="n"/>
      <c r="AB310" s="1164" t="n"/>
      <c r="AC310" s="1165" t="n"/>
      <c r="AD310" s="1160" t="n"/>
      <c r="AE310" s="1160" t="n"/>
      <c r="AF310" s="1160" t="n"/>
      <c r="AG310" s="1160" t="n"/>
      <c r="AH310" s="1160" t="n"/>
      <c r="AI310" s="1160" t="n"/>
      <c r="AJ310" s="1160" t="n"/>
      <c r="AK310" s="1160" t="n"/>
      <c r="AL310" s="1160" t="n"/>
    </row>
    <row r="311" ht="14" customHeight="1">
      <c r="C311" s="1163">
        <f>C310+1</f>
        <v/>
      </c>
      <c r="D311" s="2530">
        <f>D39</f>
        <v/>
      </c>
      <c r="E311" s="2530">
        <f>E39</f>
        <v/>
      </c>
      <c r="F311" s="1164" t="n"/>
      <c r="G311" s="1164" t="n"/>
      <c r="H311" s="1164" t="n"/>
      <c r="I311" s="1164" t="n"/>
      <c r="J311" s="1164" t="n"/>
      <c r="K311" s="1164" t="n"/>
      <c r="L311" s="1164" t="n"/>
      <c r="M311" s="1164" t="n"/>
      <c r="N311" s="1164" t="n"/>
      <c r="O311" s="1164" t="n"/>
      <c r="P311" s="1164" t="n"/>
      <c r="Q311" s="1164" t="n"/>
      <c r="R311" s="1164" t="n"/>
      <c r="S311" s="1164" t="n"/>
      <c r="T311" s="1164" t="n"/>
      <c r="U311" s="1164" t="n"/>
      <c r="V311" s="1164" t="n"/>
      <c r="W311" s="1164" t="n"/>
      <c r="X311" s="1164" t="n"/>
      <c r="Y311" s="1164" t="n"/>
      <c r="Z311" s="1164" t="n"/>
      <c r="AA311" s="1164" t="n"/>
      <c r="AB311" s="1164" t="n"/>
      <c r="AC311" s="1165" t="n"/>
      <c r="AD311" s="1160" t="n"/>
      <c r="AE311" s="1160" t="n"/>
      <c r="AF311" s="1160" t="n"/>
      <c r="AG311" s="1160" t="n"/>
      <c r="AH311" s="1160" t="n"/>
      <c r="AI311" s="1160" t="n"/>
      <c r="AJ311" s="1160" t="n"/>
      <c r="AK311" s="1160" t="n"/>
      <c r="AL311" s="1160" t="n"/>
    </row>
    <row r="312" ht="14" customHeight="1">
      <c r="C312" s="1163">
        <f>C311+1</f>
        <v/>
      </c>
      <c r="D312" s="2530">
        <f>D40</f>
        <v/>
      </c>
      <c r="E312" s="2530">
        <f>E40</f>
        <v/>
      </c>
      <c r="F312" s="1164" t="n"/>
      <c r="G312" s="1164" t="n"/>
      <c r="H312" s="1164" t="n"/>
      <c r="I312" s="1164" t="n"/>
      <c r="J312" s="1164" t="n"/>
      <c r="K312" s="1164" t="n"/>
      <c r="L312" s="1164" t="n"/>
      <c r="M312" s="1164" t="n"/>
      <c r="N312" s="1164" t="n"/>
      <c r="O312" s="1164" t="n"/>
      <c r="P312" s="1164" t="n"/>
      <c r="Q312" s="1164" t="n"/>
      <c r="R312" s="1164" t="n"/>
      <c r="S312" s="1164" t="n"/>
      <c r="T312" s="1164" t="n"/>
      <c r="U312" s="1164" t="n"/>
      <c r="V312" s="1164" t="n"/>
      <c r="W312" s="1164" t="n"/>
      <c r="X312" s="1164" t="n"/>
      <c r="Y312" s="1164" t="n"/>
      <c r="Z312" s="1164" t="n"/>
      <c r="AA312" s="1164" t="n"/>
      <c r="AB312" s="1164" t="n"/>
      <c r="AC312" s="1165" t="n"/>
      <c r="AD312" s="1160" t="n"/>
      <c r="AE312" s="1160" t="n"/>
      <c r="AF312" s="1160" t="n"/>
      <c r="AG312" s="1160" t="n"/>
      <c r="AH312" s="1160" t="n"/>
      <c r="AI312" s="1160" t="n"/>
      <c r="AJ312" s="1160" t="n"/>
      <c r="AK312" s="1160" t="n"/>
      <c r="AL312" s="1160" t="n"/>
    </row>
    <row r="313" ht="14" customHeight="1">
      <c r="C313" s="1163">
        <f>C312+1</f>
        <v/>
      </c>
      <c r="D313" s="2530">
        <f>D41</f>
        <v/>
      </c>
      <c r="E313" s="2530">
        <f>E41</f>
        <v/>
      </c>
      <c r="F313" s="1164" t="n"/>
      <c r="G313" s="1164" t="n"/>
      <c r="H313" s="1164" t="n"/>
      <c r="I313" s="1164" t="n"/>
      <c r="J313" s="1164" t="n"/>
      <c r="K313" s="1164" t="n"/>
      <c r="L313" s="1164" t="n"/>
      <c r="M313" s="1164" t="n"/>
      <c r="N313" s="1164" t="n"/>
      <c r="O313" s="1164" t="n"/>
      <c r="P313" s="1164" t="n"/>
      <c r="Q313" s="1164" t="n"/>
      <c r="R313" s="1164" t="n"/>
      <c r="S313" s="1164" t="n"/>
      <c r="T313" s="1164" t="n"/>
      <c r="U313" s="1164" t="n"/>
      <c r="V313" s="1164" t="n"/>
      <c r="W313" s="1164" t="n"/>
      <c r="X313" s="1164" t="n"/>
      <c r="Y313" s="1164" t="n"/>
      <c r="Z313" s="1164" t="n"/>
      <c r="AA313" s="1164" t="n"/>
      <c r="AB313" s="1164" t="n"/>
      <c r="AC313" s="1165" t="n"/>
      <c r="AD313" s="1160" t="n"/>
      <c r="AE313" s="1160" t="n"/>
      <c r="AF313" s="1160" t="n"/>
      <c r="AG313" s="1160" t="n"/>
      <c r="AH313" s="1160" t="n"/>
      <c r="AI313" s="1160" t="n"/>
      <c r="AJ313" s="1160" t="n"/>
      <c r="AK313" s="1160" t="n"/>
      <c r="AL313" s="1160" t="n"/>
    </row>
    <row r="314" ht="14" customHeight="1">
      <c r="C314" s="1163">
        <f>C313+1</f>
        <v/>
      </c>
      <c r="D314" s="2530">
        <f>D42</f>
        <v/>
      </c>
      <c r="E314" s="2530">
        <f>E42</f>
        <v/>
      </c>
      <c r="F314" s="1164" t="n"/>
      <c r="G314" s="1164" t="n"/>
      <c r="H314" s="1164" t="n"/>
      <c r="I314" s="1164" t="n"/>
      <c r="J314" s="1164" t="n"/>
      <c r="K314" s="1164" t="n"/>
      <c r="L314" s="1164" t="n"/>
      <c r="M314" s="1164" t="n"/>
      <c r="N314" s="1164" t="n"/>
      <c r="O314" s="1164" t="n"/>
      <c r="P314" s="1164" t="n"/>
      <c r="Q314" s="1164" t="n"/>
      <c r="R314" s="1164" t="n"/>
      <c r="S314" s="1164" t="n"/>
      <c r="T314" s="1164" t="n"/>
      <c r="U314" s="1164" t="n"/>
      <c r="V314" s="1164" t="n"/>
      <c r="W314" s="1164" t="n"/>
      <c r="X314" s="1164" t="n"/>
      <c r="Y314" s="1164" t="n"/>
      <c r="Z314" s="1164" t="n"/>
      <c r="AA314" s="1164" t="n"/>
      <c r="AB314" s="1164" t="n"/>
      <c r="AC314" s="1165" t="n"/>
      <c r="AD314" s="1160" t="n"/>
      <c r="AE314" s="1160" t="n"/>
      <c r="AF314" s="1160" t="n"/>
      <c r="AG314" s="1160" t="n"/>
      <c r="AH314" s="1160" t="n"/>
      <c r="AI314" s="1160" t="n"/>
      <c r="AJ314" s="1160" t="n"/>
      <c r="AK314" s="1160" t="n"/>
      <c r="AL314" s="1160" t="n"/>
    </row>
    <row r="315" ht="14" customHeight="1">
      <c r="C315" s="1163">
        <f>C314+1</f>
        <v/>
      </c>
      <c r="D315" s="2530">
        <f>D43</f>
        <v/>
      </c>
      <c r="E315" s="2530">
        <f>E43</f>
        <v/>
      </c>
      <c r="F315" s="1164" t="n"/>
      <c r="G315" s="1164" t="n"/>
      <c r="H315" s="1164" t="n"/>
      <c r="I315" s="1164" t="n"/>
      <c r="J315" s="1164" t="n"/>
      <c r="K315" s="1164" t="n"/>
      <c r="L315" s="1164" t="n"/>
      <c r="M315" s="1164" t="n"/>
      <c r="N315" s="1164" t="n"/>
      <c r="O315" s="1164" t="n"/>
      <c r="P315" s="1164" t="n"/>
      <c r="Q315" s="1164" t="n"/>
      <c r="R315" s="1164" t="n"/>
      <c r="S315" s="1164" t="n"/>
      <c r="T315" s="1164" t="n"/>
      <c r="U315" s="1164" t="n"/>
      <c r="V315" s="1164" t="n"/>
      <c r="W315" s="1164" t="n"/>
      <c r="X315" s="1164" t="n"/>
      <c r="Y315" s="1164" t="n"/>
      <c r="Z315" s="1164" t="n"/>
      <c r="AA315" s="1164" t="n"/>
      <c r="AB315" s="1164" t="n"/>
      <c r="AC315" s="1165" t="n"/>
      <c r="AD315" s="1160" t="n"/>
      <c r="AE315" s="1160" t="n"/>
      <c r="AF315" s="1160" t="n"/>
      <c r="AG315" s="1160" t="n"/>
      <c r="AH315" s="1160" t="n"/>
      <c r="AI315" s="1160" t="n"/>
      <c r="AJ315" s="1160" t="n"/>
      <c r="AK315" s="1160" t="n"/>
      <c r="AL315" s="1160" t="n"/>
    </row>
    <row r="316" ht="14" customHeight="1">
      <c r="C316" s="1163">
        <f>C315+1</f>
        <v/>
      </c>
      <c r="D316" s="2530">
        <f>D44</f>
        <v/>
      </c>
      <c r="E316" s="2530">
        <f>E44</f>
        <v/>
      </c>
      <c r="F316" s="1164" t="n"/>
      <c r="G316" s="1164" t="n"/>
      <c r="H316" s="1164" t="n"/>
      <c r="I316" s="1164" t="n"/>
      <c r="J316" s="1164" t="n"/>
      <c r="K316" s="1164" t="n"/>
      <c r="L316" s="1164" t="n"/>
      <c r="M316" s="1164" t="n"/>
      <c r="N316" s="1164" t="n"/>
      <c r="O316" s="1164" t="n"/>
      <c r="P316" s="1164" t="n"/>
      <c r="Q316" s="1164" t="n"/>
      <c r="R316" s="1164" t="n"/>
      <c r="S316" s="1164" t="n"/>
      <c r="T316" s="1164" t="n"/>
      <c r="U316" s="1164" t="n"/>
      <c r="V316" s="1164" t="n"/>
      <c r="W316" s="1164" t="n"/>
      <c r="X316" s="1164" t="n"/>
      <c r="Y316" s="1164" t="n"/>
      <c r="Z316" s="1164" t="n"/>
      <c r="AA316" s="1164" t="n"/>
      <c r="AB316" s="1164" t="n"/>
      <c r="AC316" s="1165" t="n"/>
      <c r="AD316" s="1160" t="n"/>
      <c r="AE316" s="1160" t="n"/>
      <c r="AF316" s="1160" t="n"/>
      <c r="AG316" s="1160" t="n"/>
      <c r="AH316" s="1160" t="n"/>
      <c r="AI316" s="1160" t="n"/>
      <c r="AJ316" s="1160" t="n"/>
      <c r="AK316" s="1160" t="n"/>
      <c r="AL316" s="1160" t="n"/>
    </row>
    <row r="317" ht="14" customHeight="1">
      <c r="C317" s="1163">
        <f>C316+1</f>
        <v/>
      </c>
      <c r="D317" s="2530">
        <f>D45</f>
        <v/>
      </c>
      <c r="E317" s="2530">
        <f>E45</f>
        <v/>
      </c>
      <c r="F317" s="1164" t="n"/>
      <c r="G317" s="1164" t="n"/>
      <c r="H317" s="1164" t="n"/>
      <c r="I317" s="1164" t="n"/>
      <c r="J317" s="1164" t="n"/>
      <c r="K317" s="1164" t="n"/>
      <c r="L317" s="1164" t="n"/>
      <c r="M317" s="1164" t="n"/>
      <c r="N317" s="1164" t="n"/>
      <c r="O317" s="1164" t="n"/>
      <c r="P317" s="1164" t="n"/>
      <c r="Q317" s="1164" t="n"/>
      <c r="R317" s="1164" t="n"/>
      <c r="S317" s="1164" t="n"/>
      <c r="T317" s="1164" t="n"/>
      <c r="U317" s="1164" t="n"/>
      <c r="V317" s="1164" t="n"/>
      <c r="W317" s="1164" t="n"/>
      <c r="X317" s="1164" t="n"/>
      <c r="Y317" s="1164" t="n"/>
      <c r="Z317" s="1164" t="n"/>
      <c r="AA317" s="1164" t="n"/>
      <c r="AB317" s="1164" t="n"/>
      <c r="AC317" s="1165" t="n"/>
      <c r="AD317" s="1160" t="n"/>
      <c r="AE317" s="1160" t="n"/>
      <c r="AF317" s="1160" t="n"/>
      <c r="AG317" s="1160" t="n"/>
      <c r="AH317" s="1160" t="n"/>
      <c r="AI317" s="1160" t="n"/>
      <c r="AJ317" s="1160" t="n"/>
      <c r="AK317" s="1160" t="n"/>
      <c r="AL317" s="1160" t="n"/>
    </row>
    <row r="318" ht="14" customHeight="1">
      <c r="C318" s="1163">
        <f>C317+1</f>
        <v/>
      </c>
      <c r="D318" s="2530">
        <f>D46</f>
        <v/>
      </c>
      <c r="E318" s="2530">
        <f>E46</f>
        <v/>
      </c>
      <c r="F318" s="1164" t="n"/>
      <c r="G318" s="1164" t="n"/>
      <c r="H318" s="1164" t="n"/>
      <c r="I318" s="1164" t="n"/>
      <c r="J318" s="1164" t="n"/>
      <c r="K318" s="1164" t="n"/>
      <c r="L318" s="1164" t="n"/>
      <c r="M318" s="1164" t="n"/>
      <c r="N318" s="1164" t="n"/>
      <c r="O318" s="1164" t="n"/>
      <c r="P318" s="1164" t="n"/>
      <c r="Q318" s="1164" t="n"/>
      <c r="R318" s="1164" t="n"/>
      <c r="S318" s="1164" t="n"/>
      <c r="T318" s="1164" t="n"/>
      <c r="U318" s="1164" t="n"/>
      <c r="V318" s="1164" t="n"/>
      <c r="W318" s="1164" t="n"/>
      <c r="X318" s="1164" t="n"/>
      <c r="Y318" s="1164" t="n"/>
      <c r="Z318" s="1164" t="n"/>
      <c r="AA318" s="1164" t="n"/>
      <c r="AB318" s="1164" t="n"/>
      <c r="AC318" s="1165" t="n"/>
      <c r="AD318" s="1160" t="n"/>
      <c r="AE318" s="1160" t="n"/>
      <c r="AF318" s="1160" t="n"/>
      <c r="AG318" s="1160" t="n"/>
      <c r="AH318" s="1160" t="n"/>
      <c r="AI318" s="1160" t="n"/>
      <c r="AJ318" s="1160" t="n"/>
      <c r="AK318" s="1160" t="n"/>
      <c r="AL318" s="1160" t="n"/>
    </row>
    <row r="319" ht="14" customHeight="1">
      <c r="C319" s="1163">
        <f>C318+1</f>
        <v/>
      </c>
      <c r="D319" s="2530">
        <f>D47</f>
        <v/>
      </c>
      <c r="E319" s="2530">
        <f>E47</f>
        <v/>
      </c>
      <c r="F319" s="1164" t="n"/>
      <c r="G319" s="1164" t="n"/>
      <c r="H319" s="1164" t="n"/>
      <c r="I319" s="1164" t="n"/>
      <c r="J319" s="1164" t="n"/>
      <c r="K319" s="1164" t="n"/>
      <c r="L319" s="1164" t="n"/>
      <c r="M319" s="1164" t="n"/>
      <c r="N319" s="1164" t="n"/>
      <c r="O319" s="1164" t="n"/>
      <c r="P319" s="1164" t="n"/>
      <c r="Q319" s="1164" t="n"/>
      <c r="R319" s="1164" t="n"/>
      <c r="S319" s="1164" t="n"/>
      <c r="T319" s="1164" t="n"/>
      <c r="U319" s="1164" t="n"/>
      <c r="V319" s="1164" t="n"/>
      <c r="W319" s="1164" t="n"/>
      <c r="X319" s="1164" t="n"/>
      <c r="Y319" s="1164" t="n"/>
      <c r="Z319" s="1164" t="n"/>
      <c r="AA319" s="1164" t="n"/>
      <c r="AB319" s="1164" t="n"/>
      <c r="AC319" s="1165" t="n"/>
      <c r="AD319" s="1160" t="n"/>
      <c r="AE319" s="1160" t="n"/>
      <c r="AF319" s="1160" t="n"/>
      <c r="AG319" s="1160" t="n"/>
      <c r="AH319" s="1160" t="n"/>
      <c r="AI319" s="1160" t="n"/>
      <c r="AJ319" s="1160" t="n"/>
      <c r="AK319" s="1160" t="n"/>
      <c r="AL319" s="1160" t="n"/>
    </row>
    <row r="320" ht="14" customHeight="1">
      <c r="C320" s="1163">
        <f>C319+1</f>
        <v/>
      </c>
      <c r="D320" s="2530">
        <f>D48</f>
        <v/>
      </c>
      <c r="E320" s="2530">
        <f>E48</f>
        <v/>
      </c>
      <c r="F320" s="1164" t="n"/>
      <c r="G320" s="1164" t="n"/>
      <c r="H320" s="1164" t="n"/>
      <c r="I320" s="1164" t="n"/>
      <c r="J320" s="1164" t="n"/>
      <c r="K320" s="1164" t="n"/>
      <c r="L320" s="1164" t="n"/>
      <c r="M320" s="1164" t="n"/>
      <c r="N320" s="1164" t="n"/>
      <c r="O320" s="1164" t="n"/>
      <c r="P320" s="1164" t="n"/>
      <c r="Q320" s="1164" t="n"/>
      <c r="R320" s="1164" t="n"/>
      <c r="S320" s="1164" t="n"/>
      <c r="T320" s="1164" t="n"/>
      <c r="U320" s="1164" t="n"/>
      <c r="V320" s="1164" t="n"/>
      <c r="W320" s="1164" t="n"/>
      <c r="X320" s="1164" t="n"/>
      <c r="Y320" s="1164" t="n"/>
      <c r="Z320" s="1164" t="n"/>
      <c r="AA320" s="1164" t="n"/>
      <c r="AB320" s="1164" t="n"/>
      <c r="AC320" s="1164" t="n"/>
      <c r="AD320" s="1160" t="n"/>
      <c r="AE320" s="1160" t="n"/>
      <c r="AF320" s="1160" t="n"/>
      <c r="AG320" s="1160" t="n"/>
      <c r="AH320" s="1160" t="n"/>
      <c r="AI320" s="1160" t="n"/>
      <c r="AJ320" s="1160" t="n"/>
      <c r="AK320" s="1160" t="n"/>
      <c r="AL320" s="1160" t="n"/>
    </row>
    <row r="321" ht="14" customHeight="1">
      <c r="C321" s="1163">
        <f>C320+1</f>
        <v/>
      </c>
      <c r="D321" s="2530">
        <f>D49</f>
        <v/>
      </c>
      <c r="E321" s="2530">
        <f>E49</f>
        <v/>
      </c>
      <c r="F321" s="1164" t="n"/>
      <c r="G321" s="1164" t="n"/>
      <c r="H321" s="1164" t="n"/>
      <c r="I321" s="1164" t="n"/>
      <c r="J321" s="1164" t="n"/>
      <c r="K321" s="1164" t="n"/>
      <c r="L321" s="1164" t="n"/>
      <c r="M321" s="1164" t="n"/>
      <c r="N321" s="1164" t="n"/>
      <c r="O321" s="1164" t="n"/>
      <c r="P321" s="1164" t="n"/>
      <c r="Q321" s="1164" t="n"/>
      <c r="R321" s="1164" t="n"/>
      <c r="S321" s="1164" t="n"/>
      <c r="T321" s="1164" t="n"/>
      <c r="U321" s="1164" t="n"/>
      <c r="V321" s="1164" t="n"/>
      <c r="W321" s="1164" t="n"/>
      <c r="X321" s="1164" t="n"/>
      <c r="Y321" s="1164" t="n"/>
      <c r="Z321" s="1164" t="n"/>
      <c r="AA321" s="1164" t="n"/>
      <c r="AB321" s="1164" t="n"/>
      <c r="AC321" s="1164" t="n"/>
      <c r="AD321" s="1160" t="n"/>
      <c r="AE321" s="1160" t="n"/>
      <c r="AF321" s="1160" t="n"/>
      <c r="AG321" s="1160" t="n"/>
      <c r="AH321" s="1160" t="n"/>
      <c r="AI321" s="1160" t="n"/>
      <c r="AJ321" s="1160" t="n"/>
      <c r="AK321" s="1160" t="n"/>
      <c r="AL321" s="1160" t="n"/>
    </row>
    <row r="322" ht="14" customHeight="1">
      <c r="C322" s="1163">
        <f>C321+1</f>
        <v/>
      </c>
      <c r="D322" s="2530">
        <f>D50</f>
        <v/>
      </c>
      <c r="E322" s="2530">
        <f>E50</f>
        <v/>
      </c>
      <c r="F322" s="1164" t="n"/>
      <c r="G322" s="1164" t="n"/>
      <c r="H322" s="1164" t="n"/>
      <c r="I322" s="1164" t="n"/>
      <c r="J322" s="1164" t="n"/>
      <c r="K322" s="1164" t="n"/>
      <c r="L322" s="1164" t="n"/>
      <c r="M322" s="1164" t="n"/>
      <c r="N322" s="1164" t="n"/>
      <c r="O322" s="1164" t="n"/>
      <c r="P322" s="1164" t="n"/>
      <c r="Q322" s="1164" t="n"/>
      <c r="R322" s="1164" t="n"/>
      <c r="S322" s="1164" t="n"/>
      <c r="T322" s="1164" t="n"/>
      <c r="U322" s="1164" t="n"/>
      <c r="V322" s="1164" t="n"/>
      <c r="W322" s="1164" t="n"/>
      <c r="X322" s="1164" t="n"/>
      <c r="Y322" s="1164" t="n"/>
      <c r="Z322" s="1164" t="n"/>
      <c r="AA322" s="1164" t="n"/>
      <c r="AB322" s="1164" t="n"/>
      <c r="AC322" s="1165" t="n"/>
      <c r="AD322" s="1160" t="n"/>
      <c r="AE322" s="1160" t="n"/>
      <c r="AF322" s="1160" t="n"/>
      <c r="AG322" s="1160" t="n"/>
      <c r="AH322" s="1160" t="n"/>
      <c r="AI322" s="1160" t="n"/>
      <c r="AJ322" s="1160" t="n"/>
      <c r="AK322" s="1160" t="n"/>
      <c r="AL322" s="1160" t="n"/>
    </row>
    <row r="323" ht="14" customHeight="1">
      <c r="C323" s="1163">
        <f>C322+1</f>
        <v/>
      </c>
      <c r="D323" s="2530">
        <f>D51</f>
        <v/>
      </c>
      <c r="E323" s="2530">
        <f>E51</f>
        <v/>
      </c>
      <c r="F323" s="1167" t="n"/>
      <c r="G323" s="1167" t="n"/>
      <c r="H323" s="1167" t="n"/>
      <c r="I323" s="1167" t="n"/>
      <c r="J323" s="1167" t="n"/>
      <c r="K323" s="1167" t="n"/>
      <c r="L323" s="1167" t="n"/>
      <c r="M323" s="1167" t="n"/>
      <c r="N323" s="1167" t="n"/>
      <c r="O323" s="1167" t="n"/>
      <c r="P323" s="1167" t="n"/>
      <c r="Q323" s="1167" t="n"/>
      <c r="R323" s="1167" t="n"/>
      <c r="S323" s="1167" t="n"/>
      <c r="T323" s="1167" t="n"/>
      <c r="U323" s="1167" t="n"/>
      <c r="V323" s="1167" t="n"/>
      <c r="W323" s="1167" t="n"/>
      <c r="X323" s="1167" t="n"/>
      <c r="Y323" s="1167" t="n"/>
      <c r="Z323" s="1167" t="n"/>
      <c r="AA323" s="1167" t="n"/>
      <c r="AB323" s="1167" t="n"/>
      <c r="AC323" s="1168" t="n"/>
      <c r="AD323" s="1160" t="n"/>
      <c r="AE323" s="1160" t="n"/>
      <c r="AF323" s="1160" t="n"/>
      <c r="AG323" s="1160" t="n"/>
      <c r="AH323" s="1160" t="n"/>
      <c r="AI323" s="1160" t="n"/>
      <c r="AJ323" s="1160" t="n"/>
      <c r="AK323" s="1160" t="n"/>
      <c r="AL323" s="1160" t="n"/>
    </row>
    <row r="325" ht="14" customHeight="1">
      <c r="C325" s="1189" t="inlineStr">
        <is>
          <t>Table 5: Valuation Metrics</t>
        </is>
      </c>
      <c r="D325" s="1189" t="inlineStr">
        <is>
          <t>Transactions Data</t>
        </is>
      </c>
      <c r="E325" s="1189" t="n"/>
      <c r="F325" s="1189" t="n"/>
      <c r="G325" s="1189" t="n"/>
      <c r="H325" s="1189" t="n"/>
      <c r="I325" s="1189" t="n"/>
      <c r="J325" s="1189" t="n"/>
      <c r="K325" s="1189" t="n"/>
      <c r="L325" s="1189" t="n"/>
      <c r="M325" s="1189" t="n"/>
      <c r="N325" s="1189" t="n"/>
    </row>
    <row r="326" ht="14" customHeight="1">
      <c r="C326" s="1194" t="inlineStr">
        <is>
          <t>S.No.</t>
        </is>
      </c>
      <c r="D326" s="1195" t="inlineStr">
        <is>
          <t>Date</t>
        </is>
      </c>
      <c r="E326" s="1195" t="inlineStr">
        <is>
          <t>Target Name</t>
        </is>
      </c>
      <c r="F326" s="1195" t="inlineStr">
        <is>
          <t>Acquiror Name</t>
        </is>
      </c>
      <c r="G326" s="1195" t="inlineStr">
        <is>
          <t>EV</t>
        </is>
      </c>
      <c r="H326" s="1195" t="inlineStr">
        <is>
          <t>Revenue</t>
        </is>
      </c>
      <c r="I326" s="1195" t="inlineStr">
        <is>
          <t>EBITDA</t>
        </is>
      </c>
      <c r="J326" s="1195" t="inlineStr">
        <is>
          <t>EBITDA margin</t>
        </is>
      </c>
      <c r="K326" s="1196" t="inlineStr">
        <is>
          <t>EV / Revenue</t>
        </is>
      </c>
      <c r="L326" s="1196" t="inlineStr">
        <is>
          <t>EV / EBITDA</t>
        </is>
      </c>
      <c r="M326" s="1196" t="inlineStr">
        <is>
          <t>XX</t>
        </is>
      </c>
      <c r="N326" s="1197" t="inlineStr">
        <is>
          <t>XX</t>
        </is>
      </c>
    </row>
    <row r="327" ht="14" customHeight="1">
      <c r="C327" s="1177" t="n"/>
      <c r="D327" s="1178" t="n"/>
      <c r="E327" s="1178" t="n"/>
      <c r="F327" s="1179" t="n"/>
      <c r="G327" s="1179" t="n"/>
      <c r="H327" s="1179" t="n"/>
      <c r="I327" s="1179" t="n"/>
      <c r="J327" s="1179" t="n"/>
      <c r="K327" s="1179" t="n"/>
      <c r="L327" s="1179" t="n"/>
      <c r="M327" s="1179" t="n"/>
      <c r="N327" s="1172" t="n"/>
    </row>
    <row r="328" ht="14" customHeight="1">
      <c r="C328" s="1163" t="n">
        <v>1</v>
      </c>
      <c r="D328" s="2534" t="n"/>
      <c r="E328" s="2534" t="n"/>
      <c r="F328" s="1164" t="n"/>
      <c r="G328" s="1164" t="n"/>
      <c r="H328" s="1164" t="n"/>
      <c r="I328" s="1164" t="n"/>
      <c r="J328" s="1164" t="n"/>
      <c r="K328" s="1164" t="n"/>
      <c r="L328" s="1164" t="n"/>
      <c r="M328" s="1164" t="n"/>
      <c r="N328" s="1165" t="n"/>
    </row>
    <row r="329" ht="14" customHeight="1">
      <c r="C329" s="1163">
        <f>C328+1</f>
        <v/>
      </c>
      <c r="D329" s="2534" t="n"/>
      <c r="E329" s="2534" t="n"/>
      <c r="F329" s="1164" t="n"/>
      <c r="G329" s="1164" t="n"/>
      <c r="H329" s="1164" t="n"/>
      <c r="I329" s="1164" t="n"/>
      <c r="J329" s="1164" t="n"/>
      <c r="K329" s="1164" t="n"/>
      <c r="L329" s="1164" t="n"/>
      <c r="M329" s="1164" t="n"/>
      <c r="N329" s="1165" t="n"/>
    </row>
    <row r="330" ht="14" customHeight="1">
      <c r="C330" s="1163">
        <f>C329+1</f>
        <v/>
      </c>
      <c r="D330" s="2534" t="n"/>
      <c r="E330" s="2534" t="n"/>
      <c r="F330" s="1164" t="n"/>
      <c r="G330" s="1164" t="n"/>
      <c r="H330" s="1164" t="n"/>
      <c r="I330" s="1164" t="n"/>
      <c r="J330" s="1164" t="n"/>
      <c r="K330" s="1164" t="n"/>
      <c r="L330" s="1164" t="n"/>
      <c r="M330" s="1164" t="n"/>
      <c r="N330" s="1165" t="n"/>
    </row>
    <row r="331" ht="14" customHeight="1">
      <c r="C331" s="1163">
        <f>C330+1</f>
        <v/>
      </c>
      <c r="D331" s="2534" t="n"/>
      <c r="E331" s="2534" t="n"/>
      <c r="F331" s="1164" t="n"/>
      <c r="G331" s="1164" t="n"/>
      <c r="H331" s="1164" t="n"/>
      <c r="I331" s="1164" t="n"/>
      <c r="J331" s="1164" t="n"/>
      <c r="K331" s="1164" t="n"/>
      <c r="L331" s="1164" t="n"/>
      <c r="M331" s="1164" t="n"/>
      <c r="N331" s="1165" t="n"/>
    </row>
    <row r="332" ht="14" customHeight="1">
      <c r="C332" s="1163">
        <f>C331+1</f>
        <v/>
      </c>
      <c r="D332" s="2534" t="n"/>
      <c r="E332" s="2534" t="n"/>
      <c r="F332" s="1164" t="n"/>
      <c r="G332" s="1164" t="n"/>
      <c r="H332" s="1164" t="n"/>
      <c r="I332" s="1164" t="n"/>
      <c r="J332" s="1164" t="n"/>
      <c r="K332" s="1164" t="n"/>
      <c r="L332" s="1164" t="n"/>
      <c r="M332" s="1164" t="n"/>
      <c r="N332" s="1165" t="n"/>
    </row>
    <row r="333" ht="14" customHeight="1">
      <c r="C333" s="1163">
        <f>C332+1</f>
        <v/>
      </c>
      <c r="D333" s="2534" t="n"/>
      <c r="E333" s="2534" t="n"/>
      <c r="F333" s="1164" t="n"/>
      <c r="G333" s="1164" t="n"/>
      <c r="H333" s="1164" t="n"/>
      <c r="I333" s="1164" t="n"/>
      <c r="J333" s="1164" t="n"/>
      <c r="K333" s="1164" t="n"/>
      <c r="L333" s="1164" t="n"/>
      <c r="M333" s="1164" t="n"/>
      <c r="N333" s="1165" t="n"/>
    </row>
    <row r="334" ht="14" customHeight="1">
      <c r="C334" s="1163">
        <f>C333+1</f>
        <v/>
      </c>
      <c r="D334" s="2534" t="n"/>
      <c r="E334" s="2534" t="n"/>
      <c r="F334" s="1164" t="n"/>
      <c r="G334" s="1164" t="n"/>
      <c r="H334" s="1164" t="n"/>
      <c r="I334" s="1164" t="n"/>
      <c r="J334" s="1164" t="n"/>
      <c r="K334" s="1164" t="n"/>
      <c r="L334" s="1164" t="n"/>
      <c r="M334" s="1164" t="n"/>
      <c r="N334" s="1165" t="n"/>
    </row>
    <row r="335" ht="14" customHeight="1">
      <c r="C335" s="1163">
        <f>C334+1</f>
        <v/>
      </c>
      <c r="D335" s="2534" t="n"/>
      <c r="E335" s="2534" t="n"/>
      <c r="F335" s="1164" t="n"/>
      <c r="G335" s="1164" t="n"/>
      <c r="H335" s="1164" t="n"/>
      <c r="I335" s="1164" t="n"/>
      <c r="J335" s="1164" t="n"/>
      <c r="K335" s="1164" t="n"/>
      <c r="L335" s="1164" t="n"/>
      <c r="M335" s="1164" t="n"/>
      <c r="N335" s="1165" t="n"/>
    </row>
    <row r="336" ht="14" customHeight="1">
      <c r="C336" s="1163">
        <f>C335+1</f>
        <v/>
      </c>
      <c r="D336" s="2534" t="n"/>
      <c r="E336" s="2534" t="n"/>
      <c r="F336" s="1164" t="n"/>
      <c r="G336" s="1164" t="n"/>
      <c r="H336" s="1164" t="n"/>
      <c r="I336" s="1164" t="n"/>
      <c r="J336" s="1164" t="n"/>
      <c r="K336" s="1164" t="n"/>
      <c r="L336" s="1164" t="n"/>
      <c r="M336" s="1164" t="n"/>
      <c r="N336" s="1165" t="n"/>
    </row>
    <row r="337" ht="14" customHeight="1">
      <c r="C337" s="1163">
        <f>C336+1</f>
        <v/>
      </c>
      <c r="D337" s="2534" t="n"/>
      <c r="E337" s="2534" t="n"/>
      <c r="F337" s="1164" t="n"/>
      <c r="G337" s="1164" t="n"/>
      <c r="H337" s="1164" t="n"/>
      <c r="I337" s="1164" t="n"/>
      <c r="J337" s="1164" t="n"/>
      <c r="K337" s="1164" t="n"/>
      <c r="L337" s="1164" t="n"/>
      <c r="M337" s="1164" t="n"/>
      <c r="N337" s="1165" t="n"/>
    </row>
    <row r="338" ht="14" customHeight="1">
      <c r="C338" s="1163">
        <f>C337+1</f>
        <v/>
      </c>
      <c r="D338" s="2534" t="n"/>
      <c r="E338" s="2534" t="n"/>
      <c r="F338" s="1164" t="n"/>
      <c r="G338" s="1164" t="n"/>
      <c r="H338" s="1164" t="n"/>
      <c r="I338" s="1164" t="n"/>
      <c r="J338" s="1164" t="n"/>
      <c r="K338" s="1164" t="n"/>
      <c r="L338" s="1164" t="n"/>
      <c r="M338" s="1164" t="n"/>
      <c r="N338" s="1165" t="n"/>
    </row>
    <row r="339" ht="14" customHeight="1">
      <c r="C339" s="1163">
        <f>C338+1</f>
        <v/>
      </c>
      <c r="D339" s="2534" t="n"/>
      <c r="E339" s="2534" t="n"/>
      <c r="F339" s="1164" t="n"/>
      <c r="G339" s="1164" t="n"/>
      <c r="H339" s="1164" t="n"/>
      <c r="I339" s="1164" t="n"/>
      <c r="J339" s="1164" t="n"/>
      <c r="K339" s="1164" t="n"/>
      <c r="L339" s="1164" t="n"/>
      <c r="M339" s="1164" t="n"/>
      <c r="N339" s="1165" t="n"/>
    </row>
    <row r="340" ht="14" customHeight="1">
      <c r="C340" s="1163">
        <f>C339+1</f>
        <v/>
      </c>
      <c r="D340" s="2534" t="n"/>
      <c r="E340" s="2534" t="n"/>
      <c r="F340" s="1164" t="n"/>
      <c r="G340" s="1164" t="n"/>
      <c r="H340" s="1164" t="n"/>
      <c r="I340" s="1164" t="n"/>
      <c r="J340" s="1164" t="n"/>
      <c r="K340" s="1164" t="n"/>
      <c r="L340" s="1164" t="n"/>
      <c r="M340" s="1164" t="n"/>
      <c r="N340" s="1165" t="n"/>
    </row>
    <row r="341" ht="14" customHeight="1">
      <c r="C341" s="1163">
        <f>C340+1</f>
        <v/>
      </c>
      <c r="D341" s="2534" t="n"/>
      <c r="E341" s="2534" t="n"/>
      <c r="F341" s="1164" t="n"/>
      <c r="G341" s="1164" t="n"/>
      <c r="H341" s="1164" t="n"/>
      <c r="I341" s="1164" t="n"/>
      <c r="J341" s="1164" t="n"/>
      <c r="K341" s="1164" t="n"/>
      <c r="L341" s="1164" t="n"/>
      <c r="M341" s="1164" t="n"/>
      <c r="N341" s="1165" t="n"/>
    </row>
    <row r="342" ht="14" customHeight="1">
      <c r="C342" s="1163">
        <f>C341+1</f>
        <v/>
      </c>
      <c r="D342" s="2534" t="n"/>
      <c r="E342" s="2534" t="n"/>
      <c r="F342" s="1164" t="n"/>
      <c r="G342" s="1164" t="n"/>
      <c r="H342" s="1164" t="n"/>
      <c r="I342" s="1164" t="n"/>
      <c r="J342" s="1164" t="n"/>
      <c r="K342" s="1164" t="n"/>
      <c r="L342" s="1164" t="n"/>
      <c r="M342" s="1164" t="n"/>
      <c r="N342" s="1165" t="n"/>
    </row>
    <row r="343" ht="14" customHeight="1">
      <c r="C343" s="1163">
        <f>C342+1</f>
        <v/>
      </c>
      <c r="D343" s="2534" t="n"/>
      <c r="E343" s="2534" t="n"/>
      <c r="F343" s="1164" t="n"/>
      <c r="G343" s="1164" t="n"/>
      <c r="H343" s="1164" t="n"/>
      <c r="I343" s="1164" t="n"/>
      <c r="J343" s="1164" t="n"/>
      <c r="K343" s="1164" t="n"/>
      <c r="L343" s="1164" t="n"/>
      <c r="M343" s="1164" t="n"/>
      <c r="N343" s="1165" t="n"/>
    </row>
    <row r="344" ht="14" customHeight="1">
      <c r="C344" s="1163">
        <f>C343+1</f>
        <v/>
      </c>
      <c r="D344" s="2534" t="n"/>
      <c r="E344" s="2534" t="n"/>
      <c r="F344" s="1164" t="n"/>
      <c r="G344" s="1164" t="n"/>
      <c r="H344" s="1164" t="n"/>
      <c r="I344" s="1164" t="n"/>
      <c r="J344" s="1164" t="n"/>
      <c r="K344" s="1164" t="n"/>
      <c r="L344" s="1164" t="n"/>
      <c r="M344" s="1164" t="n"/>
      <c r="N344" s="1165" t="n"/>
    </row>
    <row r="345" ht="14" customHeight="1">
      <c r="C345" s="1163">
        <f>C344+1</f>
        <v/>
      </c>
      <c r="D345" s="2534" t="n"/>
      <c r="E345" s="2534" t="n"/>
      <c r="F345" s="1164" t="n"/>
      <c r="G345" s="1164" t="n"/>
      <c r="H345" s="1164" t="n"/>
      <c r="I345" s="1164" t="n"/>
      <c r="J345" s="1164" t="n"/>
      <c r="K345" s="1164" t="n"/>
      <c r="L345" s="1164" t="n"/>
      <c r="M345" s="1164" t="n"/>
      <c r="N345" s="1165" t="n"/>
    </row>
    <row r="346" ht="14" customHeight="1">
      <c r="C346" s="1163">
        <f>C345+1</f>
        <v/>
      </c>
      <c r="D346" s="2534" t="n"/>
      <c r="E346" s="2534" t="n"/>
      <c r="F346" s="1164" t="n"/>
      <c r="G346" s="1164" t="n"/>
      <c r="H346" s="1164" t="n"/>
      <c r="I346" s="1164" t="n"/>
      <c r="J346" s="1164" t="n"/>
      <c r="K346" s="1164" t="n"/>
      <c r="L346" s="1164" t="n"/>
      <c r="M346" s="1164" t="n"/>
      <c r="N346" s="1165" t="n"/>
    </row>
    <row r="347" ht="14" customHeight="1">
      <c r="C347" s="1163">
        <f>C346+1</f>
        <v/>
      </c>
      <c r="D347" s="2534" t="n"/>
      <c r="E347" s="2534" t="n"/>
      <c r="F347" s="1164" t="n"/>
      <c r="G347" s="1164" t="n"/>
      <c r="H347" s="1164" t="n"/>
      <c r="I347" s="1164" t="n"/>
      <c r="J347" s="1164" t="n"/>
      <c r="K347" s="1164" t="n"/>
      <c r="L347" s="1164" t="n"/>
      <c r="M347" s="1164" t="n"/>
      <c r="N347" s="1165" t="n"/>
    </row>
    <row r="348" ht="14" customHeight="1">
      <c r="C348" s="1163">
        <f>C347+1</f>
        <v/>
      </c>
      <c r="D348" s="2534" t="n"/>
      <c r="E348" s="2534" t="n"/>
      <c r="F348" s="1164" t="n"/>
      <c r="G348" s="1164" t="n"/>
      <c r="H348" s="1164" t="n"/>
      <c r="I348" s="1164" t="n"/>
      <c r="J348" s="1164" t="n"/>
      <c r="K348" s="1164" t="n"/>
      <c r="L348" s="1164" t="n"/>
      <c r="M348" s="1164" t="n"/>
      <c r="N348" s="1165" t="n"/>
    </row>
    <row r="349" ht="14" customHeight="1">
      <c r="C349" s="1163">
        <f>C348+1</f>
        <v/>
      </c>
      <c r="D349" s="2534" t="n"/>
      <c r="E349" s="2534" t="n"/>
      <c r="F349" s="1164" t="n"/>
      <c r="G349" s="1164" t="n"/>
      <c r="H349" s="1164" t="n"/>
      <c r="I349" s="1164" t="n"/>
      <c r="J349" s="1164" t="n"/>
      <c r="K349" s="1164" t="n"/>
      <c r="L349" s="1164" t="n"/>
      <c r="M349" s="1164" t="n"/>
      <c r="N349" s="1165" t="n"/>
    </row>
    <row r="350" ht="14" customHeight="1">
      <c r="C350" s="1163">
        <f>C349+1</f>
        <v/>
      </c>
      <c r="D350" s="2534" t="n"/>
      <c r="E350" s="2534" t="n"/>
      <c r="F350" s="1164" t="n"/>
      <c r="G350" s="1164" t="n"/>
      <c r="H350" s="1164" t="n"/>
      <c r="I350" s="1164" t="n"/>
      <c r="J350" s="1164" t="n"/>
      <c r="K350" s="1164" t="n"/>
      <c r="L350" s="1164" t="n"/>
      <c r="M350" s="1164" t="n"/>
      <c r="N350" s="1165" t="n"/>
    </row>
    <row r="351" ht="14" customHeight="1">
      <c r="C351" s="1163">
        <f>C350+1</f>
        <v/>
      </c>
      <c r="D351" s="2534" t="n"/>
      <c r="E351" s="2534" t="n"/>
      <c r="F351" s="1164" t="n"/>
      <c r="G351" s="1164" t="n"/>
      <c r="H351" s="1164" t="n"/>
      <c r="I351" s="1164" t="n"/>
      <c r="J351" s="1164" t="n"/>
      <c r="K351" s="1164" t="n"/>
      <c r="L351" s="1164" t="n"/>
      <c r="M351" s="1164" t="n"/>
      <c r="N351" s="1165" t="n"/>
    </row>
    <row r="352" ht="14" customHeight="1">
      <c r="C352" s="1163">
        <f>C351+1</f>
        <v/>
      </c>
      <c r="D352" s="2534" t="n"/>
      <c r="E352" s="2534" t="n"/>
      <c r="F352" s="1164" t="n"/>
      <c r="G352" s="1164" t="n"/>
      <c r="H352" s="1164" t="n"/>
      <c r="I352" s="1164" t="n"/>
      <c r="J352" s="1164" t="n"/>
      <c r="K352" s="1164" t="n"/>
      <c r="L352" s="1164" t="n"/>
      <c r="M352" s="1164" t="n"/>
      <c r="N352" s="1165" t="n"/>
    </row>
    <row r="353" ht="14" customHeight="1">
      <c r="C353" s="1163">
        <f>C352+1</f>
        <v/>
      </c>
      <c r="D353" s="2534" t="n"/>
      <c r="E353" s="2534" t="n"/>
      <c r="F353" s="1164" t="n"/>
      <c r="G353" s="1164" t="n"/>
      <c r="H353" s="1164" t="n"/>
      <c r="I353" s="1164" t="n"/>
      <c r="J353" s="1164" t="n"/>
      <c r="K353" s="1164" t="n"/>
      <c r="L353" s="1164" t="n"/>
      <c r="M353" s="1164" t="n"/>
      <c r="N353" s="1165" t="n"/>
    </row>
    <row r="354" ht="14" customHeight="1">
      <c r="C354" s="1163">
        <f>C353+1</f>
        <v/>
      </c>
      <c r="D354" s="2534" t="n"/>
      <c r="E354" s="2534" t="n"/>
      <c r="F354" s="1164" t="n"/>
      <c r="G354" s="1164" t="n"/>
      <c r="H354" s="1164" t="n"/>
      <c r="I354" s="1164" t="n"/>
      <c r="J354" s="1164" t="n"/>
      <c r="K354" s="1164" t="n"/>
      <c r="L354" s="1164" t="n"/>
      <c r="M354" s="1164" t="n"/>
      <c r="N354" s="1165" t="n"/>
    </row>
    <row r="355" ht="14" customHeight="1">
      <c r="C355" s="1163">
        <f>C354+1</f>
        <v/>
      </c>
      <c r="D355" s="2534" t="n"/>
      <c r="E355" s="2534" t="n"/>
      <c r="F355" s="1164" t="n"/>
      <c r="G355" s="1164" t="n"/>
      <c r="H355" s="1164" t="n"/>
      <c r="I355" s="1164" t="n"/>
      <c r="J355" s="1164" t="n"/>
      <c r="K355" s="1164" t="n"/>
      <c r="L355" s="1164" t="n"/>
      <c r="M355" s="1164" t="n"/>
      <c r="N355" s="1165" t="n"/>
    </row>
    <row r="356" ht="14" customHeight="1">
      <c r="C356" s="1163">
        <f>C355+1</f>
        <v/>
      </c>
      <c r="D356" s="2534" t="n"/>
      <c r="E356" s="2534" t="n"/>
      <c r="F356" s="1164" t="n"/>
      <c r="G356" s="1164" t="n"/>
      <c r="H356" s="1164" t="n"/>
      <c r="I356" s="1164" t="n"/>
      <c r="J356" s="1164" t="n"/>
      <c r="K356" s="1164" t="n"/>
      <c r="L356" s="1164" t="n"/>
      <c r="M356" s="1164" t="n"/>
      <c r="N356" s="1165" t="n"/>
    </row>
    <row r="357" ht="14" customHeight="1">
      <c r="C357" s="1166">
        <f>C356+1</f>
        <v/>
      </c>
      <c r="D357" s="2535" t="n"/>
      <c r="E357" s="2535" t="n"/>
      <c r="F357" s="1167" t="n"/>
      <c r="G357" s="1167" t="n"/>
      <c r="H357" s="1167" t="n"/>
      <c r="I357" s="1167" t="n"/>
      <c r="J357" s="1167" t="n"/>
      <c r="K357" s="1167" t="n"/>
      <c r="L357" s="1167" t="n"/>
      <c r="M357" s="1167" t="n"/>
      <c r="N357" s="1168" t="n"/>
    </row>
  </sheetData>
  <mergeCells count="26">
    <mergeCell ref="F88:M88"/>
    <mergeCell ref="AH224:AJ224"/>
    <mergeCell ref="AE224:AG224"/>
    <mergeCell ref="L156:Q156"/>
    <mergeCell ref="AD88:AK88"/>
    <mergeCell ref="N122:U122"/>
    <mergeCell ref="V88:AC88"/>
    <mergeCell ref="F156:K156"/>
    <mergeCell ref="F190:K190"/>
    <mergeCell ref="AN224:AP224"/>
    <mergeCell ref="P54:V54"/>
    <mergeCell ref="AH156:AL156"/>
    <mergeCell ref="Z156:AG156"/>
    <mergeCell ref="F258:K258"/>
    <mergeCell ref="R258:W258"/>
    <mergeCell ref="F122:M122"/>
    <mergeCell ref="AD190:AI190"/>
    <mergeCell ref="U190:AC190"/>
    <mergeCell ref="I54:O54"/>
    <mergeCell ref="R156:Y156"/>
    <mergeCell ref="N88:U88"/>
    <mergeCell ref="V122:AA122"/>
    <mergeCell ref="AL88:AS88"/>
    <mergeCell ref="L190:T190"/>
    <mergeCell ref="AK224:AM224"/>
    <mergeCell ref="L258:Q258"/>
  </mergeCell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Lenovo</dc:creator>
  <dcterms:created xsi:type="dcterms:W3CDTF">1998-05-21T07:40:42Z</dcterms:created>
  <dcterms:modified xsi:type="dcterms:W3CDTF">2025-02-27T14:43:04Z</dcterms:modified>
  <cp:lastModifiedBy>HP LAPTOP</cp:lastModifiedBy>
  <cp:lastPrinted>2024-11-04T10:50:03Z</cp:lastPrinted>
</cp:coreProperties>
</file>

<file path=docProps/custom.xml><?xml version="1.0" encoding="utf-8"?>
<Properties xmlns:vt="http://schemas.openxmlformats.org/officeDocument/2006/docPropsVTypes" xmlns="http://schemas.openxmlformats.org/officeDocument/2006/custom-properties">
  <property name="Owner" fmtid="{D5CDD505-2E9C-101B-9397-08002B2CF9AE}" pid="2">
    <vt:lpwstr>Brent Sloan</vt:lpwstr>
  </property>
  <property name="{A44787D4-0540-4523-9961-78E4036D8C6D}" fmtid="{D5CDD505-2E9C-101B-9397-08002B2CF9AE}" pid="3">
    <vt:lpwstr>{EC5C4320-BA04-4243-A2F8-90E78652F40F}</vt:lpwstr>
  </property>
  <property name="MSIP_Label_6aa6c647-222b-4d41-8d37-745db9563e7e_Enabled" fmtid="{D5CDD505-2E9C-101B-9397-08002B2CF9AE}" pid="4">
    <vt:lpwstr>True</vt:lpwstr>
  </property>
  <property name="MSIP_Label_6aa6c647-222b-4d41-8d37-745db9563e7e_SiteId" fmtid="{D5CDD505-2E9C-101B-9397-08002B2CF9AE}" pid="5">
    <vt:lpwstr>b723253f-7281-4adc-bc1c-fc9ef3674d78</vt:lpwstr>
  </property>
  <property name="MSIP_Label_6aa6c647-222b-4d41-8d37-745db9563e7e_Owner" fmtid="{D5CDD505-2E9C-101B-9397-08002B2CF9AE}" pid="6">
    <vt:lpwstr>Samuel.J.Beesley@uk.gt.com</vt:lpwstr>
  </property>
  <property name="MSIP_Label_6aa6c647-222b-4d41-8d37-745db9563e7e_SetDate" fmtid="{D5CDD505-2E9C-101B-9397-08002B2CF9AE}" pid="7">
    <vt:lpwstr>2018-10-31T10:08:23.6030887Z</vt:lpwstr>
  </property>
  <property name="MSIP_Label_6aa6c647-222b-4d41-8d37-745db9563e7e_Name" fmtid="{D5CDD505-2E9C-101B-9397-08002B2CF9AE}" pid="8">
    <vt:lpwstr>Confidential</vt:lpwstr>
  </property>
  <property name="MSIP_Label_6aa6c647-222b-4d41-8d37-745db9563e7e_Application" fmtid="{D5CDD505-2E9C-101B-9397-08002B2CF9AE}" pid="9">
    <vt:lpwstr>Microsoft Azure Information Protection</vt:lpwstr>
  </property>
  <property name="MSIP_Label_6aa6c647-222b-4d41-8d37-745db9563e7e_Extended_MSFT_Method" fmtid="{D5CDD505-2E9C-101B-9397-08002B2CF9AE}" pid="10">
    <vt:lpwstr>Manual</vt:lpwstr>
  </property>
  <property name="Sensitivity" fmtid="{D5CDD505-2E9C-101B-9397-08002B2CF9AE}" pid="11">
    <vt:lpwstr>Confidential</vt:lpwstr>
  </property>
  <property name="ContentTypeId" fmtid="{D5CDD505-2E9C-101B-9397-08002B2CF9AE}" pid="12">
    <vt:lpwstr>0x0101007B2CB6C812D16045AED75F443849D7BB</vt:lpwstr>
  </property>
  <property name="MediaServiceImageTags" fmtid="{D5CDD505-2E9C-101B-9397-08002B2CF9AE}" pid="13">
    <vt:lpwstr/>
  </property>
</Properties>
</file>